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3"/>
    <sheet name="Segment - Consumer Banking" sheetId="3" r:id="rId4"/>
    <sheet name="Segment - GWIM" sheetId="4" r:id="rId5"/>
    <sheet name="Segment - Global Banking" sheetId="5" r:id="rId6"/>
    <sheet name="Segment - Global Markets" sheetId="6" r:id="rId7"/>
    <sheet name="Income Statement" sheetId="7" r:id="rId8"/>
    <sheet name="Balance Sheet" sheetId="8" r:id="rId9"/>
    <sheet name="Cash Flow Statement" sheetId="9" r:id="rId10"/>
    <sheet name="Share Count" sheetId="10" r:id="rId11"/>
    <sheet name="Guidance" sheetId="11" r:id="rId12"/>
    <sheet name="Inputs" sheetId="12" r:id="rId13"/>
    <sheet name="Sources" sheetId="13" r:id="rId14"/>
  </sheets>
  <calcPr calcId="0"/>
</workbook>
</file>

<file path=xl/comments1.xml><?xml version="1.0" encoding="utf-8"?>
<comments xmlns="http://schemas.openxmlformats.org/spreadsheetml/2006/main">
  <authors>
    <author>Shortcut</author>
  </authors>
  <commentList>
    <comment ref="B22" authorId="0">
      <text>
        <t>Consensus: CapIQ revenue_m_mean (7 estimates). BAC gives no revenue guidance (n.a.).</t>
      </text>
    </comment>
    <comment ref="B23" authorId="0">
      <text>
        <t>No NII consensus in CapIQ snapshot (Zacks ~16,550 recorded below as newer reference). FY26 guide = upper end of 6-8% growth (Guidance tab).</t>
      </text>
    </comment>
    <comment ref="B27" authorId="0">
      <text>
        <t>Scored target. Frozen CapIQ consensus 1.10 (18 estimates, captured 2026-10-11). Year-ago = restated 3Q25 (1.04); CapIQ shows 1.06 as originally reported.</t>
      </text>
    </comment>
    <comment ref="B31" authorId="0">
      <text>
        <t>Probability reported EPS is strictly above the frozen 1.10 consensus; equals p_beat_consensus_eps in estimate.json.</t>
      </text>
    </comment>
    <comment ref="B24" authorId="0">
      <text>
        <t>CapIQ net_income_gaap_m 7,905.8 ~ EBT 10,437 x (1-20.63%) less ~380 preferred: consistent with a to-common basis, but inference only (basis unconfirmed); variance withheld - see N2.</t>
      </text>
    </comment>
  </commentList>
</comments>
</file>

<file path=xl/comments2.xml><?xml version="1.0" encoding="utf-8"?>
<comments xmlns="http://schemas.openxmlformats.org/spreadsheetml/2006/main">
  <authors>
    <author>Shortcut</author>
  </authors>
  <commentList>
    <comment ref="B11" authorId="0">
      <text>
        <t>n.m. = not meaningful (prior-period value zero or negative).</t>
      </text>
    </comment>
    <comment ref="B13" authorId="0">
      <text>
        <t>Not disclosed by BAC (no acquisitions/divestitures reported in the period); shown as n.d., not zero.</t>
      </text>
    </comment>
    <comment ref="B14" authorId="0">
      <text>
        <t>BAC does not disclose FX impact on revenue; n.d. (not disclosed).</t>
      </text>
    </comment>
    <comment ref="B15" authorId="0">
      <text>
        <t>Organic = (1+Y/Y)/((1+M&amp;A)*(1+FX))-1; not computable because M&amp;A and FX components are not disclosed (n.d.).</t>
      </text>
    </comment>
    <comment ref="B18" authorId="0">
      <text>
        <t>n.m. = not meaningful (prior-period value zero or negative).</t>
      </text>
    </comment>
    <comment ref="B20" authorId="0">
      <text>
        <t>Not disclosed by BAC (no acquisitions/divestitures reported in the period); shown as n.d., not zero.</t>
      </text>
    </comment>
    <comment ref="B21" authorId="0">
      <text>
        <t>BAC does not disclose FX impact on revenue; n.d. (not disclosed).</t>
      </text>
    </comment>
    <comment ref="B22" authorId="0">
      <text>
        <t>Organic = (1+Y/Y)/((1+M&amp;A)*(1+FX))-1; not computable because M&amp;A and FX components are not disclosed (n.d.).</t>
      </text>
    </comment>
    <comment ref="B25" authorId="0">
      <text>
        <t>n.m. = not meaningful (prior-period value zero or negative).</t>
      </text>
    </comment>
    <comment ref="B27" authorId="0">
      <text>
        <t>Not disclosed by BAC (no acquisitions/divestitures reported in the period); shown as n.d., not zero.</t>
      </text>
    </comment>
    <comment ref="B28" authorId="0">
      <text>
        <t>BAC does not disclose FX impact on revenue; n.d. (not disclosed).</t>
      </text>
    </comment>
    <comment ref="B29" authorId="0">
      <text>
        <t>Organic = (1+Y/Y)/((1+M&amp;A)*(1+FX))-1; not computable because M&amp;A and FX components are not disclosed (n.d.).</t>
      </text>
    </comment>
    <comment ref="B32" authorId="0">
      <text>
        <t>n.m. = not meaningful (prior-period value zero or negative).</t>
      </text>
    </comment>
    <comment ref="B34" authorId="0">
      <text>
        <t>Not disclosed by BAC (no acquisitions/divestitures reported in the period); shown as n.d., not zero.</t>
      </text>
    </comment>
    <comment ref="B35" authorId="0">
      <text>
        <t>BAC does not disclose FX impact on revenue; n.d. (not disclosed).</t>
      </text>
    </comment>
    <comment ref="B36" authorId="0">
      <text>
        <t>Organic = (1+Y/Y)/((1+M&amp;A)*(1+FX))-1; not computable because M&amp;A and FX components are not disclosed (n.d.).</t>
      </text>
    </comment>
    <comment ref="B38" authorId="0">
      <text>
        <t>3Q26E = average of last four quarters (-698 to -829); no specific evidence for a change.</t>
      </text>
    </comment>
    <comment ref="B39" authorId="0">
      <text>
        <t>n.m. = not meaningful (prior-period value zero or negative).</t>
      </text>
    </comment>
    <comment ref="B41" authorId="0">
      <text>
        <t>Not disclosed by BAC (no acquisitions/divestitures reported in the period); shown as n.d., not zero.</t>
      </text>
    </comment>
    <comment ref="B42" authorId="0">
      <text>
        <t>BAC does not disclose FX impact on revenue; n.d. (not disclosed).</t>
      </text>
    </comment>
    <comment ref="B43" authorId="0">
      <text>
        <t>Organic = (1+Y/Y)/((1+M&amp;A)*(1+FX))-1; not computable because M&amp;A and FX components are not disclosed (n.d.).</t>
      </text>
    </comment>
    <comment ref="B46" authorId="0">
      <text>
        <t>n.m. = not meaningful (prior-period value zero or negative).</t>
      </text>
    </comment>
    <comment ref="B48" authorId="0">
      <text>
        <t>Not disclosed by BAC (no acquisitions/divestitures reported in the period); shown as n.d., not zero.</t>
      </text>
    </comment>
    <comment ref="B49" authorId="0">
      <text>
        <t>BAC does not disclose FX impact on revenue; n.d. (not disclosed).</t>
      </text>
    </comment>
    <comment ref="B50" authorId="0">
      <text>
        <t>Organic = (1+Y/Y)/((1+M&amp;A)*(1+FX))-1; not computable because M&amp;A and FX components are not disclosed (n.d.).</t>
      </text>
    </comment>
    <comment ref="B53" authorId="0">
      <text>
        <t>FTE adjustment 145-165/qtr; 3Q26E 165.</t>
      </text>
    </comment>
    <comment ref="B57" authorId="0">
      <text>
        <t>n.m. = not meaningful (prior-period value zero or negative).</t>
      </text>
    </comment>
    <comment ref="B59" authorId="0">
      <text>
        <t>Not disclosed by BAC (no acquisitions/divestitures reported in the period); shown as n.d., not zero.</t>
      </text>
    </comment>
    <comment ref="B60" authorId="0">
      <text>
        <t>BAC does not disclose FX impact on revenue; n.d. (not disclosed).</t>
      </text>
    </comment>
    <comment ref="B61" authorId="0">
      <text>
        <t>Organic = (1+Y/Y)/((1+M&amp;A)*(1+FX))-1; not computable because M&amp;A and FX components are not disclosed (n.d.).</t>
      </text>
    </comment>
    <comment ref="B65" authorId="0">
      <text>
        <t>n.m. = not meaningful (prior-period value zero or negative).</t>
      </text>
    </comment>
    <comment ref="B67" authorId="0">
      <text>
        <t>Not disclosed by BAC (no acquisitions/divestitures reported in the period); shown as n.d., not zero.</t>
      </text>
    </comment>
    <comment ref="B68" authorId="0">
      <text>
        <t>BAC does not disclose FX impact on revenue; n.d. (not disclosed).</t>
      </text>
    </comment>
    <comment ref="B69" authorId="0">
      <text>
        <t>Organic = (1+Y/Y)/((1+M&amp;A)*(1+FX))-1; not computable because M&amp;A and FX components are not disclosed (n.d.).</t>
      </text>
    </comment>
    <comment ref="B72" authorId="0">
      <text>
        <t>n.m. = not meaningful (prior-period value zero or negative).</t>
      </text>
    </comment>
    <comment ref="B74" authorId="0">
      <text>
        <t>Not disclosed by BAC (no acquisitions/divestitures reported in the period); shown as n.d., not zero.</t>
      </text>
    </comment>
    <comment ref="B75" authorId="0">
      <text>
        <t>BAC does not disclose FX impact on revenue; n.d. (not disclosed).</t>
      </text>
    </comment>
    <comment ref="B76" authorId="0">
      <text>
        <t>Organic = (1+Y/Y)/((1+M&amp;A)*(1+FX))-1; not computable because M&amp;A and FX components are not disclosed (n.d.).</t>
      </text>
    </comment>
    <comment ref="B81" authorId="0">
      <text>
        <t>n.m. = not meaningful (prior-period value zero or negative).</t>
      </text>
    </comment>
    <comment ref="B83" authorId="0">
      <text>
        <t>Not disclosed by BAC (no acquisitions/divestitures reported in the period); shown as n.d., not zero.</t>
      </text>
    </comment>
    <comment ref="B84" authorId="0">
      <text>
        <t>BAC does not disclose FX impact on revenue; n.d. (not disclosed).</t>
      </text>
    </comment>
    <comment ref="B85" authorId="0">
      <text>
        <t>Organic = (1+Y/Y)/((1+M&amp;A)*(1+FX))-1; not computable because M&amp;A and FX components are not disclosed (n.d.).</t>
      </text>
    </comment>
    <comment ref="B88" authorId="0">
      <text>
        <t>n.m. = not meaningful (prior-period value zero or negative).</t>
      </text>
    </comment>
    <comment ref="B90" authorId="0">
      <text>
        <t>Not disclosed by BAC (no acquisitions/divestitures reported in the period); shown as n.d., not zero.</t>
      </text>
    </comment>
    <comment ref="B91" authorId="0">
      <text>
        <t>BAC does not disclose FX impact on revenue; n.d. (not disclosed).</t>
      </text>
    </comment>
    <comment ref="B92" authorId="0">
      <text>
        <t>Organic = (1+Y/Y)/((1+M&amp;A)*(1+FX))-1; not computable because M&amp;A and FX components are not disclosed (n.d.).</t>
      </text>
    </comment>
    <comment ref="B97" authorId="0">
      <text>
        <t>CapIQ 1Q25-3Q25 actuals are as originally reported (before BAC retrospective tax-equity accounting change in 4Q25); model uses restated figures.</t>
      </text>
    </comment>
  </commentList>
</comments>
</file>

<file path=xl/comments3.xml><?xml version="1.0" encoding="utf-8"?>
<comments xmlns="http://schemas.openxmlformats.org/spreadsheetml/2006/main">
  <authors>
    <author>Shortcut</author>
  </authors>
  <commentList>
    <comment ref="B49" authorId="0">
      <text>
        <t>3Q26E = balance-weighted average of product spreads.</t>
      </text>
    </comment>
    <comment ref="B57" authorId="0">
      <text>
        <t>3Q26E +3bp Q/Q: spreads rising (checking spread +8bp Q/Q in 2Q26), Fed +25bp on 16-Sep-26 adds ~2 weeks of benefit [S12].</t>
      </text>
    </comment>
    <comment ref="B61" authorId="0">
      <text>
        <t>n.m. = not meaningful (prior-period value zero or negative).</t>
      </text>
    </comment>
    <comment ref="B63" authorId="0">
      <text>
        <t>Not disclosed by BAC (no acquisitions/divestitures reported in the period); shown as n.d., not zero.</t>
      </text>
    </comment>
    <comment ref="B64" authorId="0">
      <text>
        <t>BAC does not disclose FX impact on revenue; n.d. (not disclosed).</t>
      </text>
    </comment>
    <comment ref="B65" authorId="0">
      <text>
        <t>Organic = (1+Y/Y)/((1+M&amp;A)*(1+FX))-1; not computable because M&amp;A and FX components are not disclosed (n.d.).</t>
      </text>
    </comment>
    <comment ref="B78" authorId="0">
      <text>
        <t>Realised card fee rate falling as rewards investment rises (58bp 2Q25 -&gt; 51bp 2Q26); 3Q26E 50bp.</t>
      </text>
    </comment>
    <comment ref="B97" authorId="0">
      <text>
        <t>1Q25 opening not retrieved (4Q24 release not in source set); n.a.</t>
      </text>
    </comment>
    <comment ref="B98" authorId="0">
      <text>
        <t>Not disclosed by BAC; only net additions are reported.</t>
      </text>
    </comment>
    <comment ref="B99" authorId="0">
      <text>
        <t>Not disclosed by BAC.</t>
      </text>
    </comment>
    <comment ref="B100" authorId="0">
      <text>
        <t>Press releases: ~250K (1Q25), ~175K (2Q25), ~212K (3Q25), ~680K FY25 (4Q25 derived = FY less 9M), ~100K (1Q26), 162K (2Q26). 3Q26E 160K per CEO run-rate of 160-170K/qtr [S9].</t>
      </text>
    </comment>
    <comment ref="B103" authorId="0">
      <text>
        <t>Reported rounded to 0.1M (e.g. 38.7M); rounding residual shown below.</t>
      </text>
    </comment>
    <comment ref="B110" authorId="0">
      <text>
        <t>Not disclosed.</t>
      </text>
    </comment>
    <comment ref="B111" authorId="0">
      <text>
        <t>Checking balances ($M) / average accounts (000s) x 1,000 = $ per account.</t>
      </text>
    </comment>
    <comment ref="B129" authorId="0">
      <text>
        <t>n.m. = not meaningful (prior-period value zero or negative).</t>
      </text>
    </comment>
    <comment ref="B131" authorId="0">
      <text>
        <t>Not disclosed by BAC (no acquisitions/divestitures reported in the period); shown as n.d., not zero.</t>
      </text>
    </comment>
    <comment ref="B132" authorId="0">
      <text>
        <t>BAC does not disclose FX impact on revenue; n.d. (not disclosed).</t>
      </text>
    </comment>
    <comment ref="B133" authorId="0">
      <text>
        <t>Organic = (1+Y/Y)/((1+M&amp;A)*(1+FX))-1; not computable because M&amp;A and FX components are not disclosed (n.d.).</t>
      </text>
    </comment>
    <comment ref="B139" authorId="0">
      <text>
        <t>n.m. = not meaningful (prior-period value zero or negative).</t>
      </text>
    </comment>
    <comment ref="B141" authorId="0">
      <text>
        <t>Not disclosed by BAC (no acquisitions/divestitures reported in the period); shown as n.d., not zero.</t>
      </text>
    </comment>
    <comment ref="B142" authorId="0">
      <text>
        <t>BAC does not disclose FX impact on revenue; n.d. (not disclosed).</t>
      </text>
    </comment>
    <comment ref="B143" authorId="0">
      <text>
        <t>Organic = (1+Y/Y)/((1+M&amp;A)*(1+FX))-1; not computable because M&amp;A and FX components are not disclosed (n.d.).</t>
      </text>
    </comment>
    <comment ref="B146" authorId="0">
      <text>
        <t>n.m. = not meaningful (prior-period value zero or negative).</t>
      </text>
    </comment>
    <comment ref="B148" authorId="0">
      <text>
        <t>Not disclosed by BAC (no acquisitions/divestitures reported in the period); shown as n.d., not zero.</t>
      </text>
    </comment>
    <comment ref="B149" authorId="0">
      <text>
        <t>BAC does not disclose FX impact on revenue; n.d. (not disclosed).</t>
      </text>
    </comment>
    <comment ref="B150" authorId="0">
      <text>
        <t>Organic = (1+Y/Y)/((1+M&amp;A)*(1+FX))-1; not computable because M&amp;A and FX components are not disclosed (n.d.).</t>
      </text>
    </comment>
    <comment ref="B153" authorId="0">
      <text>
        <t>n.m. = not meaningful (prior-period value zero or negative).</t>
      </text>
    </comment>
    <comment ref="B155" authorId="0">
      <text>
        <t>Not disclosed by BAC (no acquisitions/divestitures reported in the period); shown as n.d., not zero.</t>
      </text>
    </comment>
    <comment ref="B156" authorId="0">
      <text>
        <t>BAC does not disclose FX impact on revenue; n.d. (not disclosed).</t>
      </text>
    </comment>
    <comment ref="B157" authorId="0">
      <text>
        <t>Organic = (1+Y/Y)/((1+M&amp;A)*(1+FX))-1; not computable because M&amp;A and FX components are not disclosed (n.d.).</t>
      </text>
    </comment>
    <comment ref="B159" authorId="0">
      <text>
        <t>= net interest income (earning-assets build above) + total noninterest income.</t>
      </text>
    </comment>
    <comment ref="B160" authorId="0">
      <text>
        <t>n.m. = not meaningful (prior-period value zero or negative).</t>
      </text>
    </comment>
    <comment ref="B162" authorId="0">
      <text>
        <t>Not disclosed by BAC (no acquisitions/divestitures reported in the period); shown as n.d., not zero.</t>
      </text>
    </comment>
    <comment ref="B163" authorId="0">
      <text>
        <t>BAC does not disclose FX impact on revenue; n.d. (not disclosed).</t>
      </text>
    </comment>
    <comment ref="B164" authorId="0">
      <text>
        <t>Organic = (1+Y/Y)/((1+M&amp;A)*(1+FX))-1; not computable because M&amp;A and FX components are not disclosed (n.d.).</t>
      </text>
    </comment>
  </commentList>
</comments>
</file>

<file path=xl/comments4.xml><?xml version="1.0" encoding="utf-8"?>
<comments xmlns="http://schemas.openxmlformats.org/spreadsheetml/2006/main">
  <authors>
    <author>Shortcut</author>
  </authors>
  <commentList>
    <comment ref="B11" authorId="0">
      <text>
        <t>3Q26E $18bn: average of last 6 quarters ~$19bn, 2Q26 $13.7bn.</t>
      </text>
    </comment>
    <comment ref="B14" authorId="0">
      <text>
        <t>3Q26E +0.45%: S&amp;P 500 +2.0% in 3Q26, 10-yr UST +87bp (bond prices down); ~60/40 mix [S13].</t>
      </text>
    </comment>
    <comment ref="B31" authorId="0">
      <text>
        <t>3Q26E 0.775% -&gt; fees ~+15% Y/Y, top of CEO guide of +10-15% [S9]; June-30 AUM was +17% Y/Y and Merrill bills on prior quarter-end values, BAC mid-quarter guides have been conservative (Guidance tab).</t>
      </text>
    </comment>
    <comment ref="B34" authorId="0">
      <text>
        <t>Historical = consolidated asset management fees (Income Statement).</t>
      </text>
    </comment>
    <comment ref="B35" authorId="0">
      <text>
        <t>n.m. = not meaningful (prior-period value zero or negative).</t>
      </text>
    </comment>
    <comment ref="B37" authorId="0">
      <text>
        <t>Not disclosed by BAC (no acquisitions/divestitures reported in the period); shown as n.d., not zero.</t>
      </text>
    </comment>
    <comment ref="B38" authorId="0">
      <text>
        <t>BAC does not disclose FX impact on revenue; n.d. (not disclosed).</t>
      </text>
    </comment>
    <comment ref="B39" authorId="0">
      <text>
        <t>Organic = (1+Y/Y)/((1+M&amp;A)*(1+FX))-1; not computable because M&amp;A and FX components are not disclosed (n.d.).</t>
      </text>
    </comment>
    <comment ref="B82" authorId="0">
      <text>
        <t>n.m. = not meaningful (prior-period value zero or negative).</t>
      </text>
    </comment>
    <comment ref="B84" authorId="0">
      <text>
        <t>Not disclosed by BAC (no acquisitions/divestitures reported in the period); shown as n.d., not zero.</t>
      </text>
    </comment>
    <comment ref="B85" authorId="0">
      <text>
        <t>BAC does not disclose FX impact on revenue; n.d. (not disclosed).</t>
      </text>
    </comment>
    <comment ref="B86" authorId="0">
      <text>
        <t>Organic = (1+Y/Y)/((1+M&amp;A)*(1+FX))-1; not computable because M&amp;A and FX components are not disclosed (n.d.).</t>
      </text>
    </comment>
    <comment ref="B89" authorId="0">
      <text>
        <t>GWIM investment &amp; brokerage services less consolidated AM fees; stable 359-370 over last 4 quarters.</t>
      </text>
    </comment>
    <comment ref="B90" authorId="0">
      <text>
        <t>n.m. = not meaningful (prior-period value zero or negative).</t>
      </text>
    </comment>
    <comment ref="B92" authorId="0">
      <text>
        <t>Not disclosed by BAC (no acquisitions/divestitures reported in the period); shown as n.d., not zero.</t>
      </text>
    </comment>
    <comment ref="B93" authorId="0">
      <text>
        <t>BAC does not disclose FX impact on revenue; n.d. (not disclosed).</t>
      </text>
    </comment>
    <comment ref="B94" authorId="0">
      <text>
        <t>Organic = (1+Y/Y)/((1+M&amp;A)*(1+FX))-1; not computable because M&amp;A and FX components are not disclosed (n.d.).</t>
      </text>
    </comment>
    <comment ref="B97" authorId="0">
      <text>
        <t>n.m. = not meaningful (prior-period value zero or negative).</t>
      </text>
    </comment>
    <comment ref="B99" authorId="0">
      <text>
        <t>Not disclosed by BAC (no acquisitions/divestitures reported in the period); shown as n.d., not zero.</t>
      </text>
    </comment>
    <comment ref="B100" authorId="0">
      <text>
        <t>BAC does not disclose FX impact on revenue; n.d. (not disclosed).</t>
      </text>
    </comment>
    <comment ref="B101" authorId="0">
      <text>
        <t>Organic = (1+Y/Y)/((1+M&amp;A)*(1+FX))-1; not computable because M&amp;A and FX components are not disclosed (n.d.).</t>
      </text>
    </comment>
    <comment ref="B104" authorId="0">
      <text>
        <t>n.m. = not meaningful (prior-period value zero or negative).</t>
      </text>
    </comment>
    <comment ref="B106" authorId="0">
      <text>
        <t>Not disclosed by BAC (no acquisitions/divestitures reported in the period); shown as n.d., not zero.</t>
      </text>
    </comment>
    <comment ref="B107" authorId="0">
      <text>
        <t>BAC does not disclose FX impact on revenue; n.d. (not disclosed).</t>
      </text>
    </comment>
    <comment ref="B108" authorId="0">
      <text>
        <t>Organic = (1+Y/Y)/((1+M&amp;A)*(1+FX))-1; not computable because M&amp;A and FX components are not disclosed (n.d.).</t>
      </text>
    </comment>
    <comment ref="B111" authorId="0">
      <text>
        <t>n.m. = not meaningful (prior-period value zero or negative).</t>
      </text>
    </comment>
    <comment ref="B113" authorId="0">
      <text>
        <t>Not disclosed by BAC (no acquisitions/divestitures reported in the period); shown as n.d., not zero.</t>
      </text>
    </comment>
    <comment ref="B114" authorId="0">
      <text>
        <t>BAC does not disclose FX impact on revenue; n.d. (not disclosed).</t>
      </text>
    </comment>
    <comment ref="B115" authorId="0">
      <text>
        <t>Organic = (1+Y/Y)/((1+M&amp;A)*(1+FX))-1; not computable because M&amp;A and FX components are not disclosed (n.d.).</t>
      </text>
    </comment>
    <comment ref="B118" authorId="0">
      <text>
        <t>n.m. = not meaningful (prior-period value zero or negative).</t>
      </text>
    </comment>
    <comment ref="B120" authorId="0">
      <text>
        <t>Not disclosed by BAC (no acquisitions/divestitures reported in the period); shown as n.d., not zero.</t>
      </text>
    </comment>
    <comment ref="B121" authorId="0">
      <text>
        <t>BAC does not disclose FX impact on revenue; n.d. (not disclosed).</t>
      </text>
    </comment>
    <comment ref="B122" authorId="0">
      <text>
        <t>Organic = (1+Y/Y)/((1+M&amp;A)*(1+FX))-1; not computable because M&amp;A and FX components are not disclosed (n.d.).</t>
      </text>
    </comment>
    <comment ref="B129" authorId="0">
      <text>
        <t>n.m. = not meaningful (prior-period value zero or negative).</t>
      </text>
    </comment>
    <comment ref="B131" authorId="0">
      <text>
        <t>Not disclosed by BAC (no acquisitions/divestitures reported in the period); shown as n.d., not zero.</t>
      </text>
    </comment>
    <comment ref="B132" authorId="0">
      <text>
        <t>BAC does not disclose FX impact on revenue; n.d. (not disclosed).</t>
      </text>
    </comment>
    <comment ref="B133" authorId="0">
      <text>
        <t>Organic = (1+Y/Y)/((1+M&amp;A)*(1+FX))-1; not computable because M&amp;A and FX components are not disclosed (n.d.).</t>
      </text>
    </comment>
    <comment ref="B136" authorId="0">
      <text>
        <t>n.m. = not meaningful (prior-period value zero or negative).</t>
      </text>
    </comment>
    <comment ref="B138" authorId="0">
      <text>
        <t>Not disclosed by BAC (no acquisitions/divestitures reported in the period); shown as n.d., not zero.</t>
      </text>
    </comment>
    <comment ref="B139" authorId="0">
      <text>
        <t>BAC does not disclose FX impact on revenue; n.d. (not disclosed).</t>
      </text>
    </comment>
    <comment ref="B140" authorId="0">
      <text>
        <t>Organic = (1+Y/Y)/((1+M&amp;A)*(1+FX))-1; not computable because M&amp;A and FX components are not disclosed (n.d.).</t>
      </text>
    </comment>
    <comment ref="B148" authorId="0">
      <text>
        <t>3Q26E: ~40% incremental payout on +$170M revenue Q/Q.</t>
      </text>
    </comment>
  </commentList>
</comments>
</file>

<file path=xl/comments5.xml><?xml version="1.0" encoding="utf-8"?>
<comments xmlns="http://schemas.openxmlformats.org/spreadsheetml/2006/main">
  <authors>
    <author>Shortcut</author>
  </authors>
  <commentList>
    <comment ref="B11" authorId="0">
      <text>
        <t>n.m. = not meaningful (prior-period value zero or negative).</t>
      </text>
    </comment>
    <comment ref="B13" authorId="0">
      <text>
        <t>Not disclosed by BAC (no acquisitions/divestitures reported in the period); shown as n.d., not zero.</t>
      </text>
    </comment>
    <comment ref="B14" authorId="0">
      <text>
        <t>BAC does not disclose FX impact on revenue; n.d. (not disclosed).</t>
      </text>
    </comment>
    <comment ref="B15" authorId="0">
      <text>
        <t>Organic = (1+Y/Y)/((1+M&amp;A)*(1+FX))-1; not computable because M&amp;A and FX components are not disclosed (n.d.).</t>
      </text>
    </comment>
    <comment ref="B17" authorId="0">
      <text>
        <t>n.m. = not meaningful (prior-period value zero or negative).</t>
      </text>
    </comment>
    <comment ref="B19" authorId="0">
      <text>
        <t>Not disclosed by BAC (no acquisitions/divestitures reported in the period); shown as n.d., not zero.</t>
      </text>
    </comment>
    <comment ref="B20" authorId="0">
      <text>
        <t>BAC does not disclose FX impact on revenue; n.d. (not disclosed).</t>
      </text>
    </comment>
    <comment ref="B21" authorId="0">
      <text>
        <t>Organic = (1+Y/Y)/((1+M&amp;A)*(1+FX))-1; not computable because M&amp;A and FX components are not disclosed (n.d.).</t>
      </text>
    </comment>
    <comment ref="B23" authorId="0">
      <text>
        <t>n.m. = not meaningful (prior-period value zero or negative).</t>
      </text>
    </comment>
    <comment ref="B25" authorId="0">
      <text>
        <t>Not disclosed by BAC (no acquisitions/divestitures reported in the period); shown as n.d., not zero.</t>
      </text>
    </comment>
    <comment ref="B26" authorId="0">
      <text>
        <t>BAC does not disclose FX impact on revenue; n.d. (not disclosed).</t>
      </text>
    </comment>
    <comment ref="B27" authorId="0">
      <text>
        <t>Organic = (1+Y/Y)/((1+M&amp;A)*(1+FX))-1; not computable because M&amp;A and FX components are not disclosed (n.d.).</t>
      </text>
    </comment>
    <comment ref="B29" authorId="0">
      <text>
        <t>n.m. = not meaningful (prior-period value zero or negative).</t>
      </text>
    </comment>
    <comment ref="B31" authorId="0">
      <text>
        <t>Not disclosed by BAC (no acquisitions/divestitures reported in the period); shown as n.d., not zero.</t>
      </text>
    </comment>
    <comment ref="B32" authorId="0">
      <text>
        <t>BAC does not disclose FX impact on revenue; n.d. (not disclosed).</t>
      </text>
    </comment>
    <comment ref="B33" authorId="0">
      <text>
        <t>Organic = (1+Y/Y)/((1+M&amp;A)*(1+FX))-1; not computable because M&amp;A and FX components are not disclosed (n.d.).</t>
      </text>
    </comment>
    <comment ref="B35" authorId="0">
      <text>
        <t>n.m. = not meaningful (prior-period value zero or negative).</t>
      </text>
    </comment>
    <comment ref="B37" authorId="0">
      <text>
        <t>Not disclosed by BAC (no acquisitions/divestitures reported in the period); shown as n.d., not zero.</t>
      </text>
    </comment>
    <comment ref="B38" authorId="0">
      <text>
        <t>BAC does not disclose FX impact on revenue; n.d. (not disclosed).</t>
      </text>
    </comment>
    <comment ref="B39" authorId="0">
      <text>
        <t>Organic = (1+Y/Y)/((1+M&amp;A)*(1+FX))-1; not computable because M&amp;A and FX components are not disclosed (n.d.).</t>
      </text>
    </comment>
    <comment ref="B40" authorId="0">
      <text>
        <t>3Q26E $1.80bn = top of CEO guide $1.6-1.8bn (14-Sep-26) [S9][S10]; BAC beat its mid-quarter IB guide in 3Q25 (+43% vs +10-15%) and 2Q26 ($2.14bn vs $1.8bn+), in line 4Q25.</t>
      </text>
    </comment>
    <comment ref="B41" authorId="0">
      <text>
        <t>n.m. = not meaningful (prior-period value zero or negative).</t>
      </text>
    </comment>
    <comment ref="B43" authorId="0">
      <text>
        <t>Not disclosed by BAC (no acquisitions/divestitures reported in the period); shown as n.d., not zero.</t>
      </text>
    </comment>
    <comment ref="B44" authorId="0">
      <text>
        <t>BAC does not disclose FX impact on revenue; n.d. (not disclosed).</t>
      </text>
    </comment>
    <comment ref="B45" authorId="0">
      <text>
        <t>Organic = (1+Y/Y)/((1+M&amp;A)*(1+FX))-1; not computable because M&amp;A and FX components are not disclosed (n.d.).</t>
      </text>
    </comment>
    <comment ref="B53" authorId="0">
      <text>
        <t>n.m. = not meaningful (prior-period value zero or negative).</t>
      </text>
    </comment>
    <comment ref="B55" authorId="0">
      <text>
        <t>Not disclosed by BAC (no acquisitions/divestitures reported in the period); shown as n.d., not zero.</t>
      </text>
    </comment>
    <comment ref="B56" authorId="0">
      <text>
        <t>BAC does not disclose FX impact on revenue; n.d. (not disclosed).</t>
      </text>
    </comment>
    <comment ref="B57" authorId="0">
      <text>
        <t>Organic = (1+Y/Y)/((1+M&amp;A)*(1+FX))-1; not computable because M&amp;A and FX components are not disclosed (n.d.).</t>
      </text>
    </comment>
    <comment ref="B62" authorId="0">
      <text>
        <t>n.m. = not meaningful (prior-period value zero or negative).</t>
      </text>
    </comment>
    <comment ref="B64" authorId="0">
      <text>
        <t>Not disclosed by BAC (no acquisitions/divestitures reported in the period); shown as n.d., not zero.</t>
      </text>
    </comment>
    <comment ref="B65" authorId="0">
      <text>
        <t>BAC does not disclose FX impact on revenue; n.d. (not disclosed).</t>
      </text>
    </comment>
    <comment ref="B66" authorId="0">
      <text>
        <t>Organic = (1+Y/Y)/((1+M&amp;A)*(1+FX))-1; not computable because M&amp;A and FX components are not disclosed (n.d.).</t>
      </text>
    </comment>
    <comment ref="B71" authorId="0">
      <text>
        <t>n.m. = not meaningful (prior-period value zero or negative).</t>
      </text>
    </comment>
    <comment ref="B73" authorId="0">
      <text>
        <t>Not disclosed by BAC (no acquisitions/divestitures reported in the period); shown as n.d., not zero.</t>
      </text>
    </comment>
    <comment ref="B74" authorId="0">
      <text>
        <t>BAC does not disclose FX impact on revenue; n.d. (not disclosed).</t>
      </text>
    </comment>
    <comment ref="B75" authorId="0">
      <text>
        <t>Organic = (1+Y/Y)/((1+M&amp;A)*(1+FX))-1; not computable because M&amp;A and FX components are not disclosed (n.d.).</t>
      </text>
    </comment>
    <comment ref="B77" authorId="0">
      <text>
        <t>n.m. = not meaningful (prior-period value zero or negative).</t>
      </text>
    </comment>
    <comment ref="B79" authorId="0">
      <text>
        <t>Not disclosed by BAC (no acquisitions/divestitures reported in the period); shown as n.d., not zero.</t>
      </text>
    </comment>
    <comment ref="B80" authorId="0">
      <text>
        <t>BAC does not disclose FX impact on revenue; n.d. (not disclosed).</t>
      </text>
    </comment>
    <comment ref="B81" authorId="0">
      <text>
        <t>Organic = (1+Y/Y)/((1+M&amp;A)*(1+FX))-1; not computable because M&amp;A and FX components are not disclosed (n.d.).</t>
      </text>
    </comment>
    <comment ref="B85" authorId="0">
      <text>
        <t>3Q26E +$18bn (+4.4% Q/Q EOP): CEO guided high-single-digit commercial loan growth for 3Q26 [S9].</t>
      </text>
    </comment>
    <comment ref="B92" authorId="0">
      <text>
        <t>3Q26E = average of last four quarters.</t>
      </text>
    </comment>
    <comment ref="B93" authorId="0">
      <text>
        <t>History = sum of product averages; 3Q26E = ladder midpoint + timing gap.</t>
      </text>
    </comment>
    <comment ref="B97" authorId="0">
      <text>
        <t>3Q26E: split of ladder average on 2Q26 mix.</t>
      </text>
    </comment>
    <comment ref="B115" authorId="0">
      <text>
        <t>3Q26E: modest outflow after the late-June build (EOP 662.9bn vs 651.9bn average); CEO: deposits stabilising [S9].</t>
      </text>
    </comment>
    <comment ref="B143" authorId="0">
      <text>
        <t>n.m. = not meaningful (prior-period value zero or negative).</t>
      </text>
    </comment>
    <comment ref="B145" authorId="0">
      <text>
        <t>Not disclosed by BAC (no acquisitions/divestitures reported in the period); shown as n.d., not zero.</t>
      </text>
    </comment>
    <comment ref="B146" authorId="0">
      <text>
        <t>BAC does not disclose FX impact on revenue; n.d. (not disclosed).</t>
      </text>
    </comment>
    <comment ref="B147" authorId="0">
      <text>
        <t>Organic = (1+Y/Y)/((1+M&amp;A)*(1+FX))-1; not computable because M&amp;A and FX components are not disclosed (n.d.).</t>
      </text>
    </comment>
    <comment ref="B153" authorId="0">
      <text>
        <t>n.m. = not meaningful (prior-period value zero or negative).</t>
      </text>
    </comment>
    <comment ref="B155" authorId="0">
      <text>
        <t>Not disclosed by BAC (no acquisitions/divestitures reported in the period); shown as n.d., not zero.</t>
      </text>
    </comment>
    <comment ref="B156" authorId="0">
      <text>
        <t>BAC does not disclose FX impact on revenue; n.d. (not disclosed).</t>
      </text>
    </comment>
    <comment ref="B157" authorId="0">
      <text>
        <t>Organic = (1+Y/Y)/((1+M&amp;A)*(1+FX))-1; not computable because M&amp;A and FX components are not disclosed (n.d.).</t>
      </text>
    </comment>
    <comment ref="B160" authorId="0">
      <text>
        <t>n.m. = not meaningful (prior-period value zero or negative).</t>
      </text>
    </comment>
    <comment ref="B162" authorId="0">
      <text>
        <t>Not disclosed by BAC (no acquisitions/divestitures reported in the period); shown as n.d., not zero.</t>
      </text>
    </comment>
    <comment ref="B163" authorId="0">
      <text>
        <t>BAC does not disclose FX impact on revenue; n.d. (not disclosed).</t>
      </text>
    </comment>
    <comment ref="B164" authorId="0">
      <text>
        <t>Organic = (1+Y/Y)/((1+M&amp;A)*(1+FX))-1; not computable because M&amp;A and FX components are not disclosed (n.d.).</t>
      </text>
    </comment>
    <comment ref="B166" authorId="0">
      <text>
        <t>Lending-related and other fees; 0.92-1.17% of average loans over the last four quarters.</t>
      </text>
    </comment>
    <comment ref="B170" authorId="0">
      <text>
        <t>n.m. = not meaningful (prior-period value zero or negative).</t>
      </text>
    </comment>
    <comment ref="B172" authorId="0">
      <text>
        <t>Not disclosed by BAC (no acquisitions/divestitures reported in the period); shown as n.d., not zero.</t>
      </text>
    </comment>
    <comment ref="B173" authorId="0">
      <text>
        <t>BAC does not disclose FX impact on revenue; n.d. (not disclosed).</t>
      </text>
    </comment>
    <comment ref="B174" authorId="0">
      <text>
        <t>Organic = (1+Y/Y)/((1+M&amp;A)*(1+FX))-1; not computable because M&amp;A and FX components are not disclosed (n.d.).</t>
      </text>
    </comment>
    <comment ref="B177" authorId="0">
      <text>
        <t>n.m. = not meaningful (prior-period value zero or negative).</t>
      </text>
    </comment>
    <comment ref="B179" authorId="0">
      <text>
        <t>Not disclosed by BAC (no acquisitions/divestitures reported in the period); shown as n.d., not zero.</t>
      </text>
    </comment>
    <comment ref="B180" authorId="0">
      <text>
        <t>BAC does not disclose FX impact on revenue; n.d. (not disclosed).</t>
      </text>
    </comment>
    <comment ref="B181" authorId="0">
      <text>
        <t>Organic = (1+Y/Y)/((1+M&amp;A)*(1+FX))-1; not computable because M&amp;A and FX components are not disclosed (n.d.).</t>
      </text>
    </comment>
    <comment ref="B185" authorId="0">
      <text>
        <t>Residual between reported segment revenue and the three product lines (59-101 over last 4 quarters).</t>
      </text>
    </comment>
    <comment ref="B186" authorId="0">
      <text>
        <t>n.m. = not meaningful (prior-period value zero or negative).</t>
      </text>
    </comment>
    <comment ref="B188" authorId="0">
      <text>
        <t>Not disclosed by BAC (no acquisitions/divestitures reported in the period); shown as n.d., not zero.</t>
      </text>
    </comment>
    <comment ref="B189" authorId="0">
      <text>
        <t>BAC does not disclose FX impact on revenue; n.d. (not disclosed).</t>
      </text>
    </comment>
    <comment ref="B190" authorId="0">
      <text>
        <t>Organic = (1+Y/Y)/((1+M&amp;A)*(1+FX))-1; not computable because M&amp;A and FX components are not disclosed (n.d.).</t>
      </text>
    </comment>
    <comment ref="B192" authorId="0">
      <text>
        <t>3Q26E: line-based revenue less IB and other, split between Business Lending and GTS on 2Q26 mix.</t>
      </text>
    </comment>
    <comment ref="B193" authorId="0">
      <text>
        <t>n.m. = not meaningful (prior-period value zero or negative).</t>
      </text>
    </comment>
    <comment ref="B195" authorId="0">
      <text>
        <t>Not disclosed by BAC (no acquisitions/divestitures reported in the period); shown as n.d., not zero.</t>
      </text>
    </comment>
    <comment ref="B196" authorId="0">
      <text>
        <t>BAC does not disclose FX impact on revenue; n.d. (not disclosed).</t>
      </text>
    </comment>
    <comment ref="B197" authorId="0">
      <text>
        <t>Organic = (1+Y/Y)/((1+M&amp;A)*(1+FX))-1; not computable because M&amp;A and FX components are not disclosed (n.d.).</t>
      </text>
    </comment>
    <comment ref="B200" authorId="0">
      <text>
        <t>n.m. = not meaningful (prior-period value zero or negative).</t>
      </text>
    </comment>
    <comment ref="B202" authorId="0">
      <text>
        <t>Not disclosed by BAC (no acquisitions/divestitures reported in the period); shown as n.d., not zero.</t>
      </text>
    </comment>
    <comment ref="B203" authorId="0">
      <text>
        <t>BAC does not disclose FX impact on revenue; n.d. (not disclosed).</t>
      </text>
    </comment>
    <comment ref="B204" authorId="0">
      <text>
        <t>Organic = (1+Y/Y)/((1+M&amp;A)*(1+FX))-1; not computable because M&amp;A and FX components are not disclosed (n.d.).</t>
      </text>
    </comment>
    <comment ref="B207" authorId="0">
      <text>
        <t>n.m. = not meaningful (prior-period value zero or negative).</t>
      </text>
    </comment>
    <comment ref="B209" authorId="0">
      <text>
        <t>Not disclosed by BAC (no acquisitions/divestitures reported in the period); shown as n.d., not zero.</t>
      </text>
    </comment>
    <comment ref="B210" authorId="0">
      <text>
        <t>BAC does not disclose FX impact on revenue; n.d. (not disclosed).</t>
      </text>
    </comment>
    <comment ref="B211" authorId="0">
      <text>
        <t>Organic = (1+Y/Y)/((1+M&amp;A)*(1+FX))-1; not computable because M&amp;A and FX components are not disclosed (n.d.).</t>
      </text>
    </comment>
    <comment ref="B214" authorId="0">
      <text>
        <t>n.m. = not meaningful (prior-period value zero or negative).</t>
      </text>
    </comment>
    <comment ref="B216" authorId="0">
      <text>
        <t>Not disclosed by BAC (no acquisitions/divestitures reported in the period); shown as n.d., not zero.</t>
      </text>
    </comment>
    <comment ref="B217" authorId="0">
      <text>
        <t>BAC does not disclose FX impact on revenue; n.d. (not disclosed).</t>
      </text>
    </comment>
    <comment ref="B218" authorId="0">
      <text>
        <t>Organic = (1+Y/Y)/((1+M&amp;A)*(1+FX))-1; not computable because M&amp;A and FX components are not disclosed (n.d.).</t>
      </text>
    </comment>
    <comment ref="B221" authorId="0">
      <text>
        <t>n.m. = not meaningful (prior-period value zero or negative).</t>
      </text>
    </comment>
    <comment ref="B223" authorId="0">
      <text>
        <t>Not disclosed by BAC (no acquisitions/divestitures reported in the period); shown as n.d., not zero.</t>
      </text>
    </comment>
    <comment ref="B224" authorId="0">
      <text>
        <t>BAC does not disclose FX impact on revenue; n.d. (not disclosed).</t>
      </text>
    </comment>
    <comment ref="B225" authorId="0">
      <text>
        <t>Organic = (1+Y/Y)/((1+M&amp;A)*(1+FX))-1; not computable because M&amp;A and FX components are not disclosed (n.d.).</t>
      </text>
    </comment>
    <comment ref="B228" authorId="0">
      <text>
        <t>n.m. = not meaningful (prior-period value zero or negative).</t>
      </text>
    </comment>
    <comment ref="B230" authorId="0">
      <text>
        <t>Not disclosed by BAC (no acquisitions/divestitures reported in the period); shown as n.d., not zero.</t>
      </text>
    </comment>
    <comment ref="B231" authorId="0">
      <text>
        <t>BAC does not disclose FX impact on revenue; n.d. (not disclosed).</t>
      </text>
    </comment>
    <comment ref="B232" authorId="0">
      <text>
        <t>Organic = (1+Y/Y)/((1+M&amp;A)*(1+FX))-1; not computable because M&amp;A and FX components are not disclosed (n.d.).</t>
      </text>
    </comment>
    <comment ref="B235" authorId="0">
      <text>
        <t>n.m. = not meaningful (prior-period value zero or negative).</t>
      </text>
    </comment>
    <comment ref="B237" authorId="0">
      <text>
        <t>Not disclosed by BAC (no acquisitions/divestitures reported in the period); shown as n.d., not zero.</t>
      </text>
    </comment>
    <comment ref="B238" authorId="0">
      <text>
        <t>BAC does not disclose FX impact on revenue; n.d. (not disclosed).</t>
      </text>
    </comment>
    <comment ref="B239" authorId="0">
      <text>
        <t>Organic = (1+Y/Y)/((1+M&amp;A)*(1+FX))-1; not computable because M&amp;A and FX components are not disclosed (n.d.).</t>
      </text>
    </comment>
    <comment ref="B242" authorId="0">
      <text>
        <t>n.m. = not meaningful (prior-period value zero or negative).</t>
      </text>
    </comment>
    <comment ref="B244" authorId="0">
      <text>
        <t>Not disclosed by BAC (no acquisitions/divestitures reported in the period); shown as n.d., not zero.</t>
      </text>
    </comment>
    <comment ref="B245" authorId="0">
      <text>
        <t>BAC does not disclose FX impact on revenue; n.d. (not disclosed).</t>
      </text>
    </comment>
    <comment ref="B246" authorId="0">
      <text>
        <t>Organic = (1+Y/Y)/((1+M&amp;A)*(1+FX))-1; not computable because M&amp;A and FX components are not disclosed (n.d.).</t>
      </text>
    </comment>
    <comment ref="B249" authorId="0">
      <text>
        <t>n.m. = not meaningful (prior-period value zero or negative).</t>
      </text>
    </comment>
    <comment ref="B251" authorId="0">
      <text>
        <t>Not disclosed by BAC (no acquisitions/divestitures reported in the period); shown as n.d., not zero.</t>
      </text>
    </comment>
    <comment ref="B252" authorId="0">
      <text>
        <t>BAC does not disclose FX impact on revenue; n.d. (not disclosed).</t>
      </text>
    </comment>
    <comment ref="B253" authorId="0">
      <text>
        <t>Organic = (1+Y/Y)/((1+M&amp;A)*(1+FX))-1; not computable because M&amp;A and FX components are not disclosed (n.d.).</t>
      </text>
    </comment>
    <comment ref="B258" authorId="0">
      <text>
        <t>3Q26E: growth-related reserve build on higher commercial loans.</t>
      </text>
    </comment>
  </commentList>
</comments>
</file>

<file path=xl/comments6.xml><?xml version="1.0" encoding="utf-8"?>
<comments xmlns="http://schemas.openxmlformats.org/spreadsheetml/2006/main">
  <authors>
    <author>Shortcut</author>
  </authors>
  <commentList>
    <comment ref="B11" authorId="0">
      <text>
        <t>n.m. = not meaningful (prior-period value zero or negative).</t>
      </text>
    </comment>
    <comment ref="B13" authorId="0">
      <text>
        <t>Not disclosed by BAC (no acquisitions/divestitures reported in the period); shown as n.d., not zero.</t>
      </text>
    </comment>
    <comment ref="B14" authorId="0">
      <text>
        <t>BAC does not disclose FX impact on revenue; n.d. (not disclosed).</t>
      </text>
    </comment>
    <comment ref="B15" authorId="0">
      <text>
        <t>Organic = (1+Y/Y)/((1+M&amp;A)*(1+FX))-1; not computable because M&amp;A and FX components are not disclosed (n.d.).</t>
      </text>
    </comment>
    <comment ref="B17" authorId="0">
      <text>
        <t>n.m. = not meaningful (prior-period value zero or negative).</t>
      </text>
    </comment>
    <comment ref="B19" authorId="0">
      <text>
        <t>Not disclosed by BAC (no acquisitions/divestitures reported in the period); shown as n.d., not zero.</t>
      </text>
    </comment>
    <comment ref="B20" authorId="0">
      <text>
        <t>BAC does not disclose FX impact on revenue; n.d. (not disclosed).</t>
      </text>
    </comment>
    <comment ref="B21" authorId="0">
      <text>
        <t>Organic = (1+Y/Y)/((1+M&amp;A)*(1+FX))-1; not computable because M&amp;A and FX components are not disclosed (n.d.).</t>
      </text>
    </comment>
    <comment ref="B22" authorId="0">
      <text>
        <t>3Q26E $5.55bn (+3.8% Y/Y) vs CEO guide "roughly flat" vs 3Q25 $5.35bn [S9][S10]; small tilt for BAC record of beating mid-quarter markets guides (2Q26 +33% vs &gt;15% guided).</t>
      </text>
    </comment>
    <comment ref="B23" authorId="0">
      <text>
        <t>n.m. = not meaningful (prior-period value zero or negative).</t>
      </text>
    </comment>
    <comment ref="B25" authorId="0">
      <text>
        <t>Not disclosed by BAC (no acquisitions/divestitures reported in the period); shown as n.d., not zero.</t>
      </text>
    </comment>
    <comment ref="B26" authorId="0">
      <text>
        <t>BAC does not disclose FX impact on revenue; n.d. (not disclosed).</t>
      </text>
    </comment>
    <comment ref="B27" authorId="0">
      <text>
        <t>Organic = (1+Y/Y)/((1+M&amp;A)*(1+FX))-1; not computable because M&amp;A and FX components are not disclosed (n.d.).</t>
      </text>
    </comment>
    <comment ref="B31" authorId="0">
      <text>
        <t>3Q26E: zero DVA assumed (not forecastable; consensus basis includes DVA).</t>
      </text>
    </comment>
    <comment ref="B32" authorId="0">
      <text>
        <t>n.m. = not meaningful (prior-period value zero or negative).</t>
      </text>
    </comment>
    <comment ref="B34" authorId="0">
      <text>
        <t>Not disclosed by BAC (no acquisitions/divestitures reported in the period); shown as n.d., not zero.</t>
      </text>
    </comment>
    <comment ref="B35" authorId="0">
      <text>
        <t>BAC does not disclose FX impact on revenue; n.d. (not disclosed).</t>
      </text>
    </comment>
    <comment ref="B36" authorId="0">
      <text>
        <t>Organic = (1+Y/Y)/((1+M&amp;A)*(1+FX))-1; not computable because M&amp;A and FX components are not disclosed (n.d.).</t>
      </text>
    </comment>
    <comment ref="B38" authorId="0">
      <text>
        <t>n.m. = not meaningful (prior-period value zero or negative).</t>
      </text>
    </comment>
    <comment ref="B40" authorId="0">
      <text>
        <t>Not disclosed by BAC (no acquisitions/divestitures reported in the period); shown as n.d., not zero.</t>
      </text>
    </comment>
    <comment ref="B41" authorId="0">
      <text>
        <t>BAC does not disclose FX impact on revenue; n.d. (not disclosed).</t>
      </text>
    </comment>
    <comment ref="B42" authorId="0">
      <text>
        <t>Organic = (1+Y/Y)/((1+M&amp;A)*(1+FX))-1; not computable because M&amp;A and FX components are not disclosed (n.d.).</t>
      </text>
    </comment>
    <comment ref="B44" authorId="0">
      <text>
        <t>n.m. = not meaningful (prior-period value zero or negative).</t>
      </text>
    </comment>
    <comment ref="B46" authorId="0">
      <text>
        <t>Not disclosed by BAC (no acquisitions/divestitures reported in the period); shown as n.d., not zero.</t>
      </text>
    </comment>
    <comment ref="B47" authorId="0">
      <text>
        <t>BAC does not disclose FX impact on revenue; n.d. (not disclosed).</t>
      </text>
    </comment>
    <comment ref="B48" authorId="0">
      <text>
        <t>Organic = (1+Y/Y)/((1+M&amp;A)*(1+FX))-1; not computable because M&amp;A and FX components are not disclosed (n.d.).</t>
      </text>
    </comment>
    <comment ref="B50" authorId="0">
      <text>
        <t>n.m. = not meaningful (prior-period value zero or negative).</t>
      </text>
    </comment>
    <comment ref="B52" authorId="0">
      <text>
        <t>Not disclosed by BAC (no acquisitions/divestitures reported in the period); shown as n.d., not zero.</t>
      </text>
    </comment>
    <comment ref="B53" authorId="0">
      <text>
        <t>BAC does not disclose FX impact on revenue; n.d. (not disclosed).</t>
      </text>
    </comment>
    <comment ref="B54" authorId="0">
      <text>
        <t>Organic = (1+Y/Y)/((1+M&amp;A)*(1+FX))-1; not computable because M&amp;A and FX components are not disclosed (n.d.).</t>
      </text>
    </comment>
    <comment ref="B56" authorId="0">
      <text>
        <t>n.m. = not meaningful (prior-period value zero or negative).</t>
      </text>
    </comment>
    <comment ref="B58" authorId="0">
      <text>
        <t>Not disclosed by BAC (no acquisitions/divestitures reported in the period); shown as n.d., not zero.</t>
      </text>
    </comment>
    <comment ref="B59" authorId="0">
      <text>
        <t>BAC does not disclose FX impact on revenue; n.d. (not disclosed).</t>
      </text>
    </comment>
    <comment ref="B60" authorId="0">
      <text>
        <t>Organic = (1+Y/Y)/((1+M&amp;A)*(1+FX))-1; not computable because M&amp;A and FX components are not disclosed (n.d.).</t>
      </text>
    </comment>
    <comment ref="B62" authorId="0">
      <text>
        <t>CFO: markets NII "flattish, could be slightly down with a rate hike" [S8].</t>
      </text>
    </comment>
    <comment ref="B63" authorId="0">
      <text>
        <t>n.m. = not meaningful (prior-period value zero or negative).</t>
      </text>
    </comment>
    <comment ref="B65" authorId="0">
      <text>
        <t>Not disclosed by BAC (no acquisitions/divestitures reported in the period); shown as n.d., not zero.</t>
      </text>
    </comment>
    <comment ref="B66" authorId="0">
      <text>
        <t>BAC does not disclose FX impact on revenue; n.d. (not disclosed).</t>
      </text>
    </comment>
    <comment ref="B67" authorId="0">
      <text>
        <t>Organic = (1+Y/Y)/((1+M&amp;A)*(1+FX))-1; not computable because M&amp;A and FX components are not disclosed (n.d.).</t>
      </text>
    </comment>
    <comment ref="B70" authorId="0">
      <text>
        <t>n.m. = not meaningful (prior-period value zero or negative).</t>
      </text>
    </comment>
    <comment ref="B72" authorId="0">
      <text>
        <t>Not disclosed by BAC (no acquisitions/divestitures reported in the period); shown as n.d., not zero.</t>
      </text>
    </comment>
    <comment ref="B73" authorId="0">
      <text>
        <t>BAC does not disclose FX impact on revenue; n.d. (not disclosed).</t>
      </text>
    </comment>
    <comment ref="B74" authorId="0">
      <text>
        <t>Organic = (1+Y/Y)/((1+M&amp;A)*(1+FX))-1; not computable because M&amp;A and FX components are not disclosed (n.d.).</t>
      </text>
    </comment>
    <comment ref="B77" authorId="0">
      <text>
        <t>n.m. = not meaningful (prior-period value zero or negative).</t>
      </text>
    </comment>
    <comment ref="B79" authorId="0">
      <text>
        <t>Not disclosed by BAC (no acquisitions/divestitures reported in the period); shown as n.d., not zero.</t>
      </text>
    </comment>
    <comment ref="B80" authorId="0">
      <text>
        <t>BAC does not disclose FX impact on revenue; n.d. (not disclosed).</t>
      </text>
    </comment>
    <comment ref="B81" authorId="0">
      <text>
        <t>Organic = (1+Y/Y)/((1+M&amp;A)*(1+FX))-1; not computable because M&amp;A and FX components are not disclosed (n.d.).</t>
      </text>
    </comment>
    <comment ref="B84" authorId="0">
      <text>
        <t>n.m. = not meaningful (prior-period value zero or negative).</t>
      </text>
    </comment>
    <comment ref="B86" authorId="0">
      <text>
        <t>Not disclosed by BAC (no acquisitions/divestitures reported in the period); shown as n.d., not zero.</t>
      </text>
    </comment>
    <comment ref="B87" authorId="0">
      <text>
        <t>BAC does not disclose FX impact on revenue; n.d. (not disclosed).</t>
      </text>
    </comment>
    <comment ref="B88" authorId="0">
      <text>
        <t>Organic = (1+Y/Y)/((1+M&amp;A)*(1+FX))-1; not computable because M&amp;A and FX components are not disclosed (n.d.).</t>
      </text>
    </comment>
    <comment ref="B93" authorId="0">
      <text>
        <t>3Q26E 0.85% vs 0.87% in 2Q26: CFO expects markets NII "flattish, could be slightly down with a rate hike" [S8].</t>
      </text>
    </comment>
    <comment ref="B97" authorId="0">
      <text>
        <t>n.m. = not meaningful (prior-period value zero or negative).</t>
      </text>
    </comment>
    <comment ref="B99" authorId="0">
      <text>
        <t>Not disclosed by BAC (no acquisitions/divestitures reported in the period); shown as n.d., not zero.</t>
      </text>
    </comment>
    <comment ref="B100" authorId="0">
      <text>
        <t>BAC does not disclose FX impact on revenue; n.d. (not disclosed).</t>
      </text>
    </comment>
    <comment ref="B101" authorId="0">
      <text>
        <t>Organic = (1+Y/Y)/((1+M&amp;A)*(1+FX))-1; not computable because M&amp;A and FX components are not disclosed (n.d.).</t>
      </text>
    </comment>
    <comment ref="B104" authorId="0">
      <text>
        <t>n.m. = not meaningful (prior-period value zero or negative).</t>
      </text>
    </comment>
    <comment ref="B106" authorId="0">
      <text>
        <t>Not disclosed by BAC (no acquisitions/divestitures reported in the period); shown as n.d., not zero.</t>
      </text>
    </comment>
    <comment ref="B107" authorId="0">
      <text>
        <t>BAC does not disclose FX impact on revenue; n.d. (not disclosed).</t>
      </text>
    </comment>
    <comment ref="B108" authorId="0">
      <text>
        <t>Organic = (1+Y/Y)/((1+M&amp;A)*(1+FX))-1; not computable because M&amp;A and FX components are not disclosed (n.d.).</t>
      </text>
    </comment>
    <comment ref="B110" authorId="0">
      <text>
        <t>Total Corporation IB (incl. self-led) less Global Banking and Global Markets IB = GWIM share (88 in 2Q26).</t>
      </text>
    </comment>
    <comment ref="B114" authorId="0">
      <text>
        <t>n.m. = not meaningful (prior-period value zero or negative).</t>
      </text>
    </comment>
    <comment ref="B116" authorId="0">
      <text>
        <t>Not disclosed by BAC (no acquisitions/divestitures reported in the period); shown as n.d., not zero.</t>
      </text>
    </comment>
    <comment ref="B117" authorId="0">
      <text>
        <t>BAC does not disclose FX impact on revenue; n.d. (not disclosed).</t>
      </text>
    </comment>
    <comment ref="B118" authorId="0">
      <text>
        <t>Organic = (1+Y/Y)/((1+M&amp;A)*(1+FX))-1; not computable because M&amp;A and FX components are not disclosed (n.d.).</t>
      </text>
    </comment>
    <comment ref="B124" authorId="0">
      <text>
        <t>n.m. = not meaningful (prior-period value zero or negative).</t>
      </text>
    </comment>
    <comment ref="B126" authorId="0">
      <text>
        <t>Not disclosed by BAC (no acquisitions/divestitures reported in the period); shown as n.d., not zero.</t>
      </text>
    </comment>
    <comment ref="B127" authorId="0">
      <text>
        <t>BAC does not disclose FX impact on revenue; n.d. (not disclosed).</t>
      </text>
    </comment>
    <comment ref="B128" authorId="0">
      <text>
        <t>Organic = (1+Y/Y)/((1+M&amp;A)*(1+FX))-1; not computable because M&amp;A and FX components are not disclosed (n.d.).</t>
      </text>
    </comment>
    <comment ref="B131" authorId="0">
      <text>
        <t>n.m. = not meaningful (prior-period value zero or negative).</t>
      </text>
    </comment>
    <comment ref="B133" authorId="0">
      <text>
        <t>Not disclosed by BAC (no acquisitions/divestitures reported in the period); shown as n.d., not zero.</t>
      </text>
    </comment>
    <comment ref="B134" authorId="0">
      <text>
        <t>BAC does not disclose FX impact on revenue; n.d. (not disclosed).</t>
      </text>
    </comment>
    <comment ref="B135" authorId="0">
      <text>
        <t>Organic = (1+Y/Y)/((1+M&amp;A)*(1+FX))-1; not computable because M&amp;A and FX components are not disclosed (n.d.).</t>
      </text>
    </comment>
    <comment ref="B138" authorId="0">
      <text>
        <t>n.m. = not meaningful (prior-period value zero or negative).</t>
      </text>
    </comment>
    <comment ref="B140" authorId="0">
      <text>
        <t>Not disclosed by BAC (no acquisitions/divestitures reported in the period); shown as n.d., not zero.</t>
      </text>
    </comment>
    <comment ref="B141" authorId="0">
      <text>
        <t>BAC does not disclose FX impact on revenue; n.d. (not disclosed).</t>
      </text>
    </comment>
    <comment ref="B142" authorId="0">
      <text>
        <t>Organic = (1+Y/Y)/((1+M&amp;A)*(1+FX))-1; not computable because M&amp;A and FX components are not disclosed (n.d.).</t>
      </text>
    </comment>
    <comment ref="B145" authorId="0">
      <text>
        <t>n.m. = not meaningful (prior-period value zero or negative).</t>
      </text>
    </comment>
    <comment ref="B147" authorId="0">
      <text>
        <t>Not disclosed by BAC (no acquisitions/divestitures reported in the period); shown as n.d., not zero.</t>
      </text>
    </comment>
    <comment ref="B148" authorId="0">
      <text>
        <t>BAC does not disclose FX impact on revenue; n.d. (not disclosed).</t>
      </text>
    </comment>
    <comment ref="B149" authorId="0">
      <text>
        <t>Organic = (1+Y/Y)/((1+M&amp;A)*(1+FX))-1; not computable because M&amp;A and FX components are not disclosed (n.d.).</t>
      </text>
    </comment>
    <comment ref="B154" authorId="0">
      <text>
        <t>3Q26E: modest rebound after the 2Q26 decline.</t>
      </text>
    </comment>
    <comment ref="B166" authorId="0">
      <text>
        <t>3Q26E: flat (range 36.9-40.6bn).</t>
      </text>
    </comment>
    <comment ref="B177" authorId="0">
      <text>
        <t>3Q26E +0.5% Q/Q: markets balance sheet "at a good run rate" (CFO) [S8].</t>
      </text>
    </comment>
    <comment ref="B184" authorId="0">
      <text>
        <t>3Q26E: cost base ~2.7bn fixed + ~22% of revenue (fit of 4Q25-2Q26).</t>
      </text>
    </comment>
  </commentList>
</comments>
</file>

<file path=xl/comments7.xml><?xml version="1.0" encoding="utf-8"?>
<comments xmlns="http://schemas.openxmlformats.org/spreadsheetml/2006/main">
  <authors>
    <author>Shortcut</author>
  </authors>
  <commentList>
    <comment ref="B10" authorId="0">
      <text>
        <t>3Q26E +0.9% Q/Q: loan growth funded by securities run-off (CFO: balance-sheet optimisation) [S8].</t>
      </text>
    </comment>
    <comment ref="B13" authorId="0">
      <text>
        <t>FY average not in the supplementals used (n.a.). 3Q26E = sum of segment average loans + All Other.</t>
      </text>
    </comment>
    <comment ref="B16" authorId="0">
      <text>
        <t>All Other average loans ~6.8-7.1bn in 2026.</t>
      </text>
    </comment>
    <comment ref="B19" authorId="0">
      <text>
        <t>Interest-bearing + noninterest-bearing average deposits. 3Q26E = sum of segments + All Other.</t>
      </text>
    </comment>
    <comment ref="B22" authorId="0">
      <text>
        <t>All Other average deposits 92-94bn in 2026 (S1 p22).</t>
      </text>
    </comment>
    <comment ref="B27" authorId="0">
      <text>
        <t>3Q26E +1bp: Fed +25bp on 16-Sep-26; 10-yr yield +87bp in 3Q26 helps reinvestment yields.</t>
      </text>
    </comment>
    <comment ref="B33" authorId="0">
      <text>
        <t>3Q26E allocated on 2Q26 mix.</t>
      </text>
    </comment>
    <comment ref="B34" authorId="0">
      <text>
        <t>n.m. = not meaningful (prior-period value zero or negative).</t>
      </text>
    </comment>
    <comment ref="B36" authorId="0">
      <text>
        <t>Not disclosed by BAC (no acquisitions/divestitures reported in the period); shown as n.d., not zero.</t>
      </text>
    </comment>
    <comment ref="B37" authorId="0">
      <text>
        <t>BAC does not disclose FX impact on revenue; n.d. (not disclosed).</t>
      </text>
    </comment>
    <comment ref="B38" authorId="0">
      <text>
        <t>Organic = (1+Y/Y)/((1+M&amp;A)*(1+FX))-1; not computable because M&amp;A and FX components are not disclosed (n.d.).</t>
      </text>
    </comment>
    <comment ref="B41" authorId="0">
      <text>
        <t>n.m. = not meaningful (prior-period value zero or negative).</t>
      </text>
    </comment>
    <comment ref="B43" authorId="0">
      <text>
        <t>Not disclosed by BAC (no acquisitions/divestitures reported in the period); shown as n.d., not zero.</t>
      </text>
    </comment>
    <comment ref="B44" authorId="0">
      <text>
        <t>BAC does not disclose FX impact on revenue; n.d. (not disclosed).</t>
      </text>
    </comment>
    <comment ref="B45" authorId="0">
      <text>
        <t>Organic = (1+Y/Y)/((1+M&amp;A)*(1+FX))-1; not computable because M&amp;A and FX components are not disclosed (n.d.).</t>
      </text>
    </comment>
    <comment ref="B48" authorId="0">
      <text>
        <t>n.m. = not meaningful (prior-period value zero or negative).</t>
      </text>
    </comment>
    <comment ref="B50" authorId="0">
      <text>
        <t>Not disclosed by BAC (no acquisitions/divestitures reported in the period); shown as n.d., not zero.</t>
      </text>
    </comment>
    <comment ref="B51" authorId="0">
      <text>
        <t>BAC does not disclose FX impact on revenue; n.d. (not disclosed).</t>
      </text>
    </comment>
    <comment ref="B52" authorId="0">
      <text>
        <t>Organic = (1+Y/Y)/((1+M&amp;A)*(1+FX))-1; not computable because M&amp;A and FX components are not disclosed (n.d.).</t>
      </text>
    </comment>
    <comment ref="B55" authorId="0">
      <text>
        <t>n.m. = not meaningful (prior-period value zero or negative).</t>
      </text>
    </comment>
    <comment ref="B57" authorId="0">
      <text>
        <t>Not disclosed by BAC (no acquisitions/divestitures reported in the period); shown as n.d., not zero.</t>
      </text>
    </comment>
    <comment ref="B58" authorId="0">
      <text>
        <t>BAC does not disclose FX impact on revenue; n.d. (not disclosed).</t>
      </text>
    </comment>
    <comment ref="B59" authorId="0">
      <text>
        <t>Organic = (1+Y/Y)/((1+M&amp;A)*(1+FX))-1; not computable because M&amp;A and FX components are not disclosed (n.d.).</t>
      </text>
    </comment>
    <comment ref="B62" authorId="0">
      <text>
        <t>n.m. = not meaningful (prior-period value zero or negative).</t>
      </text>
    </comment>
    <comment ref="B64" authorId="0">
      <text>
        <t>Not disclosed by BAC (no acquisitions/divestitures reported in the period); shown as n.d., not zero.</t>
      </text>
    </comment>
    <comment ref="B65" authorId="0">
      <text>
        <t>BAC does not disclose FX impact on revenue; n.d. (not disclosed).</t>
      </text>
    </comment>
    <comment ref="B66" authorId="0">
      <text>
        <t>Organic = (1+Y/Y)/((1+M&amp;A)*(1+FX))-1; not computable because M&amp;A and FX components are not disclosed (n.d.).</t>
      </text>
    </comment>
    <comment ref="B68" authorId="0">
      <text>
        <t>3Q26E = earning assets x FTE yield less FTE adjustment.</t>
      </text>
    </comment>
    <comment ref="B69" authorId="0">
      <text>
        <t>n.m. = not meaningful (prior-period value zero or negative).</t>
      </text>
    </comment>
    <comment ref="B71" authorId="0">
      <text>
        <t>Not disclosed by BAC (no acquisitions/divestitures reported in the period); shown as n.d., not zero.</t>
      </text>
    </comment>
    <comment ref="B72" authorId="0">
      <text>
        <t>BAC does not disclose FX impact on revenue; n.d. (not disclosed).</t>
      </text>
    </comment>
    <comment ref="B73" authorId="0">
      <text>
        <t>Organic = (1+Y/Y)/((1+M&amp;A)*(1+FX))-1; not computable because M&amp;A and FX components are not disclosed (n.d.).</t>
      </text>
    </comment>
    <comment ref="B89" authorId="0">
      <text>
        <t>3Q26E = sum of segment NII (FTE) less FTE adjustment. FTE NII ~$16.5bn implies FY26 +~8% on track for "upper end of 6-8%" guide [S8][S9].</t>
      </text>
    </comment>
    <comment ref="B90" authorId="0">
      <text>
        <t>n.m. = not meaningful (prior-period value zero or negative).</t>
      </text>
    </comment>
    <comment ref="B92" authorId="0">
      <text>
        <t>Not disclosed by BAC (no acquisitions/divestitures reported in the period); shown as n.d., not zero.</t>
      </text>
    </comment>
    <comment ref="B93" authorId="0">
      <text>
        <t>BAC does not disclose FX impact on revenue; n.d. (not disclosed).</t>
      </text>
    </comment>
    <comment ref="B94" authorId="0">
      <text>
        <t>Organic = (1+Y/Y)/((1+M&amp;A)*(1+FX))-1; not computable because M&amp;A and FX components are not disclosed (n.d.).</t>
      </text>
    </comment>
    <comment ref="B100" authorId="0">
      <text>
        <t>n.m. = not meaningful (prior-period value zero or negative).</t>
      </text>
    </comment>
    <comment ref="B102" authorId="0">
      <text>
        <t>Not disclosed by BAC (no acquisitions/divestitures reported in the period); shown as n.d., not zero.</t>
      </text>
    </comment>
    <comment ref="B103" authorId="0">
      <text>
        <t>BAC does not disclose FX impact on revenue; n.d. (not disclosed).</t>
      </text>
    </comment>
    <comment ref="B104" authorId="0">
      <text>
        <t>Organic = (1+Y/Y)/((1+M&amp;A)*(1+FX))-1; not computable because M&amp;A and FX components are not disclosed (n.d.).</t>
      </text>
    </comment>
    <comment ref="B107" authorId="0">
      <text>
        <t>n.m. = not meaningful (prior-period value zero or negative).</t>
      </text>
    </comment>
    <comment ref="B109" authorId="0">
      <text>
        <t>Not disclosed by BAC (no acquisitions/divestitures reported in the period); shown as n.d., not zero.</t>
      </text>
    </comment>
    <comment ref="B110" authorId="0">
      <text>
        <t>BAC does not disclose FX impact on revenue; n.d. (not disclosed).</t>
      </text>
    </comment>
    <comment ref="B111" authorId="0">
      <text>
        <t>Organic = (1+Y/Y)/((1+M&amp;A)*(1+FX))-1; not computable because M&amp;A and FX components are not disclosed (n.d.).</t>
      </text>
    </comment>
    <comment ref="B114" authorId="0">
      <text>
        <t>n.m. = not meaningful (prior-period value zero or negative).</t>
      </text>
    </comment>
    <comment ref="B116" authorId="0">
      <text>
        <t>Not disclosed by BAC (no acquisitions/divestitures reported in the period); shown as n.d., not zero.</t>
      </text>
    </comment>
    <comment ref="B117" authorId="0">
      <text>
        <t>BAC does not disclose FX impact on revenue; n.d. (not disclosed).</t>
      </text>
    </comment>
    <comment ref="B118" authorId="0">
      <text>
        <t>Organic = (1+Y/Y)/((1+M&amp;A)*(1+FX))-1; not computable because M&amp;A and FX components are not disclosed (n.d.).</t>
      </text>
    </comment>
    <comment ref="B121" authorId="0">
      <text>
        <t>n.m. = not meaningful (prior-period value zero or negative).</t>
      </text>
    </comment>
    <comment ref="B123" authorId="0">
      <text>
        <t>Not disclosed by BAC (no acquisitions/divestitures reported in the period); shown as n.d., not zero.</t>
      </text>
    </comment>
    <comment ref="B124" authorId="0">
      <text>
        <t>BAC does not disclose FX impact on revenue; n.d. (not disclosed).</t>
      </text>
    </comment>
    <comment ref="B125" authorId="0">
      <text>
        <t>Organic = (1+Y/Y)/((1+M&amp;A)*(1+FX))-1; not computable because M&amp;A and FX components are not disclosed (n.d.).</t>
      </text>
    </comment>
    <comment ref="B128" authorId="0">
      <text>
        <t>n.m. = not meaningful (prior-period value zero or negative).</t>
      </text>
    </comment>
    <comment ref="B130" authorId="0">
      <text>
        <t>Not disclosed by BAC (no acquisitions/divestitures reported in the period); shown as n.d., not zero.</t>
      </text>
    </comment>
    <comment ref="B131" authorId="0">
      <text>
        <t>BAC does not disclose FX impact on revenue; n.d. (not disclosed).</t>
      </text>
    </comment>
    <comment ref="B132" authorId="0">
      <text>
        <t>Organic = (1+Y/Y)/((1+M&amp;A)*(1+FX))-1; not computable because M&amp;A and FX components are not disclosed (n.d.).</t>
      </text>
    </comment>
    <comment ref="B135" authorId="0">
      <text>
        <t>n.m. = not meaningful (prior-period value zero or negative).</t>
      </text>
    </comment>
    <comment ref="B137" authorId="0">
      <text>
        <t>Not disclosed by BAC (no acquisitions/divestitures reported in the period); shown as n.d., not zero.</t>
      </text>
    </comment>
    <comment ref="B138" authorId="0">
      <text>
        <t>BAC does not disclose FX impact on revenue; n.d. (not disclosed).</t>
      </text>
    </comment>
    <comment ref="B139" authorId="0">
      <text>
        <t>Organic = (1+Y/Y)/((1+M&amp;A)*(1+FX))-1; not computable because M&amp;A and FX components are not disclosed (n.d.).</t>
      </text>
    </comment>
    <comment ref="B142" authorId="0">
      <text>
        <t>n.m. = not meaningful (prior-period value zero or negative).</t>
      </text>
    </comment>
    <comment ref="B144" authorId="0">
      <text>
        <t>Not disclosed by BAC (no acquisitions/divestitures reported in the period); shown as n.d., not zero.</t>
      </text>
    </comment>
    <comment ref="B145" authorId="0">
      <text>
        <t>BAC does not disclose FX impact on revenue; n.d. (not disclosed).</t>
      </text>
    </comment>
    <comment ref="B146" authorId="0">
      <text>
        <t>Organic = (1+Y/Y)/((1+M&amp;A)*(1+FX))-1; not computable because M&amp;A and FX components are not disclosed (n.d.).</t>
      </text>
    </comment>
    <comment ref="B149" authorId="0">
      <text>
        <t>n.m. = not meaningful (prior-period value zero or negative).</t>
      </text>
    </comment>
    <comment ref="B151" authorId="0">
      <text>
        <t>Not disclosed by BAC (no acquisitions/divestitures reported in the period); shown as n.d., not zero.</t>
      </text>
    </comment>
    <comment ref="B152" authorId="0">
      <text>
        <t>BAC does not disclose FX impact on revenue; n.d. (not disclosed).</t>
      </text>
    </comment>
    <comment ref="B153" authorId="0">
      <text>
        <t>Organic = (1+Y/Y)/((1+M&amp;A)*(1+FX))-1; not computable because M&amp;A and FX components are not disclosed (n.d.).</t>
      </text>
    </comment>
    <comment ref="B156" authorId="0">
      <text>
        <t>n.m. = not meaningful (prior-period value zero or negative).</t>
      </text>
    </comment>
    <comment ref="B158" authorId="0">
      <text>
        <t>Not disclosed by BAC (no acquisitions/divestitures reported in the period); shown as n.d., not zero.</t>
      </text>
    </comment>
    <comment ref="B159" authorId="0">
      <text>
        <t>BAC does not disclose FX impact on revenue; n.d. (not disclosed).</t>
      </text>
    </comment>
    <comment ref="B160" authorId="0">
      <text>
        <t>Organic = (1+Y/Y)/((1+M&amp;A)*(1+FX))-1; not computable because M&amp;A and FX components are not disclosed (n.d.).</t>
      </text>
    </comment>
    <comment ref="B163" authorId="0">
      <text>
        <t>n.m. = not meaningful (prior-period value zero or negative).</t>
      </text>
    </comment>
    <comment ref="B165" authorId="0">
      <text>
        <t>Not disclosed by BAC (no acquisitions/divestitures reported in the period); shown as n.d., not zero.</t>
      </text>
    </comment>
    <comment ref="B166" authorId="0">
      <text>
        <t>BAC does not disclose FX impact on revenue; n.d. (not disclosed).</t>
      </text>
    </comment>
    <comment ref="B167" authorId="0">
      <text>
        <t>Organic = (1+Y/Y)/((1+M&amp;A)*(1+FX))-1; not computable because M&amp;A and FX components are not disclosed (n.d.).</t>
      </text>
    </comment>
    <comment ref="B170" authorId="0">
      <text>
        <t>n.m. = not meaningful (prior-period value zero or negative).</t>
      </text>
    </comment>
    <comment ref="B172" authorId="0">
      <text>
        <t>Not disclosed by BAC (no acquisitions/divestitures reported in the period); shown as n.d., not zero.</t>
      </text>
    </comment>
    <comment ref="B173" authorId="0">
      <text>
        <t>BAC does not disclose FX impact on revenue; n.d. (not disclosed).</t>
      </text>
    </comment>
    <comment ref="B174" authorId="0">
      <text>
        <t>Organic = (1+Y/Y)/((1+M&amp;A)*(1+FX))-1; not computable because M&amp;A and FX components are not disclosed (n.d.).</t>
      </text>
    </comment>
    <comment ref="B177" authorId="0">
      <text>
        <t>n.m. = not meaningful (prior-period value zero or negative).</t>
      </text>
    </comment>
    <comment ref="B179" authorId="0">
      <text>
        <t>Not disclosed by BAC (no acquisitions/divestitures reported in the period); shown as n.d., not zero.</t>
      </text>
    </comment>
    <comment ref="B180" authorId="0">
      <text>
        <t>BAC does not disclose FX impact on revenue; n.d. (not disclosed).</t>
      </text>
    </comment>
    <comment ref="B181" authorId="0">
      <text>
        <t>Organic = (1+Y/Y)/((1+M&amp;A)*(1+FX))-1; not computable because M&amp;A and FX components are not disclosed (n.d.).</t>
      </text>
    </comment>
    <comment ref="B184" authorId="0">
      <text>
        <t>n.m. = not meaningful (prior-period value zero or negative).</t>
      </text>
    </comment>
    <comment ref="B186" authorId="0">
      <text>
        <t>Not disclosed by BAC (no acquisitions/divestitures reported in the period); shown as n.d., not zero.</t>
      </text>
    </comment>
    <comment ref="B187" authorId="0">
      <text>
        <t>BAC does not disclose FX impact on revenue; n.d. (not disclosed).</t>
      </text>
    </comment>
    <comment ref="B188" authorId="0">
      <text>
        <t>Organic = (1+Y/Y)/((1+M&amp;A)*(1+FX))-1; not computable because M&amp;A and FX components are not disclosed (n.d.).</t>
      </text>
    </comment>
    <comment ref="B190" authorId="0">
      <text>
        <t>Same figure as Total Corporation advisory fees on the Global Banking tab (linked, not retyped).</t>
      </text>
    </comment>
    <comment ref="B191" authorId="0">
      <text>
        <t>n.m. = not meaningful (prior-period value zero or negative).</t>
      </text>
    </comment>
    <comment ref="B193" authorId="0">
      <text>
        <t>Not disclosed by BAC (no acquisitions/divestitures reported in the period); shown as n.d., not zero.</t>
      </text>
    </comment>
    <comment ref="B194" authorId="0">
      <text>
        <t>BAC does not disclose FX impact on revenue; n.d. (not disclosed).</t>
      </text>
    </comment>
    <comment ref="B195" authorId="0">
      <text>
        <t>Organic = (1+Y/Y)/((1+M&amp;A)*(1+FX))-1; not computable because M&amp;A and FX components are not disclosed (n.d.).</t>
      </text>
    </comment>
    <comment ref="B198" authorId="0">
      <text>
        <t>n.m. = not meaningful (prior-period value zero or negative).</t>
      </text>
    </comment>
    <comment ref="B200" authorId="0">
      <text>
        <t>Not disclosed by BAC (no acquisitions/divestitures reported in the period); shown as n.d., not zero.</t>
      </text>
    </comment>
    <comment ref="B201" authorId="0">
      <text>
        <t>BAC does not disclose FX impact on revenue; n.d. (not disclosed).</t>
      </text>
    </comment>
    <comment ref="B202" authorId="0">
      <text>
        <t>Organic = (1+Y/Y)/((1+M&amp;A)*(1+FX))-1; not computable because M&amp;A and FX components are not disclosed (n.d.).</t>
      </text>
    </comment>
    <comment ref="B205" authorId="0">
      <text>
        <t>n.m. = not meaningful (prior-period value zero or negative).</t>
      </text>
    </comment>
    <comment ref="B207" authorId="0">
      <text>
        <t>Not disclosed by BAC (no acquisitions/divestitures reported in the period); shown as n.d., not zero.</t>
      </text>
    </comment>
    <comment ref="B208" authorId="0">
      <text>
        <t>BAC does not disclose FX impact on revenue; n.d. (not disclosed).</t>
      </text>
    </comment>
    <comment ref="B209" authorId="0">
      <text>
        <t>Organic = (1+Y/Y)/((1+M&amp;A)*(1+FX))-1; not computable because M&amp;A and FX components are not disclosed (n.d.).</t>
      </text>
    </comment>
    <comment ref="B212" authorId="0">
      <text>
        <t>n.m. = not meaningful (prior-period value zero or negative).</t>
      </text>
    </comment>
    <comment ref="B214" authorId="0">
      <text>
        <t>Not disclosed by BAC (no acquisitions/divestitures reported in the period); shown as n.d., not zero.</t>
      </text>
    </comment>
    <comment ref="B215" authorId="0">
      <text>
        <t>BAC does not disclose FX impact on revenue; n.d. (not disclosed).</t>
      </text>
    </comment>
    <comment ref="B216" authorId="0">
      <text>
        <t>Organic = (1+Y/Y)/((1+M&amp;A)*(1+FX))-1; not computable because M&amp;A and FX components are not disclosed (n.d.).</t>
      </text>
    </comment>
    <comment ref="B219" authorId="0">
      <text>
        <t>n.m. = not meaningful (prior-period value zero or negative).</t>
      </text>
    </comment>
    <comment ref="B221" authorId="0">
      <text>
        <t>Not disclosed by BAC (no acquisitions/divestitures reported in the period); shown as n.d., not zero.</t>
      </text>
    </comment>
    <comment ref="B222" authorId="0">
      <text>
        <t>BAC does not disclose FX impact on revenue; n.d. (not disclosed).</t>
      </text>
    </comment>
    <comment ref="B223" authorId="0">
      <text>
        <t>Organic = (1+Y/Y)/((1+M&amp;A)*(1+FX))-1; not computable because M&amp;A and FX components are not disclosed (n.d.).</t>
      </text>
    </comment>
    <comment ref="B225" authorId="0">
      <text>
        <t>3Q26E derived: segment noninterest income less the mapped fee lines.</t>
      </text>
    </comment>
    <comment ref="B226" authorId="0">
      <text>
        <t>n.m. = not meaningful (prior-period value zero or negative).</t>
      </text>
    </comment>
    <comment ref="B228" authorId="0">
      <text>
        <t>Not disclosed by BAC (no acquisitions/divestitures reported in the period); shown as n.d., not zero.</t>
      </text>
    </comment>
    <comment ref="B229" authorId="0">
      <text>
        <t>BAC does not disclose FX impact on revenue; n.d. (not disclosed).</t>
      </text>
    </comment>
    <comment ref="B230" authorId="0">
      <text>
        <t>Organic = (1+Y/Y)/((1+M&amp;A)*(1+FX))-1; not computable because M&amp;A and FX components are not disclosed (n.d.).</t>
      </text>
    </comment>
    <comment ref="B233" authorId="0">
      <text>
        <t>n.m. = not meaningful (prior-period value zero or negative).</t>
      </text>
    </comment>
    <comment ref="B235" authorId="0">
      <text>
        <t>Not disclosed by BAC (no acquisitions/divestitures reported in the period); shown as n.d., not zero.</t>
      </text>
    </comment>
    <comment ref="B236" authorId="0">
      <text>
        <t>BAC does not disclose FX impact on revenue; n.d. (not disclosed).</t>
      </text>
    </comment>
    <comment ref="B237" authorId="0">
      <text>
        <t>Organic = (1+Y/Y)/((1+M&amp;A)*(1+FX))-1; not computable because M&amp;A and FX components are not disclosed (n.d.).</t>
      </text>
    </comment>
    <comment ref="B240" authorId="0">
      <text>
        <t>n.m. = not meaningful (prior-period value zero or negative).</t>
      </text>
    </comment>
    <comment ref="B242" authorId="0">
      <text>
        <t>Not disclosed by BAC (no acquisitions/divestitures reported in the period); shown as n.d., not zero.</t>
      </text>
    </comment>
    <comment ref="B243" authorId="0">
      <text>
        <t>BAC does not disclose FX impact on revenue; n.d. (not disclosed).</t>
      </text>
    </comment>
    <comment ref="B244" authorId="0">
      <text>
        <t>Organic = (1+Y/Y)/((1+M&amp;A)*(1+FX))-1; not computable because M&amp;A and FX components are not disclosed (n.d.).</t>
      </text>
    </comment>
    <comment ref="B248" authorId="0">
      <text>
        <t>3Q26E ~flat Q/Q: card NCOs improving, CEO "credit quality remains strong" [S9].</t>
      </text>
    </comment>
    <comment ref="B258" authorId="0">
      <text>
        <t>3Q26E: lower revenue-related incentives as S&amp;T falls ~$1.6bn and IB ~$0.3bn Q/Q.</t>
      </text>
    </comment>
    <comment ref="B267" authorId="0">
      <text>
        <t>Lower trading activity costs vs 2Q26 peak.</t>
      </text>
    </comment>
    <comment ref="B273" authorId="0">
      <text>
        <t>2Q26 elevated by brand spend; 3Q26E below 2Q26.</t>
      </text>
    </comment>
    <comment ref="B276" authorId="0">
      <text>
        <t>3Q26E derived: total expense (sum of segments + All Other) less itemised lines.</t>
      </text>
    </comment>
    <comment ref="B289" authorId="0">
      <text>
        <t>FY26 guide "a little more than 20%" (1Q26 call) [S11]; 1H26 19.6% incl. 1Q vesting benefit; 3Q26E 20.8%.</t>
      </text>
    </comment>
    <comment ref="B296" authorId="0">
      <text>
        <t>3Q26E: 3Q/1Q are the heavier semi-annual coupon quarters (429 in 3Q25 and 1Q26); scaled for $1bn redemption in 1Q26.</t>
      </text>
    </comment>
    <comment ref="B302" authorId="0">
      <text>
        <t>10-Q EPS note: Series L dilutive in 2026 (62M shares; $56M/qtr dividends added back); antidilutive in 1Q25-2Q25. 3Q25-4Q25 inferred from reported diluted EPS rounding and dilutive share counts; FY25 annual test 4x56.</t>
      </text>
    </comment>
    <comment ref="B315" authorId="0">
      <text>
        <t>BAC does not exclude litigation; $39M Merrill cash-sweep settlement (30-Sep-26) [S24] not adjusted.</t>
      </text>
    </comment>
    <comment ref="B316" authorId="0">
      <text>
        <t>None disclosed by BAC.</t>
      </text>
    </comment>
    <comment ref="B317" authorId="0">
      <text>
        <t>No assessment charge in 2025-26 periods.</t>
      </text>
    </comment>
    <comment ref="B318" authorId="0">
      <text>
        <t>Not excluded on CapIQ normalized basis (history shows normalized = GAAP).</t>
      </text>
    </comment>
    <comment ref="B319" authorId="0">
      <text>
        <t>No adjustments, so nil.</t>
      </text>
    </comment>
    <comment ref="B322" authorId="0">
      <text>
        <t>CapIQ 3Q25 1.06 = as originally reported; BAC restated 3Q25 to 1.04 for the 4Q25 tax-equity accounting change.</t>
      </text>
    </comment>
    <comment ref="B338" authorId="0">
      <text>
        <t>CEO (14-Sep-26): 3Q26 operating leverage "could be more difficult" given capital-markets comps [S9].</t>
      </text>
    </comment>
  </commentList>
</comments>
</file>

<file path=xl/comments8.xml><?xml version="1.0" encoding="utf-8"?>
<comments xmlns="http://schemas.openxmlformats.org/spreadsheetml/2006/main">
  <authors>
    <author>Shortcut</author>
  </authors>
  <commentList>
    <comment ref="B12" authorId="0">
      <text>
        <t>3Q26E: balancing item (total liabilities and equity less non-cash assets).</t>
      </text>
    </comment>
    <comment ref="B15" authorId="0">
      <text>
        <t>3Q26E held flat at 2Q26 level (assumption; not forecast).</t>
      </text>
    </comment>
    <comment ref="B22" authorId="0">
      <text>
        <t>3Q26E +2.2% Q/Q, in line with high-single-digit annualised commercial growth [S9].</t>
      </text>
    </comment>
    <comment ref="B25" authorId="0">
      <text>
        <t>3Q26E: prior less (provision - net charge-offs); unfunded-commitment reserve not split.</t>
      </text>
    </comment>
    <comment ref="B43" authorId="0">
      <text>
        <t>3Q26E +0.7% Q/Q: CEO noted stabilising NIB deposits and steady checking growth [S9]; components on 2Q26 mix.</t>
      </text>
    </comment>
    <comment ref="B57" authorId="0">
      <text>
        <t>3Q26E: quarterly amortisation of stock-based compensation ~$1.0-1.1bn (CF statement).</t>
      </text>
    </comment>
    <comment ref="B62" authorId="0">
      <text>
        <t>Held flat: AOCI not forecast. Rising long rates in 3Q26 are a downside risk to AOCI but do not affect EPS.</t>
      </text>
    </comment>
  </commentList>
</comments>
</file>

<file path=xl/comments9.xml><?xml version="1.0" encoding="utf-8"?>
<comments xmlns="http://schemas.openxmlformats.org/spreadsheetml/2006/main">
  <authors>
    <author>Shortcut</author>
  </authors>
  <commentList>
    <comment ref="B16" authorId="0">
      <text>
        <t>3Q26E: balance-sheet items held flat at 2Q26 levels =&gt; nil change (assumption, not evidence of zero).</t>
      </text>
    </comment>
    <comment ref="B19" authorId="0">
      <text>
        <t>3Q26E ~flat with 2Q26 (612).</t>
      </text>
    </comment>
    <comment ref="B74" authorId="0">
      <text>
        <t>3Q26E: cash outflow = EOP loan growth plus charge-offs.</t>
      </text>
    </comment>
    <comment ref="B77" authorId="0">
      <text>
        <t>3Q26E: premises/other investment assumed equal to D&amp;A so PP&amp;E is flat (BAC does not report a capex line).</t>
      </text>
    </comment>
    <comment ref="B126" authorId="0">
      <text>
        <t>3M25 and 6M25 are restated comparatives from the 2026 10-Qs; 9M25 is as originally filed (3Q25 10-Q, pre-restatement); FY25 from the 2025 10-K. 3Q25/4Q25 quarterly operating lines therefore mix bases (e.g. CF net income 3Q25 8,451 vs restated IS 8,332); cash totals unaffected.</t>
      </text>
    </comment>
  </commentList>
</comments>
</file>

<file path=xl/comments10.xml><?xml version="1.0" encoding="utf-8"?>
<comments xmlns="http://schemas.openxmlformats.org/spreadsheetml/2006/main">
  <authors>
    <author>Shortcut</author>
  </authors>
  <commentList>
    <comment ref="B10" authorId="0">
      <text>
        <t>Quarterly share counts repurchased not in sources used; FY25 451.9M from 10-K equity statement.</t>
      </text>
    </comment>
    <comment ref="B13" authorId="0">
      <text>
        <t>3Q26E 5M: issuance is concentrated in 1Q vesting.</t>
      </text>
    </comment>
    <comment ref="B20" authorId="0">
      <text>
        <t>Rounded to the 0.1M precision of the reported 451.9M repurchased / 53.5M issued (10-K equity statement).</t>
      </text>
    </comment>
    <comment ref="B21" authorId="0">
      <text>
        <t>3Q26E $6.0bn, in line with 2Q26 ($6.0bn) under the $40bn authorisation [S22]; 30-Jul-26 count of 6,992.7M implies ~25M net reduction in July [S23].</t>
      </text>
    </comment>
    <comment ref="B24" authorId="0">
      <text>
        <t>3Q26E ~$59.5: share price ~$57 at 30-Jun, ~$63 early Sep, ~$54 early Oct (market cap history) [S16].</t>
      </text>
    </comment>
    <comment ref="B30" authorId="0">
      <text>
        <t>Reported average basic shares run 77-94M above the midpoint of period-end shares outstanding (vested, not-yet-issued share awards count in basic EPS). 3Q26E = average of last four quarters.</t>
      </text>
    </comment>
    <comment ref="B36" authorId="0">
      <text>
        <t>3Q26E 145M vs 143M in 2Q26.</t>
      </text>
    </comment>
    <comment ref="B43" authorId="0">
      <text>
        <t>Board raised quarterly dividend to $0.32 (payable 25-Sep-26). CapIQ "GAAP EPS guidance 0.32" field is this dividend, excluded.</t>
      </text>
    </comment>
  </commentList>
</comments>
</file>

<file path=xl/comments11.xml><?xml version="1.0" encoding="utf-8"?>
<comments xmlns="http://schemas.openxmlformats.org/spreadsheetml/2006/main">
  <authors>
    <author>Shortcut</author>
  </authors>
  <commentList>
    <comment ref="B11" authorId="0">
      <text>
        <t>Initial FY26 guide (4Q25 call); superseded.</t>
      </text>
    </comment>
    <comment ref="B12" authorId="0">
      <text>
        <t>Raised on 1Q26 call.</t>
      </text>
    </comment>
    <comment ref="B13" authorId="0">
      <text>
        <t>Interpreted as 7-8% (upper half); CFO: "more like 8%".</t>
      </text>
    </comment>
    <comment ref="B15" authorId="0">
      <text>
        <t>300-400 bps; CEO 14-Sep: 3Q26 "could be more difficult".</t>
      </text>
    </comment>
    <comment ref="B16" authorId="0">
      <text>
        <t>Model 3Q26E ETR on Income Statement.</t>
      </text>
    </comment>
    <comment ref="B17" authorId="0">
      <text>
        <t>Model at top of range given guidance track record below.</t>
      </text>
    </comment>
    <comment ref="B18" authorId="0">
      <text>
        <t>Interpretation of "roughly flat" as +/-2% Y/Y.</t>
      </text>
    </comment>
    <comment ref="B19" authorId="0">
      <text>
        <t>"Roughly flat" interpreted as +/-2% around 3Q25 $5,348M.</t>
      </text>
    </comment>
    <comment ref="B24" authorId="0">
      <text>
        <t>3Q25 $2,013M vs 3Q24 $1,403M (+43%).</t>
      </text>
    </comment>
    <comment ref="B26" authorId="0">
      <text>
        <t>3Q25 ex-DVA $5,348M vs 3Q24 $4,938M (+8%).</t>
      </text>
    </comment>
    <comment ref="B31" authorId="0">
      <text>
        <t>For expense, above range = unfavourable.</t>
      </text>
    </comment>
    <comment ref="B34" authorId="0">
      <text>
        <t>Revenue items beat their mid-quarter range in 4 of 6 cases (others in line); none missed.</t>
      </text>
    </comment>
  </commentList>
</comments>
</file>

<file path=xl/comments12.xml><?xml version="1.0" encoding="utf-8"?>
<comments xmlns="http://schemas.openxmlformats.org/spreadsheetml/2006/main">
  <authors>
    <author>Shortcut</author>
  </authors>
  <commentList>
    <comment ref="B116" authorId="0">
      <text>
        <t>All six pairs kept: CapIQ normalized and GAAP actuals are identical in every row, so the basis is consistent.</t>
      </text>
    </comment>
    <comment ref="B119" authorId="0">
      <text>
        <t>stockanalysis.com: $379.85bn at 9-Oct-2026 close ($54.32 x ~6.99bn shares); CapIQ market_cap_usd_m field was blank.</t>
      </text>
    </comment>
    <comment ref="B120" authorId="0">
      <text>
        <t>Playbook v2: small $300M-$2bn, mid $2-10bn, large above $10bn.</t>
      </text>
    </comment>
    <comment ref="B130" authorId="0">
      <text>
        <t>Starting p = (pseudo x prior + b) / (pseudo + n).</t>
      </text>
    </comment>
    <comment ref="B131" authorId="0">
      <text>
        <t>Model EPS is ~1.7c above the 1.10 consensus (model-only P(EPS&gt;=1.105) ~60% with $0.045 s.d.); CEO cut 3Q26 IB/S&amp;T outlook on 14-Sep and consensus fell afterwards (already in snapshot). Offsets: BAC beat its own mid-quarter revenue guides in 4 of 6 checked items. Blend ~50/50 with the size/history prior.</t>
      </text>
    </comment>
  </commentList>
</comments>
</file>

<file path=xl/sharedStrings.xml><?xml version="1.0" encoding="utf-8"?>
<sst xmlns="http://schemas.openxmlformats.org/spreadsheetml/2006/main" count="3623" uniqueCount="959">
  <si>
    <t>Bank of America Corporation (NYSE: BAC)</t>
  </si>
  <si>
    <t>Cover: Company Model — built by Shortcut</t>
  </si>
  <si>
    <t>$ millions, except per share</t>
  </si>
  <si>
    <t>Period</t>
  </si>
  <si>
    <t>3Q26E</t>
  </si>
  <si>
    <t>Cons. 3Q26E</t>
  </si>
  <si>
    <t>vs cons. (abs)</t>
  </si>
  <si>
    <t>vs cons. (%)</t>
  </si>
  <si>
    <t>Guide</t>
  </si>
  <si>
    <t>3Q25A</t>
  </si>
  <si>
    <t>Y/Y</t>
  </si>
  <si>
    <t>2Q26A</t>
  </si>
  <si>
    <t>Notes / source</t>
  </si>
  <si>
    <t>Period end</t>
  </si>
  <si>
    <t>Days in period</t>
  </si>
  <si>
    <t>Company</t>
  </si>
  <si>
    <t>Bank of America Corporation</t>
  </si>
  <si>
    <t>Ticker / exchange</t>
  </si>
  <si>
    <t>BAC / NYSE (NYSE:BAC)</t>
  </si>
  <si>
    <t>Fiscal year end</t>
  </si>
  <si>
    <t>December 31 (calendar year)</t>
  </si>
  <si>
    <t>Forecast period</t>
  </si>
  <si>
    <t>3Q26E = FQ3 2026, quarter ended 30-Sep-2026 (issuer quarter end matches supplied 2026-09-30 label)</t>
  </si>
  <si>
    <t>Currency</t>
  </si>
  <si>
    <t>USD; $ millions except per-share</t>
  </si>
  <si>
    <t>EPS basis</t>
  </si>
  <si>
    <t>Normalized diluted EPS (CapIQ basis). ASSUMED = GAAP diluted EPS: zero bridge (Income Statement rows 315-319) is an assumption. CapIQ actuals = BAC as-originally-reported EPS in all 6 history quarters; 1Q25-3Q25 gaps are BAC's 4Q25 retrospective revision (S31 vs S2).</t>
  </si>
  <si>
    <t>Information cutoff</t>
  </si>
  <si>
    <t>2026-10-11 22:24 UTC</t>
  </si>
  <si>
    <t>Expected report date</t>
  </si>
  <si>
    <t>2026-10-14, before market open; call 8:30am ET (confirmed on BAC IR site) [S29]</t>
  </si>
  <si>
    <t>Model author</t>
  </si>
  <si>
    <t>Shortcut</t>
  </si>
  <si>
    <t>Headline: 3Q26E estimate vs consensus at cutoff vs guidance</t>
  </si>
  <si>
    <t>Metric</t>
  </si>
  <si>
    <t>Shortcut estimate</t>
  </si>
  <si>
    <t>Consensus (cutoff)</t>
  </si>
  <si>
    <t>Variance</t>
  </si>
  <si>
    <t>Variance %</t>
  </si>
  <si>
    <t>Guidance midpoint</t>
  </si>
  <si>
    <t>Year-ago actual</t>
  </si>
  <si>
    <t>Est. Y/Y %</t>
  </si>
  <si>
    <t>Prior quarter</t>
  </si>
  <si>
    <t>Revenue, net of int. expense ($M)</t>
  </si>
  <si>
    <t>n.a.</t>
  </si>
  <si>
    <t>Revised basis (S2); see N1</t>
  </si>
  <si>
    <t>Net interest income, FTE ($M)</t>
  </si>
  <si>
    <t>Net income to common ($M)</t>
  </si>
  <si>
    <t>n.c.</t>
  </si>
  <si>
    <t>n.c.: CapIQ basis unconfirmed (N2)</t>
  </si>
  <si>
    <t>Net income ($M)</t>
  </si>
  <si>
    <t>Diluted EPS - GAAP</t>
  </si>
  <si>
    <t>Normalized diluted EPS</t>
  </si>
  <si>
    <t>ASSUMED zero bridge; edge conditional (N3, N4)</t>
  </si>
  <si>
    <t>Historical ties vs reported</t>
  </si>
  <si>
    <t>Genuine ties only; excl. 3Q25/4Q25 CF NI (N5)</t>
  </si>
  <si>
    <t>Identities (informational only)</t>
  </si>
  <si>
    <t>Informational; not validation (N5)</t>
  </si>
  <si>
    <t>Basis exception: CF-IS NI 3Q25 $M</t>
  </si>
  <si>
    <t>4Q25 -119 offsets; FY ties; not plugged (N5)</t>
  </si>
  <si>
    <t>P(beat consensus EPS)</t>
  </si>
  <si>
    <t>Confidence</t>
  </si>
  <si>
    <t>Newer consensus seen before cutoff (reference only; scoring baseline stays CapIQ snapshot)</t>
  </si>
  <si>
    <t>Source (date)</t>
  </si>
  <si>
    <t>EPS</t>
  </si>
  <si>
    <t>Revenue $M</t>
  </si>
  <si>
    <t>NII FTE $M</t>
  </si>
  <si>
    <t>Zacks via SKN (9-Oct-26)</t>
  </si>
  <si>
    <t>S14</t>
  </si>
  <si>
    <t>MarketBeat (7-Oct-26)</t>
  </si>
  <si>
    <t>S27</t>
  </si>
  <si>
    <t>Earnings Whispers (6-Oct-26)</t>
  </si>
  <si>
    <t>Benzinga Pro via TIKR (8-Oct-26)</t>
  </si>
  <si>
    <t>Notes (referenced from column K)</t>
  </si>
  <si>
    <t>N1</t>
  </si>
  <si>
    <t>Revenue (row 22): Basis: GAAP revenue net of interest expense (non-FTE). CapIQ actuals match model</t>
  </si>
  <si>
    <t>exactly 4Q25-2Q26; 1Q25-3Q25 CapIQ actuals are pre-revision (S31). Year-ago H22 on revised basis (S2).</t>
  </si>
  <si>
    <t>N2</t>
  </si>
  <si>
    <t>Net income to common (row 24): Variance withheld (n.c.): CapIQ net_income_gaap_m not confirmed as to-</t>
  </si>
  <si>
    <t>common vs total NI (model total NI 8,399.8). D24 shows the frozen CapIQ net_income_gaap_m value as</t>
  </si>
  <si>
    <t>captured (basis unconfirmed); it is not presented as a like-for-like to-common consensus and no variance</t>
  </si>
  <si>
    <t>is computed.</t>
  </si>
  <si>
    <t>N3</t>
  </si>
  <si>
    <t>Normalized EPS (row 27): Year-ago H27 on revised basis (1.04 reported, S2); CapIQ history shows 1.06 = as</t>
  </si>
  <si>
    <t>originally reported (S31). Zero normalization bridge is an unverified assumption; vs-consensus comparison</t>
  </si>
  <si>
    <t>and score are conditional on it.</t>
  </si>
  <si>
    <t>N4</t>
  </si>
  <si>
    <t>Forecast edge (row 27): the +$0.017 margin over the frozen $1.10 consensus depends on original above-</t>
  </si>
  <si>
    <t>guidance assumptions, retained unchanged: S&amp;T ex-DVA 5,550 vs management band 5,241-5,455 (Guidance row</t>
  </si>
  <si>
    <t>19; worth ~$0.022/share vs the band midpoint, ~$0.010 vs the band top) and asset-management fees 4,574.9</t>
  </si>
  <si>
    <t>vs band 4,369.2-4,567.8 (Guidance row 21; ~$0.001 vs band top). With S&amp;T at the band midpoint the</t>
  </si>
  <si>
    <t>estimate would fall below consensus. Disclosed judgment, not a basis error.</t>
  </si>
  <si>
    <t>N5</t>
  </si>
  <si>
    <t>Model checks (rows 28-30): C28 'Historical ties' covers only genuine comparisons of model builds with</t>
  </si>
  <si>
    <t>reported figures for historical quarters (columns C:F, H:I), the FY25 share roll-forward (Share Count</t>
  </si>
  <si>
    <t>G20, reported FY flows), FY25 reported average-balance ties (Segment - Global Banking G112 loans,</t>
  </si>
  <si>
    <t>Segment - Consumer Banking G29 deposits) and reported diluted EPS incl. FY25 (Income Statement row 312).</t>
  </si>
  <si>
    <t>C29 'Identities' is informational only: RS row 94, GB row 255, Share Count row 50, the C27 link, all</t>
  </si>
  <si>
    <t>3Q26E J-column checks (3Q26E cash is a balancing item) and the remaining FY G-column checks, whose FY</t>
  </si>
  <si>
    <t>comparison line is a sum of reported quarters, a duplicate of the 4Q25 stock, or another model build.</t>
  </si>
  <si>
    <t>CF-vs-IS net income (Cash Flow Statement row 122) is a genuine tie for 1Q25, 2Q25, 1Q26, 2Q26; 3Q25</t>
  </si>
  <si>
    <t>(+119) and 4Q25 (-119) are a documented historical basis exception (9M25 YTD as originally filed vs</t>
  </si>
  <si>
    <t>revised 6M25/FY25), not plugged and excluded from C28. Revised 9M25 comparatives were not available</t>
  </si>
  <si>
    <t>before the cutoff.</t>
  </si>
  <si>
    <t>Revenue summary</t>
  </si>
  <si>
    <t>1Q25A</t>
  </si>
  <si>
    <t>2Q25A</t>
  </si>
  <si>
    <t>4Q25A</t>
  </si>
  <si>
    <t>FY25A</t>
  </si>
  <si>
    <t>1Q26A</t>
  </si>
  <si>
    <t>Revenue by reported segment (FTE basis)</t>
  </si>
  <si>
    <t>Consumer Banking</t>
  </si>
  <si>
    <t>Segment - Consumer Banking</t>
  </si>
  <si>
    <t>Total Y/Y growth</t>
  </si>
  <si>
    <t>% Q/Q</t>
  </si>
  <si>
    <t>M&amp;A / scope impact</t>
  </si>
  <si>
    <t>n.d.</t>
  </si>
  <si>
    <t>FX impact</t>
  </si>
  <si>
    <t>Organic growth</t>
  </si>
  <si>
    <t>% of total revenue</t>
  </si>
  <si>
    <t>Global Wealth &amp; Investment Management</t>
  </si>
  <si>
    <t>Segment - GWIM</t>
  </si>
  <si>
    <t>Global Banking</t>
  </si>
  <si>
    <t>Segment - Global Banking</t>
  </si>
  <si>
    <t>Global Markets</t>
  </si>
  <si>
    <t>Segment - Global Markets</t>
  </si>
  <si>
    <t>All Other</t>
  </si>
  <si>
    <t>S1/S2</t>
  </si>
  <si>
    <t>Total revenue (FTE)</t>
  </si>
  <si>
    <t>Total revenue FTE (reported)</t>
  </si>
  <si>
    <t>S1/S2; FY (G) = sum of reported qtrs</t>
  </si>
  <si>
    <t>Check: segments less reported (FTE)</t>
  </si>
  <si>
    <t>Less: FTE adjustment</t>
  </si>
  <si>
    <t>Y/Y %</t>
  </si>
  <si>
    <t>Q/Q change</t>
  </si>
  <si>
    <t>Total revenue (GAAP)</t>
  </si>
  <si>
    <t>Check: GAAP total less IS revenue</t>
  </si>
  <si>
    <t>Revenue by type</t>
  </si>
  <si>
    <t>NII (FTE), sum of segments</t>
  </si>
  <si>
    <t>All Other net interest income</t>
  </si>
  <si>
    <t>NII (FTE) reported</t>
  </si>
  <si>
    <t>Check: segment NII less reported</t>
  </si>
  <si>
    <t>Noninterest income (segments)</t>
  </si>
  <si>
    <t>All Other noninterest income</t>
  </si>
  <si>
    <t>Identity (by construction, not a tie): NII + fees less total</t>
  </si>
  <si>
    <t>Consensus reference (CapIQ, linked from Inputs)</t>
  </si>
  <si>
    <t>Revenue consensus (CapIQ)</t>
  </si>
  <si>
    <t>Inputs tab</t>
  </si>
  <si>
    <t>Revenue actual per CapIQ history</t>
  </si>
  <si>
    <t>Pre-revision 1Q25-3Q25 (N1)</t>
  </si>
  <si>
    <t>Estimate less consensus</t>
  </si>
  <si>
    <t>GAAP net of int. exp. (N2)</t>
  </si>
  <si>
    <t>Estimate vs consensus %</t>
  </si>
  <si>
    <t>Geography</t>
  </si>
  <si>
    <t>Geographic split: BAC reports U.S. vs non-U.S. only annually (10-K); FY25 non-U.S. revenue ~$15.4bn (~14% of total) per TIKR summary of 10-K [S28]. No quarterly split, so no Geo tab.</t>
  </si>
  <si>
    <t>Row 97: Inputs tab. 1Q25-3Q25 = as originally reported (S31), not comparable with revised row 56 (S2);</t>
  </si>
  <si>
    <t>4Q25-2Q26 match.</t>
  </si>
  <si>
    <t>Row 98: Basis: GAAP revenue net of interest expense; CapIQ actual field matches model 4Q25-2Q26.</t>
  </si>
  <si>
    <t>Segment - Consumer Banking (FTE basis)</t>
  </si>
  <si>
    <t>Deposit driver ladder (average balances)</t>
  </si>
  <si>
    <t>Checking</t>
  </si>
  <si>
    <t>Savings</t>
  </si>
  <si>
    <t>Money market savings (MMS)</t>
  </si>
  <si>
    <t>CDs and IRAs</t>
  </si>
  <si>
    <t>Other</t>
  </si>
  <si>
    <t>Total average deposits</t>
  </si>
  <si>
    <t>Total average deposits (reported)</t>
  </si>
  <si>
    <t>Check: build less reported</t>
  </si>
  <si>
    <t>Checking mix % of deposits</t>
  </si>
  <si>
    <t>Q/Q change (bps)</t>
  </si>
  <si>
    <t>Y/Y change (bps)</t>
  </si>
  <si>
    <t>Deposit spreads (excludes noninterest costs)</t>
  </si>
  <si>
    <t>Checking spread</t>
  </si>
  <si>
    <t>Savings spread</t>
  </si>
  <si>
    <t>MMS spread</t>
  </si>
  <si>
    <t>CDs and IRAs spread</t>
  </si>
  <si>
    <t>Other spread</t>
  </si>
  <si>
    <t>Total deposit spread</t>
  </si>
  <si>
    <t>Implied deposit spread income</t>
  </si>
  <si>
    <t>Earning assets and net interest income</t>
  </si>
  <si>
    <t>Average earning assets</t>
  </si>
  <si>
    <t>Net interest yield</t>
  </si>
  <si>
    <t>Net interest income</t>
  </si>
  <si>
    <t>NII implied by assets x yield</t>
  </si>
  <si>
    <t>Card driver ladder</t>
  </si>
  <si>
    <t>Credit card purchase volumes</t>
  </si>
  <si>
    <t>Debit card purchase volumes</t>
  </si>
  <si>
    <t>Combined card spend</t>
  </si>
  <si>
    <t>Card income / combined spend</t>
  </si>
  <si>
    <t>Average credit card outstandings</t>
  </si>
  <si>
    <t>Credit card gross interest yield</t>
  </si>
  <si>
    <t>Credit card net charge-offs</t>
  </si>
  <si>
    <t>Card NCO rate (annualised)</t>
  </si>
  <si>
    <t>New credit card accounts (000s)</t>
  </si>
  <si>
    <t>n.f.</t>
  </si>
  <si>
    <t>Customer ladder - consumer checking accounts (thousands)</t>
  </si>
  <si>
    <t>Opening checking accounts (000s)</t>
  </si>
  <si>
    <t>Gross new checking accounts</t>
  </si>
  <si>
    <t>Closed / churned checking accounts</t>
  </si>
  <si>
    <t>Net new checking accounts (000s)</t>
  </si>
  <si>
    <t>S21a-f; 4Q25 = FY 680 less 1Q-3Q</t>
  </si>
  <si>
    <t>Closing checking accounts (000s)</t>
  </si>
  <si>
    <t>S21a-f</t>
  </si>
  <si>
    <t>Rounding residual</t>
  </si>
  <si>
    <t>Closing accts rounded to 0.1M at source</t>
  </si>
  <si>
    <t>Average checking accounts (000s)</t>
  </si>
  <si>
    <t>Churn %</t>
  </si>
  <si>
    <t>Checking balance per account ($)</t>
  </si>
  <si>
    <t>Active digital banking users (000s)</t>
  </si>
  <si>
    <t>Financial centers</t>
  </si>
  <si>
    <t>Consumer investment assets (EOP)</t>
  </si>
  <si>
    <t>Loans</t>
  </si>
  <si>
    <t>Average loans and leases</t>
  </si>
  <si>
    <t>Revenue build</t>
  </si>
  <si>
    <t>Card income</t>
  </si>
  <si>
    <t>Service charges / avg deposits</t>
  </si>
  <si>
    <t>Service charges</t>
  </si>
  <si>
    <t>All other income</t>
  </si>
  <si>
    <t>Total noninterest income</t>
  </si>
  <si>
    <t>Total revenue (reported)</t>
  </si>
  <si>
    <t>Segment profit</t>
  </si>
  <si>
    <t>Provision for credit losses</t>
  </si>
  <si>
    <t>Noninterest expense</t>
  </si>
  <si>
    <t>Income before income taxes</t>
  </si>
  <si>
    <t>Segment tax rate</t>
  </si>
  <si>
    <t>Income tax expense</t>
  </si>
  <si>
    <t>Net income</t>
  </si>
  <si>
    <t>Efficiency ratio</t>
  </si>
  <si>
    <t>Pretax margin</t>
  </si>
  <si>
    <t>Segment - Global Wealth &amp; Investment Management (FTE basis)</t>
  </si>
  <si>
    <t>Assets under management ladder</t>
  </si>
  <si>
    <t>AUM, opening balance</t>
  </si>
  <si>
    <t>C10 S1/S2; D:I = prior closing</t>
  </si>
  <si>
    <t>Net client flows</t>
  </si>
  <si>
    <t>Market move, % of opening AUM</t>
  </si>
  <si>
    <t>Market valuation / other</t>
  </si>
  <si>
    <t>AUM, closing balance</t>
  </si>
  <si>
    <t>AUM closing (reported)</t>
  </si>
  <si>
    <t>Check: ladder less reported</t>
  </si>
  <si>
    <t>Average AUM (opening+closing)/2</t>
  </si>
  <si>
    <t>Net flow rate (annualised)</t>
  </si>
  <si>
    <t>AM fee rate on avg AUM (ann.)</t>
  </si>
  <si>
    <t>Asset mgmt fees (consolidated)</t>
  </si>
  <si>
    <t>Client balances (EOP)</t>
  </si>
  <si>
    <t>Assets under management</t>
  </si>
  <si>
    <t>Brokerage and other assets</t>
  </si>
  <si>
    <t>Deposits</t>
  </si>
  <si>
    <t>Loans and leases</t>
  </si>
  <si>
    <t>Less: managed deposits in AUM</t>
  </si>
  <si>
    <t>Total client balances</t>
  </si>
  <si>
    <t>Total client balances (reported)</t>
  </si>
  <si>
    <t>Client balances - Merrill</t>
  </si>
  <si>
    <t>Client balances - Private Bank</t>
  </si>
  <si>
    <t>Balance sheet drivers and NII</t>
  </si>
  <si>
    <t>Average deposits</t>
  </si>
  <si>
    <t>Brokerage &amp; other inv. services</t>
  </si>
  <si>
    <t>Investment and brokerage services</t>
  </si>
  <si>
    <t>Private Bank share of revenue</t>
  </si>
  <si>
    <t>Revenue - Merrill Wealth Management</t>
  </si>
  <si>
    <t>Revenue - Private Bank</t>
  </si>
  <si>
    <t>Total revenue by business</t>
  </si>
  <si>
    <t>Check: by business less total</t>
  </si>
  <si>
    <t>Segment - Global Banking (FTE basis)</t>
  </si>
  <si>
    <t>Total Corporation investment banking fees (reported on Global Banking key indicators)</t>
  </si>
  <si>
    <t>Advisory</t>
  </si>
  <si>
    <t>Debt issuance</t>
  </si>
  <si>
    <t>Equity issuance</t>
  </si>
  <si>
    <t>Total IB fees incl. self-led deals</t>
  </si>
  <si>
    <t>Self-led deals</t>
  </si>
  <si>
    <t>Total Corp. IB fees (net)</t>
  </si>
  <si>
    <t>Total IB fees (reported, IS)</t>
  </si>
  <si>
    <t>Global Banking IB fees</t>
  </si>
  <si>
    <t>Advisory: GB share of total</t>
  </si>
  <si>
    <t>Advisory - Global Banking</t>
  </si>
  <si>
    <t>Debt issuance: GB share of total</t>
  </si>
  <si>
    <t>Debt issuance - Global Banking</t>
  </si>
  <si>
    <t>Equity issuance: GB share of total</t>
  </si>
  <si>
    <t>Equity issuance - Global Banking</t>
  </si>
  <si>
    <t>Loan driver ladder (period-end and average)</t>
  </si>
  <si>
    <t>Opening period-end loans</t>
  </si>
  <si>
    <t>S2 p18</t>
  </si>
  <si>
    <t>Net change in period-end loans</t>
  </si>
  <si>
    <t>Closing period-end loans</t>
  </si>
  <si>
    <t>Midpoint of open/close loans</t>
  </si>
  <si>
    <t>Average less midpoint (timing)</t>
  </si>
  <si>
    <t>Average loans (reported)</t>
  </si>
  <si>
    <t>Avg loans - U.S. commercial</t>
  </si>
  <si>
    <t>Avg loans - Non-U.S. commercial</t>
  </si>
  <si>
    <t>Avg loans - Commercial real estate</t>
  </si>
  <si>
    <t>Avg loans - Comm. lease financing</t>
  </si>
  <si>
    <t>Avg loans - other</t>
  </si>
  <si>
    <t>Check: product build less reported</t>
  </si>
  <si>
    <t>Deposit driver ladder (period-end and average)</t>
  </si>
  <si>
    <t>Opening period-end deposits</t>
  </si>
  <si>
    <t>Net change in period-end deposits</t>
  </si>
  <si>
    <t>Closing period-end deposits</t>
  </si>
  <si>
    <t>Midpoint of open/close deposits</t>
  </si>
  <si>
    <t>Avg deposits - interest-bearing</t>
  </si>
  <si>
    <t>Avg deposits - noninterest-bearing</t>
  </si>
  <si>
    <t>Noninterest-bearing mix</t>
  </si>
  <si>
    <t>Revenue build (by line, as reported) - drives segment total</t>
  </si>
  <si>
    <t>Investment banking fees</t>
  </si>
  <si>
    <t>All other income / avg loans</t>
  </si>
  <si>
    <t>Total revenue by line</t>
  </si>
  <si>
    <t>Revenue by product (3Q26E split of line-based total)</t>
  </si>
  <si>
    <t>Other GB revenue</t>
  </si>
  <si>
    <t>Ties S2 and S31; not force-split (N1)</t>
  </si>
  <si>
    <t>Total Business Lending revenue</t>
  </si>
  <si>
    <t>Business Lending - Corporate</t>
  </si>
  <si>
    <t>Business Lending - Commercial</t>
  </si>
  <si>
    <t>Business Lending - Business Bkg</t>
  </si>
  <si>
    <t>Total GTS revenue</t>
  </si>
  <si>
    <t>GTS - Corporate</t>
  </si>
  <si>
    <t>GTS - Commercial</t>
  </si>
  <si>
    <t>GTS - Business Banking</t>
  </si>
  <si>
    <t>Identity (by construction, not a tie): build less reported</t>
  </si>
  <si>
    <t>Check: by line less by product</t>
  </si>
  <si>
    <t>Row 185: 1Q25 353 ties to S2 revised detail (5,992-2,112-2,680-847); same 353 on S31 original basis</t>
  </si>
  <si>
    <t>(5,977-2,097-2,680-847). Source feature; not force-split. Other GB revenue is a residual off the reported</t>
  </si>
  <si>
    <t>total, so row 255 is an identity (informational only, Cover C29).</t>
  </si>
  <si>
    <t>Segment - Global Markets (FTE basis)</t>
  </si>
  <si>
    <t>Sales and trading revenue, excluding net DVA</t>
  </si>
  <si>
    <t>FICC (ex-DVA)</t>
  </si>
  <si>
    <t>Equities (ex-DVA)</t>
  </si>
  <si>
    <t>Total S&amp;T revenue ex-DVA</t>
  </si>
  <si>
    <t>Total S&amp;T ex-DVA (reported)</t>
  </si>
  <si>
    <t>Net DVA and reported S&amp;T</t>
  </si>
  <si>
    <t>Net DVA - FICC</t>
  </si>
  <si>
    <t>3Q26E net DVA held at 0 (assumption)</t>
  </si>
  <si>
    <t>Net DVA - Equities</t>
  </si>
  <si>
    <t>FICC (reported)</t>
  </si>
  <si>
    <t>Equities (reported)</t>
  </si>
  <si>
    <t>Total S&amp;T revenue (reported)</t>
  </si>
  <si>
    <t>S&amp;T revenue by component</t>
  </si>
  <si>
    <t>S&amp;T net interest income</t>
  </si>
  <si>
    <t>% of total S&amp;T revenue</t>
  </si>
  <si>
    <t>Commissions</t>
  </si>
  <si>
    <t>Other S&amp;T revenue</t>
  </si>
  <si>
    <t>Trading (residual to total S&amp;T)</t>
  </si>
  <si>
    <t>Total S&amp;T by component</t>
  </si>
  <si>
    <t>Check: components less total S&amp;T</t>
  </si>
  <si>
    <t>Revenue build (by line, as reported)</t>
  </si>
  <si>
    <t>NII / average earning assets</t>
  </si>
  <si>
    <t>Memo: IB fees - other segments (residual)</t>
  </si>
  <si>
    <t>Market making less S&amp;T trading</t>
  </si>
  <si>
    <t>3Q26E held at 0 (rounding difference not forecast)</t>
  </si>
  <si>
    <t>Market making &amp; similar</t>
  </si>
  <si>
    <t>S1/S2; 3Q26E held at 0 (assumption)</t>
  </si>
  <si>
    <t>Balance sheet drivers (period-end ladders and averages)</t>
  </si>
  <si>
    <t>S2 p20</t>
  </si>
  <si>
    <t>Income Statement</t>
  </si>
  <si>
    <t>Average earning assets (consolidated)</t>
  </si>
  <si>
    <t>n.e.</t>
  </si>
  <si>
    <t>S1/S2; FY col: n.e. = FY average not entered</t>
  </si>
  <si>
    <t>Average loans and leases (total)</t>
  </si>
  <si>
    <t>Average loans - All Other</t>
  </si>
  <si>
    <t>Average deposits (total)</t>
  </si>
  <si>
    <t>Average deposits - All Other</t>
  </si>
  <si>
    <t>Check: loans, segments vs total</t>
  </si>
  <si>
    <t>Check: deposits, segments vs total</t>
  </si>
  <si>
    <t>Yield on earning assets (FTE)</t>
  </si>
  <si>
    <t>S1/S2; FY col: n.e. = FY yield not entered</t>
  </si>
  <si>
    <t>Net interest yield (FTE)</t>
  </si>
  <si>
    <t>% of total interest income</t>
  </si>
  <si>
    <t>Debt securities</t>
  </si>
  <si>
    <t>Fed funds sold / reverse repo</t>
  </si>
  <si>
    <t>Trading account assets</t>
  </si>
  <si>
    <t>Other interest income</t>
  </si>
  <si>
    <t>Total interest income</t>
  </si>
  <si>
    <t>Short-term borrowings</t>
  </si>
  <si>
    <t>Trading account liabilities</t>
  </si>
  <si>
    <t>Long-term debt</t>
  </si>
  <si>
    <t>Total interest expense</t>
  </si>
  <si>
    <t>3Q26E = residual (N1)</t>
  </si>
  <si>
    <t>NII (reported)</t>
  </si>
  <si>
    <t>Memo: NII (FTE)</t>
  </si>
  <si>
    <t>Noninterest income</t>
  </si>
  <si>
    <t>Card income - other segments</t>
  </si>
  <si>
    <t xml:space="preserve">  of which: other card income</t>
  </si>
  <si>
    <t xml:space="preserve">  of which: interchange (net)</t>
  </si>
  <si>
    <t>Service charges - other segments</t>
  </si>
  <si>
    <t xml:space="preserve">  of which: lending-related fees</t>
  </si>
  <si>
    <t xml:space="preserve">  of which: deposit-related fees</t>
  </si>
  <si>
    <t>Inv. &amp; brokerage - other segments</t>
  </si>
  <si>
    <t xml:space="preserve">  of which: asset management fees</t>
  </si>
  <si>
    <t xml:space="preserve">  of which: brokerage fees</t>
  </si>
  <si>
    <t xml:space="preserve">  of which: financial advisory</t>
  </si>
  <si>
    <t xml:space="preserve">  of which: syndication fees</t>
  </si>
  <si>
    <t xml:space="preserve">  of which: underwriting income</t>
  </si>
  <si>
    <t>Market making - other segments</t>
  </si>
  <si>
    <t>Other income (residual)</t>
  </si>
  <si>
    <t>3Q26E = allocation residual (N2)</t>
  </si>
  <si>
    <t>Total revenue, net of int. exp.</t>
  </si>
  <si>
    <t>Provision and expense</t>
  </si>
  <si>
    <t>Net charge-offs (total corporation)</t>
  </si>
  <si>
    <t>Provision - All Other</t>
  </si>
  <si>
    <t>Reserve build / (release)</t>
  </si>
  <si>
    <t>Compensation and benefits</t>
  </si>
  <si>
    <t>Info processing &amp; communications</t>
  </si>
  <si>
    <t>Occupancy and equipment</t>
  </si>
  <si>
    <t>Product delivery &amp; transaction</t>
  </si>
  <si>
    <t>Professional fees</t>
  </si>
  <si>
    <t>Marketing</t>
  </si>
  <si>
    <t>Other general operating</t>
  </si>
  <si>
    <t>S1/S2 (hist.); 3Q26E = residual: J282 less itemised expense lines</t>
  </si>
  <si>
    <t>Noninterest expense - All Other</t>
  </si>
  <si>
    <t>Total noninterest expense</t>
  </si>
  <si>
    <t>Earnings</t>
  </si>
  <si>
    <t>Effective tax rate</t>
  </si>
  <si>
    <t>Preferred stock dividends</t>
  </si>
  <si>
    <t>Net income to common shareholders</t>
  </si>
  <si>
    <t>Add: Series L dividends (dilution)</t>
  </si>
  <si>
    <t>S4; S6. FY = annual dilution test (N3)</t>
  </si>
  <si>
    <t>NI allocated to common (diluted)</t>
  </si>
  <si>
    <t>Avg basic shares (millions)</t>
  </si>
  <si>
    <t>Avg diluted shares (millions)</t>
  </si>
  <si>
    <t>S1/S2; FY = annual test, S6 (N3)</t>
  </si>
  <si>
    <t>Basic EPS (GAAP)</t>
  </si>
  <si>
    <t>Diluted EPS (GAAP)</t>
  </si>
  <si>
    <t>Diluted EPS (reported)</t>
  </si>
  <si>
    <t>Check: computed less reported EPS</t>
  </si>
  <si>
    <t>GAAP to normalized (consensus basis) bridge</t>
  </si>
  <si>
    <t>ASSUMPTION: unverified zero bridge (N4)</t>
  </si>
  <si>
    <t>GAAP net income to common</t>
  </si>
  <si>
    <t>Litigation / regulatory charges</t>
  </si>
  <si>
    <t>Restructuring / severance</t>
  </si>
  <si>
    <t>FDIC special assessment excluded</t>
  </si>
  <si>
    <t>Securities gains / losses</t>
  </si>
  <si>
    <t>Tax effect of adjustments</t>
  </si>
  <si>
    <t>Normalized NI to common</t>
  </si>
  <si>
    <t>CapIQ normalized EPS actual</t>
  </si>
  <si>
    <t>Pre-revision 1Q25-3Q25 (N5)</t>
  </si>
  <si>
    <t>CapIQ normalized EPS consensus</t>
  </si>
  <si>
    <t>Surprise vs consensus ($/share)</t>
  </si>
  <si>
    <t>Growth and margins</t>
  </si>
  <si>
    <t>Net margin (net income / revenue)</t>
  </si>
  <si>
    <t>Pretax, pre-provision income</t>
  </si>
  <si>
    <t>Operating leverage</t>
  </si>
  <si>
    <t>Noninterest income % of revenue</t>
  </si>
  <si>
    <t>Row 86: 3Q26E = residual: total interest income J68 less segment-driven NII J89; J74:J83 allocated on</t>
  </si>
  <si>
    <t>2Q26 mix. Disclosed allocation, not an independent forecast; excluded from tracked-metric scoring of</t>
  </si>
  <si>
    <t>interest sub-lines.</t>
  </si>
  <si>
    <t>Row 225: S1/S2 (hist.); 3Q26E = allocation residual (J232 less itemised lines), not an independent</t>
  </si>
  <si>
    <t>forecast. Tracked target fee_noninterest_income uses consolidated total J232, not itemised sub-lines.</t>
  </si>
  <si>
    <t>Rows 302/307: FY25 Series L add-back (G302 = 224) and FY25 average diluted shares (G307 = 7,680.9) follow</t>
  </si>
  <si>
    <t>the full-year dilution test in the FY25 10-K EPS note (S6); they are not sums/averages of quarters</t>
  </si>
  <si>
    <t>(C302:F302 = 0/0/56/56; Series L antidilutive in 1Q25-2Q25). (29,055 + 224) / 7,680.9 = 3.81 ties to</t>
  </si>
  <si>
    <t>reported G311; summing quarters (112) would give 3.80. Values unchanged.</t>
  </si>
  <si>
    <t>Rows 313-321: ASSUMPTION, unverified: zero adjustments (no issuer non-GAAP items identified); not a</t>
  </si>
  <si>
    <t>CapIQ-verified reconciliation. History zeros inferred from CapIQ normalized = as-reported GAAP EPS</t>
  </si>
  <si>
    <t>(S17/S31), not line-item sourced. 3Q26E normalized EPS comparison/score conditional on this.</t>
  </si>
  <si>
    <t>Row 322: Inputs tab. 1Q25-3Q25 CapIQ = as originally reported (S31); row 311 = revised (S2) after 4Q25</t>
  </si>
  <si>
    <t>accounting change.</t>
  </si>
  <si>
    <t>Balance Sheet</t>
  </si>
  <si>
    <t>Assets</t>
  </si>
  <si>
    <t>Cash and due from banks</t>
  </si>
  <si>
    <t>Int.-bearing deposits at Fed/banks</t>
  </si>
  <si>
    <t>3Q26E = balancing item (N1)</t>
  </si>
  <si>
    <t>Cash and cash equivalents</t>
  </si>
  <si>
    <t>3Q26E = balancing item (N2)</t>
  </si>
  <si>
    <t>Time deposits / other ST inv.</t>
  </si>
  <si>
    <t>Derivative assets</t>
  </si>
  <si>
    <t>Debt securities at fair value</t>
  </si>
  <si>
    <t>Held-to-maturity debt securities</t>
  </si>
  <si>
    <t>Total debt securities</t>
  </si>
  <si>
    <t>Allowance for loan and lease losses</t>
  </si>
  <si>
    <t>Loans and leases, net</t>
  </si>
  <si>
    <t>Premises and equipment, net</t>
  </si>
  <si>
    <t>Goodwill</t>
  </si>
  <si>
    <t>Loans held-for-sale</t>
  </si>
  <si>
    <t>Customer and other receivables</t>
  </si>
  <si>
    <t>Other assets</t>
  </si>
  <si>
    <t>Memo: non-cash assets</t>
  </si>
  <si>
    <t>Total assets</t>
  </si>
  <si>
    <t>Total assets (reported)</t>
  </si>
  <si>
    <t>Liabilities</t>
  </si>
  <si>
    <t>Deposits - U.S. non-int.-bearing</t>
  </si>
  <si>
    <t>Deposits - U.S. interest-bearing</t>
  </si>
  <si>
    <t>Deposits - non-U.S. non-int.-bearing</t>
  </si>
  <si>
    <t>Deposits - non-U.S. int.-bearing</t>
  </si>
  <si>
    <t>Total deposits</t>
  </si>
  <si>
    <t>Fed funds purchased / repo</t>
  </si>
  <si>
    <t>Derivative liabilities</t>
  </si>
  <si>
    <t>Accrued expenses &amp; other liabs.</t>
  </si>
  <si>
    <t>Total liabilities</t>
  </si>
  <si>
    <t>Total liabilities (reported)</t>
  </si>
  <si>
    <t>Shareholders' equity</t>
  </si>
  <si>
    <t>Preferred stock</t>
  </si>
  <si>
    <t>Memo: stock comp credited to APIC</t>
  </si>
  <si>
    <t>Common stock and APIC</t>
  </si>
  <si>
    <t>Retained earnings</t>
  </si>
  <si>
    <t>Memo: change in AOCI (assumption)</t>
  </si>
  <si>
    <t>3Q26E assumption: held at 0</t>
  </si>
  <si>
    <t>Accumulated OCI</t>
  </si>
  <si>
    <t>Total shareholders’ equity</t>
  </si>
  <si>
    <t>Total liabilities and equity</t>
  </si>
  <si>
    <t>Check: assets - liabilities - equity</t>
  </si>
  <si>
    <t>Ratios</t>
  </si>
  <si>
    <t>Loans / deposits</t>
  </si>
  <si>
    <t>Equity / assets</t>
  </si>
  <si>
    <t>Book value per common share</t>
  </si>
  <si>
    <t>Row 11: S1/S2 (hist.); 3Q26E = balancing item (J12 less J10).</t>
  </si>
  <si>
    <t>Row 12: 3Q26E = balancing item: total L&amp;E J69 less non-cash assets J32; J70 and CF J119 tie by</t>
  </si>
  <si>
    <t>construction (informational, Cover C29).</t>
  </si>
  <si>
    <t>Cash Flow Statement</t>
  </si>
  <si>
    <t>Operating activities</t>
  </si>
  <si>
    <t>3Q25/4Q25 basis-mixed +/-119 (N1)</t>
  </si>
  <si>
    <t>(Gains) losses on debt securities</t>
  </si>
  <si>
    <t>3Q26E placeholder: held at 0 (not forecast)</t>
  </si>
  <si>
    <t>Depreciation and amortization</t>
  </si>
  <si>
    <t>Net accretion on debt securities</t>
  </si>
  <si>
    <t>Deferred income taxes</t>
  </si>
  <si>
    <t>Stock-based compensation</t>
  </si>
  <si>
    <t>Chg: trading &amp; derivative positions</t>
  </si>
  <si>
    <t>Chg: loans held-for-sale</t>
  </si>
  <si>
    <t>Chg: other assets</t>
  </si>
  <si>
    <t>Chg: accrued exp. &amp; other liabs.</t>
  </si>
  <si>
    <t>Other operating activities, net</t>
  </si>
  <si>
    <t>Net cash from operating activities</t>
  </si>
  <si>
    <t>operating_cash_flow: UNAVAILABLE - partial placeholder (N2)</t>
  </si>
  <si>
    <t>Investing activities</t>
  </si>
  <si>
    <t>Time deposits &amp; other ST inv.</t>
  </si>
  <si>
    <t>FV debt secs - sales</t>
  </si>
  <si>
    <t>FV debt secs - paydowns/maturities</t>
  </si>
  <si>
    <t>FV debt secs - purchases</t>
  </si>
  <si>
    <t>HTM secs - paydowns/maturities</t>
  </si>
  <si>
    <t>Loans - sales of HFI loans</t>
  </si>
  <si>
    <t>Loans - purchases</t>
  </si>
  <si>
    <t>Loans - other changes, net</t>
  </si>
  <si>
    <t>Other investing activities, net</t>
  </si>
  <si>
    <t>3Q26E = other-investing proxy (-D&amp;A, holds premises flat); not a capex forecast</t>
  </si>
  <si>
    <t>Net cash from investing activities</t>
  </si>
  <si>
    <t>Financing activities</t>
  </si>
  <si>
    <t>Long-term debt - issuance</t>
  </si>
  <si>
    <t>Long-term debt - retirement</t>
  </si>
  <si>
    <t>Preferred stock - issuance</t>
  </si>
  <si>
    <t>C97/H97 = 0 implied: line not presented in S5 (3M25/3M26); reported financing subtotal ties without it; 3Q26E placeholder: held at 0 (not forecast)</t>
  </si>
  <si>
    <t>Preferred stock - redemption</t>
  </si>
  <si>
    <t>Common stock repurchased</t>
  </si>
  <si>
    <t>Cash dividends paid</t>
  </si>
  <si>
    <t>Other financing activities, net</t>
  </si>
  <si>
    <t>Net cash from financing activities</t>
  </si>
  <si>
    <t>Effect of exchange rate changes</t>
  </si>
  <si>
    <t>Net change in cash</t>
  </si>
  <si>
    <t>Cash, beginning of period</t>
  </si>
  <si>
    <t>Cash, end of period</t>
  </si>
  <si>
    <t>Check: ending cash less BS cash</t>
  </si>
  <si>
    <t>Check: CFO build less reported</t>
  </si>
  <si>
    <t>Reported CFO (quarterly)</t>
  </si>
  <si>
    <t>Check: CF net income less IS net income</t>
  </si>
  <si>
    <t>3Q25/4Q25 = basis exception (N1)</t>
  </si>
  <si>
    <t>Free cash flow: not defined by BAC (bank) - not applicable. Capital expenditures: no separate line disclosed (premises spend within other investing) - unavailable, not forecast.</t>
  </si>
  <si>
    <t>Reported year-to-date cash flows (as filed; quarters above derived as YTD differences)</t>
  </si>
  <si>
    <t>YTD period in column</t>
  </si>
  <si>
    <t>3M25</t>
  </si>
  <si>
    <t>6M25</t>
  </si>
  <si>
    <t>9M25</t>
  </si>
  <si>
    <t>FY25</t>
  </si>
  <si>
    <t>3M26</t>
  </si>
  <si>
    <t>6M26</t>
  </si>
  <si>
    <t>S4; S5; S6; S7</t>
  </si>
  <si>
    <t>Net cash from operations (reported)</t>
  </si>
  <si>
    <t>C155/H155 left blank: line not presented in S5 (no dash); S5 financing totals 72,832 / 35,915 tie without it</t>
  </si>
  <si>
    <t>Cash at January 1</t>
  </si>
  <si>
    <t>Rows 10/122: 3Q25/4Q25 basis-mixed: 9M25 YTD (E127) as originally filed (S7) vs revised 6M25/FY25</t>
  </si>
  <si>
    <t>(S4/S6). E10 8,451 vs IS 8,332; F10 7,528 vs IS 7,647 (offset; FY ties). Not plugged. Row 122 makes the</t>
  </si>
  <si>
    <t>tie visible: 1Q25, 2Q25, 1Q26, 2Q26 = 0 (genuine ties); 3Q25 +119 / 4Q25 -119 = labelled historical basis</t>
  </si>
  <si>
    <t>exception, excluded from Cover C28; FY (G) and 3Q26E (J) hold by construction. Revised 9M25 comparatives</t>
  </si>
  <si>
    <t>unavailable before the cutoff.</t>
  </si>
  <si>
    <t>Row 46: NOT a full CFO forecast: 3Q26E = partial non-working-capital placeholder (NI + provision + D&amp;A +</t>
  </si>
  <si>
    <t>stock comp; trading/WC flows held at 0, not forecast) - full CFO unavailable. E/F components basis-mixed</t>
  </si>
  <si>
    <t>(see N1); total CFO likely unaffected (non-cash change), unverified. Tracked targets:</t>
  </si>
  <si>
    <t>operating_cash_flow = unavailable (partial placeholder, not scored); capital_expenditures = unavailable;</t>
  </si>
  <si>
    <t>issuer_defined_free_cash_flow = not applicable (row 123).</t>
  </si>
  <si>
    <t>Share Count</t>
  </si>
  <si>
    <t>millions of shares, except $ amounts</t>
  </si>
  <si>
    <t>Opening common shares outstanding</t>
  </si>
  <si>
    <t>S2 p5</t>
  </si>
  <si>
    <t>Shares repurchased</t>
  </si>
  <si>
    <t>S6 (equity stmt)</t>
  </si>
  <si>
    <t>Shares issued (employee plans)</t>
  </si>
  <si>
    <t>Closing common shares outstanding</t>
  </si>
  <si>
    <t>Net change in shares outstanding</t>
  </si>
  <si>
    <t>Check: FY25 share roll-forward (0.1M)</t>
  </si>
  <si>
    <t>Common stock repurchased ($M)</t>
  </si>
  <si>
    <t>Average repurchase price ($/share)</t>
  </si>
  <si>
    <t>Memo: shares at 30-Jul-26 (10-Q)</t>
  </si>
  <si>
    <t>S23</t>
  </si>
  <si>
    <t>Weighted average shares behind EPS</t>
  </si>
  <si>
    <t>Midpoint of open/close shares</t>
  </si>
  <si>
    <t>Basic count above midpoint</t>
  </si>
  <si>
    <t>Average basic shares</t>
  </si>
  <si>
    <t>Dilutive securities</t>
  </si>
  <si>
    <t>Average diluted shares</t>
  </si>
  <si>
    <t>Dividends and EPS</t>
  </si>
  <si>
    <t>Dividend per common share ($)</t>
  </si>
  <si>
    <t>Common dividends declared ($M)</t>
  </si>
  <si>
    <t>Approximation: DPS x avg basic shares (J33); record-date shares not available. RE/cash only, no EPS effect.</t>
  </si>
  <si>
    <t>Diluted EPS</t>
  </si>
  <si>
    <t>Check: less IS diluted EPS</t>
  </si>
  <si>
    <t>Guidance</t>
  </si>
  <si>
    <t>Date given</t>
  </si>
  <si>
    <t>Low</t>
  </si>
  <si>
    <t>High</t>
  </si>
  <si>
    <t>Midpoint</t>
  </si>
  <si>
    <t>Actual / model</t>
  </si>
  <si>
    <t>Beat / miss</t>
  </si>
  <si>
    <t>Basis of H</t>
  </si>
  <si>
    <t>Guidance in force for FY2026 / 3Q26 (management)</t>
  </si>
  <si>
    <t>NII growth (FTE), FY26 vs FY25</t>
  </si>
  <si>
    <t>FY2026</t>
  </si>
  <si>
    <t>Pending (FY)</t>
  </si>
  <si>
    <t>S8</t>
  </si>
  <si>
    <t>S11</t>
  </si>
  <si>
    <t>NII growth - "upper end of 6-8%"</t>
  </si>
  <si>
    <t>NII growth (FTE) - CEO at Barclays</t>
  </si>
  <si>
    <t>S9</t>
  </si>
  <si>
    <t>Operating leverage, FY26</t>
  </si>
  <si>
    <t>Effective tax rate ("&gt;20%")</t>
  </si>
  <si>
    <t>Investment banking fees ($M)</t>
  </si>
  <si>
    <t>3Q26</t>
  </si>
  <si>
    <t>Model 3Q26E</t>
  </si>
  <si>
    <t>S9; S10</t>
  </si>
  <si>
    <t>Memo: "roughly flat" band</t>
  </si>
  <si>
    <t>S&amp;T ex-DVA ($M), "roughly flat"</t>
  </si>
  <si>
    <t>Memo: AM fee guide band</t>
  </si>
  <si>
    <t>AM fees ($M), +10-15% Y/Y</t>
  </si>
  <si>
    <t>Track record: mid-quarter guidance vs reported (conservatism test, playbook step 2)</t>
  </si>
  <si>
    <t>Memo: 3Q24 IB fees ($M)</t>
  </si>
  <si>
    <t>S31 p4</t>
  </si>
  <si>
    <t>IB fees Y/Y growth</t>
  </si>
  <si>
    <t>3Q25</t>
  </si>
  <si>
    <t>Actual</t>
  </si>
  <si>
    <t>S18; S31</t>
  </si>
  <si>
    <t>Memo: 3Q24 S&amp;T ex-DVA ($M)</t>
  </si>
  <si>
    <t>S31 p21</t>
  </si>
  <si>
    <t>S&amp;T Y/Y (mid-single digit)</t>
  </si>
  <si>
    <t>Memo: 4Q24 IB fees ($M)</t>
  </si>
  <si>
    <t>S2 p4</t>
  </si>
  <si>
    <t>IB fees Y/Y ("little changed")</t>
  </si>
  <si>
    <t>4Q25</t>
  </si>
  <si>
    <t>S19</t>
  </si>
  <si>
    <t>Memo: 4Q24 S&amp;T ex-DVA ($M)</t>
  </si>
  <si>
    <t>S2 p21</t>
  </si>
  <si>
    <t>S&amp;T Y/Y ("close to 10%")</t>
  </si>
  <si>
    <t>Noninterest expense Y/Y (~4%)</t>
  </si>
  <si>
    <t>1Q26</t>
  </si>
  <si>
    <t>Trading revenue Y/Y ("&gt;15%")</t>
  </si>
  <si>
    <t>2Q26</t>
  </si>
  <si>
    <t>S20</t>
  </si>
  <si>
    <t>IB fees ($M, "$1.8bn+")</t>
  </si>
  <si>
    <t>Guide outcomes: beats (count)</t>
  </si>
  <si>
    <t>Guide outcomes: in line (count)</t>
  </si>
  <si>
    <t>Guide outcomes: miss (count)</t>
  </si>
  <si>
    <t>No revenue, net income or EPS guidance is issued by BAC; Cover guidance midpoints are therefore n.a.</t>
  </si>
  <si>
    <t>Inputs - CapIQ snapshot and calibration</t>
  </si>
  <si>
    <t>as stated per field (USD; $ millions; per share)</t>
  </si>
  <si>
    <t>CapIQ snapshot metadata (BAC_consensus.json, top level)</t>
  </si>
  <si>
    <t>source</t>
  </si>
  <si>
    <t>S&amp;P Capital IQ</t>
  </si>
  <si>
    <t>S17</t>
  </si>
  <si>
    <t>ticker</t>
  </si>
  <si>
    <t>BAC</t>
  </si>
  <si>
    <t>company</t>
  </si>
  <si>
    <t>fiscal_period</t>
  </si>
  <si>
    <t>FQ3 2026 - Sep 2026</t>
  </si>
  <si>
    <t>period_end_date</t>
  </si>
  <si>
    <t>as_of_date</t>
  </si>
  <si>
    <t>analyst_count</t>
  </si>
  <si>
    <t>consensus_eps</t>
  </si>
  <si>
    <t>eps_basis</t>
  </si>
  <si>
    <t>Normalized diluted EPS per common share, USD; verify issuer adjustments</t>
  </si>
  <si>
    <t>consensus_revenue_m</t>
  </si>
  <si>
    <t>currency</t>
  </si>
  <si>
    <t>USD</t>
  </si>
  <si>
    <t>captured_precision</t>
  </si>
  <si>
    <t>date only, user confirmed</t>
  </si>
  <si>
    <t>currency_units_status</t>
  </si>
  <si>
    <t>per-share in USD; revenue and income in USD millions</t>
  </si>
  <si>
    <t>summary_sha256</t>
  </si>
  <si>
    <t>edbf949d984075e582c0427440965f3f2b24f43d8e9ef3ba40bd5d158b8c8d16</t>
  </si>
  <si>
    <t>metric_units.eps_currency</t>
  </si>
  <si>
    <t>metric_units.eps_share_unit</t>
  </si>
  <si>
    <t>diluted common share</t>
  </si>
  <si>
    <t>metric_units.revenue_currency</t>
  </si>
  <si>
    <t>metric_units.financial_amount_scale</t>
  </si>
  <si>
    <t>millions</t>
  </si>
  <si>
    <t>CapIQ summary_row (complete raw row; blank source values preserved as empty cells)</t>
  </si>
  <si>
    <t>company_name</t>
  </si>
  <si>
    <t>exchange_ticker</t>
  </si>
  <si>
    <t>NYSE:BAC</t>
  </si>
  <si>
    <t>capiq_company_id</t>
  </si>
  <si>
    <t>sp500_member</t>
  </si>
  <si>
    <t>Y</t>
  </si>
  <si>
    <t>market_cap_usd_m</t>
  </si>
  <si>
    <t>blank in source</t>
  </si>
  <si>
    <t>fiscal_quarter</t>
  </si>
  <si>
    <t>quarter_end_date</t>
  </si>
  <si>
    <t>expected_report_date</t>
  </si>
  <si>
    <t>fiscal_year_end</t>
  </si>
  <si>
    <t>Dec-31</t>
  </si>
  <si>
    <t>analysts_covering</t>
  </si>
  <si>
    <t>eps_normalized_mean</t>
  </si>
  <si>
    <t>eps_normalized_median</t>
  </si>
  <si>
    <t>eps_normalized_high</t>
  </si>
  <si>
    <t>eps_normalized_low</t>
  </si>
  <si>
    <t>eps_normalized_std_dev</t>
  </si>
  <si>
    <t>eps_normalized_n_est</t>
  </si>
  <si>
    <t>eps_normalized_guidance</t>
  </si>
  <si>
    <t>eps_normalized_guidance_low</t>
  </si>
  <si>
    <t>eps_normalized_guidance_high</t>
  </si>
  <si>
    <t>eps_gaap_mean</t>
  </si>
  <si>
    <t>eps_gaap_median</t>
  </si>
  <si>
    <t>eps_gaap_high</t>
  </si>
  <si>
    <t>eps_gaap_low</t>
  </si>
  <si>
    <t>eps_gaap_std_dev</t>
  </si>
  <si>
    <t>eps_gaap_n_est</t>
  </si>
  <si>
    <t>eps_gaap_guidance</t>
  </si>
  <si>
    <t>revenue_m_mean</t>
  </si>
  <si>
    <t>revenue_m_median</t>
  </si>
  <si>
    <t>revenue_m_high</t>
  </si>
  <si>
    <t>revenue_m_low</t>
  </si>
  <si>
    <t>revenue_m_std_dev</t>
  </si>
  <si>
    <t>revenue_m_n_est</t>
  </si>
  <si>
    <t>revenue_m_guidance</t>
  </si>
  <si>
    <t>revenue_m_guidance_low</t>
  </si>
  <si>
    <t>revenue_m_guidance_high</t>
  </si>
  <si>
    <t>ebitda_m</t>
  </si>
  <si>
    <t>ebit_m</t>
  </si>
  <si>
    <t>ebt_excl_excep_m</t>
  </si>
  <si>
    <t>ebt_gaap_m</t>
  </si>
  <si>
    <t>net_income_excl_excep_m</t>
  </si>
  <si>
    <t>net_income_gaap_m</t>
  </si>
  <si>
    <t>gross_margin_pct</t>
  </si>
  <si>
    <t>effective_tax_rate_pct</t>
  </si>
  <si>
    <t>d_and_a_m</t>
  </si>
  <si>
    <t>capex_m</t>
  </si>
  <si>
    <t>cfo_m</t>
  </si>
  <si>
    <t>fcf_m</t>
  </si>
  <si>
    <t>interest_expense_m</t>
  </si>
  <si>
    <t>net_debt_m</t>
  </si>
  <si>
    <t>cfps</t>
  </si>
  <si>
    <t>bvps</t>
  </si>
  <si>
    <t>dps</t>
  </si>
  <si>
    <t>nav_m</t>
  </si>
  <si>
    <t>navps</t>
  </si>
  <si>
    <t>roe_pct</t>
  </si>
  <si>
    <t>target_price_mean</t>
  </si>
  <si>
    <t>target_price_median</t>
  </si>
  <si>
    <t>target_price_high</t>
  </si>
  <si>
    <t>target_price_low</t>
  </si>
  <si>
    <t>target_price_std_dev</t>
  </si>
  <si>
    <t>target_price_n_est</t>
  </si>
  <si>
    <t>recommendation</t>
  </si>
  <si>
    <t>Outperform</t>
  </si>
  <si>
    <t>recommendation_score</t>
  </si>
  <si>
    <t>last_close_price</t>
  </si>
  <si>
    <t>wk52_high_low</t>
  </si>
  <si>
    <t>65.23/46.12</t>
  </si>
  <si>
    <t>units</t>
  </si>
  <si>
    <t>estimates_captured_at</t>
  </si>
  <si>
    <t>notes</t>
  </si>
  <si>
    <t>A GAAP EPS "Guidance 0.32" value on the CapIQ page looks like a different line item and was excluded.</t>
  </si>
  <si>
    <t>CapIQ six-quarter history (BAC_history.csv, all rows)</t>
  </si>
  <si>
    <t>Field</t>
  </si>
  <si>
    <t>report_date</t>
  </si>
  <si>
    <t>eps_normalized_consensus</t>
  </si>
  <si>
    <t>eps_normalized_actual</t>
  </si>
  <si>
    <t>eps_gaap_consensus</t>
  </si>
  <si>
    <t>eps_gaap_actual</t>
  </si>
  <si>
    <t>revenue_m_consensus</t>
  </si>
  <si>
    <t>revenue_m_actual</t>
  </si>
  <si>
    <t>History row 1</t>
  </si>
  <si>
    <t>S17; EPS/revenue actuals = BAC as originally reported (S31), pre-4Q25 revision</t>
  </si>
  <si>
    <t>History row 2</t>
  </si>
  <si>
    <t>History row 3</t>
  </si>
  <si>
    <t>History row 4</t>
  </si>
  <si>
    <t>History row 5</t>
  </si>
  <si>
    <t>History row 6</t>
  </si>
  <si>
    <t>Size-aware starting probability (forecasting playbook v2, section 7)</t>
  </si>
  <si>
    <t>Row</t>
  </si>
  <si>
    <t>Surprise $/sh</t>
  </si>
  <si>
    <t>Strict beat (1/0)</t>
  </si>
  <si>
    <t>Surprise %</t>
  </si>
  <si>
    <t>Row 1: actual vs consensus</t>
  </si>
  <si>
    <t>Row 2: actual vs consensus</t>
  </si>
  <si>
    <t>Row 3: actual vs consensus</t>
  </si>
  <si>
    <t>Row 4: actual vs consensus</t>
  </si>
  <si>
    <t>Row 5: actual vs consensus</t>
  </si>
  <si>
    <t>Row 6: actual vs consensus</t>
  </si>
  <si>
    <t>b = strict beats</t>
  </si>
  <si>
    <t>n = valid pairs</t>
  </si>
  <si>
    <t>Mean surprise ($/share)</t>
  </si>
  <si>
    <t>Smallest surprise ($/share)</t>
  </si>
  <si>
    <t>Market cap, $M (9-Oct-2026)</t>
  </si>
  <si>
    <t>S16</t>
  </si>
  <si>
    <t>Size threshold: large above ($M)</t>
  </si>
  <si>
    <t>Size threshold: mid from ($M)</t>
  </si>
  <si>
    <t>Size threshold: small from ($M)</t>
  </si>
  <si>
    <t>Size bucket</t>
  </si>
  <si>
    <t>S&amp;P 500 member (CapIQ summary_row)</t>
  </si>
  <si>
    <t>Prior: large cap or S&amp;P 500</t>
  </si>
  <si>
    <t>Prior: mid cap</t>
  </si>
  <si>
    <t>Prior: small cap</t>
  </si>
  <si>
    <t>Cohort prior (applied once)</t>
  </si>
  <si>
    <t>Pseudo-observations</t>
  </si>
  <si>
    <t>Starting p</t>
  </si>
  <si>
    <t>Evidence adjustment</t>
  </si>
  <si>
    <t>Judgmental, unparameterized (N1)</t>
  </si>
  <si>
    <t>Final P(beat consensus EPS)</t>
  </si>
  <si>
    <t>medium</t>
  </si>
  <si>
    <t>Row 131: Judgmental, unparameterized adjustment (no fixed blend weight or source-cited rule). Original</t>
  </si>
  <si>
    <t>rationale (artifacts/prior-calibration.json): blend starting p 0.874 with model-implied ~0.60 (model EPS</t>
  </si>
  <si>
    <t>~+$0.017 vs $1.10 cons.; P(EPS&gt;=1.105) ~60% at $0.045 s.d.), weighted slightly to the prior. The $0.045</t>
  </si>
  <si>
    <t>s.d. is the original model judgment and is not quoted as CapIQ dispersion; CapIQ eps_normalized_std_dev</t>
  </si>
  <si>
    <t>is $0.05 (C44), which gives ~59% instead of ~60% (immaterial). Adjustment and final probability</t>
  </si>
  <si>
    <t>unchanged; probability is not used in any EPS cell.</t>
  </si>
  <si>
    <t>Sources</t>
  </si>
  <si>
    <t>ID</t>
  </si>
  <si>
    <t>Publication date</t>
  </si>
  <si>
    <t>Publisher</t>
  </si>
  <si>
    <t>URL or file</t>
  </si>
  <si>
    <t>Feeds</t>
  </si>
  <si>
    <t>S1</t>
  </si>
  <si>
    <t>BAC 8-K Ex.99.3 2Q26 Supplemental</t>
  </si>
  <si>
    <t>https://www.sec.gov/Archives/edgar/data/70858/000007085826000353/bac-06302026ex993.htm</t>
  </si>
  <si>
    <t>IS, segments, KPIs, avg balances, BS 2Q25-2Q26</t>
  </si>
  <si>
    <t>S2</t>
  </si>
  <si>
    <t>BAC 8-K Ex.99.3 4Q25 Supplemental</t>
  </si>
  <si>
    <t>https://www.sec.gov/Archives/edgar/data/70858/000007085826000020/bac-12312025ex993.htm</t>
  </si>
  <si>
    <t>1Q25 (restated), FY25, BS 30-Sep-25, 4Q24 memo</t>
  </si>
  <si>
    <t>S3</t>
  </si>
  <si>
    <t>BAC 8-K Ex.99.3 1Q26 Supplemental</t>
  </si>
  <si>
    <t>https://www.sec.gov/Archives/edgar/data/70858/000007085826000222/bac-03312026ex993.htm</t>
  </si>
  <si>
    <t>BS 31-Mar-25 and revised 31-Dec-25; 1Q25 avg balances</t>
  </si>
  <si>
    <t>S4</t>
  </si>
  <si>
    <t>BAC 2Q26 Form 10-Q (cash flow R7; EPS note R20/R102)</t>
  </si>
  <si>
    <t>https://www.sec.gov/Archives/edgar/data/70858/000007085826000394/R7.htm</t>
  </si>
  <si>
    <t>CF 6M26/6M25; Series L add-back</t>
  </si>
  <si>
    <t>S5</t>
  </si>
  <si>
    <t>BAC 1Q26 Form 10-Q (cash flow R7)</t>
  </si>
  <si>
    <t>https://www.sec.gov/Archives/edgar/data/70858/000007085826000249/R7.htm</t>
  </si>
  <si>
    <t>CF 3M26/3M25</t>
  </si>
  <si>
    <t>S6</t>
  </si>
  <si>
    <t>BAC 2025 Form 10-K (cash flow R9; equity stmt R7)</t>
  </si>
  <si>
    <t>https://www.sec.gov/Archives/edgar/data/70858/000007085826000157/R9.htm</t>
  </si>
  <si>
    <t>CF FY25; FY25 shares repurchased/issued</t>
  </si>
  <si>
    <t>S7</t>
  </si>
  <si>
    <t>BAC 3Q25 Form 10-Q (cash flow R7)</t>
  </si>
  <si>
    <t>https://www.sec.gov/Archives/edgar/data/70858/000007085825000405/R7.htm</t>
  </si>
  <si>
    <t>CF 9M25 (as originally filed)</t>
  </si>
  <si>
    <t>2Q26 earnings call transcript (Equibles)</t>
  </si>
  <si>
    <t>https://equibles.com/stocks/bac/calls/2026-q2</t>
  </si>
  <si>
    <t>NII guide, op. leverage, markets NII, expense approach</t>
  </si>
  <si>
    <t>American Banking News - Barclays conference recap</t>
  </si>
  <si>
    <t>https://www.americanbankingnews.com/2026/09/17/bank-of-america-sees-resilient-consumers-strong-loan-growth-and-rising-nii.html</t>
  </si>
  <si>
    <t>3Q26 IB/S&amp;T/AUM-fee guide, loans, NII 7-8%</t>
  </si>
  <si>
    <t>S10</t>
  </si>
  <si>
    <t>Reuters - BofA CEO sees &gt;=10% drop in Q3 IB fees</t>
  </si>
  <si>
    <t>https://www.reuters.com/business/finance/bank-america-ceo-sees-least-10-drop-q3-investment-banking-fees-2026-09-14/</t>
  </si>
  <si>
    <t>IB $1.6-1.8bn, S&amp;T flat (also Newswav 16-Sep)</t>
  </si>
  <si>
    <t>1Q26 earnings call transcript (stockanalysis.com)</t>
  </si>
  <si>
    <t>https://stockanalysis.com/stocks/bac/transcripts/400429-q1-2026/</t>
  </si>
  <si>
    <t>FY26 ETR guide; 1Q26 expense guide outcome</t>
  </si>
  <si>
    <t>S12</t>
  </si>
  <si>
    <t>Federal Reserve FOMC statement</t>
  </si>
  <si>
    <t>https://www.federalreserve.gov/newsevents/pressreleases/monetary20260916a.htm</t>
  </si>
  <si>
    <t>+25bp to 3.75-4.00%</t>
  </si>
  <si>
    <t>S13</t>
  </si>
  <si>
    <t>US Market Current Q3 scorecard (also LPL Q3 review)</t>
  </si>
  <si>
    <t>https://usmarketcurrent.com/q3-2026-scorecard-sp-500-up-2-russell-2000-down-7-5-energy-led-utilities-fell-13-10-year-up-87bp/</t>
  </si>
  <si>
    <t>S&amp;P +2.0%, 10-yr +87bp (AUM market move)</t>
  </si>
  <si>
    <t>SKN (Zacks consensus detail)</t>
  </si>
  <si>
    <t>https://skncbba.com/skn-bank-of-america-faces-q3-earnings-test-as-net-interest-income-growth-meets-credit-risks/</t>
  </si>
  <si>
    <t>Newer consensus EPS/revenue/NII</t>
  </si>
  <si>
    <t>S15</t>
  </si>
  <si>
    <t>Trend &amp; Ticker - $16.75bn NII bar</t>
  </si>
  <si>
    <t>https://trendandticker.com/markets/banks/bank-of-america-bac-q3-2026-earnings-preview-nii-target</t>
  </si>
  <si>
    <t>FY25 FTE NII base, 2H NII math</t>
  </si>
  <si>
    <t>stockanalysis.com market cap</t>
  </si>
  <si>
    <t>https://stockanalysis.com/stocks/bac/market-cap/</t>
  </si>
  <si>
    <t>Market cap $379.85bn (size bucket)</t>
  </si>
  <si>
    <t>S&amp;P Capital IQ snapshot (supplied files)</t>
  </si>
  <si>
    <t>BAC_consensus.json; BAC_history.csv (workspace)</t>
  </si>
  <si>
    <t>Frozen consensus, history, calibration</t>
  </si>
  <si>
    <t>S18</t>
  </si>
  <si>
    <t>KELO / Reuters - BofA expects IB fees +10-15% in 3Q25</t>
  </si>
  <si>
    <t>https://kelo.com/2025/09/08/bofa-expects-investment-banking-fees-to-grow-10-to-15-in-3q/</t>
  </si>
  <si>
    <t>Guidance track record</t>
  </si>
  <si>
    <t>Bloomberg Law - BofA sees IB fees little changed</t>
  </si>
  <si>
    <t>https://news.bloomberglaw.com/mergers-and-acquisitions/bofa-sees-investment-banking-fees-little-changed-this-quarter</t>
  </si>
  <si>
    <t>Hudson Labs 2Q26 preview (Morgan Stanley conf. guide)</t>
  </si>
  <si>
    <t>https://www.hudson-labs.com/research/bac-q2-2026-earnings</t>
  </si>
  <si>
    <t>S21a</t>
  </si>
  <si>
    <t>BAC 1Q25 earnings release (Ex.99.1)</t>
  </si>
  <si>
    <t>https://www.sec.gov/Archives/edgar/data/70858/000007085825000187/bac033125ex991.htm</t>
  </si>
  <si>
    <t>Checking accounts 1Q25</t>
  </si>
  <si>
    <t>S21b</t>
  </si>
  <si>
    <t>BAC 2Q25 earnings release (Ex.99.1)</t>
  </si>
  <si>
    <t>https://www.sec.gov/Archives/edgar/data/70858/000007085825000254/bac063025ex991.htm</t>
  </si>
  <si>
    <t>Checking accounts 2Q25</t>
  </si>
  <si>
    <t>S21c</t>
  </si>
  <si>
    <t>BAC 3Q25 earnings release (Ex.99.1)</t>
  </si>
  <si>
    <t>https://www.sec.gov/Archives/edgar/data/70858/000007085825000390/bac093025ex991.htm</t>
  </si>
  <si>
    <t>Checking accounts 3Q25</t>
  </si>
  <si>
    <t>S21d</t>
  </si>
  <si>
    <t>BAC 4Q25 earnings release (Ex.99.1)</t>
  </si>
  <si>
    <t>https://investor.bankofamerica.com/regulatory-and-other-filings/select-sec-filings/content/0000070858-26-000020/bac12312025ex991.htm</t>
  </si>
  <si>
    <t>Checking accounts FY25</t>
  </si>
  <si>
    <t>S21e</t>
  </si>
  <si>
    <t>BAC 1Q26 earnings release (Ex.99.1)</t>
  </si>
  <si>
    <t>https://investor.bankofamerica.com/regulatory-and-other-filings/select-sec-filings/content/0000070858-26-000222/bac03312026ex991.htm</t>
  </si>
  <si>
    <t>Checking accounts 1Q26</t>
  </si>
  <si>
    <t>S21f</t>
  </si>
  <si>
    <t>BAC 2Q26 earnings release (Ex.99.1)</t>
  </si>
  <si>
    <t>https://www.sec.gov/Archives/edgar/data/70858/000007085826000353/bac06302026ex991.htm</t>
  </si>
  <si>
    <t>Checking accounts 2Q26</t>
  </si>
  <si>
    <t>S22</t>
  </si>
  <si>
    <t>BAC dividend increase release (8-K Ex.99.1)</t>
  </si>
  <si>
    <t>https://www.sec.gov/Archives/edgar/data/70858/000007085826000364/exhibit991.htm</t>
  </si>
  <si>
    <t>DPS $0.32; $40bn buyback authorisation</t>
  </si>
  <si>
    <t>BAC 2Q26 10-Q cover page</t>
  </si>
  <si>
    <t>https://investor.bankofamerica.com/regulatory-and-other-filings/select-sec-filings/content/0000070858-26-000394/0000070858-26-000394.pdf</t>
  </si>
  <si>
    <t>Shares outstanding 30-Jul-26</t>
  </si>
  <si>
    <t>S24</t>
  </si>
  <si>
    <t>Reuters - Merrill $39M cash-sweep settlement</t>
  </si>
  <si>
    <t>https://www.reuters.com/business/finance/bank-america-pay-39-million-settle-customer-claims-over-low-interest-rates-cash-2026-09-30/</t>
  </si>
  <si>
    <t>Bridge: not an excluded item</t>
  </si>
  <si>
    <t>S25</t>
  </si>
  <si>
    <t>American Banking News - JPMorgan Q3 guide (peer)</t>
  </si>
  <si>
    <t>https://www.americanbankingnews.com/2026/09/18/jpmorgan-chase-sees-mid-teens-growth-in-q3-banking-fees-and-markets-revenue.html</t>
  </si>
  <si>
    <t>Peer context (JPM IB/markets +mid-high teens)</t>
  </si>
  <si>
    <t>S26</t>
  </si>
  <si>
    <t>FactSet earnings season update (playbook reference)</t>
  </si>
  <si>
    <t>https://insight.factset.com/sp-500-earnings-season-update-july-31-2026</t>
  </si>
  <si>
    <t>S&amp;P 500 beat-rate context</t>
  </si>
  <si>
    <t>TIKR / Earnings Whispers / MarketBeat previews</t>
  </si>
  <si>
    <t>https://www.tikr.com/blog/bank-of-americas-eps-growth-is-expected-to-slow-from-36-to-single-digits-heres-what-october-14-needs-to-show</t>
  </si>
  <si>
    <t>Newer consensus references (also earningswhispers.com/article/BAC/20321; marketbeat 7-Oct)</t>
  </si>
  <si>
    <t>S28</t>
  </si>
  <si>
    <t>TIKR (10-K geographic data summary)</t>
  </si>
  <si>
    <t>FY25 non-U.S. revenue ~$15.4bn (Geo note)</t>
  </si>
  <si>
    <t>S29</t>
  </si>
  <si>
    <t>BAC Investor Relations - Q3 2026 call notice</t>
  </si>
  <si>
    <t>https://investor.bankofamerica.com/events-and-presentations/events/detail/20261014-q3-2026-bank-of-america-earnings-conference-call</t>
  </si>
  <si>
    <t>Report date 14-Oct-26</t>
  </si>
  <si>
    <t>S30</t>
  </si>
  <si>
    <t>3Q25 earnings call transcript (mirror)</t>
  </si>
  <si>
    <t>http://o.thsi.cn/dc-d-stock-america.teleconference/88b20aec-257b-fa1f-391e-d91eeb9f4ab0.html</t>
  </si>
  <si>
    <t>3Q25 IB +43%, S&amp;T +8% commentary</t>
  </si>
  <si>
    <t>S31</t>
  </si>
  <si>
    <t>BAC 8-K Ex.99.3 3Q25 Supplemental</t>
  </si>
  <si>
    <t>https://www.sec.gov/Archives/edgar/data/70858/000007085825000390/bac-09302025ex993.htm</t>
  </si>
  <si>
    <t>3Q24 IB fees and S&amp;T ex-DVA (guidance track record)</t>
  </si>
  <si>
    <t>Tabs checked and omitted</t>
  </si>
  <si>
    <t>Geo: omitted - BAC discloses U.S./non-U.S. revenue only annually (2025 10-K); 2Q26 supplemental/10-Q have no quarterly split.</t>
  </si>
  <si>
    <t>Dates, Consensus and Checks tabs intentionally absent: dates sit in each tab header, consensus on Cover, checks in artifacts/checks.md.</t>
  </si>
  <si>
    <t>Format exception: yields, spreads and NIM use 0.00% (not 0.0%) to keep the issuer-reported 2-dp precision; growth/margin rows use 0.0%.</t>
  </si>
  <si>
    <t>All sources dated on or before 2026-10-11 (date-only precision; time of day not recorded). S15 (dated 2026-10-11) publication time vs the 22:24 UTC cutoff is unresolved. A workbook search finds no model cell citing S15; it is listed as informing judgmental NII framing (FY25 FTE NII base, 2H NII math), and whether it influenced any driver judgment cannot be verified, so its effect is flagged as unresolved rather than asserted nil. Retrieved 2026-10-12 via web_fetch / web search. No 3Q26 actual results were seen.</t>
  </si>
</sst>
</file>

<file path=xl/styles.xml><?xml version="1.0" encoding="utf-8"?>
<styleSheet xmlns="http://schemas.openxmlformats.org/spreadsheetml/2006/main">
  <numFmts count="9">
    <numFmt numFmtId="164" formatCode="#,##0.0_);(#,##0.0);–_)"/>
    <numFmt numFmtId="165" formatCode="$0.00_);($0.00);–_)"/>
    <numFmt numFmtId="166" formatCode="0"/>
    <numFmt numFmtId="167" formatCode="0.0%_);(0.0%);–_)"/>
    <numFmt numFmtId="168" formatCode="yyyy-mm-dd"/>
    <numFmt numFmtId="169" formatCode="#,##0_);(#,##0);–_)"/>
    <numFmt numFmtId="170" formatCode="0.00"/>
    <numFmt numFmtId="171" formatCode="0.00%_);(0.00%);–_)"/>
    <numFmt numFmtId="172" formatCode="General"/>
  </numFmts>
  <fonts count="28">
    <font>
      <sz val="11"/>
      <name val="Calibri"/>
    </font>
    <font>
      <b val="0"/>
      <i/>
      <strike val="0"/>
      <sz val="10"/>
      <color rgb="FF000000"/>
      <name val="Arial"/>
    </font>
    <font>
      <b val="0"/>
      <i val="0"/>
      <strike val="0"/>
      <sz val="10"/>
      <color rgb="FF000000"/>
      <name val="Arial"/>
    </font>
    <font>
      <b/>
      <i val="0"/>
      <strike val="0"/>
      <sz val="10"/>
      <color rgb="FF000000"/>
      <name val="Arial"/>
    </font>
    <font>
      <b val="0"/>
      <i val="0"/>
      <strike val="0"/>
      <sz val="10"/>
      <color rgb="FF006100"/>
      <name val="Arial"/>
    </font>
    <font>
      <b val="0"/>
      <i val="0"/>
      <strike val="0"/>
      <sz val="10"/>
      <color rgb="FF0000FF"/>
      <name val="Arial"/>
    </font>
    <font>
      <b val="0"/>
      <i/>
      <strike val="0"/>
      <sz val="10"/>
      <color rgb="FF0000FF"/>
      <name val="Arial"/>
    </font>
    <font>
      <b val="0"/>
      <i/>
      <strike val="0"/>
      <sz val="10"/>
      <color rgb="FF006100"/>
      <name val="Arial"/>
    </font>
    <font>
      <b/>
      <i val="0"/>
      <strike val="0"/>
      <sz val="10"/>
      <color rgb="FF006100"/>
      <name val="Arial"/>
    </font>
    <font>
      <b/>
      <i/>
      <strike val="0"/>
      <sz val="10"/>
      <color rgb="FF006100"/>
      <name val="Arial"/>
    </font>
    <font>
      <b/>
      <i/>
      <strike val="0"/>
      <sz val="10"/>
      <color rgb="FF000000"/>
      <name val="Arial"/>
    </font>
    <font>
      <b/>
      <i val="0"/>
      <strike val="0"/>
      <sz val="10"/>
      <color rgb="FF0000FF"/>
      <name val="Arial"/>
    </font>
    <font>
      <b/>
      <i/>
      <strike val="0"/>
      <sz val="10"/>
      <color rgb="FF0000FF"/>
      <name val="Arial"/>
    </font>
    <font>
      <b/>
      <i val="0"/>
      <strike val="0"/>
      <sz val="10"/>
      <color rgb="FF006100"/>
      <name val="Arial"/>
    </font>
    <font>
      <b/>
      <i/>
      <strike val="0"/>
      <sz val="10"/>
      <color rgb="FF006100"/>
      <name val="Arial"/>
    </font>
    <font>
      <b val="0"/>
      <i/>
      <strike val="0"/>
      <sz val="10"/>
      <color rgb="FF000000"/>
      <name val="Arial"/>
    </font>
    <font>
      <b val="0"/>
      <i val="0"/>
      <strike val="0"/>
      <sz val="10"/>
      <color rgb="FF000000"/>
      <name val="Arial"/>
    </font>
    <font>
      <b/>
      <i val="0"/>
      <strike val="0"/>
      <sz val="10"/>
      <color rgb="FF000000"/>
      <name val="Arial"/>
    </font>
    <font>
      <b/>
      <i val="0"/>
      <strike val="0"/>
      <sz val="10"/>
      <color rgb="FF0000FF"/>
      <name val="Arial"/>
    </font>
    <font>
      <b/>
      <i val="0"/>
      <strike val="0"/>
      <sz val="10"/>
      <color rgb="FF000000"/>
      <name val="Arial"/>
    </font>
    <font>
      <b val="0"/>
      <i/>
      <strike val="0"/>
      <sz val="10"/>
      <color rgb="FF000000"/>
      <name val="Arial"/>
    </font>
    <font>
      <b val="0"/>
      <i val="0"/>
      <strike val="0"/>
      <sz val="10"/>
      <color rgb="FF000000"/>
      <name val="Arial"/>
    </font>
    <font>
      <b val="0"/>
      <i val="0"/>
      <strike val="0"/>
      <sz val="10"/>
      <color rgb="FF000000"/>
      <name val="Arial"/>
    </font>
    <font>
      <b val="0"/>
      <i/>
      <strike val="0"/>
      <sz val="10"/>
      <color rgb="FF000000"/>
      <name val="Arial"/>
    </font>
    <font>
      <b/>
      <i val="0"/>
      <strike val="0"/>
      <sz val="10"/>
      <color rgb="FF000000"/>
      <name val="Arial"/>
    </font>
    <font>
      <b/>
      <i val="0"/>
      <strike val="0"/>
      <sz val="10"/>
      <color rgb="FF006100"/>
      <name val="Arial"/>
    </font>
    <font>
      <b val="0"/>
      <i val="0"/>
      <strike val="0"/>
      <sz val="11"/>
      <color rgb="FF000000"/>
      <name val="Calibri"/>
    </font>
    <font>
      <b val="0"/>
      <i/>
      <strike val="0"/>
      <sz val="10"/>
      <color rgb="FF006100"/>
      <name val="Arial"/>
    </font>
  </fonts>
  <fills count="4">
    <fill>
      <patternFill patternType="none"/>
    </fill>
    <fill>
      <patternFill patternType="gray125"/>
    </fill>
    <fill>
      <patternFill patternType="solid">
        <fgColor rgb="FFF2F2F2"/>
      </patternFill>
    </fill>
    <fill>
      <patternFill patternType="solid">
        <fgColor rgb="FFEEF3FA"/>
      </patternFill>
    </fill>
  </fills>
  <borders count="3">
    <border>
      <left/>
      <right/>
      <top/>
      <bottom/>
      <diagonal/>
    </border>
    <border>
      <bottom style="thin">
        <color rgb="FF000000"/>
      </bottom>
    </border>
    <border>
      <top style="thin">
        <color rgb="FF000000"/>
      </top>
    </border>
  </borders>
  <cellStyleXfs count="1">
    <xf numFmtId="0" fontId="0" fillId="0" borderId="0"/>
  </cellStyleXfs>
  <cellXfs count="147">
    <xf numFmtId="0" fontId="0" fillId="0" borderId="0" xfId="0"/>
    <xf numFmtId="0" fontId="1" fillId="0" borderId="0" xfId="0" applyFont="1" applyFill="1" applyAlignment="1" applyProtection="1">
      <alignment horizontal="general" vertical="bottom"/>
      <protection locked="1" hidden="0"/>
    </xf>
    <xf numFmtId="0" fontId="2" fillId="0" borderId="0" xfId="0" applyFont="1" applyFill="1" applyAlignment="1" applyProtection="1">
      <alignment horizontal="general" vertical="bottom"/>
      <protection locked="1" hidden="0"/>
    </xf>
    <xf numFmtId="0" fontId="2" fillId="0" borderId="0" xfId="0" applyFont="1" applyFill="1" applyAlignment="1" applyProtection="1">
      <alignment horizontal="general" vertical="bottom" indent="1"/>
      <protection locked="1" hidden="0"/>
    </xf>
    <xf numFmtId="0" fontId="3" fillId="0" borderId="0" xfId="0" applyFont="1" applyFill="1" applyAlignment="1" applyProtection="1">
      <alignment horizontal="right" vertical="bottom" wrapText="1"/>
      <protection locked="1" hidden="0"/>
    </xf>
    <xf numFmtId="164" fontId="4" fillId="0" borderId="0" xfId="0" applyNumberFormat="1" applyFont="1" applyFill="1" applyAlignment="1" applyProtection="1">
      <alignment horizontal="general" vertical="bottom"/>
      <protection locked="1" hidden="0"/>
    </xf>
    <xf numFmtId="0" fontId="2" fillId="2" borderId="1" xfId="0" applyFont="1" applyFill="1" applyBorder="1" applyAlignment="1" applyProtection="1">
      <alignment horizontal="general" vertical="bottom"/>
      <protection locked="1" hidden="0"/>
    </xf>
    <xf numFmtId="0" fontId="2" fillId="0" borderId="0" xfId="0" applyFont="1" applyFill="1" applyAlignment="1" applyProtection="1">
      <alignment horizontal="right" vertical="bottom"/>
      <protection locked="1" hidden="0"/>
    </xf>
    <xf numFmtId="165" fontId="4" fillId="0" borderId="0" xfId="0" applyNumberFormat="1" applyFont="1" applyFill="1" applyAlignment="1" applyProtection="1">
      <alignment horizontal="general" vertical="bottom"/>
      <protection locked="1" hidden="0"/>
    </xf>
    <xf numFmtId="0" fontId="3" fillId="2" borderId="2" xfId="0" applyFont="1" applyFill="1" applyBorder="1" applyAlignment="1" applyProtection="1">
      <alignment horizontal="right" vertical="bottom"/>
      <protection locked="1" hidden="0"/>
    </xf>
    <xf numFmtId="166" fontId="2" fillId="2" borderId="1" xfId="0" applyNumberFormat="1" applyFont="1" applyFill="1" applyBorder="1" applyAlignment="1" applyProtection="1">
      <alignment horizontal="right" vertical="bottom"/>
      <protection locked="1" hidden="0"/>
    </xf>
    <xf numFmtId="167" fontId="1" fillId="0" borderId="0" xfId="0" applyNumberFormat="1" applyFont="1" applyFill="1" applyAlignment="1" applyProtection="1">
      <alignment horizontal="general" vertical="bottom"/>
      <protection locked="1" hidden="0"/>
    </xf>
    <xf numFmtId="0" fontId="2" fillId="2" borderId="0" xfId="0" applyFont="1" applyFill="1" applyAlignment="1" applyProtection="1">
      <alignment horizontal="general" vertical="bottom"/>
      <protection locked="1" hidden="0"/>
    </xf>
    <xf numFmtId="164" fontId="5" fillId="0" borderId="0" xfId="0" applyNumberFormat="1" applyFont="1" applyFill="1" applyAlignment="1" applyProtection="1">
      <alignment horizontal="general" vertical="bottom"/>
      <protection locked="1" hidden="0"/>
    </xf>
    <xf numFmtId="0" fontId="2" fillId="2" borderId="1" xfId="0" applyFont="1" applyFill="1" applyBorder="1" applyAlignment="1" applyProtection="1">
      <alignment horizontal="right" vertical="bottom"/>
      <protection locked="1" hidden="0"/>
    </xf>
    <xf numFmtId="164" fontId="2" fillId="0" borderId="0" xfId="0" applyNumberFormat="1" applyFont="1" applyFill="1" applyAlignment="1" applyProtection="1">
      <alignment horizontal="general" vertical="bottom"/>
      <protection locked="1" hidden="0"/>
    </xf>
    <xf numFmtId="0" fontId="2" fillId="2" borderId="2" xfId="0" applyFont="1" applyFill="1" applyBorder="1" applyAlignment="1" applyProtection="1">
      <alignment horizontal="general" vertical="bottom"/>
      <protection locked="1" hidden="0"/>
    </xf>
    <xf numFmtId="165" fontId="5" fillId="0" borderId="0" xfId="0" applyNumberFormat="1" applyFont="1" applyFill="1" applyAlignment="1" applyProtection="1">
      <alignment horizontal="general" vertical="bottom"/>
      <protection locked="1" hidden="0"/>
    </xf>
    <xf numFmtId="0" fontId="3" fillId="0" borderId="0" xfId="0" applyFont="1" applyFill="1" applyAlignment="1" applyProtection="1">
      <alignment horizontal="general" vertical="bottom"/>
      <protection locked="1" hidden="0"/>
    </xf>
    <xf numFmtId="164" fontId="4" fillId="3" borderId="0" xfId="0" applyNumberFormat="1" applyFont="1" applyFill="1" applyAlignment="1" applyProtection="1">
      <alignment horizontal="general" vertical="bottom"/>
      <protection locked="1" hidden="0"/>
    </xf>
    <xf numFmtId="168" fontId="2" fillId="2" borderId="0" xfId="0" applyNumberFormat="1" applyFont="1" applyFill="1" applyAlignment="1" applyProtection="1">
      <alignment horizontal="right" vertical="bottom"/>
      <protection locked="1" hidden="0"/>
    </xf>
    <xf numFmtId="0" fontId="2" fillId="2" borderId="0" xfId="0" applyFont="1" applyFill="1" applyAlignment="1" applyProtection="1">
      <alignment horizontal="right" vertical="bottom"/>
      <protection locked="1" hidden="0"/>
    </xf>
    <xf numFmtId="166" fontId="3" fillId="0" borderId="0" xfId="0" applyNumberFormat="1" applyFont="1" applyFill="1" applyAlignment="1" applyProtection="1">
      <alignment horizontal="general" vertical="bottom"/>
      <protection locked="1" hidden="0"/>
    </xf>
    <xf numFmtId="167" fontId="6" fillId="0" borderId="0" xfId="0" applyNumberFormat="1" applyFont="1" applyFill="1" applyAlignment="1" applyProtection="1">
      <alignment horizontal="general" vertical="bottom"/>
      <protection locked="1" hidden="0"/>
    </xf>
    <xf numFmtId="0" fontId="3" fillId="0" borderId="0" xfId="0" applyFont="1" applyFill="1" applyAlignment="1" applyProtection="1">
      <alignment horizontal="general" vertical="bottom" indent="1"/>
      <protection locked="1" hidden="0"/>
    </xf>
    <xf numFmtId="0" fontId="2" fillId="2" borderId="2" xfId="0" applyFont="1" applyFill="1" applyBorder="1" applyAlignment="1" applyProtection="1">
      <alignment horizontal="right" vertical="bottom"/>
      <protection locked="1" hidden="0"/>
    </xf>
    <xf numFmtId="166" fontId="2" fillId="0" borderId="0" xfId="0" applyNumberFormat="1" applyFont="1" applyFill="1" applyAlignment="1" applyProtection="1">
      <alignment horizontal="general" vertical="bottom"/>
      <protection locked="1" hidden="0"/>
    </xf>
    <xf numFmtId="168" fontId="5" fillId="0" borderId="0" xfId="0" applyNumberFormat="1" applyFont="1" applyFill="1" applyAlignment="1" applyProtection="1">
      <alignment horizontal="general" vertical="bottom"/>
      <protection locked="1" hidden="0"/>
    </xf>
    <xf numFmtId="165" fontId="2" fillId="0" borderId="0" xfId="0" applyNumberFormat="1" applyFont="1" applyFill="1" applyAlignment="1" applyProtection="1">
      <alignment horizontal="general" vertical="bottom"/>
      <protection locked="1" hidden="0"/>
    </xf>
    <xf numFmtId="167" fontId="7" fillId="0" borderId="0" xfId="0" applyNumberFormat="1" applyFont="1" applyFill="1" applyAlignment="1" applyProtection="1">
      <alignment horizontal="general" vertical="bottom"/>
      <protection locked="1" hidden="0"/>
    </xf>
    <xf numFmtId="165" fontId="4" fillId="3" borderId="0" xfId="0" applyNumberFormat="1" applyFont="1" applyFill="1" applyAlignment="1" applyProtection="1">
      <alignment horizontal="general" vertical="bottom"/>
      <protection locked="1" hidden="0"/>
    </xf>
    <xf numFmtId="0" fontId="3" fillId="3" borderId="0" xfId="0" applyFont="1" applyFill="1" applyAlignment="1" applyProtection="1">
      <alignment horizontal="right" vertical="bottom" wrapText="1"/>
      <protection locked="1" hidden="0"/>
    </xf>
    <xf numFmtId="0" fontId="8" fillId="0" borderId="0" xfId="0" applyFont="1" applyFill="1" applyAlignment="1" applyProtection="1">
      <alignment horizontal="general" vertical="bottom"/>
      <protection locked="1" hidden="0"/>
    </xf>
    <xf numFmtId="167" fontId="9" fillId="0" borderId="0" xfId="0" applyNumberFormat="1" applyFont="1" applyFill="1" applyAlignment="1" applyProtection="1">
      <alignment horizontal="general" vertical="bottom"/>
      <protection locked="1" hidden="0"/>
    </xf>
    <xf numFmtId="165" fontId="8" fillId="0" borderId="0" xfId="0" applyNumberFormat="1" applyFont="1" applyFill="1" applyAlignment="1" applyProtection="1">
      <alignment horizontal="general" vertical="bottom"/>
      <protection locked="1" hidden="0"/>
    </xf>
    <xf numFmtId="0" fontId="3" fillId="2" borderId="2" xfId="0" applyFont="1" applyFill="1" applyBorder="1" applyAlignment="1" applyProtection="1">
      <alignment horizontal="general" vertical="bottom"/>
      <protection locked="1" hidden="0"/>
    </xf>
    <xf numFmtId="164" fontId="10" fillId="0" borderId="0" xfId="0" applyNumberFormat="1" applyFont="1" applyFill="1" applyAlignment="1" applyProtection="1">
      <alignment horizontal="right" vertical="bottom"/>
      <protection locked="1" hidden="0"/>
    </xf>
    <xf numFmtId="164" fontId="5" fillId="0" borderId="0" xfId="0" applyNumberFormat="1" applyFont="1" applyFill="1" applyAlignment="1" applyProtection="1">
      <alignment horizontal="right" vertical="bottom"/>
      <protection locked="1" hidden="0"/>
    </xf>
    <xf numFmtId="164" fontId="2" fillId="3" borderId="0" xfId="0" applyNumberFormat="1" applyFont="1" applyFill="1" applyAlignment="1" applyProtection="1">
      <alignment horizontal="right" vertical="bottom"/>
      <protection locked="1" hidden="0"/>
    </xf>
    <xf numFmtId="164" fontId="3" fillId="0" borderId="2" xfId="0" applyNumberFormat="1" applyFont="1" applyFill="1" applyBorder="1" applyAlignment="1" applyProtection="1">
      <alignment horizontal="right" vertical="bottom"/>
      <protection locked="1" hidden="0"/>
    </xf>
    <xf numFmtId="167" fontId="1" fillId="0" borderId="0" xfId="0" applyNumberFormat="1" applyFont="1" applyFill="1" applyAlignment="1" applyProtection="1">
      <alignment horizontal="right" vertical="bottom"/>
      <protection locked="1" hidden="0"/>
    </xf>
    <xf numFmtId="164" fontId="1" fillId="0" borderId="0" xfId="0" applyNumberFormat="1" applyFont="1" applyFill="1" applyAlignment="1" applyProtection="1">
      <alignment horizontal="right" vertical="bottom"/>
      <protection locked="1" hidden="0"/>
    </xf>
    <xf numFmtId="169" fontId="1" fillId="0" borderId="0" xfId="0" applyNumberFormat="1" applyFont="1" applyFill="1" applyAlignment="1" applyProtection="1">
      <alignment horizontal="right" vertical="bottom"/>
      <protection locked="1" hidden="0"/>
    </xf>
    <xf numFmtId="164" fontId="2" fillId="0" borderId="0" xfId="0" applyNumberFormat="1" applyFont="1" applyFill="1" applyAlignment="1" applyProtection="1">
      <alignment horizontal="right" vertical="bottom"/>
      <protection locked="1" hidden="0"/>
    </xf>
    <xf numFmtId="164" fontId="7" fillId="0" borderId="0" xfId="0" applyNumberFormat="1" applyFont="1" applyFill="1" applyAlignment="1" applyProtection="1">
      <alignment horizontal="right" vertical="bottom"/>
      <protection locked="1" hidden="0"/>
    </xf>
    <xf numFmtId="167" fontId="1" fillId="3" borderId="0" xfId="0" applyNumberFormat="1" applyFont="1" applyFill="1" applyAlignment="1" applyProtection="1">
      <alignment horizontal="right" vertical="bottom"/>
      <protection locked="1" hidden="0"/>
    </xf>
    <xf numFmtId="0" fontId="2" fillId="3" borderId="0" xfId="0" applyFont="1" applyFill="1" applyAlignment="1" applyProtection="1">
      <alignment horizontal="right" vertical="bottom"/>
      <protection locked="1" hidden="0"/>
    </xf>
    <xf numFmtId="0" fontId="1" fillId="0" borderId="0" xfId="0" applyFont="1" applyFill="1" applyAlignment="1" applyProtection="1">
      <alignment horizontal="general" vertical="bottom" indent="2"/>
      <protection locked="1" hidden="0"/>
    </xf>
    <xf numFmtId="164" fontId="4" fillId="3" borderId="0" xfId="0" applyNumberFormat="1" applyFont="1" applyFill="1" applyAlignment="1" applyProtection="1">
      <alignment horizontal="right" vertical="bottom"/>
      <protection locked="1" hidden="0"/>
    </xf>
    <xf numFmtId="165" fontId="4" fillId="0" borderId="0" xfId="0" applyNumberFormat="1" applyFont="1" applyFill="1" applyAlignment="1" applyProtection="1">
      <alignment horizontal="right" vertical="bottom"/>
      <protection locked="1" hidden="0"/>
    </xf>
    <xf numFmtId="164" fontId="3" fillId="3" borderId="2" xfId="0" applyNumberFormat="1" applyFont="1" applyFill="1" applyBorder="1" applyAlignment="1" applyProtection="1">
      <alignment horizontal="right" vertical="bottom"/>
      <protection locked="1" hidden="0"/>
    </xf>
    <xf numFmtId="168" fontId="5" fillId="0" borderId="0" xfId="0" applyNumberFormat="1" applyFont="1" applyFill="1" applyAlignment="1" applyProtection="1">
      <alignment horizontal="general" vertical="top"/>
      <protection locked="1" hidden="0"/>
    </xf>
    <xf numFmtId="164" fontId="1" fillId="3" borderId="0" xfId="0" applyNumberFormat="1" applyFont="1" applyFill="1" applyAlignment="1" applyProtection="1">
      <alignment horizontal="right" vertical="bottom"/>
      <protection locked="1" hidden="0"/>
    </xf>
    <xf numFmtId="0" fontId="2" fillId="0" borderId="0" xfId="0" applyFont="1" applyFill="1" applyAlignment="1" applyProtection="1">
      <alignment horizontal="general" vertical="top"/>
      <protection locked="1" hidden="0"/>
    </xf>
    <xf numFmtId="0" fontId="2" fillId="0" borderId="0" xfId="0" applyFont="1" applyFill="1" applyAlignment="1" applyProtection="1">
      <alignment horizontal="general" vertical="top" wrapText="1"/>
      <protection locked="1" hidden="0"/>
    </xf>
    <xf numFmtId="0" fontId="2" fillId="0" borderId="0" xfId="0" applyFont="1" applyFill="1" applyAlignment="1" applyProtection="1">
      <alignment horizontal="general" vertical="top" indent="1"/>
      <protection locked="1" hidden="0"/>
    </xf>
    <xf numFmtId="169" fontId="1" fillId="3" borderId="0" xfId="0" applyNumberFormat="1" applyFont="1" applyFill="1" applyAlignment="1" applyProtection="1">
      <alignment horizontal="right" vertical="bottom"/>
      <protection locked="1" hidden="0"/>
    </xf>
    <xf numFmtId="165" fontId="4" fillId="3" borderId="0" xfId="0" applyNumberFormat="1" applyFont="1" applyFill="1" applyAlignment="1" applyProtection="1">
      <alignment horizontal="right" vertical="bottom"/>
      <protection locked="1" hidden="0"/>
    </xf>
    <xf numFmtId="164" fontId="4" fillId="0" borderId="0" xfId="0" applyNumberFormat="1" applyFont="1" applyFill="1" applyAlignment="1" applyProtection="1">
      <alignment horizontal="right" vertical="bottom"/>
      <protection locked="1" hidden="0"/>
    </xf>
    <xf numFmtId="165" fontId="3" fillId="0" borderId="0" xfId="0" applyNumberFormat="1" applyFont="1" applyFill="1" applyAlignment="1" applyProtection="1">
      <alignment horizontal="right" vertical="bottom"/>
      <protection locked="1" hidden="0"/>
    </xf>
    <xf numFmtId="165" fontId="7" fillId="0" borderId="0" xfId="0" applyNumberFormat="1" applyFont="1" applyFill="1" applyAlignment="1" applyProtection="1">
      <alignment horizontal="right" vertical="bottom"/>
      <protection locked="1" hidden="0"/>
    </xf>
    <xf numFmtId="0" fontId="1" fillId="0" borderId="0" xfId="0" applyFont="1" applyFill="1" applyAlignment="1" applyProtection="1">
      <alignment horizontal="general" vertical="bottom" indent="1"/>
      <protection locked="1" hidden="0"/>
    </xf>
    <xf numFmtId="0" fontId="5" fillId="0" borderId="0" xfId="0" applyFont="1" applyFill="1" applyAlignment="1" applyProtection="1">
      <alignment horizontal="general" vertical="bottom"/>
      <protection locked="1" hidden="0"/>
    </xf>
    <xf numFmtId="165" fontId="2" fillId="0" borderId="0" xfId="0" applyNumberFormat="1" applyFont="1" applyFill="1" applyAlignment="1" applyProtection="1">
      <alignment horizontal="right" vertical="bottom"/>
      <protection locked="1" hidden="0"/>
    </xf>
    <xf numFmtId="165" fontId="5" fillId="0" borderId="0" xfId="0" applyNumberFormat="1" applyFont="1" applyFill="1" applyAlignment="1" applyProtection="1">
      <alignment horizontal="right" vertical="bottom"/>
      <protection locked="1" hidden="0"/>
    </xf>
    <xf numFmtId="164" fontId="8" fillId="0" borderId="2" xfId="0" applyNumberFormat="1" applyFont="1" applyFill="1" applyBorder="1" applyAlignment="1" applyProtection="1">
      <alignment horizontal="right" vertical="bottom"/>
      <protection locked="1" hidden="0"/>
    </xf>
    <xf numFmtId="165" fontId="5" fillId="3" borderId="0" xfId="0" applyNumberFormat="1" applyFont="1" applyFill="1" applyAlignment="1" applyProtection="1">
      <alignment horizontal="right" vertical="bottom"/>
      <protection locked="1" hidden="0"/>
    </xf>
    <xf numFmtId="165" fontId="7" fillId="3" borderId="0" xfId="0" applyNumberFormat="1" applyFont="1" applyFill="1" applyAlignment="1" applyProtection="1">
      <alignment horizontal="right" vertical="bottom"/>
      <protection locked="1" hidden="0"/>
    </xf>
    <xf numFmtId="164" fontId="11" fillId="0" borderId="2" xfId="0" applyNumberFormat="1" applyFont="1" applyFill="1" applyBorder="1" applyAlignment="1" applyProtection="1">
      <alignment horizontal="right" vertical="bottom"/>
      <protection locked="1" hidden="0"/>
    </xf>
    <xf numFmtId="0" fontId="10" fillId="0" borderId="0" xfId="0" applyFont="1" applyFill="1" applyAlignment="1" applyProtection="1">
      <alignment horizontal="general" vertical="bottom"/>
      <protection locked="1" hidden="0"/>
    </xf>
    <xf numFmtId="0" fontId="3" fillId="0" borderId="0" xfId="0" applyFont="1" applyFill="1" applyAlignment="1" applyProtection="1">
      <alignment horizontal="general" vertical="top" wrapText="1"/>
      <protection locked="1" hidden="0"/>
    </xf>
    <xf numFmtId="164" fontId="6" fillId="3" borderId="0" xfId="0" applyNumberFormat="1" applyFont="1" applyFill="1" applyAlignment="1" applyProtection="1">
      <alignment horizontal="right" vertical="bottom"/>
      <protection locked="1" hidden="0"/>
    </xf>
    <xf numFmtId="164" fontId="11" fillId="3" borderId="2" xfId="0" applyNumberFormat="1" applyFont="1" applyFill="1" applyBorder="1" applyAlignment="1" applyProtection="1">
      <alignment horizontal="right" vertical="bottom"/>
      <protection locked="1" hidden="0"/>
    </xf>
    <xf numFmtId="166" fontId="5" fillId="0" borderId="0" xfId="0" applyNumberFormat="1" applyFont="1" applyFill="1" applyAlignment="1" applyProtection="1">
      <alignment horizontal="general" vertical="bottom"/>
      <protection locked="1" hidden="0"/>
    </xf>
    <xf numFmtId="164" fontId="10" fillId="3" borderId="0" xfId="0" applyNumberFormat="1" applyFont="1" applyFill="1" applyAlignment="1" applyProtection="1">
      <alignment horizontal="right" vertical="bottom"/>
      <protection locked="1" hidden="0"/>
    </xf>
    <xf numFmtId="164" fontId="5" fillId="3" borderId="0" xfId="0" applyNumberFormat="1" applyFont="1" applyFill="1" applyAlignment="1" applyProtection="1">
      <alignment horizontal="right" vertical="bottom"/>
      <protection locked="1" hidden="0"/>
    </xf>
    <xf numFmtId="0" fontId="3" fillId="0" borderId="0" xfId="0" applyFont="1" applyFill="1" applyAlignment="1" applyProtection="1">
      <alignment horizontal="general" vertical="top"/>
      <protection locked="1" hidden="0"/>
    </xf>
    <xf numFmtId="0" fontId="11" fillId="0" borderId="0" xfId="0" applyFont="1" applyFill="1" applyAlignment="1" applyProtection="1">
      <alignment horizontal="general" vertical="bottom"/>
      <protection locked="1" hidden="0"/>
    </xf>
    <xf numFmtId="164" fontId="9" fillId="3" borderId="0" xfId="0" applyNumberFormat="1" applyFont="1" applyFill="1" applyAlignment="1" applyProtection="1">
      <alignment horizontal="right" vertical="bottom"/>
      <protection locked="1" hidden="0"/>
    </xf>
    <xf numFmtId="164" fontId="3" fillId="0" borderId="0" xfId="0" applyNumberFormat="1" applyFont="1" applyFill="1" applyAlignment="1" applyProtection="1">
      <alignment horizontal="right" vertical="bottom"/>
      <protection locked="1" hidden="0"/>
    </xf>
    <xf numFmtId="0" fontId="1" fillId="0" borderId="0" xfId="0" applyFont="1" applyFill="1" applyAlignment="1" applyProtection="1">
      <alignment horizontal="right" vertical="bottom"/>
      <protection locked="1" hidden="0"/>
    </xf>
    <xf numFmtId="164" fontId="11" fillId="0" borderId="0" xfId="0" applyNumberFormat="1" applyFont="1" applyFill="1" applyAlignment="1" applyProtection="1">
      <alignment horizontal="right" vertical="bottom"/>
      <protection locked="1" hidden="0"/>
    </xf>
    <xf numFmtId="170" fontId="5" fillId="0" borderId="0" xfId="0" applyNumberFormat="1" applyFont="1" applyFill="1" applyAlignment="1" applyProtection="1">
      <alignment horizontal="general" vertical="bottom"/>
      <protection locked="1" hidden="0"/>
    </xf>
    <xf numFmtId="167" fontId="10" fillId="0" borderId="0" xfId="0" applyNumberFormat="1" applyFont="1" applyFill="1" applyAlignment="1" applyProtection="1">
      <alignment horizontal="general" vertical="bottom"/>
      <protection locked="1" hidden="0"/>
    </xf>
    <xf numFmtId="171" fontId="7" fillId="0" borderId="0" xfId="0" applyNumberFormat="1" applyFont="1" applyFill="1" applyAlignment="1" applyProtection="1">
      <alignment horizontal="right" vertical="bottom"/>
      <protection locked="1" hidden="0"/>
    </xf>
    <xf numFmtId="164" fontId="9" fillId="0" borderId="0" xfId="0" applyNumberFormat="1" applyFont="1" applyFill="1" applyAlignment="1" applyProtection="1">
      <alignment horizontal="right" vertical="bottom"/>
      <protection locked="1" hidden="0"/>
    </xf>
    <xf numFmtId="169" fontId="11" fillId="0" borderId="2" xfId="0" applyNumberFormat="1" applyFont="1" applyFill="1" applyBorder="1" applyAlignment="1" applyProtection="1">
      <alignment horizontal="right" vertical="bottom"/>
      <protection locked="1" hidden="0"/>
    </xf>
    <xf numFmtId="171" fontId="6" fillId="0" borderId="0" xfId="0" applyNumberFormat="1" applyFont="1" applyFill="1" applyAlignment="1" applyProtection="1">
      <alignment horizontal="right" vertical="bottom"/>
      <protection locked="1" hidden="0"/>
    </xf>
    <xf numFmtId="169" fontId="5" fillId="0" borderId="0" xfId="0" applyNumberFormat="1" applyFont="1" applyFill="1" applyAlignment="1" applyProtection="1">
      <alignment horizontal="right" vertical="bottom"/>
      <protection locked="1" hidden="0"/>
    </xf>
    <xf numFmtId="165" fontId="3" fillId="3" borderId="0" xfId="0" applyNumberFormat="1" applyFont="1" applyFill="1" applyAlignment="1" applyProtection="1">
      <alignment horizontal="right" vertical="bottom"/>
      <protection locked="1" hidden="0"/>
    </xf>
    <xf numFmtId="171" fontId="1" fillId="0" borderId="0" xfId="0" applyNumberFormat="1" applyFont="1" applyFill="1" applyAlignment="1" applyProtection="1">
      <alignment horizontal="right" vertical="bottom"/>
      <protection locked="1" hidden="0"/>
    </xf>
    <xf numFmtId="169" fontId="2" fillId="0" borderId="0" xfId="0" applyNumberFormat="1" applyFont="1" applyFill="1" applyAlignment="1" applyProtection="1">
      <alignment horizontal="right" vertical="bottom"/>
      <protection locked="1" hidden="0"/>
    </xf>
    <xf numFmtId="167" fontId="6" fillId="3" borderId="0" xfId="0" applyNumberFormat="1" applyFont="1" applyFill="1" applyAlignment="1" applyProtection="1">
      <alignment horizontal="right" vertical="bottom"/>
      <protection locked="1" hidden="0"/>
    </xf>
    <xf numFmtId="171" fontId="6" fillId="3" borderId="0" xfId="0" applyNumberFormat="1" applyFont="1" applyFill="1" applyAlignment="1" applyProtection="1">
      <alignment horizontal="right" vertical="bottom"/>
      <protection locked="1" hidden="0"/>
    </xf>
    <xf numFmtId="164" fontId="7" fillId="3" borderId="0" xfId="0" applyNumberFormat="1" applyFont="1" applyFill="1" applyAlignment="1" applyProtection="1">
      <alignment horizontal="right" vertical="bottom"/>
      <protection locked="1" hidden="0"/>
    </xf>
    <xf numFmtId="169" fontId="5" fillId="3" borderId="0" xfId="0" applyNumberFormat="1" applyFont="1" applyFill="1" applyAlignment="1" applyProtection="1">
      <alignment horizontal="right" vertical="bottom"/>
      <protection locked="1" hidden="0"/>
    </xf>
    <xf numFmtId="171" fontId="10" fillId="3" borderId="2" xfId="0" applyNumberFormat="1" applyFont="1" applyFill="1" applyBorder="1" applyAlignment="1" applyProtection="1">
      <alignment horizontal="right" vertical="bottom"/>
      <protection locked="1" hidden="0"/>
    </xf>
    <xf numFmtId="164" fontId="3" fillId="3" borderId="0" xfId="0" applyNumberFormat="1" applyFont="1" applyFill="1" applyAlignment="1" applyProtection="1">
      <alignment horizontal="right" vertical="bottom"/>
      <protection locked="1" hidden="0"/>
    </xf>
    <xf numFmtId="171" fontId="12" fillId="0" borderId="2" xfId="0" applyNumberFormat="1" applyFont="1" applyFill="1" applyBorder="1" applyAlignment="1" applyProtection="1">
      <alignment horizontal="right" vertical="bottom"/>
      <protection locked="1" hidden="0"/>
    </xf>
    <xf numFmtId="169" fontId="2" fillId="3" borderId="0" xfId="0" applyNumberFormat="1" applyFont="1" applyFill="1" applyAlignment="1" applyProtection="1">
      <alignment horizontal="right" vertical="bottom"/>
      <protection locked="1" hidden="0"/>
    </xf>
    <xf numFmtId="169" fontId="3" fillId="3" borderId="2" xfId="0" applyNumberFormat="1" applyFont="1" applyFill="1" applyBorder="1" applyAlignment="1" applyProtection="1">
      <alignment horizontal="right" vertical="bottom"/>
      <protection locked="1" hidden="0"/>
    </xf>
    <xf numFmtId="171" fontId="1" fillId="3" borderId="0" xfId="0" applyNumberFormat="1" applyFont="1" applyFill="1" applyAlignment="1" applyProtection="1">
      <alignment horizontal="right" vertical="bottom"/>
      <protection locked="1" hidden="0"/>
    </xf>
    <xf numFmtId="169" fontId="3" fillId="0" borderId="2" xfId="0" applyNumberFormat="1" applyFont="1" applyFill="1" applyBorder="1" applyAlignment="1" applyProtection="1">
      <alignment horizontal="right" vertical="bottom"/>
      <protection locked="1" hidden="0"/>
    </xf>
    <xf numFmtId="164" fontId="6" fillId="0" borderId="0" xfId="0" applyNumberFormat="1" applyFont="1" applyFill="1" applyAlignment="1" applyProtection="1">
      <alignment horizontal="right" vertical="bottom"/>
      <protection locked="1" hidden="0"/>
    </xf>
    <xf numFmtId="0" fontId="2" fillId="0" borderId="0" xfId="0" applyFont="1" applyFill="1" applyAlignment="1" applyProtection="1">
      <alignment horizontal="general" vertical="bottom" indent="2"/>
      <protection locked="1" hidden="0"/>
    </xf>
    <xf numFmtId="164" fontId="8" fillId="3" borderId="2" xfId="0" applyNumberFormat="1" applyFont="1" applyFill="1" applyBorder="1" applyAlignment="1" applyProtection="1">
      <alignment horizontal="right" vertical="bottom"/>
      <protection locked="1" hidden="0"/>
    </xf>
    <xf numFmtId="165" fontId="2" fillId="3" borderId="0" xfId="0" applyNumberFormat="1" applyFont="1" applyFill="1" applyAlignment="1" applyProtection="1">
      <alignment horizontal="right" vertical="bottom"/>
      <protection locked="1" hidden="0"/>
    </xf>
    <xf numFmtId="171" fontId="7" fillId="3" borderId="0" xfId="0" applyNumberFormat="1" applyFont="1" applyFill="1" applyAlignment="1" applyProtection="1">
      <alignment horizontal="right" vertical="bottom"/>
      <protection locked="1" hidden="0"/>
    </xf>
    <xf numFmtId="165" fontId="1" fillId="0" borderId="0" xfId="0" applyNumberFormat="1" applyFont="1" applyFill="1" applyAlignment="1" applyProtection="1">
      <alignment horizontal="right" vertical="bottom"/>
      <protection locked="1" hidden="0"/>
    </xf>
    <xf numFmtId="165" fontId="1" fillId="3" borderId="0" xfId="0" applyNumberFormat="1" applyFont="1" applyFill="1" applyAlignment="1" applyProtection="1">
      <alignment horizontal="right" vertical="bottom"/>
      <protection locked="1" hidden="0"/>
    </xf>
    <xf numFmtId="164" fontId="8" fillId="3" borderId="0" xfId="0" applyNumberFormat="1" applyFont="1" applyFill="1" applyAlignment="1" applyProtection="1">
      <alignment horizontal="right" vertical="bottom"/>
      <protection locked="1" hidden="0"/>
    </xf>
    <xf numFmtId="172" fontId="13" fillId="0" borderId="0" xfId="0" applyNumberFormat="1" applyFont="1" applyFill="1" applyAlignment="1" applyProtection="1">
      <alignment horizontal="right" vertical="bottom" textRotation="0" indent="0" readingOrder="0"/>
      <protection locked="1" hidden="0"/>
    </xf>
    <xf numFmtId="167" fontId="14" fillId="0" borderId="0" xfId="0" applyNumberFormat="1" applyFont="1" applyFill="1" applyAlignment="1" applyProtection="1">
      <alignment horizontal="right" vertical="bottom" textRotation="0" indent="0" readingOrder="0"/>
      <protection locked="1" hidden="0"/>
    </xf>
    <xf numFmtId="172" fontId="15" fillId="0" borderId="0" xfId="0" applyNumberFormat="1" applyFont="1" applyFill="1" applyAlignment="1" applyProtection="1">
      <alignment horizontal="general" vertical="bottom" textRotation="0" indent="0" readingOrder="0"/>
      <protection locked="1" hidden="0"/>
    </xf>
    <xf numFmtId="165" fontId="13" fillId="0" borderId="0" xfId="0" applyNumberFormat="1" applyFont="1" applyFill="1" applyAlignment="1" applyProtection="1">
      <alignment horizontal="right" vertical="bottom" textRotation="0" indent="0" readingOrder="0"/>
      <protection locked="1" hidden="0"/>
    </xf>
    <xf numFmtId="167" fontId="15" fillId="0" borderId="0" xfId="0" applyNumberFormat="1" applyFont="1" applyFill="1" applyAlignment="1" applyProtection="1">
      <alignment horizontal="right" vertical="bottom" textRotation="0" indent="0" readingOrder="0"/>
      <protection locked="1" hidden="0"/>
    </xf>
    <xf numFmtId="164" fontId="16" fillId="0" borderId="0" xfId="0" applyNumberFormat="1" applyFont="1" applyFill="1" applyAlignment="1" applyProtection="1">
      <alignment horizontal="right" vertical="bottom" textRotation="0" indent="0" readingOrder="0"/>
      <protection locked="1" hidden="0"/>
    </xf>
    <xf numFmtId="172" fontId="17" fillId="0" borderId="0" xfId="0" applyNumberFormat="1" applyFont="1" applyFill="1" applyAlignment="1" applyProtection="1">
      <alignment horizontal="right" vertical="top" textRotation="0" wrapText="1" indent="0" readingOrder="0"/>
      <protection locked="1" hidden="0"/>
    </xf>
    <xf numFmtId="172" fontId="16" fillId="0" borderId="0" xfId="0" applyNumberFormat="1" applyFont="1" applyFill="1" applyAlignment="1" applyProtection="1">
      <alignment horizontal="right" vertical="bottom" textRotation="0" indent="0" readingOrder="0"/>
      <protection locked="1" hidden="0"/>
    </xf>
    <xf numFmtId="172" fontId="18" fillId="0" borderId="0" xfId="0" applyNumberFormat="1" applyFont="1" applyFill="1" applyAlignment="1" applyProtection="1">
      <alignment horizontal="right" vertical="bottom" textRotation="0" indent="0" readingOrder="0"/>
      <protection locked="1" hidden="0"/>
    </xf>
    <xf numFmtId="172" fontId="19" fillId="0" borderId="0" xfId="0" applyNumberFormat="1" applyFont="1" applyFill="1" applyAlignment="1" applyProtection="1">
      <alignment horizontal="general" vertical="top" textRotation="0" wrapText="1" indent="1" readingOrder="0"/>
      <protection locked="1" hidden="0"/>
    </xf>
    <xf numFmtId="172" fontId="20" fillId="0" borderId="0" xfId="0" applyNumberFormat="1" applyFont="1" applyFill="1" applyAlignment="1" applyProtection="1">
      <alignment horizontal="general" vertical="top" textRotation="0" wrapText="1" indent="0" readingOrder="0"/>
      <protection locked="1" hidden="0"/>
    </xf>
    <xf numFmtId="172" fontId="21" fillId="0" borderId="0" xfId="0" applyNumberFormat="1" applyFont="1" applyFill="1" applyAlignment="1" applyProtection="1">
      <alignment horizontal="general" vertical="top" textRotation="0" wrapText="1" indent="0" readingOrder="0"/>
      <protection locked="1" hidden="0"/>
    </xf>
    <xf numFmtId="172" fontId="19" fillId="0" borderId="0" xfId="0" applyNumberFormat="1" applyFont="1" applyFill="1" applyAlignment="1" applyProtection="1">
      <alignment horizontal="right" vertical="bottom" textRotation="0" wrapText="1" indent="0" readingOrder="0"/>
      <protection locked="1" hidden="0"/>
    </xf>
    <xf numFmtId="172" fontId="22" fillId="0" borderId="0" xfId="0" applyNumberFormat="1" applyFont="1" applyFill="1" applyAlignment="1" applyProtection="1">
      <alignment horizontal="left" vertical="bottom" textRotation="0" indent="1" readingOrder="0"/>
      <protection locked="1" hidden="0"/>
    </xf>
    <xf numFmtId="172" fontId="23" fillId="0" borderId="0" xfId="0" applyNumberFormat="1" applyFont="1" applyFill="1" applyAlignment="1" applyProtection="1">
      <alignment horizontal="left" vertical="bottom" textRotation="0" indent="1" readingOrder="0"/>
      <protection locked="1" hidden="0"/>
    </xf>
    <xf numFmtId="172" fontId="22" fillId="2" borderId="1" xfId="0" applyNumberFormat="1" applyFont="1" applyFill="1" applyBorder="1" applyAlignment="1" applyProtection="1">
      <alignment horizontal="left" vertical="bottom" textRotation="0" indent="1" readingOrder="0"/>
      <protection locked="1" hidden="0"/>
    </xf>
    <xf numFmtId="0" fontId="22" fillId="0" borderId="0" xfId="0" applyFont="1" applyFill="1" applyAlignment="1" applyProtection="1">
      <alignment horizontal="general" vertical="bottom"/>
      <protection locked="1" hidden="0"/>
    </xf>
    <xf numFmtId="0" fontId="22" fillId="0" borderId="0" xfId="0" applyFont="1" applyFill="1" applyAlignment="1" applyProtection="1">
      <alignment horizontal="general" vertical="bottom" indent="1"/>
      <protection locked="1" hidden="0"/>
    </xf>
    <xf numFmtId="172" fontId="23" fillId="0" borderId="0" xfId="0" applyNumberFormat="1" applyFont="1" applyFill="1" applyAlignment="1" applyProtection="1">
      <alignment horizontal="left" vertical="top" textRotation="0" indent="1" readingOrder="0"/>
      <protection locked="1" hidden="0"/>
    </xf>
    <xf numFmtId="0" fontId="23" fillId="0" borderId="0" xfId="0" applyFont="1" applyFill="1" applyAlignment="1" applyProtection="1">
      <alignment horizontal="left" vertical="bottom"/>
      <protection locked="1" hidden="0"/>
    </xf>
    <xf numFmtId="172" fontId="24" fillId="0" borderId="0" xfId="0" applyNumberFormat="1" applyFont="1" applyFill="1" applyAlignment="1" applyProtection="1">
      <alignment horizontal="general" vertical="top" textRotation="0" indent="1" readingOrder="0"/>
      <protection locked="1" hidden="0"/>
    </xf>
    <xf numFmtId="165" fontId="25" fillId="0" borderId="0" xfId="0" applyNumberFormat="1" applyFont="1" applyFill="1" applyAlignment="1" applyProtection="1">
      <alignment horizontal="right" vertical="bottom" textRotation="0" indent="0" readingOrder="0"/>
      <protection locked="1" hidden="0"/>
    </xf>
    <xf numFmtId="172" fontId="22" fillId="2" borderId="0" xfId="0" applyNumberFormat="1" applyFont="1" applyFill="1" applyAlignment="1" applyProtection="1">
      <alignment horizontal="left" vertical="bottom" textRotation="0" indent="1" readingOrder="0"/>
      <protection locked="1" hidden="0"/>
    </xf>
    <xf numFmtId="172" fontId="24" fillId="2" borderId="2" xfId="0" applyNumberFormat="1" applyFont="1" applyFill="1" applyBorder="1" applyAlignment="1" applyProtection="1">
      <alignment horizontal="left" vertical="bottom" textRotation="0" indent="1" readingOrder="0"/>
      <protection locked="1" hidden="0"/>
    </xf>
    <xf numFmtId="172" fontId="24" fillId="2" borderId="2" xfId="0" applyNumberFormat="1" applyFont="1" applyFill="1" applyBorder="1" applyAlignment="1" applyProtection="1">
      <alignment horizontal="right" vertical="bottom" textRotation="0" indent="0" readingOrder="0"/>
      <protection locked="1" hidden="0"/>
    </xf>
    <xf numFmtId="0" fontId="26" fillId="0" borderId="0" xfId="0" applyFont="1" applyFill="1" applyAlignment="1" applyProtection="1">
      <alignment horizontal="left" vertical="bottom" indent="1"/>
      <protection locked="1" hidden="0"/>
    </xf>
    <xf numFmtId="172" fontId="22" fillId="0" borderId="0" xfId="0" applyNumberFormat="1" applyFont="1" applyFill="1" applyAlignment="1" applyProtection="1">
      <alignment horizontal="general" vertical="bottom" textRotation="0" indent="0" readingOrder="0"/>
      <protection locked="1" hidden="0"/>
    </xf>
    <xf numFmtId="172" fontId="24" fillId="0" borderId="0" xfId="0" applyNumberFormat="1" applyFont="1" applyFill="1" applyAlignment="1" applyProtection="1">
      <alignment horizontal="general" vertical="bottom" textRotation="0" indent="0" readingOrder="0"/>
      <protection locked="1" hidden="0"/>
    </xf>
    <xf numFmtId="164" fontId="25" fillId="0" borderId="0" xfId="0" applyNumberFormat="1" applyFont="1" applyFill="1" applyAlignment="1" applyProtection="1">
      <alignment horizontal="right" vertical="bottom" textRotation="0" indent="0" readingOrder="0"/>
      <protection locked="1" hidden="0"/>
    </xf>
    <xf numFmtId="172" fontId="22" fillId="0" borderId="0" xfId="0" applyNumberFormat="1" applyFont="1" applyFill="1" applyAlignment="1" applyProtection="1">
      <alignment horizontal="general" vertical="top" textRotation="0" indent="1" readingOrder="0"/>
      <protection locked="1" hidden="0"/>
    </xf>
    <xf numFmtId="172" fontId="22" fillId="0" borderId="0" xfId="0" applyNumberFormat="1" applyFont="1" applyFill="1" applyAlignment="1" applyProtection="1">
      <alignment horizontal="left" vertical="top" textRotation="0" wrapText="1" indent="1" readingOrder="0"/>
      <protection locked="1" hidden="0"/>
    </xf>
    <xf numFmtId="0" fontId="24" fillId="0" borderId="0" xfId="0" applyFont="1" applyFill="1" applyAlignment="1" applyProtection="1">
      <alignment horizontal="general" vertical="bottom"/>
      <protection locked="1" hidden="0"/>
    </xf>
    <xf numFmtId="164" fontId="22" fillId="0" borderId="0" xfId="0" applyNumberFormat="1" applyFont="1" applyFill="1" applyAlignment="1" applyProtection="1">
      <alignment horizontal="right" vertical="bottom" textRotation="0" indent="0" readingOrder="0"/>
      <protection locked="1" hidden="0"/>
    </xf>
    <xf numFmtId="164" fontId="27" fillId="0" borderId="0" xfId="0" applyNumberFormat="1" applyFont="1" applyFill="1" applyAlignment="1" applyProtection="1">
      <alignment horizontal="right" vertical="bottom" textRotation="0" indent="0" readingOrder="0"/>
      <protection locked="1" hidden="0"/>
    </xf>
    <xf numFmtId="164" fontId="27" fillId="3" borderId="0" xfId="0" applyNumberFormat="1" applyFont="1" applyFill="1" applyAlignment="1" applyProtection="1">
      <alignment horizontal="right" vertical="bottom" textRotation="0" indent="0" readingOrder="0"/>
      <protection locked="1" hidden="0"/>
    </xf>
    <xf numFmtId="172" fontId="23" fillId="0" borderId="0" xfId="0" applyNumberFormat="1" applyFont="1" applyFill="1" applyAlignment="1" applyProtection="1">
      <alignment horizontal="general" vertical="bottom" textRotation="0" indent="1"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theme" Target="theme/theme1.xml"/><Relationship Id="rId1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38100</xdr:colOff>
      <xdr:row>0</xdr:row>
      <xdr:rowOff>38100</xdr:rowOff>
    </xdr:from>
    <xdr:ext cx="571500" cy="571500"/>
    <xdr:pic>
      <xdr:nvPicPr>
        <xdr:cNvPr id="2" name="Shortcut 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dimension ref="A1:K66"/>
  <sheetViews>
    <sheetView showGridLines="0" tabSelected="1" workbookViewId="0"/>
  </sheetViews>
  <sheetFormatPr defaultRowHeight="15"/>
  <cols>
    <col min="1" max="1" width="10" customWidth="1"/>
    <col min="2" max="2" width="36" customWidth="1"/>
    <col min="3" max="10" width="12" customWidth="1"/>
    <col min="11" max="11" width="26" customWidth="1"/>
  </cols>
  <sheetData>
    <row r="1" ht="13.5">
      <c r="A1" s="2"/>
      <c r="B1" s="2"/>
      <c r="C1" s="2"/>
      <c r="D1" s="2"/>
      <c r="E1" s="2"/>
      <c r="F1" s="2"/>
      <c r="G1" s="2"/>
      <c r="H1" s="2"/>
      <c r="I1" s="2"/>
      <c r="J1" s="2"/>
      <c r="K1" s="2"/>
    </row>
    <row r="2" ht="13.5">
      <c r="A2" s="2"/>
      <c r="B2" s="18" t="s">
        <v>0</v>
      </c>
      <c r="C2" s="2"/>
      <c r="D2" s="2"/>
      <c r="E2" s="2"/>
      <c r="F2" s="2"/>
      <c r="G2" s="2"/>
      <c r="H2" s="2"/>
      <c r="I2" s="2"/>
      <c r="J2" s="2"/>
      <c r="K2" s="2"/>
    </row>
    <row r="3" ht="13.5">
      <c r="A3" s="2"/>
      <c r="B3" s="18" t="s">
        <v>1</v>
      </c>
      <c r="C3" s="2"/>
      <c r="D3" s="2"/>
      <c r="E3" s="2"/>
      <c r="F3" s="2"/>
      <c r="G3" s="2"/>
      <c r="H3" s="2"/>
      <c r="I3" s="2"/>
      <c r="J3" s="2"/>
      <c r="K3" s="2"/>
    </row>
    <row r="4" ht="13.5">
      <c r="A4" s="2"/>
      <c r="B4" s="1" t="s">
        <v>2</v>
      </c>
      <c r="C4" s="2"/>
      <c r="D4" s="2"/>
      <c r="E4" s="2"/>
      <c r="F4" s="2"/>
      <c r="G4" s="2"/>
      <c r="H4" s="2"/>
      <c r="I4" s="2"/>
      <c r="J4" s="2"/>
      <c r="K4" s="2"/>
    </row>
    <row r="5">
      <c r="A5" s="2"/>
      <c r="B5" s="16" t="s">
        <v>3</v>
      </c>
      <c r="C5" s="9" t="s">
        <v>4</v>
      </c>
      <c r="D5" s="9" t="s">
        <v>5</v>
      </c>
      <c r="E5" s="135" t="s">
        <v>6</v>
      </c>
      <c r="F5" s="135" t="s">
        <v>7</v>
      </c>
      <c r="G5" s="9" t="s">
        <v>8</v>
      </c>
      <c r="H5" s="9" t="s">
        <v>9</v>
      </c>
      <c r="I5" s="135" t="s">
        <v>10</v>
      </c>
      <c r="J5" s="9" t="s">
        <v>11</v>
      </c>
      <c r="K5" s="134" t="s">
        <v>12</v>
      </c>
    </row>
    <row r="6">
      <c r="A6" s="2"/>
      <c r="B6" s="12" t="s">
        <v>13</v>
      </c>
      <c r="C6" s="20">
        <v>46295</v>
      </c>
      <c r="D6" s="20">
        <v>46295</v>
      </c>
      <c r="E6" s="21"/>
      <c r="F6" s="21"/>
      <c r="G6" s="20">
        <v>46295</v>
      </c>
      <c r="H6" s="20">
        <v>45930</v>
      </c>
      <c r="I6" s="21"/>
      <c r="J6" s="20">
        <v>46203</v>
      </c>
      <c r="K6" s="133"/>
    </row>
    <row r="7">
      <c r="A7" s="2"/>
      <c r="B7" s="6" t="s">
        <v>14</v>
      </c>
      <c r="C7" s="10">
        <f>C6-EOMONTH(C6,-3)</f>
        <v>92</v>
      </c>
      <c r="D7" s="10">
        <f>D6-EOMONTH(D6,-3)</f>
        <v>92</v>
      </c>
      <c r="E7" s="14"/>
      <c r="F7" s="14"/>
      <c r="G7" s="10">
        <f>G6-EOMONTH(G6,-3)</f>
        <v>92</v>
      </c>
      <c r="H7" s="10">
        <f>H6-EOMONTH(H6,-3)</f>
        <v>92</v>
      </c>
      <c r="I7" s="14"/>
      <c r="J7" s="10">
        <f>J6-EOMONTH(J6,-3)</f>
        <v>91</v>
      </c>
      <c r="K7" s="126"/>
    </row>
    <row r="8">
      <c r="A8" s="2"/>
      <c r="B8" s="2"/>
      <c r="C8" s="2"/>
      <c r="D8" s="2"/>
      <c r="E8" s="2"/>
      <c r="F8" s="2"/>
      <c r="G8" s="2"/>
      <c r="H8" s="2"/>
      <c r="I8" s="2"/>
      <c r="J8" s="2"/>
      <c r="K8" s="124"/>
    </row>
    <row r="9">
      <c r="A9" s="2"/>
      <c r="B9" s="18" t="s">
        <v>15</v>
      </c>
      <c r="C9" s="2"/>
      <c r="D9" s="2"/>
      <c r="E9" s="2"/>
      <c r="F9" s="2"/>
      <c r="G9" s="2"/>
      <c r="H9" s="2"/>
      <c r="I9" s="2"/>
      <c r="J9" s="2"/>
      <c r="K9" s="124"/>
    </row>
    <row r="10">
      <c r="A10" s="2"/>
      <c r="B10" s="3" t="s">
        <v>15</v>
      </c>
      <c r="C10" s="2" t="s">
        <v>16</v>
      </c>
      <c r="D10" s="2"/>
      <c r="E10" s="2"/>
      <c r="F10" s="2"/>
      <c r="G10" s="2"/>
      <c r="H10" s="2"/>
      <c r="I10" s="2"/>
      <c r="J10" s="2"/>
      <c r="K10" s="124"/>
    </row>
    <row r="11">
      <c r="A11" s="2"/>
      <c r="B11" s="3" t="s">
        <v>17</v>
      </c>
      <c r="C11" s="2" t="s">
        <v>18</v>
      </c>
      <c r="D11" s="2"/>
      <c r="E11" s="2"/>
      <c r="F11" s="2"/>
      <c r="G11" s="2"/>
      <c r="H11" s="2"/>
      <c r="I11" s="2"/>
      <c r="J11" s="2"/>
      <c r="K11" s="124"/>
    </row>
    <row r="12">
      <c r="A12" s="2"/>
      <c r="B12" s="3" t="s">
        <v>19</v>
      </c>
      <c r="C12" s="2" t="s">
        <v>20</v>
      </c>
      <c r="D12" s="2"/>
      <c r="E12" s="2"/>
      <c r="F12" s="2"/>
      <c r="G12" s="2"/>
      <c r="H12" s="2"/>
      <c r="I12" s="2"/>
      <c r="J12" s="2"/>
      <c r="K12" s="124"/>
    </row>
    <row r="13">
      <c r="A13" s="2"/>
      <c r="B13" s="3" t="s">
        <v>21</v>
      </c>
      <c r="C13" s="2" t="s">
        <v>22</v>
      </c>
      <c r="D13" s="2"/>
      <c r="E13" s="2"/>
      <c r="F13" s="2"/>
      <c r="G13" s="2"/>
      <c r="H13" s="2"/>
      <c r="I13" s="2"/>
      <c r="J13" s="2"/>
      <c r="K13" s="124"/>
    </row>
    <row r="14">
      <c r="A14" s="2"/>
      <c r="B14" s="3" t="s">
        <v>23</v>
      </c>
      <c r="C14" s="2" t="s">
        <v>24</v>
      </c>
      <c r="D14" s="2"/>
      <c r="E14" s="2"/>
      <c r="F14" s="2"/>
      <c r="G14" s="2"/>
      <c r="H14" s="2"/>
      <c r="I14" s="2"/>
      <c r="J14" s="2"/>
      <c r="K14" s="124"/>
    </row>
    <row r="15" ht="52.5">
      <c r="A15" s="2"/>
      <c r="B15" s="140" t="s">
        <v>25</v>
      </c>
      <c r="C15" s="122" t="s">
        <v>26</v>
      </c>
      <c r="D15" s="122"/>
      <c r="E15" s="122"/>
      <c r="F15" s="122"/>
      <c r="G15" s="122"/>
      <c r="H15" s="122"/>
      <c r="I15" s="122"/>
      <c r="J15" s="122"/>
      <c r="K15" s="141"/>
    </row>
    <row r="16">
      <c r="A16" s="2"/>
      <c r="B16" s="3" t="s">
        <v>27</v>
      </c>
      <c r="C16" s="2" t="s">
        <v>28</v>
      </c>
      <c r="D16" s="2"/>
      <c r="E16" s="2"/>
      <c r="F16" s="2"/>
      <c r="G16" s="2"/>
      <c r="H16" s="2"/>
      <c r="I16" s="2"/>
      <c r="J16" s="2"/>
      <c r="K16" s="124"/>
    </row>
    <row r="17">
      <c r="A17" s="2"/>
      <c r="B17" s="3" t="s">
        <v>29</v>
      </c>
      <c r="C17" s="2" t="s">
        <v>30</v>
      </c>
      <c r="D17" s="2"/>
      <c r="E17" s="2"/>
      <c r="F17" s="2"/>
      <c r="G17" s="2"/>
      <c r="H17" s="2"/>
      <c r="I17" s="2"/>
      <c r="J17" s="2"/>
      <c r="K17" s="124"/>
    </row>
    <row r="18">
      <c r="A18" s="2"/>
      <c r="B18" s="3" t="s">
        <v>31</v>
      </c>
      <c r="C18" s="2" t="s">
        <v>32</v>
      </c>
      <c r="D18" s="2"/>
      <c r="E18" s="2"/>
      <c r="F18" s="2"/>
      <c r="G18" s="2"/>
      <c r="H18" s="2"/>
      <c r="I18" s="2"/>
      <c r="J18" s="2"/>
      <c r="K18" s="124"/>
    </row>
    <row r="19">
      <c r="A19" s="2"/>
      <c r="B19" s="2"/>
      <c r="C19" s="2"/>
      <c r="D19" s="2"/>
      <c r="E19" s="2"/>
      <c r="F19" s="2"/>
      <c r="G19" s="2"/>
      <c r="H19" s="2"/>
      <c r="I19" s="2"/>
      <c r="J19" s="2"/>
      <c r="K19" s="124"/>
    </row>
    <row r="20">
      <c r="A20" s="2"/>
      <c r="B20" s="18" t="s">
        <v>33</v>
      </c>
      <c r="C20" s="2"/>
      <c r="D20" s="2"/>
      <c r="E20" s="2"/>
      <c r="F20" s="2"/>
      <c r="G20" s="2"/>
      <c r="H20" s="2"/>
      <c r="I20" s="2"/>
      <c r="J20" s="2"/>
      <c r="K20" s="124"/>
    </row>
    <row r="21" ht="25.5">
      <c r="A21" s="2"/>
      <c r="B21" s="18" t="s">
        <v>34</v>
      </c>
      <c r="C21" s="31" t="s">
        <v>35</v>
      </c>
      <c r="D21" s="4" t="s">
        <v>36</v>
      </c>
      <c r="E21" s="4" t="s">
        <v>37</v>
      </c>
      <c r="F21" s="4" t="s">
        <v>38</v>
      </c>
      <c r="G21" s="4" t="s">
        <v>39</v>
      </c>
      <c r="H21" s="4" t="s">
        <v>40</v>
      </c>
      <c r="I21" s="4" t="s">
        <v>41</v>
      </c>
      <c r="J21" s="4" t="s">
        <v>42</v>
      </c>
      <c r="K21" s="124"/>
    </row>
    <row r="22">
      <c r="A22" s="2"/>
      <c r="B22" s="3" t="s">
        <v>43</v>
      </c>
      <c r="C22" s="19">
        <f>'Income Statement'!J239</f>
        <v>30176.84480439863</v>
      </c>
      <c r="D22" s="5">
        <f>Inputs!C19</f>
        <v>30539.53</v>
      </c>
      <c r="E22" s="15">
        <f>C22-D22</f>
        <v>-362.68519560137065</v>
      </c>
      <c r="F22" s="11">
        <f>C22/D22-1</f>
        <v>-0.0118759259098411</v>
      </c>
      <c r="G22" s="7" t="s">
        <v>44</v>
      </c>
      <c r="H22" s="5">
        <f>'Income Statement'!E239</f>
        <v>29040</v>
      </c>
      <c r="I22" s="11">
        <f>C22/H22-1</f>
        <v>0.03914754836083434</v>
      </c>
      <c r="J22" s="5">
        <f>'Income Statement'!I239</f>
        <v>31558</v>
      </c>
      <c r="K22" s="129" t="s">
        <v>45</v>
      </c>
    </row>
    <row r="23">
      <c r="A23" s="2"/>
      <c r="B23" s="3" t="s">
        <v>46</v>
      </c>
      <c r="C23" s="19">
        <f>'Income Statement'!J97</f>
        <v>16514.01698630137</v>
      </c>
      <c r="D23" s="7" t="s">
        <v>44</v>
      </c>
      <c r="E23" s="2"/>
      <c r="F23" s="2"/>
      <c r="G23" s="7" t="s">
        <v>44</v>
      </c>
      <c r="H23" s="5">
        <f>'Income Statement'!E97</f>
        <v>15387</v>
      </c>
      <c r="I23" s="11">
        <f>C23/H23-1</f>
        <v>0.0732447511731571</v>
      </c>
      <c r="J23" s="5">
        <f>'Income Statement'!I97</f>
        <v>16160</v>
      </c>
      <c r="K23" s="124"/>
    </row>
    <row r="24">
      <c r="A24" s="2"/>
      <c r="B24" s="3" t="s">
        <v>47</v>
      </c>
      <c r="C24" s="19">
        <f>'Income Statement'!J299</f>
        <v>7984.829085083715</v>
      </c>
      <c r="D24" s="5">
        <f>Inputs!C70</f>
        <v>7905.77</v>
      </c>
      <c r="E24" s="116" t="s">
        <v>48</v>
      </c>
      <c r="F24" s="115" t="s">
        <v>48</v>
      </c>
      <c r="G24" s="7" t="s">
        <v>44</v>
      </c>
      <c r="H24" s="5">
        <f>'Income Statement'!E299</f>
        <v>7903</v>
      </c>
      <c r="I24" s="11">
        <f>C24/H24-1</f>
        <v>0.010354180068798513</v>
      </c>
      <c r="J24" s="5">
        <f>'Income Statement'!I299</f>
        <v>8748</v>
      </c>
      <c r="K24" s="129" t="s">
        <v>49</v>
      </c>
    </row>
    <row r="25">
      <c r="A25" s="2"/>
      <c r="B25" s="3" t="s">
        <v>50</v>
      </c>
      <c r="C25" s="19">
        <f>'Income Statement'!J293</f>
        <v>8399.829085083715</v>
      </c>
      <c r="D25" s="7" t="s">
        <v>44</v>
      </c>
      <c r="E25" s="2"/>
      <c r="F25" s="2"/>
      <c r="G25" s="7" t="s">
        <v>44</v>
      </c>
      <c r="H25" s="5">
        <f>'Income Statement'!E293</f>
        <v>8332</v>
      </c>
      <c r="I25" s="11">
        <f>C25/H25-1</f>
        <v>0.008140792736883729</v>
      </c>
      <c r="J25" s="5">
        <f>'Income Statement'!I293</f>
        <v>9074</v>
      </c>
      <c r="K25" s="124"/>
    </row>
    <row r="26">
      <c r="A26" s="2"/>
      <c r="B26" s="3" t="s">
        <v>51</v>
      </c>
      <c r="C26" s="30">
        <f>'Income Statement'!J309</f>
        <v>1.116810071534021</v>
      </c>
      <c r="D26" s="8">
        <f>Inputs!C49</f>
        <v>1.1</v>
      </c>
      <c r="E26" s="28">
        <f>C26-D26</f>
        <v>0.01681007153402092</v>
      </c>
      <c r="F26" s="11">
        <f>C26/D26-1</f>
        <v>0.015281883212746372</v>
      </c>
      <c r="G26" s="7" t="s">
        <v>44</v>
      </c>
      <c r="H26" s="8">
        <f>'Income Statement'!E309</f>
        <v>1.043515884149939</v>
      </c>
      <c r="I26" s="11">
        <f>C26/H26-1</f>
        <v>0.07023773044316273</v>
      </c>
      <c r="J26" s="8">
        <f>'Income Statement'!I309</f>
        <v>1.2069863727345014</v>
      </c>
      <c r="K26" s="124"/>
    </row>
    <row r="27">
      <c r="A27" s="2"/>
      <c r="B27" s="3" t="s">
        <v>52</v>
      </c>
      <c r="C27" s="30">
        <f>'Income Statement'!J321</f>
        <v>1.116810071534021</v>
      </c>
      <c r="D27" s="8">
        <f>Inputs!C17</f>
        <v>1.1</v>
      </c>
      <c r="E27" s="28">
        <f>C27-D27</f>
        <v>0.01681007153402092</v>
      </c>
      <c r="F27" s="11">
        <f>C27/D27-1</f>
        <v>0.015281883212746372</v>
      </c>
      <c r="G27" s="7" t="s">
        <v>44</v>
      </c>
      <c r="H27" s="8">
        <f>'Income Statement'!E321</f>
        <v>1.043515884149939</v>
      </c>
      <c r="I27" s="11">
        <f>C27/H27-1</f>
        <v>0.07023773044316273</v>
      </c>
      <c r="J27" s="8">
        <f>'Income Statement'!I321</f>
        <v>1.2069863727345014</v>
      </c>
      <c r="K27" s="129" t="s">
        <v>53</v>
      </c>
    </row>
    <row r="28">
      <c r="A28" s="2"/>
      <c r="B28" s="131" t="s">
        <v>54</v>
      </c>
      <c r="C28" s="114" t="str">
        <f>IF(AND(ABS('Share Count'!G20)&lt;1,ABS('Segment - Global Banking'!G112)+ABS('Segment - Consumer Banking'!G29)&lt;1,SUMPRODUCT(ABS('Segment - Global Banking'!C112:F112))+SUMPRODUCT(ABS('Segment - Global Banking'!H112:I112))&lt;1,SUMPRODUCT(ABS('Segment - Global Banking'!C47:F47))+SUMPRODUCT(ABS('Segment - Global Banking'!H47:I47))&lt;1,SUMPRODUCT(ABS('Segment - Global Banking'!C256:F256))+SUMPRODUCT(ABS('Segment - Global Banking'!H256:I256))&lt;1,SUMPRODUCT(ABS('Income Statement'!C25:F25))+SUMPRODUCT(ABS('Income Statement'!H25:I25))&lt;1,SUMPRODUCT(ABS('Income Statement'!C26:F26))+SUMPRODUCT(ABS('Income Statement'!H26:I26))&lt;1,SUMPRODUCT(ABS('Income Statement'!C246:F246))+SUMPRODUCT(ABS('Income Statement'!H246:I246))&lt;1,SUMPRODUCT(ABS('Revenue summary'!C52:F52))+SUMPRODUCT(ABS('Revenue summary'!H52:I52))&lt;1,SUMPRODUCT(ABS('Revenue summary'!C62:F62))+SUMPRODUCT(ABS('Revenue summary'!H62:I62))&lt;1,SUMPRODUCT(ABS('Revenue summary'!C79:F79))+SUMPRODUCT(ABS('Revenue summary'!H79:I79))&lt;1,SUMPRODUCT(ABS('Balance Sheet'!C70:F70))+SUMPRODUCT(ABS('Balance Sheet'!H70:I70))&lt;1,SUMPRODUCT(ABS('Balance Sheet'!C37:F37))+SUMPRODUCT(ABS('Balance Sheet'!H37:I37))&lt;1,SUMPRODUCT(ABS('Balance Sheet'!C54:F54))+SUMPRODUCT(ABS('Balance Sheet'!H54:I54))&lt;1,SUMPRODUCT(ABS('Cash Flow Statement'!C119:F119))+SUMPRODUCT(ABS('Cash Flow Statement'!H119:I119))&lt;1,SUMPRODUCT(ABS('Cash Flow Statement'!C120:F120))+SUMPRODUCT(ABS('Cash Flow Statement'!H120:I120))&lt;1,SUMPRODUCT(ABS('Segment - Consumer Banking'!C166:F166))+SUMPRODUCT(ABS('Segment - Consumer Banking'!H166:I166))&lt;1,SUMPRODUCT(ABS('Segment - Consumer Banking'!C29:F29))+SUMPRODUCT(ABS('Segment - Consumer Banking'!H29:I29))&lt;1,SUMPRODUCT(ABS('Segment - GWIM'!C124:F124))+SUMPRODUCT(ABS('Segment - GWIM'!H124:I124))&lt;1,SUMPRODUCT(ABS('Segment - GWIM'!C24:F24))+SUMPRODUCT(ABS('Segment - GWIM'!H24:I24))&lt;1,SUMPRODUCT(ABS('Segment - GWIM'!C61:F61))+SUMPRODUCT(ABS('Segment - GWIM'!H61:I61))&lt;1,SUMPRODUCT(ABS('Segment - GWIM'!C143:F143))+SUMPRODUCT(ABS('Segment - GWIM'!H143:I143))&lt;1,SUMPRODUCT(ABS('Segment - Global Markets'!C151:F151))+SUMPRODUCT(ABS('Segment - Global Markets'!H151:I151))&lt;1,SUMPRODUCT(ABS('Segment - Global Markets'!C29:F29))+SUMPRODUCT(ABS('Segment - Global Markets'!H29:I29))&lt;1,SUMPRODUCT(ABS('Segment - Global Markets'!C91:F91))+SUMPRODUCT(ABS('Segment - Global Markets'!H91:I91))&lt;1,ABS('Cash Flow Statement'!C122)+ABS('Cash Flow Statement'!D122)+ABS('Cash Flow Statement'!H122)+ABS('Cash Flow Statement'!I122)&lt;1,SUMPRODUCT(ABS('Income Statement'!C312:I312))&lt;0.001),"PASS","FAIL")</f>
        <v>PASS</v>
      </c>
      <c r="D28" s="2"/>
      <c r="E28" s="2"/>
      <c r="F28" s="2"/>
      <c r="G28" s="2"/>
      <c r="H28" s="2"/>
      <c r="I28" s="2"/>
      <c r="J28" s="2"/>
      <c r="K28" s="125" t="s">
        <v>55</v>
      </c>
    </row>
    <row r="29">
      <c r="A29" s="2"/>
      <c r="B29" s="131" t="s">
        <v>56</v>
      </c>
      <c r="C29" s="132" t="str">
        <f>IF(AND(SUMPRODUCT(ABS('Revenue summary'!C94:J94))&lt;1,SUMPRODUCT(ABS('Segment - Global Banking'!C255:I255))&lt;1,SUMPRODUCT(ABS('Share Count'!C50:J50))&lt;1,ABS(C27-'Income Statement'!J321)&lt;0.000001,ABS('Revenue summary'!J62)+ABS('Balance Sheet'!J70)+ABS('Cash Flow Statement'!J119)+ABS('Cash Flow Statement'!J122)+ABS('Segment - GWIM'!J143)+ABS('Segment - Global Banking'!J256)+ABS('Segment - Global Markets'!J91)+ABS('Revenue summary'!G52)+ABS('Revenue summary'!G62)+ABS('Revenue summary'!G79)+ABS('Income Statement'!G246)+ABS('Segment - Global Banking'!G47)+ABS('Segment - Global Banking'!G256)+ABS('Balance Sheet'!G70)+ABS('Balance Sheet'!G37)+ABS('Balance Sheet'!G54)+ABS('Cash Flow Statement'!G119)+ABS('Cash Flow Statement'!G120)+ABS('Cash Flow Statement'!G122)+ABS('Segment - Consumer Banking'!G166)+ABS('Segment - GWIM'!G124)+ABS('Segment - GWIM'!G24)+ABS('Segment - GWIM'!G61)+ABS('Segment - GWIM'!G143)+ABS('Segment - Global Markets'!G151)+ABS('Segment - Global Markets'!G29)+ABS('Segment - Global Markets'!G91)&lt;1),"HOLDS","BREAK")</f>
        <v>HOLDS</v>
      </c>
      <c r="D29" s="2"/>
      <c r="E29" s="2"/>
      <c r="F29" s="2"/>
      <c r="G29" s="2"/>
      <c r="H29" s="2"/>
      <c r="I29" s="2"/>
      <c r="J29" s="2"/>
      <c r="K29" s="125" t="s">
        <v>57</v>
      </c>
    </row>
    <row r="30">
      <c r="A30" s="2"/>
      <c r="B30" s="131" t="s">
        <v>58</v>
      </c>
      <c r="C30" s="139">
        <f>'Cash Flow Statement'!E122</f>
        <v>119</v>
      </c>
      <c r="D30" s="2"/>
      <c r="E30" s="2"/>
      <c r="F30" s="2"/>
      <c r="G30" s="2"/>
      <c r="H30" s="2"/>
      <c r="I30" s="2"/>
      <c r="J30" s="2"/>
      <c r="K30" s="125" t="s">
        <v>59</v>
      </c>
    </row>
    <row r="31">
      <c r="A31" s="2"/>
      <c r="B31" s="24" t="s">
        <v>60</v>
      </c>
      <c r="C31" s="112">
        <f>Inputs!C132</f>
        <v>0.7442857142857143</v>
      </c>
      <c r="D31" s="2"/>
      <c r="E31" s="2"/>
      <c r="F31" s="2"/>
      <c r="G31" s="2"/>
      <c r="H31" s="2"/>
      <c r="I31" s="2"/>
      <c r="J31" s="2"/>
      <c r="K31" s="124"/>
    </row>
    <row r="32">
      <c r="A32" s="2"/>
      <c r="B32" s="24" t="s">
        <v>61</v>
      </c>
      <c r="C32" s="111" t="str">
        <f>Inputs!C133</f>
        <v>medium</v>
      </c>
      <c r="D32" s="2"/>
      <c r="E32" s="2"/>
      <c r="F32" s="2"/>
      <c r="G32" s="2"/>
      <c r="H32" s="2"/>
      <c r="I32" s="2"/>
      <c r="J32" s="2"/>
      <c r="K32" s="124"/>
    </row>
    <row r="33">
      <c r="A33" s="2"/>
      <c r="F33" s="2"/>
      <c r="G33" s="2"/>
      <c r="H33" s="2"/>
      <c r="I33" s="2"/>
      <c r="J33" s="2"/>
      <c r="K33" s="124"/>
    </row>
    <row r="34">
      <c r="A34" s="2"/>
      <c r="B34" s="18" t="s">
        <v>62</v>
      </c>
      <c r="F34" s="2"/>
      <c r="G34" s="2"/>
      <c r="H34" s="2"/>
      <c r="I34" s="2"/>
      <c r="J34" s="2"/>
      <c r="K34" s="136"/>
    </row>
    <row r="35" ht="25.5">
      <c r="A35" s="2"/>
      <c r="B35" s="18" t="s">
        <v>63</v>
      </c>
      <c r="C35" s="4" t="s">
        <v>64</v>
      </c>
      <c r="D35" s="4" t="s">
        <v>65</v>
      </c>
      <c r="E35" s="4" t="s">
        <v>66</v>
      </c>
      <c r="F35" s="2"/>
      <c r="G35" s="2"/>
      <c r="H35" s="2"/>
      <c r="I35" s="2"/>
      <c r="J35" s="2"/>
      <c r="K35" s="136"/>
    </row>
    <row r="36">
      <c r="A36" s="2"/>
      <c r="B36" s="3" t="s">
        <v>67</v>
      </c>
      <c r="C36" s="17">
        <v>1.12</v>
      </c>
      <c r="D36" s="13">
        <v>30620</v>
      </c>
      <c r="E36" s="13">
        <v>16550</v>
      </c>
      <c r="F36" s="2"/>
      <c r="G36" s="2"/>
      <c r="H36" s="2"/>
      <c r="I36" s="2"/>
      <c r="J36" s="2"/>
      <c r="K36" s="125" t="s">
        <v>68</v>
      </c>
    </row>
    <row r="37">
      <c r="A37" s="2"/>
      <c r="B37" s="3" t="s">
        <v>69</v>
      </c>
      <c r="C37" s="17">
        <v>1.1</v>
      </c>
      <c r="D37" s="13">
        <v>30651.4</v>
      </c>
      <c r="E37" s="2"/>
      <c r="F37" s="2"/>
      <c r="G37" s="2"/>
      <c r="H37" s="2"/>
      <c r="I37" s="2"/>
      <c r="J37" s="2"/>
      <c r="K37" s="125" t="s">
        <v>70</v>
      </c>
    </row>
    <row r="38">
      <c r="A38" s="2"/>
      <c r="B38" s="3" t="s">
        <v>71</v>
      </c>
      <c r="C38" s="17">
        <v>1.12</v>
      </c>
      <c r="D38" s="2"/>
      <c r="E38" s="2"/>
      <c r="F38" s="2"/>
      <c r="G38" s="2"/>
      <c r="H38" s="2"/>
      <c r="I38" s="2"/>
      <c r="J38" s="2"/>
      <c r="K38" s="125" t="s">
        <v>70</v>
      </c>
    </row>
    <row r="39">
      <c r="A39" s="2"/>
      <c r="B39" s="3" t="s">
        <v>72</v>
      </c>
      <c r="C39" s="17">
        <v>1.16</v>
      </c>
      <c r="D39" s="2"/>
      <c r="E39" s="2"/>
      <c r="F39" s="2"/>
      <c r="G39" s="2"/>
      <c r="H39" s="2"/>
      <c r="I39" s="2"/>
      <c r="J39" s="2"/>
      <c r="K39" s="125" t="s">
        <v>70</v>
      </c>
    </row>
    <row r="41">
      <c r="B41" s="142" t="s">
        <v>73</v>
      </c>
      <c r="C41" s="127"/>
      <c r="D41" s="127"/>
      <c r="E41" s="127"/>
      <c r="F41" s="127"/>
      <c r="G41" s="127"/>
      <c r="H41" s="127"/>
      <c r="I41" s="127"/>
      <c r="J41" s="127"/>
      <c r="K41" s="127"/>
    </row>
    <row r="42">
      <c r="B42" s="128" t="s">
        <v>74</v>
      </c>
      <c r="C42" s="130" t="s">
        <v>75</v>
      </c>
      <c r="D42" s="127"/>
      <c r="E42" s="127"/>
      <c r="F42" s="127"/>
      <c r="G42" s="127"/>
      <c r="H42" s="127"/>
      <c r="I42" s="127"/>
      <c r="J42" s="127"/>
      <c r="K42" s="127"/>
    </row>
    <row r="43">
      <c r="B43" s="128"/>
      <c r="C43" s="130" t="s">
        <v>76</v>
      </c>
      <c r="D43" s="127"/>
      <c r="E43" s="127"/>
      <c r="F43" s="127"/>
      <c r="G43" s="127"/>
      <c r="H43" s="127"/>
      <c r="I43" s="127"/>
      <c r="J43" s="127"/>
      <c r="K43" s="127"/>
    </row>
    <row r="44">
      <c r="B44" s="128" t="s">
        <v>77</v>
      </c>
      <c r="C44" s="130" t="s">
        <v>78</v>
      </c>
      <c r="D44" s="127"/>
      <c r="E44" s="127"/>
      <c r="F44" s="127"/>
      <c r="G44" s="127"/>
      <c r="H44" s="127"/>
      <c r="I44" s="127"/>
      <c r="J44" s="127"/>
      <c r="K44" s="127"/>
    </row>
    <row r="45">
      <c r="B45" s="128"/>
      <c r="C45" s="130" t="s">
        <v>79</v>
      </c>
      <c r="D45" s="127"/>
      <c r="E45" s="127"/>
      <c r="F45" s="127"/>
      <c r="G45" s="127"/>
      <c r="H45" s="127"/>
      <c r="I45" s="127"/>
      <c r="J45" s="127"/>
      <c r="K45" s="127"/>
    </row>
    <row r="46">
      <c r="B46" s="128"/>
      <c r="C46" s="130" t="s">
        <v>80</v>
      </c>
      <c r="D46" s="127"/>
      <c r="E46" s="127"/>
      <c r="F46" s="127"/>
      <c r="G46" s="127"/>
      <c r="H46" s="127"/>
      <c r="I46" s="127"/>
      <c r="J46" s="127"/>
      <c r="K46" s="127"/>
    </row>
    <row r="47">
      <c r="B47" s="128"/>
      <c r="C47" s="130" t="s">
        <v>81</v>
      </c>
      <c r="D47" s="127"/>
      <c r="E47" s="127"/>
      <c r="F47" s="127"/>
      <c r="G47" s="127"/>
      <c r="H47" s="127"/>
      <c r="I47" s="127"/>
      <c r="J47" s="127"/>
      <c r="K47" s="127"/>
    </row>
    <row r="48">
      <c r="B48" s="128" t="s">
        <v>82</v>
      </c>
      <c r="C48" s="130" t="s">
        <v>83</v>
      </c>
      <c r="D48" s="127"/>
      <c r="E48" s="127"/>
      <c r="F48" s="127"/>
      <c r="G48" s="127"/>
      <c r="H48" s="127"/>
      <c r="I48" s="127"/>
      <c r="J48" s="127"/>
      <c r="K48" s="127"/>
    </row>
    <row r="49">
      <c r="B49" s="128"/>
      <c r="C49" s="130" t="s">
        <v>84</v>
      </c>
      <c r="D49" s="127"/>
      <c r="E49" s="127"/>
      <c r="F49" s="127"/>
      <c r="G49" s="127"/>
      <c r="H49" s="127"/>
      <c r="I49" s="127"/>
      <c r="J49" s="127"/>
      <c r="K49" s="127"/>
    </row>
    <row r="50">
      <c r="B50" s="128"/>
      <c r="C50" s="130" t="s">
        <v>85</v>
      </c>
      <c r="D50" s="127"/>
      <c r="E50" s="127"/>
      <c r="F50" s="127"/>
      <c r="G50" s="127"/>
      <c r="H50" s="127"/>
      <c r="I50" s="127"/>
      <c r="J50" s="127"/>
      <c r="K50" s="127"/>
    </row>
    <row r="51">
      <c r="B51" s="128" t="s">
        <v>86</v>
      </c>
      <c r="C51" s="130" t="s">
        <v>87</v>
      </c>
      <c r="D51" s="127"/>
      <c r="E51" s="127"/>
      <c r="F51" s="127"/>
      <c r="G51" s="127"/>
      <c r="H51" s="127"/>
      <c r="I51" s="127"/>
      <c r="J51" s="127"/>
      <c r="K51" s="127"/>
    </row>
    <row r="52">
      <c r="B52" s="128"/>
      <c r="C52" s="130" t="s">
        <v>88</v>
      </c>
      <c r="D52" s="127"/>
      <c r="E52" s="127"/>
      <c r="F52" s="127"/>
      <c r="G52" s="127"/>
      <c r="H52" s="127"/>
      <c r="I52" s="127"/>
      <c r="J52" s="127"/>
      <c r="K52" s="127"/>
    </row>
    <row r="53">
      <c r="B53" s="128"/>
      <c r="C53" s="130" t="s">
        <v>89</v>
      </c>
      <c r="D53" s="127"/>
      <c r="E53" s="127"/>
      <c r="F53" s="127"/>
      <c r="G53" s="127"/>
      <c r="H53" s="127"/>
      <c r="I53" s="127"/>
      <c r="J53" s="127"/>
      <c r="K53" s="127"/>
    </row>
    <row r="54">
      <c r="B54" s="128"/>
      <c r="C54" s="130" t="s">
        <v>90</v>
      </c>
      <c r="D54" s="127"/>
      <c r="E54" s="127"/>
      <c r="F54" s="127"/>
      <c r="G54" s="127"/>
      <c r="H54" s="127"/>
      <c r="I54" s="127"/>
      <c r="J54" s="127"/>
      <c r="K54" s="127"/>
    </row>
    <row r="55">
      <c r="B55" s="128"/>
      <c r="C55" s="130" t="s">
        <v>91</v>
      </c>
      <c r="D55" s="127"/>
      <c r="E55" s="127"/>
      <c r="F55" s="127"/>
      <c r="G55" s="127"/>
      <c r="H55" s="127"/>
      <c r="I55" s="127"/>
      <c r="J55" s="127"/>
      <c r="K55" s="127"/>
    </row>
    <row r="56">
      <c r="B56" s="128" t="s">
        <v>92</v>
      </c>
      <c r="C56" s="130" t="s">
        <v>93</v>
      </c>
      <c r="D56" s="127"/>
      <c r="E56" s="127"/>
      <c r="F56" s="127"/>
      <c r="G56" s="127"/>
      <c r="H56" s="127"/>
      <c r="I56" s="127"/>
      <c r="J56" s="127"/>
      <c r="K56" s="127"/>
    </row>
    <row r="57">
      <c r="B57" s="128"/>
      <c r="C57" s="130" t="s">
        <v>94</v>
      </c>
      <c r="D57" s="127"/>
      <c r="E57" s="127"/>
      <c r="F57" s="127"/>
      <c r="G57" s="127"/>
      <c r="H57" s="127"/>
      <c r="I57" s="127"/>
      <c r="J57" s="127"/>
      <c r="K57" s="127"/>
    </row>
    <row r="58">
      <c r="B58" s="128"/>
      <c r="C58" s="130" t="s">
        <v>95</v>
      </c>
      <c r="D58" s="127"/>
      <c r="E58" s="127"/>
      <c r="F58" s="127"/>
      <c r="G58" s="127"/>
      <c r="H58" s="127"/>
      <c r="I58" s="127"/>
      <c r="J58" s="127"/>
      <c r="K58" s="127"/>
    </row>
    <row r="59">
      <c r="B59" s="128"/>
      <c r="C59" s="130" t="s">
        <v>96</v>
      </c>
      <c r="D59" s="127"/>
      <c r="E59" s="127"/>
      <c r="F59" s="127"/>
      <c r="G59" s="127"/>
      <c r="H59" s="127"/>
      <c r="I59" s="127"/>
      <c r="J59" s="127"/>
      <c r="K59" s="127"/>
    </row>
    <row r="60">
      <c r="B60" s="128"/>
      <c r="C60" s="130" t="s">
        <v>97</v>
      </c>
      <c r="D60" s="127"/>
      <c r="E60" s="127"/>
      <c r="F60" s="127"/>
      <c r="G60" s="127"/>
      <c r="H60" s="127"/>
      <c r="I60" s="127"/>
      <c r="J60" s="127"/>
      <c r="K60" s="127"/>
    </row>
    <row r="61">
      <c r="B61" s="128"/>
      <c r="C61" s="130" t="s">
        <v>98</v>
      </c>
      <c r="D61" s="127"/>
      <c r="E61" s="127"/>
      <c r="F61" s="127"/>
      <c r="G61" s="127"/>
      <c r="H61" s="127"/>
      <c r="I61" s="127"/>
      <c r="J61" s="127"/>
      <c r="K61" s="127"/>
    </row>
    <row r="62">
      <c r="B62" s="128"/>
      <c r="C62" s="130" t="s">
        <v>99</v>
      </c>
      <c r="D62" s="127"/>
      <c r="E62" s="127"/>
      <c r="F62" s="127"/>
      <c r="G62" s="127"/>
      <c r="H62" s="127"/>
      <c r="I62" s="127"/>
      <c r="J62" s="127"/>
      <c r="K62" s="127"/>
    </row>
    <row r="63">
      <c r="B63" s="128"/>
      <c r="C63" s="130" t="s">
        <v>100</v>
      </c>
      <c r="D63" s="127"/>
      <c r="E63" s="127"/>
      <c r="F63" s="127"/>
      <c r="G63" s="127"/>
      <c r="H63" s="127"/>
      <c r="I63" s="127"/>
      <c r="J63" s="127"/>
      <c r="K63" s="127"/>
    </row>
    <row r="64">
      <c r="B64" s="128"/>
      <c r="C64" s="130" t="s">
        <v>101</v>
      </c>
      <c r="D64" s="127"/>
      <c r="E64" s="127"/>
      <c r="F64" s="127"/>
      <c r="G64" s="127"/>
      <c r="H64" s="127"/>
      <c r="I64" s="127"/>
      <c r="J64" s="127"/>
      <c r="K64" s="127"/>
    </row>
    <row r="65">
      <c r="C65" s="130" t="s">
        <v>102</v>
      </c>
    </row>
    <row r="66">
      <c r="C66" s="130" t="s">
        <v>103</v>
      </c>
    </row>
  </sheetData>
  <mergeCells count="1">
    <mergeCell ref="C15:K15"/>
  </mergeCells>
  <drawing r:id="rId1"/>
  <legacyDrawing r:id="rId3"/>
</worksheet>
</file>

<file path=xl/worksheets/sheet2.xml><?xml version="1.0" encoding="utf-8"?>
<worksheet xmlns="http://schemas.openxmlformats.org/spreadsheetml/2006/main" xmlns:r="http://schemas.openxmlformats.org/officeDocument/2006/relationships">
  <dimension ref="A1:K106"/>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104</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110</v>
      </c>
      <c r="C9" s="7"/>
      <c r="D9" s="7"/>
      <c r="E9" s="7"/>
      <c r="F9" s="7"/>
      <c r="G9" s="7"/>
      <c r="H9" s="7"/>
      <c r="I9" s="7"/>
      <c r="J9" s="46"/>
      <c r="K9" s="124"/>
    </row>
    <row r="10">
      <c r="A10" s="2"/>
      <c r="B10" s="2" t="s">
        <v>111</v>
      </c>
      <c r="C10" s="58">
        <f>'Segment - Consumer Banking'!C159</f>
        <v>10493</v>
      </c>
      <c r="D10" s="58">
        <f>'Segment - Consumer Banking'!D159</f>
        <v>10813</v>
      </c>
      <c r="E10" s="58">
        <f>'Segment - Consumer Banking'!E159</f>
        <v>11166</v>
      </c>
      <c r="F10" s="58">
        <f>'Segment - Consumer Banking'!F159</f>
        <v>11201</v>
      </c>
      <c r="G10" s="58">
        <f>'Segment - Consumer Banking'!G159</f>
        <v>43673</v>
      </c>
      <c r="H10" s="58">
        <f>'Segment - Consumer Banking'!H159</f>
        <v>11049</v>
      </c>
      <c r="I10" s="58">
        <f>'Segment - Consumer Banking'!I159</f>
        <v>11336</v>
      </c>
      <c r="J10" s="48">
        <f>'Segment - Consumer Banking'!J159</f>
        <v>11530.698783561644</v>
      </c>
      <c r="K10" s="125" t="s">
        <v>112</v>
      </c>
    </row>
    <row r="11">
      <c r="A11" s="2"/>
      <c r="B11" s="47" t="s">
        <v>113</v>
      </c>
      <c r="C11" s="7"/>
      <c r="D11" s="7"/>
      <c r="E11" s="7"/>
      <c r="F11" s="7"/>
      <c r="G11" s="7"/>
      <c r="H11" s="40">
        <f>IF(OR(H10="",C10=""),"n.a.",IFERROR(IF(C10&lt;=0,"n.m.",IF(H10/C10&lt;=0,"n.m.",H10/C10-1)),"n.a."))</f>
        <v>0.0529877060897741</v>
      </c>
      <c r="I11" s="40">
        <f>IF(OR(I10="",D10=""),"n.a.",IFERROR(IF(D10&lt;=0,"n.m.",IF(I10/D10&lt;=0,"n.m.",I10/D10-1)),"n.a."))</f>
        <v>0.048367705539628325</v>
      </c>
      <c r="J11" s="45">
        <f>IF(OR(J10="",E10=""),"n.a.",IFERROR(IF(E10&lt;=0,"n.m.",IF(J10/E10&lt;=0,"n.m.",J10/E10-1)),"n.a."))</f>
        <v>0.03266154250059494</v>
      </c>
      <c r="K11" s="124"/>
    </row>
    <row r="12">
      <c r="A12" s="2"/>
      <c r="B12" s="47" t="s">
        <v>114</v>
      </c>
      <c r="C12" s="7"/>
      <c r="D12" s="40">
        <f>IF(OR(D10="",C10=""),"n.a.",IFERROR(IF(C10&lt;=0,"n.m.",IF(D10/C10&lt;=0,"n.m.",D10/C10-1)),"n.a."))</f>
        <v>0.030496521490517514</v>
      </c>
      <c r="E12" s="40">
        <f>IF(OR(E10="",D10=""),"n.a.",IFERROR(IF(D10&lt;=0,"n.m.",IF(E10/D10&lt;=0,"n.m.",E10/D10-1)),"n.a."))</f>
        <v>0.0326458892074355</v>
      </c>
      <c r="F12" s="40">
        <f>IF(OR(F10="",E10=""),"n.a.",IFERROR(IF(E10&lt;=0,"n.m.",IF(F10/E10&lt;=0,"n.m.",F10/E10-1)),"n.a."))</f>
        <v>0.003134515493462331</v>
      </c>
      <c r="G12" s="7"/>
      <c r="H12" s="40">
        <f>IF(OR(H10="",F10=""),"n.a.",IFERROR(IF(F10&lt;=0,"n.m.",IF(H10/F10&lt;=0,"n.m.",H10/F10-1)),"n.a."))</f>
        <v>-0.01357021694491567</v>
      </c>
      <c r="I12" s="40">
        <f>IF(OR(I10="",H10=""),"n.a.",IFERROR(IF(H10&lt;=0,"n.m.",IF(I10/H10&lt;=0,"n.m.",I10/H10-1)),"n.a."))</f>
        <v>0.025975201375690204</v>
      </c>
      <c r="J12" s="45">
        <f>IF(OR(J10="",I10=""),"n.a.",IFERROR(IF(I10&lt;=0,"n.m.",IF(J10/I10&lt;=0,"n.m.",J10/I10-1)),"n.a."))</f>
        <v>0.01717526319351137</v>
      </c>
      <c r="K12" s="124"/>
    </row>
    <row r="13">
      <c r="A13" s="2"/>
      <c r="B13" s="47" t="s">
        <v>115</v>
      </c>
      <c r="C13" s="7"/>
      <c r="D13" s="7"/>
      <c r="E13" s="7"/>
      <c r="F13" s="7"/>
      <c r="G13" s="7"/>
      <c r="H13" s="40" t="s">
        <v>116</v>
      </c>
      <c r="I13" s="40" t="s">
        <v>116</v>
      </c>
      <c r="J13" s="45" t="s">
        <v>116</v>
      </c>
      <c r="K13" s="124"/>
    </row>
    <row r="14">
      <c r="A14" s="2"/>
      <c r="B14" s="47" t="s">
        <v>117</v>
      </c>
      <c r="C14" s="7"/>
      <c r="D14" s="7"/>
      <c r="E14" s="7"/>
      <c r="F14" s="7"/>
      <c r="G14" s="7"/>
      <c r="H14" s="40" t="s">
        <v>116</v>
      </c>
      <c r="I14" s="40" t="s">
        <v>116</v>
      </c>
      <c r="J14" s="45" t="s">
        <v>116</v>
      </c>
      <c r="K14" s="124"/>
    </row>
    <row r="15">
      <c r="A15" s="2"/>
      <c r="B15" s="47" t="s">
        <v>118</v>
      </c>
      <c r="C15" s="7"/>
      <c r="D15" s="7"/>
      <c r="E15" s="7"/>
      <c r="F15" s="7"/>
      <c r="G15" s="7"/>
      <c r="H15" s="40" t="s">
        <v>116</v>
      </c>
      <c r="I15" s="40" t="s">
        <v>116</v>
      </c>
      <c r="J15" s="45" t="s">
        <v>116</v>
      </c>
      <c r="K15" s="124"/>
    </row>
    <row r="16">
      <c r="A16" s="2"/>
      <c r="B16" s="47" t="s">
        <v>119</v>
      </c>
      <c r="C16" s="40">
        <f>IFERROR(C10/C45,"n.a.")</f>
        <v>0.36957593688362916</v>
      </c>
      <c r="D16" s="40">
        <f>IFERROR(D10/D45,"n.a.")</f>
        <v>0.3919457735247209</v>
      </c>
      <c r="E16" s="40">
        <f>IFERROR(E10/E45,"n.a.")</f>
        <v>0.3824758512023018</v>
      </c>
      <c r="F16" s="40">
        <f>IFERROR(F10/F45,"n.a.")</f>
        <v>0.392576755923174</v>
      </c>
      <c r="G16" s="40">
        <f>IFERROR(G10/G45,"n.a.")</f>
        <v>0.3840870314671169</v>
      </c>
      <c r="H16" s="40">
        <f>IFERROR(H10/H45,"n.a.")</f>
        <v>0.3630479069461786</v>
      </c>
      <c r="I16" s="40">
        <f>IFERROR(I10/I45,"n.a.")</f>
        <v>0.3573657829198323</v>
      </c>
      <c r="J16" s="45">
        <f>IFERROR(J10/J45,"n.a.")</f>
        <v>0.38002629233309004</v>
      </c>
      <c r="K16" s="124"/>
    </row>
    <row r="17">
      <c r="A17" s="2"/>
      <c r="B17" s="2" t="s">
        <v>120</v>
      </c>
      <c r="C17" s="58">
        <f>'Segment - GWIM'!C117</f>
        <v>6016</v>
      </c>
      <c r="D17" s="58">
        <f>'Segment - GWIM'!D117</f>
        <v>5937</v>
      </c>
      <c r="E17" s="58">
        <f>'Segment - GWIM'!E117</f>
        <v>6312</v>
      </c>
      <c r="F17" s="58">
        <f>'Segment - GWIM'!F117</f>
        <v>6618</v>
      </c>
      <c r="G17" s="58">
        <f>'Segment - GWIM'!G117</f>
        <v>24883</v>
      </c>
      <c r="H17" s="58">
        <f>'Segment - GWIM'!H117</f>
        <v>6712</v>
      </c>
      <c r="I17" s="58">
        <f>'Segment - GWIM'!I117</f>
        <v>6871</v>
      </c>
      <c r="J17" s="48">
        <f>'Segment - GWIM'!J117</f>
        <v>7049.475826316439</v>
      </c>
      <c r="K17" s="125" t="s">
        <v>121</v>
      </c>
    </row>
    <row r="18">
      <c r="A18" s="2"/>
      <c r="B18" s="47" t="s">
        <v>113</v>
      </c>
      <c r="C18" s="7"/>
      <c r="D18" s="7"/>
      <c r="E18" s="7"/>
      <c r="F18" s="7"/>
      <c r="G18" s="7"/>
      <c r="H18" s="40">
        <f>IF(OR(H17="",C17=""),"n.a.",IFERROR(IF(C17&lt;=0,"n.m.",IF(H17/C17&lt;=0,"n.m.",H17/C17-1)),"n.a."))</f>
        <v>0.11569148936170204</v>
      </c>
      <c r="I18" s="40">
        <f>IF(OR(I17="",D17=""),"n.a.",IFERROR(IF(D17&lt;=0,"n.m.",IF(I17/D17&lt;=0,"n.m.",I17/D17-1)),"n.a."))</f>
        <v>0.15731851103250793</v>
      </c>
      <c r="J18" s="45">
        <f>IF(OR(J17="",E17=""),"n.a.",IFERROR(IF(E17&lt;=0,"n.m.",IF(J17/E17&lt;=0,"n.m.",J17/E17-1)),"n.a."))</f>
        <v>0.11683710809829528</v>
      </c>
      <c r="K18" s="124"/>
    </row>
    <row r="19">
      <c r="A19" s="2"/>
      <c r="B19" s="47" t="s">
        <v>114</v>
      </c>
      <c r="C19" s="7"/>
      <c r="D19" s="40">
        <f>IF(OR(D17="",C17=""),"n.a.",IFERROR(IF(C17&lt;=0,"n.m.",IF(D17/C17&lt;=0,"n.m.",D17/C17-1)),"n.a."))</f>
        <v>-0.013131648936170248</v>
      </c>
      <c r="E19" s="40">
        <f>IF(OR(E17="",D17=""),"n.a.",IFERROR(IF(D17&lt;=0,"n.m.",IF(E17/D17&lt;=0,"n.m.",E17/D17-1)),"n.a."))</f>
        <v>0.06316321374431522</v>
      </c>
      <c r="F19" s="40">
        <f>IF(OR(F17="",E17=""),"n.a.",IFERROR(IF(E17&lt;=0,"n.m.",IF(F17/E17&lt;=0,"n.m.",F17/E17-1)),"n.a."))</f>
        <v>0.048479087452471425</v>
      </c>
      <c r="G19" s="7"/>
      <c r="H19" s="40">
        <f>IF(OR(H17="",F17=""),"n.a.",IFERROR(IF(F17&lt;=0,"n.m.",IF(H17/F17&lt;=0,"n.m.",H17/F17-1)),"n.a."))</f>
        <v>0.01420368691447571</v>
      </c>
      <c r="I19" s="40">
        <f>IF(OR(I17="",H17=""),"n.a.",IFERROR(IF(H17&lt;=0,"n.m.",IF(I17/H17&lt;=0,"n.m.",I17/H17-1)),"n.a."))</f>
        <v>0.02368891537544693</v>
      </c>
      <c r="J19" s="45">
        <f>IF(OR(J17="",I17=""),"n.a.",IFERROR(IF(I17&lt;=0,"n.m.",IF(J17/I17&lt;=0,"n.m.",J17/I17-1)),"n.a."))</f>
        <v>0.025975233054350122</v>
      </c>
      <c r="K19" s="124"/>
    </row>
    <row r="20">
      <c r="A20" s="2"/>
      <c r="B20" s="47" t="s">
        <v>115</v>
      </c>
      <c r="C20" s="7"/>
      <c r="D20" s="7"/>
      <c r="E20" s="7"/>
      <c r="F20" s="7"/>
      <c r="G20" s="7"/>
      <c r="H20" s="40" t="s">
        <v>116</v>
      </c>
      <c r="I20" s="40" t="s">
        <v>116</v>
      </c>
      <c r="J20" s="45" t="s">
        <v>116</v>
      </c>
      <c r="K20" s="124"/>
    </row>
    <row r="21">
      <c r="A21" s="2"/>
      <c r="B21" s="47" t="s">
        <v>117</v>
      </c>
      <c r="C21" s="7"/>
      <c r="D21" s="7"/>
      <c r="E21" s="7"/>
      <c r="F21" s="7"/>
      <c r="G21" s="7"/>
      <c r="H21" s="40" t="s">
        <v>116</v>
      </c>
      <c r="I21" s="40" t="s">
        <v>116</v>
      </c>
      <c r="J21" s="45" t="s">
        <v>116</v>
      </c>
      <c r="K21" s="124"/>
    </row>
    <row r="22">
      <c r="A22" s="2"/>
      <c r="B22" s="47" t="s">
        <v>118</v>
      </c>
      <c r="C22" s="7"/>
      <c r="D22" s="7"/>
      <c r="E22" s="7"/>
      <c r="F22" s="7"/>
      <c r="G22" s="7"/>
      <c r="H22" s="40" t="s">
        <v>116</v>
      </c>
      <c r="I22" s="40" t="s">
        <v>116</v>
      </c>
      <c r="J22" s="45" t="s">
        <v>116</v>
      </c>
      <c r="K22" s="124"/>
    </row>
    <row r="23">
      <c r="A23" s="2"/>
      <c r="B23" s="47" t="s">
        <v>119</v>
      </c>
      <c r="C23" s="40">
        <f>IFERROR(C17/C45,"n.a.")</f>
        <v>0.21189067342913498</v>
      </c>
      <c r="D23" s="40">
        <f>IFERROR(D17/D45,"n.a.")</f>
        <v>0.21520226185297955</v>
      </c>
      <c r="E23" s="40">
        <f>IFERROR(E17/E45,"n.a.")</f>
        <v>0.2162088100294581</v>
      </c>
      <c r="F23" s="40">
        <f>IFERROR(F17/F45,"n.a.")</f>
        <v>0.23195009112575354</v>
      </c>
      <c r="G23" s="40">
        <f>IFERROR(G17/G45,"n.a.")</f>
        <v>0.21883629711712663</v>
      </c>
      <c r="H23" s="40">
        <f>IFERROR(H17/H45,"n.a.")</f>
        <v>0.2205428139580732</v>
      </c>
      <c r="I23" s="40">
        <f>IFERROR(I17/I45,"n.a.")</f>
        <v>0.2166072948519908</v>
      </c>
      <c r="J23" s="45">
        <f>IFERROR(J17/J45,"n.a.")</f>
        <v>0.23233510921176695</v>
      </c>
      <c r="K23" s="124"/>
    </row>
    <row r="24">
      <c r="A24" s="2"/>
      <c r="B24" s="2" t="s">
        <v>122</v>
      </c>
      <c r="C24" s="58">
        <f>'Segment - Global Banking'!C248</f>
        <v>5992</v>
      </c>
      <c r="D24" s="58">
        <f>'Segment - Global Banking'!D248</f>
        <v>5689</v>
      </c>
      <c r="E24" s="58">
        <f>'Segment - Global Banking'!E248</f>
        <v>6189</v>
      </c>
      <c r="F24" s="58">
        <f>'Segment - Global Banking'!F248</f>
        <v>6238</v>
      </c>
      <c r="G24" s="58">
        <f>'Segment - Global Banking'!G248</f>
        <v>24108</v>
      </c>
      <c r="H24" s="58">
        <f>'Segment - Global Banking'!H248</f>
        <v>6287</v>
      </c>
      <c r="I24" s="58">
        <f>'Segment - Global Banking'!I248</f>
        <v>6236</v>
      </c>
      <c r="J24" s="48">
        <f>'Segment - Global Banking'!J248</f>
        <v>6295.375673972603</v>
      </c>
      <c r="K24" s="125" t="s">
        <v>123</v>
      </c>
    </row>
    <row r="25">
      <c r="A25" s="2"/>
      <c r="B25" s="47" t="s">
        <v>113</v>
      </c>
      <c r="C25" s="7"/>
      <c r="D25" s="7"/>
      <c r="E25" s="7"/>
      <c r="F25" s="7"/>
      <c r="G25" s="7"/>
      <c r="H25" s="40">
        <f>IF(OR(H24="",C24=""),"n.a.",IFERROR(IF(C24&lt;=0,"n.m.",IF(H24/C24&lt;=0,"n.m.",H24/C24-1)),"n.a."))</f>
        <v>0.04923230974632853</v>
      </c>
      <c r="I25" s="40">
        <f>IF(OR(I24="",D24=""),"n.a.",IFERROR(IF(D24&lt;=0,"n.m.",IF(I24/D24&lt;=0,"n.m.",I24/D24-1)),"n.a."))</f>
        <v>0.09615046581121467</v>
      </c>
      <c r="J25" s="45">
        <f>IF(OR(J24="",E24=""),"n.a.",IFERROR(IF(E24&lt;=0,"n.m.",IF(J24/E24&lt;=0,"n.m.",J24/E24-1)),"n.a."))</f>
        <v>0.01718786136251471</v>
      </c>
      <c r="K25" s="124"/>
    </row>
    <row r="26">
      <c r="A26" s="2"/>
      <c r="B26" s="47" t="s">
        <v>114</v>
      </c>
      <c r="C26" s="7"/>
      <c r="D26" s="40">
        <f>IF(OR(D24="",C24=""),"n.a.",IFERROR(IF(C24&lt;=0,"n.m.",IF(D24/C24&lt;=0,"n.m.",D24/C24-1)),"n.a."))</f>
        <v>-0.05056742323097463</v>
      </c>
      <c r="E26" s="40">
        <f>IF(OR(E24="",D24=""),"n.a.",IFERROR(IF(D24&lt;=0,"n.m.",IF(E24/D24&lt;=0,"n.m.",E24/D24-1)),"n.a."))</f>
        <v>0.08788890841975738</v>
      </c>
      <c r="F26" s="40">
        <f>IF(OR(F24="",E24=""),"n.a.",IFERROR(IF(E24&lt;=0,"n.m.",IF(F24/E24&lt;=0,"n.m.",F24/E24-1)),"n.a."))</f>
        <v>0.00791727258038466</v>
      </c>
      <c r="G26" s="7"/>
      <c r="H26" s="40">
        <f>IF(OR(H24="",F24=""),"n.a.",IFERROR(IF(F24&lt;=0,"n.m.",IF(H24/F24&lt;=0,"n.m.",H24/F24-1)),"n.a."))</f>
        <v>0.007855081756973359</v>
      </c>
      <c r="I26" s="40">
        <f>IF(OR(I24="",H24=""),"n.a.",IFERROR(IF(H24&lt;=0,"n.m.",IF(I24/H24&lt;=0,"n.m.",I24/H24-1)),"n.a."))</f>
        <v>-0.00811197709559408</v>
      </c>
      <c r="J26" s="45">
        <f>IF(OR(J24="",I24=""),"n.a.",IFERROR(IF(I24&lt;=0,"n.m.",IF(J24/I24&lt;=0,"n.m.",J24/I24-1)),"n.a."))</f>
        <v>0.009521435851924887</v>
      </c>
      <c r="K26" s="124"/>
    </row>
    <row r="27">
      <c r="A27" s="2"/>
      <c r="B27" s="47" t="s">
        <v>115</v>
      </c>
      <c r="C27" s="7"/>
      <c r="D27" s="7"/>
      <c r="E27" s="7"/>
      <c r="F27" s="7"/>
      <c r="G27" s="7"/>
      <c r="H27" s="40" t="s">
        <v>116</v>
      </c>
      <c r="I27" s="40" t="s">
        <v>116</v>
      </c>
      <c r="J27" s="45" t="s">
        <v>116</v>
      </c>
      <c r="K27" s="124"/>
    </row>
    <row r="28">
      <c r="A28" s="2"/>
      <c r="B28" s="47" t="s">
        <v>117</v>
      </c>
      <c r="C28" s="7"/>
      <c r="D28" s="7"/>
      <c r="E28" s="7"/>
      <c r="F28" s="7"/>
      <c r="G28" s="7"/>
      <c r="H28" s="40" t="s">
        <v>116</v>
      </c>
      <c r="I28" s="40" t="s">
        <v>116</v>
      </c>
      <c r="J28" s="45" t="s">
        <v>116</v>
      </c>
      <c r="K28" s="124"/>
    </row>
    <row r="29">
      <c r="A29" s="2"/>
      <c r="B29" s="47" t="s">
        <v>118</v>
      </c>
      <c r="C29" s="7"/>
      <c r="D29" s="7"/>
      <c r="E29" s="7"/>
      <c r="F29" s="7"/>
      <c r="G29" s="7"/>
      <c r="H29" s="40" t="s">
        <v>116</v>
      </c>
      <c r="I29" s="40" t="s">
        <v>116</v>
      </c>
      <c r="J29" s="45" t="s">
        <v>116</v>
      </c>
      <c r="K29" s="124"/>
    </row>
    <row r="30">
      <c r="A30" s="2"/>
      <c r="B30" s="47" t="s">
        <v>119</v>
      </c>
      <c r="C30" s="40">
        <f>IFERROR(C24/C45,"n.a.")</f>
        <v>0.21104536489151873</v>
      </c>
      <c r="D30" s="40">
        <f>IFERROR(D24/D45,"n.a.")</f>
        <v>0.20621284616499927</v>
      </c>
      <c r="E30" s="40">
        <f>IFERROR(E24/E45,"n.a.")</f>
        <v>0.2119956155374392</v>
      </c>
      <c r="F30" s="40">
        <f>IFERROR(F24/F45,"n.a.")</f>
        <v>0.21863171176223187</v>
      </c>
      <c r="G30" s="40">
        <f>IFERROR(G24/G45,"n.a.")</f>
        <v>0.2120204738536225</v>
      </c>
      <c r="H30" s="40">
        <f>IFERROR(H24/H45,"n.a.")</f>
        <v>0.20657816915292107</v>
      </c>
      <c r="I30" s="40">
        <f>IFERROR(I24/I45,"n.a.")</f>
        <v>0.1965890104347278</v>
      </c>
      <c r="J30" s="45">
        <f>IFERROR(J24/J45,"n.a.")</f>
        <v>0.2074816384618765</v>
      </c>
      <c r="K30" s="124"/>
    </row>
    <row r="31">
      <c r="A31" s="2"/>
      <c r="B31" s="2" t="s">
        <v>124</v>
      </c>
      <c r="C31" s="58">
        <f>'Segment - Global Markets'!C144</f>
        <v>6585</v>
      </c>
      <c r="D31" s="58">
        <f>'Segment - Global Markets'!D144</f>
        <v>5982</v>
      </c>
      <c r="E31" s="58">
        <f>'Segment - Global Markets'!E144</f>
        <v>6225</v>
      </c>
      <c r="F31" s="58">
        <f>'Segment - Global Markets'!F144</f>
        <v>5304</v>
      </c>
      <c r="G31" s="58">
        <f>'Segment - Global Markets'!G144</f>
        <v>24096</v>
      </c>
      <c r="H31" s="58">
        <f>'Segment - Global Markets'!H144</f>
        <v>7109</v>
      </c>
      <c r="I31" s="58">
        <f>'Segment - Global Markets'!I144</f>
        <v>8022</v>
      </c>
      <c r="J31" s="48">
        <f>'Segment - Global Markets'!J144</f>
        <v>6214.7945205479455</v>
      </c>
      <c r="K31" s="125" t="s">
        <v>125</v>
      </c>
    </row>
    <row r="32">
      <c r="A32" s="2"/>
      <c r="B32" s="47" t="s">
        <v>113</v>
      </c>
      <c r="C32" s="7"/>
      <c r="D32" s="7"/>
      <c r="E32" s="7"/>
      <c r="F32" s="7"/>
      <c r="G32" s="7"/>
      <c r="H32" s="40">
        <f>IF(OR(H31="",C31=""),"n.a.",IFERROR(IF(C31&lt;=0,"n.m.",IF(H31/C31&lt;=0,"n.m.",H31/C31-1)),"n.a."))</f>
        <v>0.0795747911921032</v>
      </c>
      <c r="I32" s="40">
        <f>IF(OR(I31="",D31=""),"n.a.",IFERROR(IF(D31&lt;=0,"n.m.",IF(I31/D31&lt;=0,"n.m.",I31/D31-1)),"n.a."))</f>
        <v>0.3410230692076228</v>
      </c>
      <c r="J32" s="45">
        <f>IF(OR(J31="",E31=""),"n.a.",IFERROR(IF(E31&lt;=0,"n.m.",IF(J31/E31&lt;=0,"n.m.",J31/E31-1)),"n.a."))</f>
        <v>-0.0016394344501292624</v>
      </c>
      <c r="K32" s="124"/>
    </row>
    <row r="33">
      <c r="A33" s="2"/>
      <c r="B33" s="47" t="s">
        <v>114</v>
      </c>
      <c r="C33" s="7"/>
      <c r="D33" s="40">
        <f>IF(OR(D31="",C31=""),"n.a.",IFERROR(IF(C31&lt;=0,"n.m.",IF(D31/C31&lt;=0,"n.m.",D31/C31-1)),"n.a."))</f>
        <v>-0.09157175398633255</v>
      </c>
      <c r="E33" s="40">
        <f>IF(OR(E31="",D31=""),"n.a.",IFERROR(IF(D31&lt;=0,"n.m.",IF(E31/D31&lt;=0,"n.m.",E31/D31-1)),"n.a."))</f>
        <v>0.04062186559679026</v>
      </c>
      <c r="F33" s="40">
        <f>IF(OR(F31="",E31=""),"n.a.",IFERROR(IF(E31&lt;=0,"n.m.",IF(F31/E31&lt;=0,"n.m.",F31/E31-1)),"n.a."))</f>
        <v>-0.14795180722891565</v>
      </c>
      <c r="G33" s="7"/>
      <c r="H33" s="40">
        <f>IF(OR(H31="",F31=""),"n.a.",IFERROR(IF(F31&lt;=0,"n.m.",IF(H31/F31&lt;=0,"n.m.",H31/F31-1)),"n.a."))</f>
        <v>0.34030920060331815</v>
      </c>
      <c r="I33" s="40">
        <f>IF(OR(I31="",H31=""),"n.a.",IFERROR(IF(H31&lt;=0,"n.m.",IF(I31/H31&lt;=0,"n.m.",I31/H31-1)),"n.a."))</f>
        <v>0.12842875228583495</v>
      </c>
      <c r="J33" s="45">
        <f>IF(OR(J31="",I31=""),"n.a.",IFERROR(IF(I31&lt;=0,"n.m.",IF(J31/I31&lt;=0,"n.m.",J31/I31-1)),"n.a."))</f>
        <v>-0.22528116173673085</v>
      </c>
      <c r="K33" s="124"/>
    </row>
    <row r="34">
      <c r="A34" s="2"/>
      <c r="B34" s="47" t="s">
        <v>115</v>
      </c>
      <c r="C34" s="7"/>
      <c r="D34" s="7"/>
      <c r="E34" s="7"/>
      <c r="F34" s="7"/>
      <c r="G34" s="7"/>
      <c r="H34" s="40" t="s">
        <v>116</v>
      </c>
      <c r="I34" s="40" t="s">
        <v>116</v>
      </c>
      <c r="J34" s="45" t="s">
        <v>116</v>
      </c>
      <c r="K34" s="124"/>
    </row>
    <row r="35">
      <c r="A35" s="2"/>
      <c r="B35" s="47" t="s">
        <v>117</v>
      </c>
      <c r="C35" s="7"/>
      <c r="D35" s="7"/>
      <c r="E35" s="7"/>
      <c r="F35" s="7"/>
      <c r="G35" s="7"/>
      <c r="H35" s="40" t="s">
        <v>116</v>
      </c>
      <c r="I35" s="40" t="s">
        <v>116</v>
      </c>
      <c r="J35" s="45" t="s">
        <v>116</v>
      </c>
      <c r="K35" s="124"/>
    </row>
    <row r="36">
      <c r="A36" s="2"/>
      <c r="B36" s="47" t="s">
        <v>118</v>
      </c>
      <c r="C36" s="7"/>
      <c r="D36" s="7"/>
      <c r="E36" s="7"/>
      <c r="F36" s="7"/>
      <c r="G36" s="7"/>
      <c r="H36" s="40" t="s">
        <v>116</v>
      </c>
      <c r="I36" s="40" t="s">
        <v>116</v>
      </c>
      <c r="J36" s="45" t="s">
        <v>116</v>
      </c>
      <c r="K36" s="124"/>
    </row>
    <row r="37">
      <c r="A37" s="2"/>
      <c r="B37" s="47" t="s">
        <v>119</v>
      </c>
      <c r="C37" s="40">
        <f>IFERROR(C31/C45,"n.a.")</f>
        <v>0.2319315300084531</v>
      </c>
      <c r="D37" s="40">
        <f>IFERROR(D31/D45,"n.a.")</f>
        <v>0.21683340582862115</v>
      </c>
      <c r="E37" s="40">
        <f>IFERROR(E31/E45,"n.a.")</f>
        <v>0.21322874563266425</v>
      </c>
      <c r="F37" s="40">
        <f>IFERROR(F31/F45,"n.a.")</f>
        <v>0.18589653722136548</v>
      </c>
      <c r="G37" s="40">
        <f>IFERROR(G31/G45,"n.a.")</f>
        <v>0.21191493852567148</v>
      </c>
      <c r="H37" s="40">
        <f>IFERROR(H31/H45,"n.a.")</f>
        <v>0.23358743510547414</v>
      </c>
      <c r="I37" s="40">
        <f>IFERROR(I31/I45,"n.a.")</f>
        <v>0.2528924056618644</v>
      </c>
      <c r="J37" s="45">
        <f>IFERROR(J31/J45,"n.a.")</f>
        <v>0.20482586212579243</v>
      </c>
      <c r="K37" s="124"/>
    </row>
    <row r="38">
      <c r="A38" s="2"/>
      <c r="B38" s="2" t="s">
        <v>126</v>
      </c>
      <c r="C38" s="37">
        <v>-694</v>
      </c>
      <c r="D38" s="37">
        <v>-833</v>
      </c>
      <c r="E38" s="37">
        <v>-698</v>
      </c>
      <c r="F38" s="37">
        <v>-829</v>
      </c>
      <c r="G38" s="43">
        <f>SUM(C38:F38)</f>
        <v>-3054</v>
      </c>
      <c r="H38" s="37">
        <v>-723</v>
      </c>
      <c r="I38" s="37">
        <v>-744</v>
      </c>
      <c r="J38" s="38">
        <f>AVERAGE(E38,F38,H38,I38)</f>
        <v>-748.5</v>
      </c>
      <c r="K38" s="125" t="s">
        <v>127</v>
      </c>
    </row>
    <row r="39">
      <c r="A39" s="2"/>
      <c r="B39" s="47" t="s">
        <v>113</v>
      </c>
      <c r="C39" s="7"/>
      <c r="D39" s="7"/>
      <c r="E39" s="7"/>
      <c r="F39" s="7"/>
      <c r="G39" s="7"/>
      <c r="H39" s="40" t="str">
        <f>IF(OR(H38="",C38=""),"n.a.",IFERROR(IF(C38&lt;=0,"n.m.",IF(H38/C38&lt;=0,"n.m.",H38/C38-1)),"n.a."))</f>
        <v>n.m.</v>
      </c>
      <c r="I39" s="40" t="str">
        <f>IF(OR(I38="",D38=""),"n.a.",IFERROR(IF(D38&lt;=0,"n.m.",IF(I38/D38&lt;=0,"n.m.",I38/D38-1)),"n.a."))</f>
        <v>n.m.</v>
      </c>
      <c r="J39" s="45" t="str">
        <f>IF(OR(J38="",E38=""),"n.a.",IFERROR(IF(E38&lt;=0,"n.m.",IF(J38/E38&lt;=0,"n.m.",J38/E38-1)),"n.a."))</f>
        <v>n.m.</v>
      </c>
      <c r="K39" s="124"/>
    </row>
    <row r="40">
      <c r="A40" s="2"/>
      <c r="B40" s="47" t="s">
        <v>114</v>
      </c>
      <c r="C40" s="7"/>
      <c r="D40" s="40" t="str">
        <f>IF(OR(D38="",C38=""),"n.a.",IFERROR(IF(C38&lt;=0,"n.m.",IF(D38/C38&lt;=0,"n.m.",D38/C38-1)),"n.a."))</f>
        <v>n.m.</v>
      </c>
      <c r="E40" s="40" t="str">
        <f>IF(OR(E38="",D38=""),"n.a.",IFERROR(IF(D38&lt;=0,"n.m.",IF(E38/D38&lt;=0,"n.m.",E38/D38-1)),"n.a."))</f>
        <v>n.m.</v>
      </c>
      <c r="F40" s="40" t="str">
        <f>IF(OR(F38="",E38=""),"n.a.",IFERROR(IF(E38&lt;=0,"n.m.",IF(F38/E38&lt;=0,"n.m.",F38/E38-1)),"n.a."))</f>
        <v>n.m.</v>
      </c>
      <c r="G40" s="7"/>
      <c r="H40" s="40" t="str">
        <f>IF(OR(H38="",F38=""),"n.a.",IFERROR(IF(F38&lt;=0,"n.m.",IF(H38/F38&lt;=0,"n.m.",H38/F38-1)),"n.a."))</f>
        <v>n.m.</v>
      </c>
      <c r="I40" s="40" t="str">
        <f>IF(OR(I38="",H38=""),"n.a.",IFERROR(IF(H38&lt;=0,"n.m.",IF(I38/H38&lt;=0,"n.m.",I38/H38-1)),"n.a."))</f>
        <v>n.m.</v>
      </c>
      <c r="J40" s="45" t="str">
        <f>IF(OR(J38="",I38=""),"n.a.",IFERROR(IF(I38&lt;=0,"n.m.",IF(J38/I38&lt;=0,"n.m.",J38/I38-1)),"n.a."))</f>
        <v>n.m.</v>
      </c>
      <c r="K40" s="124"/>
    </row>
    <row r="41">
      <c r="A41" s="2"/>
      <c r="B41" s="47" t="s">
        <v>115</v>
      </c>
      <c r="C41" s="7"/>
      <c r="D41" s="7"/>
      <c r="E41" s="7"/>
      <c r="F41" s="7"/>
      <c r="G41" s="7"/>
      <c r="H41" s="40" t="s">
        <v>116</v>
      </c>
      <c r="I41" s="40" t="s">
        <v>116</v>
      </c>
      <c r="J41" s="45" t="s">
        <v>116</v>
      </c>
      <c r="K41" s="124"/>
    </row>
    <row r="42">
      <c r="A42" s="2"/>
      <c r="B42" s="47" t="s">
        <v>117</v>
      </c>
      <c r="C42" s="7"/>
      <c r="D42" s="7"/>
      <c r="E42" s="7"/>
      <c r="F42" s="7"/>
      <c r="G42" s="7"/>
      <c r="H42" s="40" t="s">
        <v>116</v>
      </c>
      <c r="I42" s="40" t="s">
        <v>116</v>
      </c>
      <c r="J42" s="45" t="s">
        <v>116</v>
      </c>
      <c r="K42" s="124"/>
    </row>
    <row r="43">
      <c r="A43" s="2"/>
      <c r="B43" s="47" t="s">
        <v>118</v>
      </c>
      <c r="C43" s="7"/>
      <c r="D43" s="7"/>
      <c r="E43" s="7"/>
      <c r="F43" s="7"/>
      <c r="G43" s="7"/>
      <c r="H43" s="40" t="s">
        <v>116</v>
      </c>
      <c r="I43" s="40" t="s">
        <v>116</v>
      </c>
      <c r="J43" s="45" t="s">
        <v>116</v>
      </c>
      <c r="K43" s="124"/>
    </row>
    <row r="44">
      <c r="A44" s="2"/>
      <c r="B44" s="47" t="s">
        <v>119</v>
      </c>
      <c r="C44" s="40">
        <f>IFERROR(C38/C45,"n.a.")</f>
        <v>-0.024443505212735982</v>
      </c>
      <c r="D44" s="40">
        <f>IFERROR(D38/D45,"n.a.")</f>
        <v>-0.030194287371320863</v>
      </c>
      <c r="E44" s="40">
        <f>IFERROR(E38/E45,"n.a.")</f>
        <v>-0.023909022401863395</v>
      </c>
      <c r="F44" s="40">
        <f>IFERROR(F38/F45,"n.a.")</f>
        <v>-0.029055096032524885</v>
      </c>
      <c r="G44" s="40">
        <f>IFERROR(G38/G45,"n.a.")</f>
        <v>-0.026858740963537544</v>
      </c>
      <c r="H44" s="40">
        <f>IFERROR(H38/H45,"n.a.")</f>
        <v>-0.02375632516264704</v>
      </c>
      <c r="I44" s="40">
        <f>IFERROR(I38/I45,"n.a.")</f>
        <v>-0.023454493868415246</v>
      </c>
      <c r="J44" s="45">
        <f>IFERROR(J38/J45,"n.a.")</f>
        <v>-0.024668902132525924</v>
      </c>
      <c r="K44" s="124"/>
    </row>
    <row r="45">
      <c r="A45" s="2"/>
      <c r="B45" s="18" t="s">
        <v>128</v>
      </c>
      <c r="C45" s="39">
        <f>C10+C17+C24+C31+C38</f>
        <v>28392</v>
      </c>
      <c r="D45" s="39">
        <f>D10+D17+D24+D31+D38</f>
        <v>27588</v>
      </c>
      <c r="E45" s="39">
        <f>E10+E17+E24+E31+E38</f>
        <v>29194</v>
      </c>
      <c r="F45" s="39">
        <f>F10+F17+F24+F31+F38</f>
        <v>28532</v>
      </c>
      <c r="G45" s="39">
        <f>G10+G17+G24+G31+G38</f>
        <v>113706</v>
      </c>
      <c r="H45" s="39">
        <f>H10+H17+H24+H31+H38</f>
        <v>30434</v>
      </c>
      <c r="I45" s="39">
        <f>I10+I17+I24+I31+I38</f>
        <v>31721</v>
      </c>
      <c r="J45" s="50">
        <f>J10+J17+J24+J31+J38</f>
        <v>30341.844804398632</v>
      </c>
      <c r="K45" s="124"/>
    </row>
    <row r="46">
      <c r="A46" s="2"/>
      <c r="B46" s="47" t="s">
        <v>113</v>
      </c>
      <c r="C46" s="7"/>
      <c r="D46" s="7"/>
      <c r="E46" s="7"/>
      <c r="F46" s="7"/>
      <c r="G46" s="7"/>
      <c r="H46" s="40">
        <f>IF(OR(H45="",C45=""),"n.a.",IFERROR(IF(C45&lt;=0,"n.m.",IF(H45/C45&lt;=0,"n.m.",H45/C45-1)),"n.a."))</f>
        <v>0.07192166807551414</v>
      </c>
      <c r="I46" s="40">
        <f>IF(OR(I45="",D45=""),"n.a.",IFERROR(IF(D45&lt;=0,"n.m.",IF(I45/D45&lt;=0,"n.m.",I45/D45-1)),"n.a."))</f>
        <v>0.14981151225170364</v>
      </c>
      <c r="J46" s="45">
        <f>IF(OR(J45="",E45=""),"n.a.",IFERROR(IF(E45&lt;=0,"n.m.",IF(J45/E45&lt;=0,"n.m.",J45/E45-1)),"n.a."))</f>
        <v>0.03931783258199051</v>
      </c>
      <c r="K46" s="124"/>
    </row>
    <row r="47">
      <c r="A47" s="2"/>
      <c r="B47" s="47" t="s">
        <v>114</v>
      </c>
      <c r="C47" s="7"/>
      <c r="D47" s="40">
        <f>IF(OR(D45="",C45=""),"n.a.",IFERROR(IF(C45&lt;=0,"n.m.",IF(D45/C45&lt;=0,"n.m.",D45/C45-1)),"n.a."))</f>
        <v>-0.028317836010143704</v>
      </c>
      <c r="E47" s="40">
        <f>IF(OR(E45="",D45=""),"n.a.",IFERROR(IF(D45&lt;=0,"n.m.",IF(E45/D45&lt;=0,"n.m.",E45/D45-1)),"n.a."))</f>
        <v>0.05821371610845305</v>
      </c>
      <c r="F47" s="40">
        <f>IF(OR(F45="",E45=""),"n.a.",IFERROR(IF(E45&lt;=0,"n.m.",IF(F45/E45&lt;=0,"n.m.",F45/E45-1)),"n.a."))</f>
        <v>-0.022675892306638357</v>
      </c>
      <c r="G47" s="7"/>
      <c r="H47" s="40">
        <f>IF(OR(H45="",F45=""),"n.a.",IFERROR(IF(F45&lt;=0,"n.m.",IF(H45/F45&lt;=0,"n.m.",H45/F45-1)),"n.a."))</f>
        <v>0.06666199355110058</v>
      </c>
      <c r="I47" s="40">
        <f>IF(OR(I45="",H45=""),"n.a.",IFERROR(IF(H45&lt;=0,"n.m.",IF(I45/H45&lt;=0,"n.m.",I45/H45-1)),"n.a."))</f>
        <v>0.04228823026877837</v>
      </c>
      <c r="J47" s="45">
        <f>IF(OR(J45="",I45=""),"n.a.",IFERROR(IF(I45&lt;=0,"n.m.",IF(J45/I45&lt;=0,"n.m.",J45/I45-1)),"n.a."))</f>
        <v>-0.04347767080487275</v>
      </c>
      <c r="K47" s="124"/>
    </row>
    <row r="48">
      <c r="A48" s="2"/>
      <c r="B48" s="47" t="s">
        <v>115</v>
      </c>
      <c r="C48" s="7"/>
      <c r="D48" s="7"/>
      <c r="E48" s="7"/>
      <c r="F48" s="7"/>
      <c r="G48" s="7"/>
      <c r="H48" s="40" t="s">
        <v>116</v>
      </c>
      <c r="I48" s="40" t="s">
        <v>116</v>
      </c>
      <c r="J48" s="45" t="s">
        <v>116</v>
      </c>
      <c r="K48" s="124"/>
    </row>
    <row r="49">
      <c r="A49" s="2"/>
      <c r="B49" s="47" t="s">
        <v>117</v>
      </c>
      <c r="C49" s="7"/>
      <c r="D49" s="7"/>
      <c r="E49" s="7"/>
      <c r="F49" s="7"/>
      <c r="G49" s="7"/>
      <c r="H49" s="40" t="s">
        <v>116</v>
      </c>
      <c r="I49" s="40" t="s">
        <v>116</v>
      </c>
      <c r="J49" s="45" t="s">
        <v>116</v>
      </c>
      <c r="K49" s="124"/>
    </row>
    <row r="50">
      <c r="A50" s="2"/>
      <c r="B50" s="47" t="s">
        <v>118</v>
      </c>
      <c r="C50" s="7"/>
      <c r="D50" s="7"/>
      <c r="E50" s="7"/>
      <c r="F50" s="7"/>
      <c r="G50" s="7"/>
      <c r="H50" s="40" t="s">
        <v>116</v>
      </c>
      <c r="I50" s="40" t="s">
        <v>116</v>
      </c>
      <c r="J50" s="45" t="s">
        <v>116</v>
      </c>
      <c r="K50" s="124"/>
    </row>
    <row r="51">
      <c r="A51" s="2"/>
      <c r="B51" s="3" t="s">
        <v>129</v>
      </c>
      <c r="C51" s="37">
        <v>28392</v>
      </c>
      <c r="D51" s="37">
        <v>27588</v>
      </c>
      <c r="E51" s="37">
        <v>29194</v>
      </c>
      <c r="F51" s="37">
        <v>28532</v>
      </c>
      <c r="G51" s="43">
        <f>SUM(C51:F51)</f>
        <v>113706</v>
      </c>
      <c r="H51" s="37">
        <v>30434</v>
      </c>
      <c r="I51" s="37">
        <v>31721</v>
      </c>
      <c r="J51" s="46"/>
      <c r="K51" s="125" t="s">
        <v>130</v>
      </c>
    </row>
    <row r="52">
      <c r="A52" s="2"/>
      <c r="B52" s="61" t="s">
        <v>131</v>
      </c>
      <c r="C52" s="41">
        <f>C45-C51</f>
        <v>0</v>
      </c>
      <c r="D52" s="41">
        <f>D45-D51</f>
        <v>0</v>
      </c>
      <c r="E52" s="41">
        <f>E45-E51</f>
        <v>0</v>
      </c>
      <c r="F52" s="41">
        <f>F45-F51</f>
        <v>0</v>
      </c>
      <c r="G52" s="41">
        <f>G45-G51</f>
        <v>0</v>
      </c>
      <c r="H52" s="41">
        <f>H45-H51</f>
        <v>0</v>
      </c>
      <c r="I52" s="41">
        <f>I45-I51</f>
        <v>0</v>
      </c>
      <c r="J52" s="46"/>
      <c r="K52" s="124"/>
    </row>
    <row r="53">
      <c r="A53" s="2"/>
      <c r="B53" s="3" t="s">
        <v>132</v>
      </c>
      <c r="C53" s="37">
        <v>145</v>
      </c>
      <c r="D53" s="37">
        <v>145</v>
      </c>
      <c r="E53" s="37">
        <v>154</v>
      </c>
      <c r="F53" s="37">
        <v>165</v>
      </c>
      <c r="G53" s="43">
        <f>SUM(C53:F53)</f>
        <v>609</v>
      </c>
      <c r="H53" s="37">
        <v>162</v>
      </c>
      <c r="I53" s="37">
        <v>163</v>
      </c>
      <c r="J53" s="75">
        <v>165</v>
      </c>
      <c r="K53" s="125" t="s">
        <v>127</v>
      </c>
    </row>
    <row r="54">
      <c r="A54" s="2"/>
      <c r="B54" s="47" t="s">
        <v>133</v>
      </c>
      <c r="C54" s="7"/>
      <c r="D54" s="7"/>
      <c r="E54" s="7"/>
      <c r="F54" s="7"/>
      <c r="G54" s="7"/>
      <c r="H54" s="40">
        <f>IF(OR(H53="",C53=""),"n.a.",IFERROR(IF(C53&lt;=0,"n.m.",IF(H53/C53&lt;=0,"n.m.",H53/C53-1)),"n.a."))</f>
        <v>0.11724137931034484</v>
      </c>
      <c r="I54" s="40">
        <f>IF(OR(I53="",D53=""),"n.a.",IFERROR(IF(D53&lt;=0,"n.m.",IF(I53/D53&lt;=0,"n.m.",I53/D53-1)),"n.a."))</f>
        <v>0.12413793103448278</v>
      </c>
      <c r="J54" s="45">
        <f>IF(OR(J53="",E53=""),"n.a.",IFERROR(IF(E53&lt;=0,"n.m.",IF(J53/E53&lt;=0,"n.m.",J53/E53-1)),"n.a."))</f>
        <v>0.0714285714285714</v>
      </c>
      <c r="K54" s="124"/>
    </row>
    <row r="55">
      <c r="A55" s="2"/>
      <c r="B55" s="47" t="s">
        <v>134</v>
      </c>
      <c r="C55" s="7"/>
      <c r="D55" s="41">
        <f>IF(OR(D53="",C53=""),"n.a.",IFERROR(D53-C53,"n.a."))</f>
        <v>0</v>
      </c>
      <c r="E55" s="41">
        <f>IF(OR(E53="",D53=""),"n.a.",IFERROR(E53-D53,"n.a."))</f>
        <v>9</v>
      </c>
      <c r="F55" s="41">
        <f>IF(OR(F53="",E53=""),"n.a.",IFERROR(F53-E53,"n.a."))</f>
        <v>11</v>
      </c>
      <c r="G55" s="7"/>
      <c r="H55" s="41">
        <f>IF(OR(H53="",F53=""),"n.a.",IFERROR(H53-F53,"n.a."))</f>
        <v>-3</v>
      </c>
      <c r="I55" s="41">
        <f>IF(OR(I53="",H53=""),"n.a.",IFERROR(I53-H53,"n.a."))</f>
        <v>1</v>
      </c>
      <c r="J55" s="52">
        <f>IF(OR(J53="",I53=""),"n.a.",IFERROR(J53-I53,"n.a."))</f>
        <v>2</v>
      </c>
      <c r="K55" s="124"/>
    </row>
    <row r="56">
      <c r="A56" s="2"/>
      <c r="B56" s="18" t="s">
        <v>135</v>
      </c>
      <c r="C56" s="39">
        <f>C45-C53</f>
        <v>28247</v>
      </c>
      <c r="D56" s="39">
        <f>D45-D53</f>
        <v>27443</v>
      </c>
      <c r="E56" s="39">
        <f>E45-E53</f>
        <v>29040</v>
      </c>
      <c r="F56" s="39">
        <f>F45-F53</f>
        <v>28367</v>
      </c>
      <c r="G56" s="39">
        <f>G45-G53</f>
        <v>113097</v>
      </c>
      <c r="H56" s="39">
        <f>H45-H53</f>
        <v>30272</v>
      </c>
      <c r="I56" s="39">
        <f>I45-I53</f>
        <v>31558</v>
      </c>
      <c r="J56" s="50">
        <f>J45-J53</f>
        <v>30176.844804398632</v>
      </c>
      <c r="K56" s="124"/>
    </row>
    <row r="57">
      <c r="A57" s="2"/>
      <c r="B57" s="47" t="s">
        <v>113</v>
      </c>
      <c r="C57" s="7"/>
      <c r="D57" s="7"/>
      <c r="E57" s="7"/>
      <c r="F57" s="7"/>
      <c r="G57" s="7"/>
      <c r="H57" s="40">
        <f>IF(OR(H56="",C56=""),"n.a.",IFERROR(IF(C56&lt;=0,"n.m.",IF(H56/C56&lt;=0,"n.m.",H56/C56-1)),"n.a."))</f>
        <v>0.07168902892342555</v>
      </c>
      <c r="I57" s="40">
        <f>IF(OR(I56="",D56=""),"n.a.",IFERROR(IF(D56&lt;=0,"n.m.",IF(I56/D56&lt;=0,"n.m.",I56/D56-1)),"n.a."))</f>
        <v>0.1499471632110192</v>
      </c>
      <c r="J57" s="45">
        <f>IF(OR(J56="",E56=""),"n.a.",IFERROR(IF(E56&lt;=0,"n.m.",IF(J56/E56&lt;=0,"n.m.",J56/E56-1)),"n.a."))</f>
        <v>0.03914754836083434</v>
      </c>
      <c r="K57" s="124"/>
    </row>
    <row r="58">
      <c r="A58" s="2"/>
      <c r="B58" s="47" t="s">
        <v>114</v>
      </c>
      <c r="C58" s="7"/>
      <c r="D58" s="40">
        <f>IF(OR(D56="",C56=""),"n.a.",IFERROR(IF(C56&lt;=0,"n.m.",IF(D56/C56&lt;=0,"n.m.",D56/C56-1)),"n.a."))</f>
        <v>-0.028463199631819314</v>
      </c>
      <c r="E58" s="40">
        <f>IF(OR(E56="",D56=""),"n.a.",IFERROR(IF(D56&lt;=0,"n.m.",IF(E56/D56&lt;=0,"n.m.",E56/D56-1)),"n.a."))</f>
        <v>0.058193346208504915</v>
      </c>
      <c r="F58" s="40">
        <f>IF(OR(F56="",E56=""),"n.a.",IFERROR(IF(E56&lt;=0,"n.m.",IF(F56/E56&lt;=0,"n.m.",F56/E56-1)),"n.a."))</f>
        <v>-0.02317493112947655</v>
      </c>
      <c r="G58" s="7"/>
      <c r="H58" s="40">
        <f>IF(OR(H56="",F56=""),"n.a.",IFERROR(IF(F56&lt;=0,"n.m.",IF(H56/F56&lt;=0,"n.m.",H56/F56-1)),"n.a."))</f>
        <v>0.06715549758522221</v>
      </c>
      <c r="I58" s="40">
        <f>IF(OR(I56="",H56=""),"n.a.",IFERROR(IF(H56&lt;=0,"n.m.",IF(I56/H56&lt;=0,"n.m.",I56/H56-1)),"n.a."))</f>
        <v>0.04248150105708248</v>
      </c>
      <c r="J58" s="45">
        <f>IF(OR(J56="",I56=""),"n.a.",IFERROR(IF(I56&lt;=0,"n.m.",IF(J56/I56&lt;=0,"n.m.",J56/I56-1)),"n.a."))</f>
        <v>-0.04376561238359111</v>
      </c>
      <c r="K58" s="124"/>
    </row>
    <row r="59">
      <c r="A59" s="2"/>
      <c r="B59" s="47" t="s">
        <v>115</v>
      </c>
      <c r="C59" s="7"/>
      <c r="D59" s="7"/>
      <c r="E59" s="7"/>
      <c r="F59" s="7"/>
      <c r="G59" s="7"/>
      <c r="H59" s="40" t="s">
        <v>116</v>
      </c>
      <c r="I59" s="40" t="s">
        <v>116</v>
      </c>
      <c r="J59" s="45" t="s">
        <v>116</v>
      </c>
      <c r="K59" s="124"/>
    </row>
    <row r="60">
      <c r="A60" s="2"/>
      <c r="B60" s="47" t="s">
        <v>117</v>
      </c>
      <c r="C60" s="7"/>
      <c r="D60" s="7"/>
      <c r="E60" s="7"/>
      <c r="F60" s="7"/>
      <c r="G60" s="7"/>
      <c r="H60" s="40" t="s">
        <v>116</v>
      </c>
      <c r="I60" s="40" t="s">
        <v>116</v>
      </c>
      <c r="J60" s="45" t="s">
        <v>116</v>
      </c>
      <c r="K60" s="124"/>
    </row>
    <row r="61">
      <c r="A61" s="2"/>
      <c r="B61" s="47" t="s">
        <v>118</v>
      </c>
      <c r="C61" s="7"/>
      <c r="D61" s="7"/>
      <c r="E61" s="7"/>
      <c r="F61" s="7"/>
      <c r="G61" s="7"/>
      <c r="H61" s="40" t="s">
        <v>116</v>
      </c>
      <c r="I61" s="40" t="s">
        <v>116</v>
      </c>
      <c r="J61" s="45" t="s">
        <v>116</v>
      </c>
      <c r="K61" s="124"/>
    </row>
    <row r="62">
      <c r="A62" s="2"/>
      <c r="B62" s="61" t="s">
        <v>136</v>
      </c>
      <c r="C62" s="44">
        <f>C56-'Income Statement'!C239</f>
        <v>0</v>
      </c>
      <c r="D62" s="44">
        <f>D56-'Income Statement'!D239</f>
        <v>0</v>
      </c>
      <c r="E62" s="44">
        <f>E56-'Income Statement'!E239</f>
        <v>0</v>
      </c>
      <c r="F62" s="44">
        <f>F56-'Income Statement'!F239</f>
        <v>0</v>
      </c>
      <c r="G62" s="44">
        <f>G56-'Income Statement'!G239</f>
        <v>0</v>
      </c>
      <c r="H62" s="44">
        <f>H56-'Income Statement'!H239</f>
        <v>0</v>
      </c>
      <c r="I62" s="44">
        <f>I56-'Income Statement'!I239</f>
        <v>0</v>
      </c>
      <c r="J62" s="94">
        <f>J56-'Income Statement'!J239</f>
        <v>0</v>
      </c>
      <c r="K62" s="124"/>
    </row>
    <row r="63">
      <c r="A63" s="2"/>
      <c r="B63" s="18" t="s">
        <v>137</v>
      </c>
      <c r="C63" s="7"/>
      <c r="D63" s="7"/>
      <c r="E63" s="7"/>
      <c r="F63" s="7"/>
      <c r="G63" s="7"/>
      <c r="H63" s="7"/>
      <c r="I63" s="7"/>
      <c r="J63" s="46"/>
      <c r="K63" s="124"/>
    </row>
    <row r="64">
      <c r="A64" s="2"/>
      <c r="B64" s="3" t="s">
        <v>138</v>
      </c>
      <c r="C64" s="58">
        <f>'Segment - Consumer Banking'!C60+'Segment - GWIM'!C81+'Segment - Global Banking'!C142+'Segment - Global Markets'!C96+C71</f>
        <v>14588</v>
      </c>
      <c r="D64" s="58">
        <f>'Segment - Consumer Banking'!D60+'Segment - GWIM'!D81+'Segment - Global Banking'!D142+'Segment - Global Markets'!D96+D71</f>
        <v>14815</v>
      </c>
      <c r="E64" s="58">
        <f>'Segment - Consumer Banking'!E60+'Segment - GWIM'!E81+'Segment - Global Banking'!E142+'Segment - Global Markets'!E96+E71</f>
        <v>15387</v>
      </c>
      <c r="F64" s="58">
        <f>'Segment - Consumer Banking'!F60+'Segment - GWIM'!F81+'Segment - Global Banking'!F142+'Segment - Global Markets'!F96+F71</f>
        <v>15915</v>
      </c>
      <c r="G64" s="58">
        <f>'Segment - Consumer Banking'!G60+'Segment - GWIM'!G81+'Segment - Global Banking'!G142+'Segment - Global Markets'!G96+G71</f>
        <v>60705</v>
      </c>
      <c r="H64" s="58">
        <f>'Segment - Consumer Banking'!H60+'Segment - GWIM'!H81+'Segment - Global Banking'!H142+'Segment - Global Markets'!H96+H71</f>
        <v>15907</v>
      </c>
      <c r="I64" s="58">
        <f>'Segment - Consumer Banking'!I60+'Segment - GWIM'!I81+'Segment - Global Banking'!I142+'Segment - Global Markets'!I96+I71</f>
        <v>16160</v>
      </c>
      <c r="J64" s="48">
        <f>'Segment - Consumer Banking'!J60+'Segment - GWIM'!J81+'Segment - Global Banking'!J142+'Segment - Global Markets'!J96+J71</f>
        <v>16514.01698630137</v>
      </c>
      <c r="K64" s="124"/>
    </row>
    <row r="65">
      <c r="A65" s="2"/>
      <c r="B65" s="47" t="s">
        <v>113</v>
      </c>
      <c r="C65" s="7"/>
      <c r="D65" s="7"/>
      <c r="E65" s="7"/>
      <c r="F65" s="7"/>
      <c r="G65" s="7"/>
      <c r="H65" s="40">
        <f>IF(OR(H64="",C64=""),"n.a.",IFERROR(IF(C64&lt;=0,"n.m.",IF(H64/C64&lt;=0,"n.m.",H64/C64-1)),"n.a."))</f>
        <v>0.09041678091582117</v>
      </c>
      <c r="I65" s="40">
        <f>IF(OR(I64="",D64=""),"n.a.",IFERROR(IF(D64&lt;=0,"n.m.",IF(I64/D64&lt;=0,"n.m.",I64/D64-1)),"n.a."))</f>
        <v>0.09078636517043548</v>
      </c>
      <c r="J65" s="45">
        <f>IF(OR(J64="",E64=""),"n.a.",IFERROR(IF(E64&lt;=0,"n.m.",IF(J64/E64&lt;=0,"n.m.",J64/E64-1)),"n.a."))</f>
        <v>0.0732447511731571</v>
      </c>
      <c r="K65" s="124"/>
    </row>
    <row r="66">
      <c r="A66" s="2"/>
      <c r="B66" s="47" t="s">
        <v>114</v>
      </c>
      <c r="C66" s="7"/>
      <c r="D66" s="40">
        <f>IF(OR(D64="",C64=""),"n.a.",IFERROR(IF(C64&lt;=0,"n.m.",IF(D64/C64&lt;=0,"n.m.",D64/C64-1)),"n.a."))</f>
        <v>0.015560734850562197</v>
      </c>
      <c r="E66" s="40">
        <f>IF(OR(E64="",D64=""),"n.a.",IFERROR(IF(D64&lt;=0,"n.m.",IF(E64/D64&lt;=0,"n.m.",E64/D64-1)),"n.a."))</f>
        <v>0.0386095173810328</v>
      </c>
      <c r="F66" s="40">
        <f>IF(OR(F64="",E64=""),"n.a.",IFERROR(IF(E64&lt;=0,"n.m.",IF(F64/E64&lt;=0,"n.m.",F64/E64-1)),"n.a."))</f>
        <v>0.03431468122441017</v>
      </c>
      <c r="G66" s="7"/>
      <c r="H66" s="40">
        <f>IF(OR(H64="",F64=""),"n.a.",IFERROR(IF(F64&lt;=0,"n.m.",IF(H64/F64&lt;=0,"n.m.",H64/F64-1)),"n.a."))</f>
        <v>-0.0005026704366949408</v>
      </c>
      <c r="I66" s="40">
        <f>IF(OR(I64="",H64=""),"n.a.",IFERROR(IF(H64&lt;=0,"n.m.",IF(I64/H64&lt;=0,"n.m.",I64/H64-1)),"n.a."))</f>
        <v>0.01590494750738669</v>
      </c>
      <c r="J66" s="45">
        <f>IF(OR(J64="",I64=""),"n.a.",IFERROR(IF(I64&lt;=0,"n.m.",IF(J64/I64&lt;=0,"n.m.",J64/I64-1)),"n.a."))</f>
        <v>0.021906991726569958</v>
      </c>
      <c r="K66" s="124"/>
    </row>
    <row r="67">
      <c r="A67" s="2"/>
      <c r="B67" s="47" t="s">
        <v>115</v>
      </c>
      <c r="C67" s="7"/>
      <c r="D67" s="7"/>
      <c r="E67" s="7"/>
      <c r="F67" s="7"/>
      <c r="G67" s="7"/>
      <c r="H67" s="40" t="s">
        <v>116</v>
      </c>
      <c r="I67" s="40" t="s">
        <v>116</v>
      </c>
      <c r="J67" s="45" t="s">
        <v>116</v>
      </c>
      <c r="K67" s="124"/>
    </row>
    <row r="68">
      <c r="A68" s="2"/>
      <c r="B68" s="47" t="s">
        <v>117</v>
      </c>
      <c r="C68" s="7"/>
      <c r="D68" s="7"/>
      <c r="E68" s="7"/>
      <c r="F68" s="7"/>
      <c r="G68" s="7"/>
      <c r="H68" s="40" t="s">
        <v>116</v>
      </c>
      <c r="I68" s="40" t="s">
        <v>116</v>
      </c>
      <c r="J68" s="45" t="s">
        <v>116</v>
      </c>
      <c r="K68" s="124"/>
    </row>
    <row r="69">
      <c r="A69" s="2"/>
      <c r="B69" s="47" t="s">
        <v>118</v>
      </c>
      <c r="C69" s="7"/>
      <c r="D69" s="7"/>
      <c r="E69" s="7"/>
      <c r="F69" s="7"/>
      <c r="G69" s="7"/>
      <c r="H69" s="40" t="s">
        <v>116</v>
      </c>
      <c r="I69" s="40" t="s">
        <v>116</v>
      </c>
      <c r="J69" s="45" t="s">
        <v>116</v>
      </c>
      <c r="K69" s="124"/>
    </row>
    <row r="70">
      <c r="A70" s="2"/>
      <c r="B70" s="47" t="s">
        <v>119</v>
      </c>
      <c r="C70" s="40">
        <f>IFERROR(C64/C45,"n.a.")</f>
        <v>0.5138067061143984</v>
      </c>
      <c r="D70" s="40">
        <f>IFERROR(D64/D45,"n.a.")</f>
        <v>0.5370088444251123</v>
      </c>
      <c r="E70" s="40">
        <f>IFERROR(E64/E45,"n.a.")</f>
        <v>0.5270603548674385</v>
      </c>
      <c r="F70" s="40">
        <f>IFERROR(F64/F45,"n.a.")</f>
        <v>0.5577947567643348</v>
      </c>
      <c r="G70" s="40">
        <f>IFERROR(G64/G45,"n.a.")</f>
        <v>0.5338768402722811</v>
      </c>
      <c r="H70" s="40">
        <f>IFERROR(H64/H45,"n.a.")</f>
        <v>0.5226720115660117</v>
      </c>
      <c r="I70" s="40">
        <f>IFERROR(I64/I45,"n.a.")</f>
        <v>0.5094416947763312</v>
      </c>
      <c r="J70" s="45">
        <f>IFERROR(J64/J45,"n.a.")</f>
        <v>0.5442654226452093</v>
      </c>
      <c r="K70" s="124"/>
    </row>
    <row r="71">
      <c r="A71" s="2"/>
      <c r="B71" s="3" t="s">
        <v>139</v>
      </c>
      <c r="C71" s="37">
        <v>-22</v>
      </c>
      <c r="D71" s="37">
        <v>-21</v>
      </c>
      <c r="E71" s="37">
        <v>-26</v>
      </c>
      <c r="F71" s="37">
        <v>-33</v>
      </c>
      <c r="G71" s="43">
        <f>SUM(C71:F71)</f>
        <v>-102</v>
      </c>
      <c r="H71" s="37">
        <v>-39</v>
      </c>
      <c r="I71" s="37">
        <v>-43</v>
      </c>
      <c r="J71" s="75">
        <v>-45</v>
      </c>
      <c r="K71" s="125" t="s">
        <v>127</v>
      </c>
    </row>
    <row r="72">
      <c r="A72" s="2"/>
      <c r="B72" s="47" t="s">
        <v>113</v>
      </c>
      <c r="C72" s="7"/>
      <c r="D72" s="7"/>
      <c r="E72" s="7"/>
      <c r="F72" s="7"/>
      <c r="G72" s="7"/>
      <c r="H72" s="40" t="str">
        <f>IF(OR(H71="",C71=""),"n.a.",IFERROR(IF(C71&lt;=0,"n.m.",IF(H71/C71&lt;=0,"n.m.",H71/C71-1)),"n.a."))</f>
        <v>n.m.</v>
      </c>
      <c r="I72" s="40" t="str">
        <f>IF(OR(I71="",D71=""),"n.a.",IFERROR(IF(D71&lt;=0,"n.m.",IF(I71/D71&lt;=0,"n.m.",I71/D71-1)),"n.a."))</f>
        <v>n.m.</v>
      </c>
      <c r="J72" s="45" t="str">
        <f>IF(OR(J71="",E71=""),"n.a.",IFERROR(IF(E71&lt;=0,"n.m.",IF(J71/E71&lt;=0,"n.m.",J71/E71-1)),"n.a."))</f>
        <v>n.m.</v>
      </c>
      <c r="K72" s="124"/>
    </row>
    <row r="73">
      <c r="A73" s="2"/>
      <c r="B73" s="47" t="s">
        <v>114</v>
      </c>
      <c r="C73" s="7"/>
      <c r="D73" s="40" t="str">
        <f>IF(OR(D71="",C71=""),"n.a.",IFERROR(IF(C71&lt;=0,"n.m.",IF(D71/C71&lt;=0,"n.m.",D71/C71-1)),"n.a."))</f>
        <v>n.m.</v>
      </c>
      <c r="E73" s="40" t="str">
        <f>IF(OR(E71="",D71=""),"n.a.",IFERROR(IF(D71&lt;=0,"n.m.",IF(E71/D71&lt;=0,"n.m.",E71/D71-1)),"n.a."))</f>
        <v>n.m.</v>
      </c>
      <c r="F73" s="40" t="str">
        <f>IF(OR(F71="",E71=""),"n.a.",IFERROR(IF(E71&lt;=0,"n.m.",IF(F71/E71&lt;=0,"n.m.",F71/E71-1)),"n.a."))</f>
        <v>n.m.</v>
      </c>
      <c r="G73" s="7"/>
      <c r="H73" s="40" t="str">
        <f>IF(OR(H71="",F71=""),"n.a.",IFERROR(IF(F71&lt;=0,"n.m.",IF(H71/F71&lt;=0,"n.m.",H71/F71-1)),"n.a."))</f>
        <v>n.m.</v>
      </c>
      <c r="I73" s="40" t="str">
        <f>IF(OR(I71="",H71=""),"n.a.",IFERROR(IF(H71&lt;=0,"n.m.",IF(I71/H71&lt;=0,"n.m.",I71/H71-1)),"n.a."))</f>
        <v>n.m.</v>
      </c>
      <c r="J73" s="45" t="str">
        <f>IF(OR(J71="",I71=""),"n.a.",IFERROR(IF(I71&lt;=0,"n.m.",IF(J71/I71&lt;=0,"n.m.",J71/I71-1)),"n.a."))</f>
        <v>n.m.</v>
      </c>
      <c r="K73" s="124"/>
    </row>
    <row r="74">
      <c r="A74" s="2"/>
      <c r="B74" s="47" t="s">
        <v>115</v>
      </c>
      <c r="C74" s="7"/>
      <c r="D74" s="7"/>
      <c r="E74" s="7"/>
      <c r="F74" s="7"/>
      <c r="G74" s="7"/>
      <c r="H74" s="40" t="s">
        <v>116</v>
      </c>
      <c r="I74" s="40" t="s">
        <v>116</v>
      </c>
      <c r="J74" s="45" t="s">
        <v>116</v>
      </c>
      <c r="K74" s="124"/>
    </row>
    <row r="75">
      <c r="A75" s="2"/>
      <c r="B75" s="47" t="s">
        <v>117</v>
      </c>
      <c r="C75" s="7"/>
      <c r="D75" s="7"/>
      <c r="E75" s="7"/>
      <c r="F75" s="7"/>
      <c r="G75" s="7"/>
      <c r="H75" s="40" t="s">
        <v>116</v>
      </c>
      <c r="I75" s="40" t="s">
        <v>116</v>
      </c>
      <c r="J75" s="45" t="s">
        <v>116</v>
      </c>
      <c r="K75" s="124"/>
    </row>
    <row r="76">
      <c r="A76" s="2"/>
      <c r="B76" s="47" t="s">
        <v>118</v>
      </c>
      <c r="C76" s="7"/>
      <c r="D76" s="7"/>
      <c r="E76" s="7"/>
      <c r="F76" s="7"/>
      <c r="G76" s="7"/>
      <c r="H76" s="40" t="s">
        <v>116</v>
      </c>
      <c r="I76" s="40" t="s">
        <v>116</v>
      </c>
      <c r="J76" s="45" t="s">
        <v>116</v>
      </c>
      <c r="K76" s="124"/>
    </row>
    <row r="77">
      <c r="A77" s="2"/>
      <c r="B77" s="47" t="s">
        <v>119</v>
      </c>
      <c r="C77" s="40">
        <f>IFERROR(C71/C45,"n.a.")</f>
        <v>-0.0007748661594815441</v>
      </c>
      <c r="D77" s="40">
        <f>IFERROR(D71/D45,"n.a.")</f>
        <v>-0.0007612005219660722</v>
      </c>
      <c r="E77" s="40">
        <f>IFERROR(E71/E45,"n.a.")</f>
        <v>-0.0008905939576625334</v>
      </c>
      <c r="F77" s="40">
        <f>IFERROR(F71/F45,"n.a.")</f>
        <v>-0.0011565961026216178</v>
      </c>
      <c r="G77" s="40">
        <f>IFERROR(G71/G45,"n.a.")</f>
        <v>-0.0008970502875837687</v>
      </c>
      <c r="H77" s="40">
        <f>IFERROR(H71/H45,"n.a.")</f>
        <v>-0.0012814615232963134</v>
      </c>
      <c r="I77" s="40">
        <f>IFERROR(I71/I45,"n.a.")</f>
        <v>-0.001355568866050881</v>
      </c>
      <c r="J77" s="45">
        <f>IFERROR(J71/J45,"n.a.")</f>
        <v>-0.001483100328608773</v>
      </c>
      <c r="K77" s="124"/>
    </row>
    <row r="78">
      <c r="A78" s="2"/>
      <c r="B78" s="3" t="s">
        <v>140</v>
      </c>
      <c r="C78" s="37">
        <v>14588</v>
      </c>
      <c r="D78" s="37">
        <v>14815</v>
      </c>
      <c r="E78" s="37">
        <v>15387</v>
      </c>
      <c r="F78" s="37">
        <v>15915</v>
      </c>
      <c r="G78" s="43">
        <f>SUM(C78:F78)</f>
        <v>60705</v>
      </c>
      <c r="H78" s="37">
        <v>15907</v>
      </c>
      <c r="I78" s="37">
        <v>16160</v>
      </c>
      <c r="J78" s="46"/>
      <c r="K78" s="125" t="s">
        <v>130</v>
      </c>
    </row>
    <row r="79">
      <c r="A79" s="2"/>
      <c r="B79" s="61" t="s">
        <v>141</v>
      </c>
      <c r="C79" s="41">
        <f>C64-C78</f>
        <v>0</v>
      </c>
      <c r="D79" s="41">
        <f>D64-D78</f>
        <v>0</v>
      </c>
      <c r="E79" s="41">
        <f>E64-E78</f>
        <v>0</v>
      </c>
      <c r="F79" s="41">
        <f>F64-F78</f>
        <v>0</v>
      </c>
      <c r="G79" s="41">
        <f>G64-G78</f>
        <v>0</v>
      </c>
      <c r="H79" s="41">
        <f>H64-H78</f>
        <v>0</v>
      </c>
      <c r="I79" s="41">
        <f>I64-I78</f>
        <v>0</v>
      </c>
      <c r="J79" s="52" t="s">
        <v>44</v>
      </c>
      <c r="K79" s="124"/>
    </row>
    <row r="80">
      <c r="A80" s="2"/>
      <c r="B80" s="3" t="s">
        <v>142</v>
      </c>
      <c r="C80" s="58">
        <f>'Segment - Consumer Banking'!C152+'Segment - GWIM'!C110+'Segment - Global Banking'!C176+'Segment - Global Markets'!C137+C87</f>
        <v>13804</v>
      </c>
      <c r="D80" s="58">
        <f>'Segment - Consumer Banking'!D152+'Segment - GWIM'!D110+'Segment - Global Banking'!D176+'Segment - Global Markets'!D137+D87</f>
        <v>12773</v>
      </c>
      <c r="E80" s="58">
        <f>'Segment - Consumer Banking'!E152+'Segment - GWIM'!E110+'Segment - Global Banking'!E176+'Segment - Global Markets'!E137+E87</f>
        <v>13807</v>
      </c>
      <c r="F80" s="58">
        <f>'Segment - Consumer Banking'!F152+'Segment - GWIM'!F110+'Segment - Global Banking'!F176+'Segment - Global Markets'!F137+F87</f>
        <v>12617</v>
      </c>
      <c r="G80" s="58">
        <f>'Segment - Consumer Banking'!G152+'Segment - GWIM'!G110+'Segment - Global Banking'!G176+'Segment - Global Markets'!G137+G87</f>
        <v>53001</v>
      </c>
      <c r="H80" s="58">
        <f>'Segment - Consumer Banking'!H152+'Segment - GWIM'!H110+'Segment - Global Banking'!H176+'Segment - Global Markets'!H137+H87</f>
        <v>14527</v>
      </c>
      <c r="I80" s="58">
        <f>'Segment - Consumer Banking'!I152+'Segment - GWIM'!I110+'Segment - Global Banking'!I176+'Segment - Global Markets'!I137+I87</f>
        <v>15561</v>
      </c>
      <c r="J80" s="48">
        <f>'Segment - Consumer Banking'!J152+'Segment - GWIM'!J110+'Segment - Global Banking'!J176+'Segment - Global Markets'!J137+J87</f>
        <v>13827.827818097261</v>
      </c>
      <c r="K80" s="124"/>
    </row>
    <row r="81">
      <c r="A81" s="2"/>
      <c r="B81" s="47" t="s">
        <v>113</v>
      </c>
      <c r="C81" s="7"/>
      <c r="D81" s="7"/>
      <c r="E81" s="7"/>
      <c r="F81" s="7"/>
      <c r="G81" s="7"/>
      <c r="H81" s="40">
        <f>IF(OR(H80="",C80=""),"n.a.",IFERROR(IF(C80&lt;=0,"n.m.",IF(H80/C80&lt;=0,"n.m.",H80/C80-1)),"n.a."))</f>
        <v>0.052376122862938246</v>
      </c>
      <c r="I81" s="40">
        <f>IF(OR(I80="",D80=""),"n.a.",IFERROR(IF(D80&lt;=0,"n.m.",IF(I80/D80&lt;=0,"n.m.",I80/D80-1)),"n.a."))</f>
        <v>0.2182729194394426</v>
      </c>
      <c r="J81" s="45">
        <f>IF(OR(J80="",E80=""),"n.a.",IFERROR(IF(E80&lt;=0,"n.m.",IF(J80/E80&lt;=0,"n.m.",J80/E80-1)),"n.a."))</f>
        <v>0.0015084970013226062</v>
      </c>
      <c r="K81" s="124"/>
    </row>
    <row r="82">
      <c r="A82" s="2"/>
      <c r="B82" s="47" t="s">
        <v>114</v>
      </c>
      <c r="C82" s="7"/>
      <c r="D82" s="40">
        <f>IF(OR(D80="",C80=""),"n.a.",IFERROR(IF(C80&lt;=0,"n.m.",IF(D80/C80&lt;=0,"n.m.",D80/C80-1)),"n.a."))</f>
        <v>-0.07468849608809036</v>
      </c>
      <c r="E82" s="40">
        <f>IF(OR(E80="",D80=""),"n.a.",IFERROR(IF(D80&lt;=0,"n.m.",IF(E80/D80&lt;=0,"n.m.",E80/D80-1)),"n.a."))</f>
        <v>0.08095200814217485</v>
      </c>
      <c r="F82" s="40">
        <f>IF(OR(F80="",E80=""),"n.a.",IFERROR(IF(E80&lt;=0,"n.m.",IF(F80/E80&lt;=0,"n.m.",F80/E80-1)),"n.a."))</f>
        <v>-0.08618816542333596</v>
      </c>
      <c r="G82" s="7"/>
      <c r="H82" s="40">
        <f>IF(OR(H80="",F80=""),"n.a.",IFERROR(IF(F80&lt;=0,"n.m.",IF(H80/F80&lt;=0,"n.m.",H80/F80-1)),"n.a."))</f>
        <v>0.15138305460886103</v>
      </c>
      <c r="I82" s="40">
        <f>IF(OR(I80="",H80=""),"n.a.",IFERROR(IF(H80&lt;=0,"n.m.",IF(I80/H80&lt;=0,"n.m.",I80/H80-1)),"n.a."))</f>
        <v>0.07117780684243136</v>
      </c>
      <c r="J82" s="45">
        <f>IF(OR(J80="",I80=""),"n.a.",IFERROR(IF(I80&lt;=0,"n.m.",IF(J80/I80&lt;=0,"n.m.",J80/I80-1)),"n.a."))</f>
        <v>-0.11137922896361019</v>
      </c>
      <c r="K82" s="124"/>
    </row>
    <row r="83">
      <c r="A83" s="2"/>
      <c r="B83" s="47" t="s">
        <v>115</v>
      </c>
      <c r="C83" s="7"/>
      <c r="D83" s="7"/>
      <c r="E83" s="7"/>
      <c r="F83" s="7"/>
      <c r="G83" s="7"/>
      <c r="H83" s="40" t="s">
        <v>116</v>
      </c>
      <c r="I83" s="40" t="s">
        <v>116</v>
      </c>
      <c r="J83" s="45" t="s">
        <v>116</v>
      </c>
      <c r="K83" s="124"/>
    </row>
    <row r="84">
      <c r="A84" s="2"/>
      <c r="B84" s="47" t="s">
        <v>117</v>
      </c>
      <c r="C84" s="7"/>
      <c r="D84" s="7"/>
      <c r="E84" s="7"/>
      <c r="F84" s="7"/>
      <c r="G84" s="7"/>
      <c r="H84" s="40" t="s">
        <v>116</v>
      </c>
      <c r="I84" s="40" t="s">
        <v>116</v>
      </c>
      <c r="J84" s="45" t="s">
        <v>116</v>
      </c>
      <c r="K84" s="124"/>
    </row>
    <row r="85">
      <c r="A85" s="2"/>
      <c r="B85" s="47" t="s">
        <v>118</v>
      </c>
      <c r="C85" s="7"/>
      <c r="D85" s="7"/>
      <c r="E85" s="7"/>
      <c r="F85" s="7"/>
      <c r="G85" s="7"/>
      <c r="H85" s="40" t="s">
        <v>116</v>
      </c>
      <c r="I85" s="40" t="s">
        <v>116</v>
      </c>
      <c r="J85" s="45" t="s">
        <v>116</v>
      </c>
      <c r="K85" s="124"/>
    </row>
    <row r="86">
      <c r="A86" s="2"/>
      <c r="B86" s="47" t="s">
        <v>119</v>
      </c>
      <c r="C86" s="40">
        <f>IFERROR(C80/C45,"n.a.")</f>
        <v>0.48619329388560156</v>
      </c>
      <c r="D86" s="40">
        <f>IFERROR(D80/D45,"n.a.")</f>
        <v>0.4629911555748876</v>
      </c>
      <c r="E86" s="40">
        <f>IFERROR(E80/E45,"n.a.")</f>
        <v>0.4729396451325615</v>
      </c>
      <c r="F86" s="40">
        <f>IFERROR(F80/F45,"n.a.")</f>
        <v>0.44220524323566524</v>
      </c>
      <c r="G86" s="40">
        <f>IFERROR(G80/G45,"n.a.")</f>
        <v>0.46612315972771884</v>
      </c>
      <c r="H86" s="40">
        <f>IFERROR(H80/H45,"n.a.")</f>
        <v>0.4773279884339883</v>
      </c>
      <c r="I86" s="40">
        <f>IFERROR(I80/I45,"n.a.")</f>
        <v>0.4905583052236689</v>
      </c>
      <c r="J86" s="45">
        <f>IFERROR(J80/J45,"n.a.")</f>
        <v>0.45573457735479067</v>
      </c>
      <c r="K86" s="124"/>
    </row>
    <row r="87">
      <c r="A87" s="2"/>
      <c r="B87" s="3" t="s">
        <v>143</v>
      </c>
      <c r="C87" s="43">
        <f>C38-C71</f>
        <v>-672</v>
      </c>
      <c r="D87" s="43">
        <f>D38-D71</f>
        <v>-812</v>
      </c>
      <c r="E87" s="43">
        <f>E38-E71</f>
        <v>-672</v>
      </c>
      <c r="F87" s="43">
        <f>F38-F71</f>
        <v>-796</v>
      </c>
      <c r="G87" s="43">
        <f>G38-G71</f>
        <v>-2952</v>
      </c>
      <c r="H87" s="43">
        <f>H38-H71</f>
        <v>-684</v>
      </c>
      <c r="I87" s="43">
        <f>I38-I71</f>
        <v>-701</v>
      </c>
      <c r="J87" s="38">
        <f>J38-J71</f>
        <v>-703.5</v>
      </c>
      <c r="K87" s="124"/>
    </row>
    <row r="88">
      <c r="A88" s="2"/>
      <c r="B88" s="47" t="s">
        <v>113</v>
      </c>
      <c r="C88" s="7"/>
      <c r="D88" s="7"/>
      <c r="E88" s="7"/>
      <c r="F88" s="7"/>
      <c r="G88" s="7"/>
      <c r="H88" s="40" t="str">
        <f>IF(OR(H87="",C87=""),"n.a.",IFERROR(IF(C87&lt;=0,"n.m.",IF(H87/C87&lt;=0,"n.m.",H87/C87-1)),"n.a."))</f>
        <v>n.m.</v>
      </c>
      <c r="I88" s="40" t="str">
        <f>IF(OR(I87="",D87=""),"n.a.",IFERROR(IF(D87&lt;=0,"n.m.",IF(I87/D87&lt;=0,"n.m.",I87/D87-1)),"n.a."))</f>
        <v>n.m.</v>
      </c>
      <c r="J88" s="45" t="str">
        <f>IF(OR(J87="",E87=""),"n.a.",IFERROR(IF(E87&lt;=0,"n.m.",IF(J87/E87&lt;=0,"n.m.",J87/E87-1)),"n.a."))</f>
        <v>n.m.</v>
      </c>
      <c r="K88" s="124"/>
    </row>
    <row r="89">
      <c r="A89" s="2"/>
      <c r="B89" s="47" t="s">
        <v>114</v>
      </c>
      <c r="C89" s="7"/>
      <c r="D89" s="40" t="str">
        <f>IF(OR(D87="",C87=""),"n.a.",IFERROR(IF(C87&lt;=0,"n.m.",IF(D87/C87&lt;=0,"n.m.",D87/C87-1)),"n.a."))</f>
        <v>n.m.</v>
      </c>
      <c r="E89" s="40" t="str">
        <f>IF(OR(E87="",D87=""),"n.a.",IFERROR(IF(D87&lt;=0,"n.m.",IF(E87/D87&lt;=0,"n.m.",E87/D87-1)),"n.a."))</f>
        <v>n.m.</v>
      </c>
      <c r="F89" s="40" t="str">
        <f>IF(OR(F87="",E87=""),"n.a.",IFERROR(IF(E87&lt;=0,"n.m.",IF(F87/E87&lt;=0,"n.m.",F87/E87-1)),"n.a."))</f>
        <v>n.m.</v>
      </c>
      <c r="G89" s="7"/>
      <c r="H89" s="40" t="str">
        <f>IF(OR(H87="",F87=""),"n.a.",IFERROR(IF(F87&lt;=0,"n.m.",IF(H87/F87&lt;=0,"n.m.",H87/F87-1)),"n.a."))</f>
        <v>n.m.</v>
      </c>
      <c r="I89" s="40" t="str">
        <f>IF(OR(I87="",H87=""),"n.a.",IFERROR(IF(H87&lt;=0,"n.m.",IF(I87/H87&lt;=0,"n.m.",I87/H87-1)),"n.a."))</f>
        <v>n.m.</v>
      </c>
      <c r="J89" s="45" t="str">
        <f>IF(OR(J87="",I87=""),"n.a.",IFERROR(IF(I87&lt;=0,"n.m.",IF(J87/I87&lt;=0,"n.m.",J87/I87-1)),"n.a."))</f>
        <v>n.m.</v>
      </c>
      <c r="K89" s="124"/>
    </row>
    <row r="90">
      <c r="A90" s="2"/>
      <c r="B90" s="47" t="s">
        <v>115</v>
      </c>
      <c r="C90" s="7"/>
      <c r="D90" s="7"/>
      <c r="E90" s="7"/>
      <c r="F90" s="7"/>
      <c r="G90" s="7"/>
      <c r="H90" s="40" t="s">
        <v>116</v>
      </c>
      <c r="I90" s="40" t="s">
        <v>116</v>
      </c>
      <c r="J90" s="45" t="s">
        <v>116</v>
      </c>
      <c r="K90" s="124"/>
    </row>
    <row r="91">
      <c r="A91" s="2"/>
      <c r="B91" s="47" t="s">
        <v>117</v>
      </c>
      <c r="C91" s="7"/>
      <c r="D91" s="7"/>
      <c r="E91" s="7"/>
      <c r="F91" s="7"/>
      <c r="G91" s="7"/>
      <c r="H91" s="40" t="s">
        <v>116</v>
      </c>
      <c r="I91" s="40" t="s">
        <v>116</v>
      </c>
      <c r="J91" s="45" t="s">
        <v>116</v>
      </c>
      <c r="K91" s="124"/>
    </row>
    <row r="92">
      <c r="A92" s="2"/>
      <c r="B92" s="47" t="s">
        <v>118</v>
      </c>
      <c r="C92" s="7"/>
      <c r="D92" s="7"/>
      <c r="E92" s="7"/>
      <c r="F92" s="7"/>
      <c r="G92" s="7"/>
      <c r="H92" s="40" t="s">
        <v>116</v>
      </c>
      <c r="I92" s="40" t="s">
        <v>116</v>
      </c>
      <c r="J92" s="45" t="s">
        <v>116</v>
      </c>
      <c r="K92" s="124"/>
    </row>
    <row r="93">
      <c r="A93" s="2"/>
      <c r="B93" s="47" t="s">
        <v>119</v>
      </c>
      <c r="C93" s="40">
        <f>IFERROR(C87/C45,"n.a.")</f>
        <v>-0.023668639053254437</v>
      </c>
      <c r="D93" s="40">
        <f>IFERROR(D87/D45,"n.a.")</f>
        <v>-0.029433086849354792</v>
      </c>
      <c r="E93" s="40">
        <f>IFERROR(E87/E45,"n.a.")</f>
        <v>-0.023018428444200864</v>
      </c>
      <c r="F93" s="40">
        <f>IFERROR(F87/F45,"n.a.")</f>
        <v>-0.027898499929903266</v>
      </c>
      <c r="G93" s="40">
        <f>IFERROR(G87/G45,"n.a.")</f>
        <v>-0.025961690675953775</v>
      </c>
      <c r="H93" s="40">
        <f>IFERROR(H87/H45,"n.a.")</f>
        <v>-0.022474863639350726</v>
      </c>
      <c r="I93" s="40">
        <f>IFERROR(I87/I45,"n.a.")</f>
        <v>-0.022098925002364364</v>
      </c>
      <c r="J93" s="45">
        <f>IFERROR(J87/J45,"n.a.")</f>
        <v>-0.02318580180391715</v>
      </c>
      <c r="K93" s="124"/>
    </row>
    <row r="94">
      <c r="A94" s="2"/>
      <c r="B94" s="61" t="s">
        <v>144</v>
      </c>
      <c r="C94" s="41">
        <f>C64+C80-C45</f>
        <v>0</v>
      </c>
      <c r="D94" s="41">
        <f>D64+D80-D45</f>
        <v>0</v>
      </c>
      <c r="E94" s="41">
        <f>E64+E80-E45</f>
        <v>0</v>
      </c>
      <c r="F94" s="41">
        <f>F64+F80-F45</f>
        <v>0</v>
      </c>
      <c r="G94" s="41">
        <f>G64+G80-G45</f>
        <v>0</v>
      </c>
      <c r="H94" s="41">
        <f>H64+H80-H45</f>
        <v>0</v>
      </c>
      <c r="I94" s="41">
        <f>I64+I80-I45</f>
        <v>0</v>
      </c>
      <c r="J94" s="52">
        <f>J64+J80-J45</f>
        <v>0</v>
      </c>
      <c r="K94" s="124"/>
    </row>
    <row r="95">
      <c r="A95" s="2"/>
      <c r="B95" s="18" t="s">
        <v>145</v>
      </c>
      <c r="C95" s="7"/>
      <c r="D95" s="7"/>
      <c r="E95" s="7"/>
      <c r="F95" s="7"/>
      <c r="G95" s="7"/>
      <c r="H95" s="7"/>
      <c r="I95" s="7"/>
      <c r="J95" s="46"/>
      <c r="K95" s="124"/>
    </row>
    <row r="96">
      <c r="A96" s="2"/>
      <c r="B96" s="3" t="s">
        <v>146</v>
      </c>
      <c r="C96" s="58">
        <f>Inputs!I101</f>
        <v>26906.85</v>
      </c>
      <c r="D96" s="58">
        <f>Inputs!I102</f>
        <v>26732.55</v>
      </c>
      <c r="E96" s="58">
        <f>Inputs!I103</f>
        <v>27458.24</v>
      </c>
      <c r="F96" s="58">
        <f>Inputs!I104</f>
        <v>27742.26</v>
      </c>
      <c r="G96" s="7"/>
      <c r="H96" s="58">
        <f>Inputs!I105</f>
        <v>29939.05</v>
      </c>
      <c r="I96" s="58">
        <f>Inputs!I106</f>
        <v>30774.6</v>
      </c>
      <c r="J96" s="48">
        <f>Inputs!C19</f>
        <v>30539.53</v>
      </c>
      <c r="K96" s="125" t="s">
        <v>147</v>
      </c>
    </row>
    <row r="97">
      <c r="A97" s="2"/>
      <c r="B97" s="3" t="s">
        <v>148</v>
      </c>
      <c r="C97" s="58">
        <f>Inputs!J101</f>
        <v>27366</v>
      </c>
      <c r="D97" s="58">
        <f>Inputs!J102</f>
        <v>26463</v>
      </c>
      <c r="E97" s="58">
        <f>Inputs!J103</f>
        <v>28088</v>
      </c>
      <c r="F97" s="58">
        <f>Inputs!J104</f>
        <v>28367</v>
      </c>
      <c r="G97" s="7"/>
      <c r="H97" s="58">
        <f>Inputs!J105</f>
        <v>30272</v>
      </c>
      <c r="I97" s="58">
        <f>Inputs!J106</f>
        <v>31558</v>
      </c>
      <c r="J97" s="46"/>
      <c r="K97" s="129" t="s">
        <v>149</v>
      </c>
    </row>
    <row r="98">
      <c r="A98" s="2"/>
      <c r="B98" s="3" t="s">
        <v>150</v>
      </c>
      <c r="C98" s="7"/>
      <c r="D98" s="7"/>
      <c r="E98" s="7"/>
      <c r="F98" s="7"/>
      <c r="G98" s="7"/>
      <c r="H98" s="7"/>
      <c r="I98" s="7"/>
      <c r="J98" s="38">
        <f>J56-J96</f>
        <v>-362.685195601367</v>
      </c>
      <c r="K98" s="129" t="s">
        <v>151</v>
      </c>
    </row>
    <row r="99">
      <c r="A99" s="2"/>
      <c r="B99" s="61" t="s">
        <v>152</v>
      </c>
      <c r="C99" s="7"/>
      <c r="D99" s="7"/>
      <c r="E99" s="7"/>
      <c r="F99" s="7"/>
      <c r="G99" s="7"/>
      <c r="H99" s="7"/>
      <c r="I99" s="7"/>
      <c r="J99" s="45">
        <f>J56/J96-1</f>
        <v>-0.01187592590984099</v>
      </c>
      <c r="K99" s="124"/>
    </row>
    <row r="100">
      <c r="A100" s="2"/>
      <c r="B100" s="18" t="s">
        <v>153</v>
      </c>
      <c r="C100" s="7"/>
      <c r="D100" s="7"/>
      <c r="E100" s="7"/>
      <c r="F100" s="7"/>
      <c r="G100" s="7"/>
      <c r="H100" s="7"/>
      <c r="I100" s="7"/>
      <c r="J100" s="46"/>
      <c r="K100" s="124"/>
    </row>
    <row r="101">
      <c r="A101" s="2"/>
      <c r="B101" s="2" t="s">
        <v>154</v>
      </c>
      <c r="C101" s="7"/>
      <c r="D101" s="7"/>
      <c r="E101" s="7"/>
      <c r="F101" s="7"/>
      <c r="G101" s="7"/>
      <c r="H101" s="7"/>
      <c r="I101" s="7"/>
      <c r="J101" s="46"/>
      <c r="K101" s="124"/>
    </row>
    <row r="102">
      <c r="A102" s="2"/>
      <c r="B102" s="2"/>
      <c r="C102" s="2"/>
      <c r="D102" s="2"/>
      <c r="E102" s="2"/>
      <c r="F102" s="2"/>
      <c r="G102" s="2"/>
      <c r="H102" s="2"/>
      <c r="I102" s="2"/>
      <c r="J102" s="2"/>
      <c r="K102" s="2"/>
    </row>
    <row r="103">
      <c r="A103" s="2"/>
      <c r="B103" s="138" t="s">
        <v>73</v>
      </c>
      <c r="C103" s="137"/>
      <c r="D103" s="137"/>
      <c r="E103" s="137"/>
      <c r="F103" s="137"/>
      <c r="G103" s="137"/>
      <c r="H103" s="137"/>
      <c r="I103" s="137"/>
      <c r="J103" s="137"/>
      <c r="K103" s="137"/>
    </row>
    <row r="104">
      <c r="B104" s="128" t="s">
        <v>74</v>
      </c>
      <c r="C104" s="130" t="s">
        <v>155</v>
      </c>
      <c r="D104" s="127"/>
      <c r="E104" s="127"/>
      <c r="F104" s="127"/>
      <c r="G104" s="127"/>
      <c r="H104" s="127"/>
      <c r="I104" s="127"/>
      <c r="J104" s="127"/>
      <c r="K104" s="127"/>
    </row>
    <row r="105">
      <c r="B105" s="128"/>
      <c r="C105" s="130" t="s">
        <v>156</v>
      </c>
      <c r="D105" s="127"/>
      <c r="E105" s="127"/>
      <c r="F105" s="127"/>
      <c r="G105" s="127"/>
      <c r="H105" s="127"/>
      <c r="I105" s="127"/>
      <c r="J105" s="127"/>
      <c r="K105" s="127"/>
    </row>
    <row r="106">
      <c r="B106" s="128" t="s">
        <v>77</v>
      </c>
      <c r="C106" s="130" t="s">
        <v>157</v>
      </c>
      <c r="D106" s="127"/>
      <c r="E106" s="127"/>
      <c r="F106" s="127"/>
      <c r="G106" s="127"/>
      <c r="H106" s="127"/>
      <c r="I106" s="127"/>
      <c r="J106" s="127"/>
      <c r="K106" s="127"/>
    </row>
  </sheetData>
  <legacyDrawing r:id="rId2"/>
</worksheet>
</file>

<file path=xl/worksheets/sheet3.xml><?xml version="1.0" encoding="utf-8"?>
<worksheet xmlns="http://schemas.openxmlformats.org/spreadsheetml/2006/main" xmlns:r="http://schemas.openxmlformats.org/officeDocument/2006/relationships">
  <dimension ref="A1:K191"/>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158</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159</v>
      </c>
      <c r="C9" s="7"/>
      <c r="D9" s="7"/>
      <c r="E9" s="7"/>
      <c r="F9" s="7"/>
      <c r="G9" s="7"/>
      <c r="H9" s="7"/>
      <c r="I9" s="7"/>
      <c r="J9" s="46"/>
      <c r="K9" s="124"/>
    </row>
    <row r="10">
      <c r="A10" s="2"/>
      <c r="B10" s="3" t="s">
        <v>160</v>
      </c>
      <c r="C10" s="37">
        <v>551555</v>
      </c>
      <c r="D10" s="37">
        <v>556030</v>
      </c>
      <c r="E10" s="37">
        <v>553438</v>
      </c>
      <c r="F10" s="37">
        <v>555202</v>
      </c>
      <c r="G10" s="37">
        <v>554064</v>
      </c>
      <c r="H10" s="37">
        <v>560652</v>
      </c>
      <c r="I10" s="37">
        <v>567531</v>
      </c>
      <c r="J10" s="75">
        <v>571000</v>
      </c>
      <c r="K10" s="125" t="s">
        <v>127</v>
      </c>
    </row>
    <row r="11">
      <c r="A11" s="2"/>
      <c r="B11" s="47" t="s">
        <v>133</v>
      </c>
      <c r="C11" s="7"/>
      <c r="D11" s="7"/>
      <c r="E11" s="7"/>
      <c r="F11" s="7"/>
      <c r="G11" s="7"/>
      <c r="H11" s="40">
        <f>IF(OR(H10="",C10=""),"n.a.",IFERROR(IF(C10&lt;=0,"n.m.",IF(H10/C10&lt;=0,"n.m.",H10/C10-1)),"n.a."))</f>
        <v>0.01649336874835683</v>
      </c>
      <c r="I11" s="40">
        <f>IF(OR(I10="",D10=""),"n.a.",IFERROR(IF(D10&lt;=0,"n.m.",IF(I10/D10&lt;=0,"n.m.",I10/D10-1)),"n.a."))</f>
        <v>0.020684135748071153</v>
      </c>
      <c r="J11" s="45">
        <f>IF(OR(J10="",E10=""),"n.a.",IFERROR(IF(E10&lt;=0,"n.m.",IF(J10/E10&lt;=0,"n.m.",J10/E10-1)),"n.a."))</f>
        <v>0.03173255179441958</v>
      </c>
      <c r="K11" s="124"/>
    </row>
    <row r="12">
      <c r="A12" s="2"/>
      <c r="B12" s="47" t="s">
        <v>134</v>
      </c>
      <c r="C12" s="7"/>
      <c r="D12" s="41">
        <f>IF(OR(D10="",C10=""),"n.a.",IFERROR(D10-C10,"n.a."))</f>
        <v>4475</v>
      </c>
      <c r="E12" s="41">
        <f>IF(OR(E10="",D10=""),"n.a.",IFERROR(E10-D10,"n.a."))</f>
        <v>-2592</v>
      </c>
      <c r="F12" s="41">
        <f>IF(OR(F10="",E10=""),"n.a.",IFERROR(F10-E10,"n.a."))</f>
        <v>1764</v>
      </c>
      <c r="G12" s="7"/>
      <c r="H12" s="41">
        <f>IF(OR(H10="",F10=""),"n.a.",IFERROR(H10-F10,"n.a."))</f>
        <v>5450</v>
      </c>
      <c r="I12" s="41">
        <f>IF(OR(I10="",H10=""),"n.a.",IFERROR(I10-H10,"n.a."))</f>
        <v>6879</v>
      </c>
      <c r="J12" s="52">
        <f>IF(OR(J10="",I10=""),"n.a.",IFERROR(J10-I10,"n.a."))</f>
        <v>3469</v>
      </c>
      <c r="K12" s="124"/>
    </row>
    <row r="13">
      <c r="A13" s="2"/>
      <c r="B13" s="3" t="s">
        <v>161</v>
      </c>
      <c r="C13" s="37">
        <v>52985</v>
      </c>
      <c r="D13" s="37">
        <v>53077</v>
      </c>
      <c r="E13" s="37">
        <v>51840</v>
      </c>
      <c r="F13" s="37">
        <v>50843</v>
      </c>
      <c r="G13" s="37">
        <v>52179</v>
      </c>
      <c r="H13" s="37">
        <v>51256</v>
      </c>
      <c r="I13" s="37">
        <v>51807</v>
      </c>
      <c r="J13" s="75">
        <v>51700</v>
      </c>
      <c r="K13" s="125" t="s">
        <v>127</v>
      </c>
    </row>
    <row r="14">
      <c r="A14" s="2"/>
      <c r="B14" s="47" t="s">
        <v>133</v>
      </c>
      <c r="C14" s="7"/>
      <c r="D14" s="7"/>
      <c r="E14" s="7"/>
      <c r="F14" s="7"/>
      <c r="G14" s="7"/>
      <c r="H14" s="40">
        <f>IF(OR(H13="",C13=""),"n.a.",IFERROR(IF(C13&lt;=0,"n.m.",IF(H13/C13&lt;=0,"n.m.",H13/C13-1)),"n.a."))</f>
        <v>-0.03263187694630554</v>
      </c>
      <c r="I14" s="40">
        <f>IF(OR(I13="",D13=""),"n.a.",IFERROR(IF(D13&lt;=0,"n.m.",IF(I13/D13&lt;=0,"n.m.",I13/D13-1)),"n.a."))</f>
        <v>-0.02392750155434553</v>
      </c>
      <c r="J14" s="45">
        <f>IF(OR(J13="",E13=""),"n.a.",IFERROR(IF(E13&lt;=0,"n.m.",IF(J13/E13&lt;=0,"n.m.",J13/E13-1)),"n.a."))</f>
        <v>-0.002700617283950657</v>
      </c>
      <c r="K14" s="124"/>
    </row>
    <row r="15">
      <c r="A15" s="2"/>
      <c r="B15" s="47" t="s">
        <v>134</v>
      </c>
      <c r="C15" s="7"/>
      <c r="D15" s="41">
        <f>IF(OR(D13="",C13=""),"n.a.",IFERROR(D13-C13,"n.a."))</f>
        <v>92</v>
      </c>
      <c r="E15" s="41">
        <f>IF(OR(E13="",D13=""),"n.a.",IFERROR(E13-D13,"n.a."))</f>
        <v>-1237</v>
      </c>
      <c r="F15" s="41">
        <f>IF(OR(F13="",E13=""),"n.a.",IFERROR(F13-E13,"n.a."))</f>
        <v>-997</v>
      </c>
      <c r="G15" s="7"/>
      <c r="H15" s="41">
        <f>IF(OR(H13="",F13=""),"n.a.",IFERROR(H13-F13,"n.a."))</f>
        <v>413</v>
      </c>
      <c r="I15" s="41">
        <f>IF(OR(I13="",H13=""),"n.a.",IFERROR(I13-H13,"n.a."))</f>
        <v>551</v>
      </c>
      <c r="J15" s="52">
        <f>IF(OR(J13="",I13=""),"n.a.",IFERROR(J13-I13,"n.a."))</f>
        <v>-107</v>
      </c>
      <c r="K15" s="124"/>
    </row>
    <row r="16">
      <c r="A16" s="2"/>
      <c r="B16" s="3" t="s">
        <v>162</v>
      </c>
      <c r="C16" s="37">
        <v>241423</v>
      </c>
      <c r="D16" s="37">
        <v>238285</v>
      </c>
      <c r="E16" s="37">
        <v>232892</v>
      </c>
      <c r="F16" s="37">
        <v>228437</v>
      </c>
      <c r="G16" s="37">
        <v>235217</v>
      </c>
      <c r="H16" s="37">
        <v>229315</v>
      </c>
      <c r="I16" s="37">
        <v>229194</v>
      </c>
      <c r="J16" s="75">
        <v>229000</v>
      </c>
      <c r="K16" s="125" t="s">
        <v>127</v>
      </c>
    </row>
    <row r="17">
      <c r="A17" s="2"/>
      <c r="B17" s="47" t="s">
        <v>133</v>
      </c>
      <c r="C17" s="7"/>
      <c r="D17" s="7"/>
      <c r="E17" s="7"/>
      <c r="F17" s="7"/>
      <c r="G17" s="7"/>
      <c r="H17" s="40">
        <f>IF(OR(H16="",C16=""),"n.a.",IFERROR(IF(C16&lt;=0,"n.m.",IF(H16/C16&lt;=0,"n.m.",H16/C16-1)),"n.a."))</f>
        <v>-0.05015263665847913</v>
      </c>
      <c r="I17" s="40">
        <f>IF(OR(I16="",D16=""),"n.a.",IFERROR(IF(D16&lt;=0,"n.m.",IF(I16/D16&lt;=0,"n.m.",I16/D16-1)),"n.a."))</f>
        <v>-0.03815179302096228</v>
      </c>
      <c r="J17" s="45">
        <f>IF(OR(J16="",E16=""),"n.a.",IFERROR(IF(E16&lt;=0,"n.m.",IF(J16/E16&lt;=0,"n.m.",J16/E16-1)),"n.a."))</f>
        <v>-0.016711608814386048</v>
      </c>
      <c r="K17" s="124"/>
    </row>
    <row r="18">
      <c r="A18" s="2"/>
      <c r="B18" s="47" t="s">
        <v>134</v>
      </c>
      <c r="C18" s="7"/>
      <c r="D18" s="41">
        <f>IF(OR(D16="",C16=""),"n.a.",IFERROR(D16-C16,"n.a."))</f>
        <v>-3138</v>
      </c>
      <c r="E18" s="41">
        <f>IF(OR(E16="",D16=""),"n.a.",IFERROR(E16-D16,"n.a."))</f>
        <v>-5393</v>
      </c>
      <c r="F18" s="41">
        <f>IF(OR(F16="",E16=""),"n.a.",IFERROR(F16-E16,"n.a."))</f>
        <v>-4455</v>
      </c>
      <c r="G18" s="7"/>
      <c r="H18" s="41">
        <f>IF(OR(H16="",F16=""),"n.a.",IFERROR(H16-F16,"n.a."))</f>
        <v>878</v>
      </c>
      <c r="I18" s="41">
        <f>IF(OR(I16="",H16=""),"n.a.",IFERROR(I16-H16,"n.a."))</f>
        <v>-121</v>
      </c>
      <c r="J18" s="52">
        <f>IF(OR(J16="",I16=""),"n.a.",IFERROR(J16-I16,"n.a."))</f>
        <v>-194</v>
      </c>
      <c r="K18" s="124"/>
    </row>
    <row r="19">
      <c r="A19" s="2"/>
      <c r="B19" s="3" t="s">
        <v>163</v>
      </c>
      <c r="C19" s="37">
        <v>98023</v>
      </c>
      <c r="D19" s="37">
        <v>100957</v>
      </c>
      <c r="E19" s="37">
        <v>105633</v>
      </c>
      <c r="F19" s="37">
        <v>107364</v>
      </c>
      <c r="G19" s="37">
        <v>103027</v>
      </c>
      <c r="H19" s="37">
        <v>105954</v>
      </c>
      <c r="I19" s="37">
        <v>104768</v>
      </c>
      <c r="J19" s="75">
        <v>103500</v>
      </c>
      <c r="K19" s="125" t="s">
        <v>127</v>
      </c>
    </row>
    <row r="20">
      <c r="A20" s="2"/>
      <c r="B20" s="47" t="s">
        <v>133</v>
      </c>
      <c r="C20" s="7"/>
      <c r="D20" s="7"/>
      <c r="E20" s="7"/>
      <c r="F20" s="7"/>
      <c r="G20" s="7"/>
      <c r="H20" s="40">
        <f>IF(OR(H19="",C19=""),"n.a.",IFERROR(IF(C19&lt;=0,"n.m.",IF(H19/C19&lt;=0,"n.m.",H19/C19-1)),"n.a."))</f>
        <v>0.0809095824449364</v>
      </c>
      <c r="I20" s="40">
        <f>IF(OR(I19="",D19=""),"n.a.",IFERROR(IF(D19&lt;=0,"n.m.",IF(I19/D19&lt;=0,"n.m.",I19/D19-1)),"n.a."))</f>
        <v>0.03774874451499155</v>
      </c>
      <c r="J20" s="45">
        <f>IF(OR(J19="",E19=""),"n.a.",IFERROR(IF(E19&lt;=0,"n.m.",IF(J19/E19&lt;=0,"n.m.",J19/E19-1)),"n.a."))</f>
        <v>-0.020192553463406315</v>
      </c>
      <c r="K20" s="124"/>
    </row>
    <row r="21">
      <c r="A21" s="2"/>
      <c r="B21" s="47" t="s">
        <v>134</v>
      </c>
      <c r="C21" s="7"/>
      <c r="D21" s="41">
        <f>IF(OR(D19="",C19=""),"n.a.",IFERROR(D19-C19,"n.a."))</f>
        <v>2934</v>
      </c>
      <c r="E21" s="41">
        <f>IF(OR(E19="",D19=""),"n.a.",IFERROR(E19-D19,"n.a."))</f>
        <v>4676</v>
      </c>
      <c r="F21" s="41">
        <f>IF(OR(F19="",E19=""),"n.a.",IFERROR(F19-E19,"n.a."))</f>
        <v>1731</v>
      </c>
      <c r="G21" s="7"/>
      <c r="H21" s="41">
        <f>IF(OR(H19="",F19=""),"n.a.",IFERROR(H19-F19,"n.a."))</f>
        <v>-1410</v>
      </c>
      <c r="I21" s="41">
        <f>IF(OR(I19="",H19=""),"n.a.",IFERROR(I19-H19,"n.a."))</f>
        <v>-1186</v>
      </c>
      <c r="J21" s="52">
        <f>IF(OR(J19="",I19=""),"n.a.",IFERROR(J19-I19,"n.a."))</f>
        <v>-1268</v>
      </c>
      <c r="K21" s="124"/>
    </row>
    <row r="22">
      <c r="A22" s="2"/>
      <c r="B22" s="3" t="s">
        <v>164</v>
      </c>
      <c r="C22" s="37">
        <v>3564</v>
      </c>
      <c r="D22" s="37">
        <v>3637</v>
      </c>
      <c r="E22" s="37">
        <v>3611</v>
      </c>
      <c r="F22" s="37">
        <v>3548</v>
      </c>
      <c r="G22" s="37">
        <v>3591</v>
      </c>
      <c r="H22" s="37">
        <v>3632</v>
      </c>
      <c r="I22" s="37">
        <v>3657</v>
      </c>
      <c r="J22" s="75">
        <v>3650</v>
      </c>
      <c r="K22" s="125" t="s">
        <v>127</v>
      </c>
    </row>
    <row r="23">
      <c r="A23" s="2"/>
      <c r="B23" s="47" t="s">
        <v>133</v>
      </c>
      <c r="C23" s="7"/>
      <c r="D23" s="7"/>
      <c r="E23" s="7"/>
      <c r="F23" s="7"/>
      <c r="G23" s="7"/>
      <c r="H23" s="40">
        <f>IF(OR(H22="",C22=""),"n.a.",IFERROR(IF(C22&lt;=0,"n.m.",IF(H22/C22&lt;=0,"n.m.",H22/C22-1)),"n.a."))</f>
        <v>0.019079685746352437</v>
      </c>
      <c r="I23" s="40">
        <f>IF(OR(I22="",D22=""),"n.a.",IFERROR(IF(D22&lt;=0,"n.m.",IF(I22/D22&lt;=0,"n.m.",I22/D22-1)),"n.a."))</f>
        <v>0.005499037668408091</v>
      </c>
      <c r="J23" s="45">
        <f>IF(OR(J22="",E22=""),"n.a.",IFERROR(IF(E22&lt;=0,"n.m.",IF(J22/E22&lt;=0,"n.m.",J22/E22-1)),"n.a."))</f>
        <v>0.01080033231791755</v>
      </c>
      <c r="K23" s="124"/>
    </row>
    <row r="24">
      <c r="A24" s="2"/>
      <c r="B24" s="47" t="s">
        <v>134</v>
      </c>
      <c r="C24" s="7"/>
      <c r="D24" s="41">
        <f>IF(OR(D22="",C22=""),"n.a.",IFERROR(D22-C22,"n.a."))</f>
        <v>73</v>
      </c>
      <c r="E24" s="41">
        <f>IF(OR(E22="",D22=""),"n.a.",IFERROR(E22-D22,"n.a."))</f>
        <v>-26</v>
      </c>
      <c r="F24" s="41">
        <f>IF(OR(F22="",E22=""),"n.a.",IFERROR(F22-E22,"n.a."))</f>
        <v>-63</v>
      </c>
      <c r="G24" s="7"/>
      <c r="H24" s="41">
        <f>IF(OR(H22="",F22=""),"n.a.",IFERROR(H22-F22,"n.a."))</f>
        <v>84</v>
      </c>
      <c r="I24" s="41">
        <f>IF(OR(I22="",H22=""),"n.a.",IFERROR(I22-H22,"n.a."))</f>
        <v>25</v>
      </c>
      <c r="J24" s="52">
        <f>IF(OR(J22="",I22=""),"n.a.",IFERROR(J22-I22,"n.a."))</f>
        <v>-7</v>
      </c>
      <c r="K24" s="124"/>
    </row>
    <row r="25">
      <c r="A25" s="2"/>
      <c r="B25" s="18" t="s">
        <v>165</v>
      </c>
      <c r="C25" s="39">
        <f>SUM(C10,C13,C16,C19,C22)</f>
        <v>947550</v>
      </c>
      <c r="D25" s="39">
        <f>SUM(D10,D13,D16,D19,D22)</f>
        <v>951986</v>
      </c>
      <c r="E25" s="39">
        <f>SUM(E10,E13,E16,E19,E22)</f>
        <v>947414</v>
      </c>
      <c r="F25" s="39">
        <f>SUM(F10,F13,F16,F19,F22)</f>
        <v>945394</v>
      </c>
      <c r="G25" s="39">
        <f>SUM(G10,G13,G16,G19,G22)</f>
        <v>948078</v>
      </c>
      <c r="H25" s="39">
        <f>SUM(H10,H13,H16,H19,H22)</f>
        <v>950809</v>
      </c>
      <c r="I25" s="39">
        <f>SUM(I10,I13,I16,I19,I22)</f>
        <v>956957</v>
      </c>
      <c r="J25" s="50">
        <f>SUM(J10,J13,J16,J19,J22)</f>
        <v>958850</v>
      </c>
      <c r="K25" s="124"/>
    </row>
    <row r="26">
      <c r="A26" s="2"/>
      <c r="B26" s="47" t="s">
        <v>133</v>
      </c>
      <c r="C26" s="7"/>
      <c r="D26" s="7"/>
      <c r="E26" s="7"/>
      <c r="F26" s="7"/>
      <c r="G26" s="7"/>
      <c r="H26" s="40">
        <f>IF(OR(H25="",C25=""),"n.a.",IFERROR(IF(C25&lt;=0,"n.m.",IF(H25/C25&lt;=0,"n.m.",H25/C25-1)),"n.a."))</f>
        <v>0.0034393963379242276</v>
      </c>
      <c r="I26" s="40">
        <f>IF(OR(I25="",D25=""),"n.a.",IFERROR(IF(D25&lt;=0,"n.m.",IF(I25/D25&lt;=0,"n.m.",I25/D25-1)),"n.a."))</f>
        <v>0.005221715445395292</v>
      </c>
      <c r="J26" s="45">
        <f>IF(OR(J25="",E25=""),"n.a.",IFERROR(IF(E25&lt;=0,"n.m.",IF(J25/E25&lt;=0,"n.m.",J25/E25-1)),"n.a."))</f>
        <v>0.012070752596013978</v>
      </c>
      <c r="K26" s="124"/>
    </row>
    <row r="27">
      <c r="A27" s="2"/>
      <c r="B27" s="47" t="s">
        <v>134</v>
      </c>
      <c r="C27" s="7"/>
      <c r="D27" s="41">
        <f>IF(OR(D25="",C25=""),"n.a.",IFERROR(D25-C25,"n.a."))</f>
        <v>4436</v>
      </c>
      <c r="E27" s="41">
        <f>IF(OR(E25="",D25=""),"n.a.",IFERROR(E25-D25,"n.a."))</f>
        <v>-4572</v>
      </c>
      <c r="F27" s="41">
        <f>IF(OR(F25="",E25=""),"n.a.",IFERROR(F25-E25,"n.a."))</f>
        <v>-2020</v>
      </c>
      <c r="G27" s="7"/>
      <c r="H27" s="41">
        <f>IF(OR(H25="",F25=""),"n.a.",IFERROR(H25-F25,"n.a."))</f>
        <v>5415</v>
      </c>
      <c r="I27" s="41">
        <f>IF(OR(I25="",H25=""),"n.a.",IFERROR(I25-H25,"n.a."))</f>
        <v>6148</v>
      </c>
      <c r="J27" s="52">
        <f>IF(OR(J25="",I25=""),"n.a.",IFERROR(J25-I25,"n.a."))</f>
        <v>1893</v>
      </c>
      <c r="K27" s="124"/>
    </row>
    <row r="28">
      <c r="A28" s="2"/>
      <c r="B28" s="3" t="s">
        <v>166</v>
      </c>
      <c r="C28" s="37">
        <v>947550</v>
      </c>
      <c r="D28" s="37">
        <v>951986</v>
      </c>
      <c r="E28" s="37">
        <v>947414</v>
      </c>
      <c r="F28" s="37">
        <v>945394</v>
      </c>
      <c r="G28" s="37">
        <v>948078</v>
      </c>
      <c r="H28" s="37">
        <v>950809</v>
      </c>
      <c r="I28" s="37">
        <v>956957</v>
      </c>
      <c r="J28" s="46"/>
      <c r="K28" s="125" t="s">
        <v>127</v>
      </c>
    </row>
    <row r="29">
      <c r="A29" s="2"/>
      <c r="B29" s="61" t="s">
        <v>167</v>
      </c>
      <c r="C29" s="41">
        <f>C25-C28</f>
        <v>0</v>
      </c>
      <c r="D29" s="41">
        <f>D25-D28</f>
        <v>0</v>
      </c>
      <c r="E29" s="41">
        <f>E25-E28</f>
        <v>0</v>
      </c>
      <c r="F29" s="41">
        <f>F25-F28</f>
        <v>0</v>
      </c>
      <c r="G29" s="41">
        <f>G25-G28</f>
        <v>0</v>
      </c>
      <c r="H29" s="41">
        <f>H25-H28</f>
        <v>0</v>
      </c>
      <c r="I29" s="41">
        <f>I25-I28</f>
        <v>0</v>
      </c>
      <c r="J29" s="46"/>
      <c r="K29" s="124"/>
    </row>
    <row r="30">
      <c r="A30" s="2"/>
      <c r="B30" s="61" t="s">
        <v>168</v>
      </c>
      <c r="C30" s="40">
        <f>C10/C25</f>
        <v>0.5820853780803124</v>
      </c>
      <c r="D30" s="40">
        <f>D10/D25</f>
        <v>0.5840737153697638</v>
      </c>
      <c r="E30" s="40">
        <f>E10/E25</f>
        <v>0.5841564511396286</v>
      </c>
      <c r="F30" s="40">
        <f>F10/F25</f>
        <v>0.5872704925142321</v>
      </c>
      <c r="G30" s="40">
        <f>G10/G25</f>
        <v>0.5844076120319214</v>
      </c>
      <c r="H30" s="40">
        <f>H10/H25</f>
        <v>0.5896578597804606</v>
      </c>
      <c r="I30" s="40">
        <f>I10/I25</f>
        <v>0.5930579952913245</v>
      </c>
      <c r="J30" s="45">
        <f>J10/J25</f>
        <v>0.5955050320696668</v>
      </c>
      <c r="K30" s="124"/>
    </row>
    <row r="31">
      <c r="A31" s="2"/>
      <c r="B31" s="47" t="s">
        <v>169</v>
      </c>
      <c r="C31" s="7"/>
      <c r="D31" s="42">
        <f>(D30-C30)*10000</f>
        <v>19.883372894514693</v>
      </c>
      <c r="E31" s="42">
        <f>(E30-D30)*10000</f>
        <v>0.8273576986472797</v>
      </c>
      <c r="F31" s="42">
        <f>(F30-E30)*10000</f>
        <v>31.140413746035822</v>
      </c>
      <c r="G31" s="7"/>
      <c r="H31" s="42">
        <f>(H30-F30)*10000</f>
        <v>23.873672662284573</v>
      </c>
      <c r="I31" s="42">
        <f>(I30-H30)*10000</f>
        <v>34.00135510863933</v>
      </c>
      <c r="J31" s="56">
        <f>(J30-I30)*10000</f>
        <v>24.470367783422375</v>
      </c>
      <c r="K31" s="124"/>
    </row>
    <row r="32">
      <c r="A32" s="2"/>
      <c r="B32" s="47" t="s">
        <v>170</v>
      </c>
      <c r="C32" s="7"/>
      <c r="D32" s="7"/>
      <c r="E32" s="7"/>
      <c r="F32" s="7"/>
      <c r="G32" s="7"/>
      <c r="H32" s="42">
        <f>(H30-C30)*10000</f>
        <v>75.72481700148236</v>
      </c>
      <c r="I32" s="42">
        <f>(I30-D30)*10000</f>
        <v>89.842799215607</v>
      </c>
      <c r="J32" s="56">
        <f>(J30-E30)*10000</f>
        <v>113.4858093003821</v>
      </c>
      <c r="K32" s="124"/>
    </row>
    <row r="33">
      <c r="A33" s="2"/>
      <c r="B33" s="18" t="s">
        <v>171</v>
      </c>
      <c r="C33" s="7"/>
      <c r="D33" s="7"/>
      <c r="E33" s="7"/>
      <c r="F33" s="7"/>
      <c r="G33" s="7"/>
      <c r="H33" s="7"/>
      <c r="I33" s="7"/>
      <c r="J33" s="46"/>
      <c r="K33" s="124"/>
    </row>
    <row r="34">
      <c r="A34" s="2"/>
      <c r="B34" s="61" t="s">
        <v>172</v>
      </c>
      <c r="C34" s="87">
        <v>0.0281</v>
      </c>
      <c r="D34" s="87">
        <v>0.029</v>
      </c>
      <c r="E34" s="87">
        <v>0.0296</v>
      </c>
      <c r="F34" s="87">
        <v>0.0302</v>
      </c>
      <c r="G34" s="87">
        <v>0.0292</v>
      </c>
      <c r="H34" s="87">
        <v>0.0307</v>
      </c>
      <c r="I34" s="87">
        <v>0.0315</v>
      </c>
      <c r="J34" s="93">
        <v>0.0319</v>
      </c>
      <c r="K34" s="125" t="s">
        <v>127</v>
      </c>
    </row>
    <row r="35">
      <c r="A35" s="2"/>
      <c r="B35" s="47" t="s">
        <v>169</v>
      </c>
      <c r="C35" s="7"/>
      <c r="D35" s="42">
        <f>(D34-C34)*10000</f>
        <v>9.000000000000014</v>
      </c>
      <c r="E35" s="42">
        <f>(E34-D34)*10000</f>
        <v>5.999999999999998</v>
      </c>
      <c r="F35" s="42">
        <f>(F34-E34)*10000</f>
        <v>5.999999999999998</v>
      </c>
      <c r="G35" s="7"/>
      <c r="H35" s="42">
        <f>(H34-F34)*10000</f>
        <v>5.000000000000004</v>
      </c>
      <c r="I35" s="42">
        <f>(I34-H34)*10000</f>
        <v>7.999999999999987</v>
      </c>
      <c r="J35" s="56">
        <f>(J34-I34)*10000</f>
        <v>3.999999999999976</v>
      </c>
      <c r="K35" s="124"/>
    </row>
    <row r="36">
      <c r="A36" s="2"/>
      <c r="B36" s="47" t="s">
        <v>170</v>
      </c>
      <c r="C36" s="7"/>
      <c r="D36" s="7"/>
      <c r="E36" s="7"/>
      <c r="F36" s="7"/>
      <c r="G36" s="7"/>
      <c r="H36" s="42">
        <f>(H34-C34)*10000</f>
        <v>26.000000000000018</v>
      </c>
      <c r="I36" s="42">
        <f>(I34-D34)*10000</f>
        <v>24.999999999999986</v>
      </c>
      <c r="J36" s="56">
        <f>(J34-E34)*10000</f>
        <v>22.999999999999964</v>
      </c>
      <c r="K36" s="124"/>
    </row>
    <row r="37">
      <c r="A37" s="2"/>
      <c r="B37" s="61" t="s">
        <v>173</v>
      </c>
      <c r="C37" s="87">
        <v>0.0313</v>
      </c>
      <c r="D37" s="87">
        <v>0.0321</v>
      </c>
      <c r="E37" s="87">
        <v>0.0328</v>
      </c>
      <c r="F37" s="87">
        <v>0.0333</v>
      </c>
      <c r="G37" s="87">
        <v>0.0324</v>
      </c>
      <c r="H37" s="87">
        <v>0.0339</v>
      </c>
      <c r="I37" s="87">
        <v>0.0346</v>
      </c>
      <c r="J37" s="93">
        <v>0.035</v>
      </c>
      <c r="K37" s="125" t="s">
        <v>127</v>
      </c>
    </row>
    <row r="38">
      <c r="A38" s="2"/>
      <c r="B38" s="47" t="s">
        <v>169</v>
      </c>
      <c r="C38" s="7"/>
      <c r="D38" s="42">
        <f>(D37-C37)*10000</f>
        <v>7.999999999999952</v>
      </c>
      <c r="E38" s="42">
        <f>(E37-D37)*10000</f>
        <v>7.000000000000062</v>
      </c>
      <c r="F38" s="42">
        <f>(F37-E37)*10000</f>
        <v>5.000000000000004</v>
      </c>
      <c r="G38" s="7"/>
      <c r="H38" s="42">
        <f>(H37-F37)*10000</f>
        <v>5.999999999999964</v>
      </c>
      <c r="I38" s="42">
        <f>(I37-H37)*10000</f>
        <v>6.999999999999992</v>
      </c>
      <c r="J38" s="56">
        <f>(J37-I37)*10000</f>
        <v>4.000000000000045</v>
      </c>
      <c r="K38" s="124"/>
    </row>
    <row r="39">
      <c r="A39" s="2"/>
      <c r="B39" s="47" t="s">
        <v>170</v>
      </c>
      <c r="C39" s="7"/>
      <c r="D39" s="7"/>
      <c r="E39" s="7"/>
      <c r="F39" s="7"/>
      <c r="G39" s="7"/>
      <c r="H39" s="42">
        <f>(H37-C37)*10000</f>
        <v>25.999999999999982</v>
      </c>
      <c r="I39" s="42">
        <f>(I37-D37)*10000</f>
        <v>25.00000000000002</v>
      </c>
      <c r="J39" s="56">
        <f>(J37-E37)*10000</f>
        <v>22.000000000000007</v>
      </c>
      <c r="K39" s="124"/>
    </row>
    <row r="40">
      <c r="A40" s="2"/>
      <c r="B40" s="61" t="s">
        <v>174</v>
      </c>
      <c r="C40" s="87">
        <v>0.0338</v>
      </c>
      <c r="D40" s="87">
        <v>0.0345</v>
      </c>
      <c r="E40" s="87">
        <v>0.0352</v>
      </c>
      <c r="F40" s="87">
        <v>0.0356</v>
      </c>
      <c r="G40" s="87">
        <v>0.0348</v>
      </c>
      <c r="H40" s="87">
        <v>0.0359</v>
      </c>
      <c r="I40" s="87">
        <v>0.0364</v>
      </c>
      <c r="J40" s="93">
        <v>0.0367</v>
      </c>
      <c r="K40" s="125" t="s">
        <v>127</v>
      </c>
    </row>
    <row r="41">
      <c r="A41" s="2"/>
      <c r="B41" s="47" t="s">
        <v>169</v>
      </c>
      <c r="C41" s="7"/>
      <c r="D41" s="42">
        <f>(D40-C40)*10000</f>
        <v>7.000000000000062</v>
      </c>
      <c r="E41" s="42">
        <f>(E40-D40)*10000</f>
        <v>6.999999999999992</v>
      </c>
      <c r="F41" s="42">
        <f>(F40-E40)*10000</f>
        <v>3.999999999999976</v>
      </c>
      <c r="G41" s="7"/>
      <c r="H41" s="42">
        <f>(H40-F40)*10000</f>
        <v>3.0000000000000164</v>
      </c>
      <c r="I41" s="42">
        <f>(I40-H40)*10000</f>
        <v>5.000000000000004</v>
      </c>
      <c r="J41" s="56">
        <f>(J40-I40)*10000</f>
        <v>3.0000000000000164</v>
      </c>
      <c r="K41" s="124"/>
    </row>
    <row r="42">
      <c r="A42" s="2"/>
      <c r="B42" s="47" t="s">
        <v>170</v>
      </c>
      <c r="C42" s="7"/>
      <c r="D42" s="7"/>
      <c r="E42" s="7"/>
      <c r="F42" s="7"/>
      <c r="G42" s="7"/>
      <c r="H42" s="42">
        <f>(H40-C40)*10000</f>
        <v>21.000000000000046</v>
      </c>
      <c r="I42" s="42">
        <f>(I40-D40)*10000</f>
        <v>18.99999999999999</v>
      </c>
      <c r="J42" s="56">
        <f>(J40-E40)*10000</f>
        <v>15.000000000000014</v>
      </c>
      <c r="K42" s="124"/>
    </row>
    <row r="43">
      <c r="A43" s="2"/>
      <c r="B43" s="61" t="s">
        <v>175</v>
      </c>
      <c r="C43" s="87">
        <v>0.0157</v>
      </c>
      <c r="D43" s="87">
        <v>0.0149</v>
      </c>
      <c r="E43" s="87">
        <v>0.0137</v>
      </c>
      <c r="F43" s="87">
        <v>0.0125</v>
      </c>
      <c r="G43" s="87">
        <v>0.0141</v>
      </c>
      <c r="H43" s="87">
        <v>0.0124</v>
      </c>
      <c r="I43" s="87">
        <v>0.0131</v>
      </c>
      <c r="J43" s="93">
        <v>0.0133</v>
      </c>
      <c r="K43" s="125" t="s">
        <v>127</v>
      </c>
    </row>
    <row r="44">
      <c r="A44" s="2"/>
      <c r="B44" s="47" t="s">
        <v>169</v>
      </c>
      <c r="C44" s="7"/>
      <c r="D44" s="42">
        <f>(D43-C43)*10000</f>
        <v>-7.999999999999987</v>
      </c>
      <c r="E44" s="42">
        <f>(E43-D43)*10000</f>
        <v>-11.999999999999996</v>
      </c>
      <c r="F44" s="42">
        <f>(F43-E43)*10000</f>
        <v>-11.999999999999996</v>
      </c>
      <c r="G44" s="7"/>
      <c r="H44" s="42">
        <f>(H43-F43)*10000</f>
        <v>-1.0000000000000113</v>
      </c>
      <c r="I44" s="42">
        <f>(I43-H43)*10000</f>
        <v>7.00000000000001</v>
      </c>
      <c r="J44" s="56">
        <f>(J43-I43)*10000</f>
        <v>1.999999999999988</v>
      </c>
      <c r="K44" s="124"/>
    </row>
    <row r="45">
      <c r="A45" s="2"/>
      <c r="B45" s="47" t="s">
        <v>170</v>
      </c>
      <c r="C45" s="7"/>
      <c r="D45" s="7"/>
      <c r="E45" s="7"/>
      <c r="F45" s="7"/>
      <c r="G45" s="7"/>
      <c r="H45" s="42">
        <f>(H43-C43)*10000</f>
        <v>-32.99999999999999</v>
      </c>
      <c r="I45" s="42">
        <f>(I43-D43)*10000</f>
        <v>-17.999999999999996</v>
      </c>
      <c r="J45" s="56">
        <f>(J43-E43)*10000</f>
        <v>-4.000000000000011</v>
      </c>
      <c r="K45" s="124"/>
    </row>
    <row r="46">
      <c r="A46" s="2"/>
      <c r="B46" s="61" t="s">
        <v>176</v>
      </c>
      <c r="C46" s="87">
        <v>0.0426</v>
      </c>
      <c r="D46" s="87">
        <v>0.0418</v>
      </c>
      <c r="E46" s="87">
        <v>0.0413</v>
      </c>
      <c r="F46" s="87">
        <v>0.0427</v>
      </c>
      <c r="G46" s="87">
        <v>0.0421</v>
      </c>
      <c r="H46" s="87">
        <v>0.0368</v>
      </c>
      <c r="I46" s="87">
        <v>0.0357</v>
      </c>
      <c r="J46" s="93">
        <v>0.0357</v>
      </c>
      <c r="K46" s="125" t="s">
        <v>127</v>
      </c>
    </row>
    <row r="47">
      <c r="A47" s="2"/>
      <c r="B47" s="47" t="s">
        <v>169</v>
      </c>
      <c r="C47" s="7"/>
      <c r="D47" s="42">
        <f>(D46-C46)*10000</f>
        <v>-8.000000000000021</v>
      </c>
      <c r="E47" s="42">
        <f>(E46-D46)*10000</f>
        <v>-4.999999999999935</v>
      </c>
      <c r="F47" s="42">
        <f>(F46-E46)*10000</f>
        <v>13.999999999999984</v>
      </c>
      <c r="G47" s="7"/>
      <c r="H47" s="42">
        <f>(H46-F46)*10000</f>
        <v>-59.00000000000002</v>
      </c>
      <c r="I47" s="42">
        <f>(I46-H46)*10000</f>
        <v>-10.999999999999968</v>
      </c>
      <c r="J47" s="56">
        <f>(J46-I46)*10000</f>
        <v>0</v>
      </c>
      <c r="K47" s="124"/>
    </row>
    <row r="48">
      <c r="A48" s="2"/>
      <c r="B48" s="47" t="s">
        <v>170</v>
      </c>
      <c r="C48" s="7"/>
      <c r="D48" s="7"/>
      <c r="E48" s="7"/>
      <c r="F48" s="7"/>
      <c r="G48" s="7"/>
      <c r="H48" s="42">
        <f>(H46-C46)*10000</f>
        <v>-57.99999999999999</v>
      </c>
      <c r="I48" s="42">
        <f>(I46-D46)*10000</f>
        <v>-60.99999999999994</v>
      </c>
      <c r="J48" s="56">
        <f>(J46-E46)*10000</f>
        <v>-56.00000000000001</v>
      </c>
      <c r="K48" s="124"/>
    </row>
    <row r="49">
      <c r="A49" s="2"/>
      <c r="B49" s="69" t="s">
        <v>177</v>
      </c>
      <c r="C49" s="98">
        <v>0.0285</v>
      </c>
      <c r="D49" s="98">
        <v>0.0291</v>
      </c>
      <c r="E49" s="98">
        <v>0.0294</v>
      </c>
      <c r="F49" s="98">
        <v>0.0297</v>
      </c>
      <c r="G49" s="98">
        <v>0.0292</v>
      </c>
      <c r="H49" s="98">
        <v>0.0301</v>
      </c>
      <c r="I49" s="98">
        <v>0.0308</v>
      </c>
      <c r="J49" s="96">
        <f>(J10*J34+J13*J37+J16*J40+J19*J43+J22*J46)/J25</f>
        <v>0.03122026907232622</v>
      </c>
      <c r="K49" s="125" t="s">
        <v>127</v>
      </c>
    </row>
    <row r="50">
      <c r="A50" s="2"/>
      <c r="B50" s="47" t="s">
        <v>169</v>
      </c>
      <c r="C50" s="7"/>
      <c r="D50" s="42">
        <f>(D49-C49)*10000</f>
        <v>5.999999999999998</v>
      </c>
      <c r="E50" s="42">
        <f>(E49-D49)*10000</f>
        <v>2.999999999999982</v>
      </c>
      <c r="F50" s="42">
        <f>(F49-E49)*10000</f>
        <v>3.0000000000000164</v>
      </c>
      <c r="G50" s="7"/>
      <c r="H50" s="42">
        <f>(H49-F49)*10000</f>
        <v>3.999999999999976</v>
      </c>
      <c r="I50" s="42">
        <f>(I49-H49)*10000</f>
        <v>7.000000000000027</v>
      </c>
      <c r="J50" s="56">
        <f>(J49-I49)*10000</f>
        <v>4.202690723262188</v>
      </c>
      <c r="K50" s="124"/>
    </row>
    <row r="51">
      <c r="A51" s="2"/>
      <c r="B51" s="47" t="s">
        <v>170</v>
      </c>
      <c r="C51" s="7"/>
      <c r="D51" s="7"/>
      <c r="E51" s="7"/>
      <c r="F51" s="7"/>
      <c r="G51" s="7"/>
      <c r="H51" s="42">
        <f>(H49-C49)*10000</f>
        <v>15.999999999999973</v>
      </c>
      <c r="I51" s="42">
        <f>(I49-D49)*10000</f>
        <v>17</v>
      </c>
      <c r="J51" s="56">
        <f>(J49-E49)*10000</f>
        <v>18.202690723262208</v>
      </c>
      <c r="K51" s="124"/>
    </row>
    <row r="52">
      <c r="A52" s="2"/>
      <c r="B52" s="3" t="s">
        <v>178</v>
      </c>
      <c r="C52" s="43">
        <f>C25*C49*C7/365</f>
        <v>6658.810273972603</v>
      </c>
      <c r="D52" s="43">
        <f>D25*D49*D7/365</f>
        <v>6906.723634520548</v>
      </c>
      <c r="E52" s="43">
        <f>E25*E49*E7/365</f>
        <v>7020.727088219179</v>
      </c>
      <c r="F52" s="43">
        <f>F25*F49*F7/365</f>
        <v>7077.245385205479</v>
      </c>
      <c r="G52" s="7"/>
      <c r="H52" s="43">
        <f>H25*H49*H7/365</f>
        <v>7056.826249315068</v>
      </c>
      <c r="I52" s="43">
        <f>I25*I49*I7/365</f>
        <v>7348.381040000001</v>
      </c>
      <c r="J52" s="38">
        <f>J25*J49*J7/365</f>
        <v>7545.400164383561</v>
      </c>
      <c r="K52" s="124"/>
    </row>
    <row r="53">
      <c r="A53" s="2"/>
      <c r="B53" s="18" t="s">
        <v>179</v>
      </c>
      <c r="C53" s="7"/>
      <c r="D53" s="7"/>
      <c r="E53" s="7"/>
      <c r="F53" s="7"/>
      <c r="G53" s="7"/>
      <c r="H53" s="7"/>
      <c r="I53" s="7"/>
      <c r="J53" s="46"/>
      <c r="K53" s="124"/>
    </row>
    <row r="54">
      <c r="A54" s="2"/>
      <c r="B54" s="2" t="s">
        <v>180</v>
      </c>
      <c r="C54" s="37">
        <v>992252</v>
      </c>
      <c r="D54" s="37">
        <v>996193</v>
      </c>
      <c r="E54" s="37">
        <v>992007</v>
      </c>
      <c r="F54" s="37">
        <v>989897</v>
      </c>
      <c r="G54" s="37">
        <v>992579</v>
      </c>
      <c r="H54" s="37">
        <v>996431</v>
      </c>
      <c r="I54" s="37">
        <v>1002799</v>
      </c>
      <c r="J54" s="75">
        <v>1005000</v>
      </c>
      <c r="K54" s="125" t="s">
        <v>127</v>
      </c>
    </row>
    <row r="55">
      <c r="A55" s="2"/>
      <c r="B55" s="47" t="s">
        <v>133</v>
      </c>
      <c r="C55" s="7"/>
      <c r="D55" s="7"/>
      <c r="E55" s="7"/>
      <c r="F55" s="7"/>
      <c r="G55" s="7"/>
      <c r="H55" s="40">
        <f>IF(OR(H54="",C54=""),"n.a.",IFERROR(IF(C54&lt;=0,"n.m.",IF(H54/C54&lt;=0,"n.m.",H54/C54-1)),"n.a."))</f>
        <v>0.004211631722586651</v>
      </c>
      <c r="I55" s="40">
        <f>IF(OR(I54="",D54=""),"n.a.",IFERROR(IF(D54&lt;=0,"n.m.",IF(I54/D54&lt;=0,"n.m.",I54/D54-1)),"n.a."))</f>
        <v>0.006631245150287235</v>
      </c>
      <c r="J55" s="45">
        <f>IF(OR(J54="",E54=""),"n.a.",IFERROR(IF(E54&lt;=0,"n.m.",IF(J54/E54&lt;=0,"n.m.",J54/E54-1)),"n.a."))</f>
        <v>0.013097689834850046</v>
      </c>
      <c r="K55" s="124"/>
    </row>
    <row r="56">
      <c r="A56" s="2"/>
      <c r="B56" s="47" t="s">
        <v>134</v>
      </c>
      <c r="C56" s="7"/>
      <c r="D56" s="41">
        <f>IF(OR(D54="",C54=""),"n.a.",IFERROR(D54-C54,"n.a."))</f>
        <v>3941</v>
      </c>
      <c r="E56" s="41">
        <f>IF(OR(E54="",D54=""),"n.a.",IFERROR(E54-D54,"n.a."))</f>
        <v>-4186</v>
      </c>
      <c r="F56" s="41">
        <f>IF(OR(F54="",E54=""),"n.a.",IFERROR(F54-E54,"n.a."))</f>
        <v>-2110</v>
      </c>
      <c r="G56" s="7"/>
      <c r="H56" s="41">
        <f>IF(OR(H54="",F54=""),"n.a.",IFERROR(H54-F54,"n.a."))</f>
        <v>6534</v>
      </c>
      <c r="I56" s="41">
        <f>IF(OR(I54="",H54=""),"n.a.",IFERROR(I54-H54,"n.a."))</f>
        <v>6368</v>
      </c>
      <c r="J56" s="52">
        <f>IF(OR(J54="",I54=""),"n.a.",IFERROR(J54-I54,"n.a."))</f>
        <v>2201</v>
      </c>
      <c r="K56" s="124"/>
    </row>
    <row r="57">
      <c r="A57" s="2"/>
      <c r="B57" s="1" t="s">
        <v>181</v>
      </c>
      <c r="C57" s="87">
        <v>0.0348</v>
      </c>
      <c r="D57" s="87">
        <v>0.0351</v>
      </c>
      <c r="E57" s="87">
        <v>0.0359</v>
      </c>
      <c r="F57" s="87">
        <v>0.0364</v>
      </c>
      <c r="G57" s="87">
        <v>0.0356</v>
      </c>
      <c r="H57" s="87">
        <v>0.0366</v>
      </c>
      <c r="I57" s="87">
        <v>0.0368</v>
      </c>
      <c r="J57" s="93">
        <v>0.0371</v>
      </c>
      <c r="K57" s="125" t="s">
        <v>127</v>
      </c>
    </row>
    <row r="58">
      <c r="A58" s="2"/>
      <c r="B58" s="47" t="s">
        <v>169</v>
      </c>
      <c r="C58" s="7"/>
      <c r="D58" s="42">
        <f>(D57-C57)*10000</f>
        <v>3.0000000000000164</v>
      </c>
      <c r="E58" s="42">
        <f>(E57-D57)*10000</f>
        <v>8.000000000000021</v>
      </c>
      <c r="F58" s="42">
        <f>(F57-E57)*10000</f>
        <v>5.000000000000004</v>
      </c>
      <c r="G58" s="7"/>
      <c r="H58" s="42">
        <f>(H57-F57)*10000</f>
        <v>1.999999999999988</v>
      </c>
      <c r="I58" s="42">
        <f>(I57-H57)*10000</f>
        <v>1.999999999999988</v>
      </c>
      <c r="J58" s="56">
        <f>(J57-I57)*10000</f>
        <v>3.0000000000000164</v>
      </c>
      <c r="K58" s="124"/>
    </row>
    <row r="59">
      <c r="A59" s="2"/>
      <c r="B59" s="47" t="s">
        <v>170</v>
      </c>
      <c r="C59" s="7"/>
      <c r="D59" s="7"/>
      <c r="E59" s="7"/>
      <c r="F59" s="7"/>
      <c r="G59" s="7"/>
      <c r="H59" s="42">
        <f>(H57-C57)*10000</f>
        <v>18.00000000000003</v>
      </c>
      <c r="I59" s="42">
        <f>(I57-D57)*10000</f>
        <v>17</v>
      </c>
      <c r="J59" s="56">
        <f>(J57-E57)*10000</f>
        <v>11.999999999999996</v>
      </c>
      <c r="K59" s="124"/>
    </row>
    <row r="60">
      <c r="A60" s="2"/>
      <c r="B60" s="18" t="s">
        <v>182</v>
      </c>
      <c r="C60" s="81">
        <v>8505</v>
      </c>
      <c r="D60" s="81">
        <v>8726</v>
      </c>
      <c r="E60" s="81">
        <v>8988</v>
      </c>
      <c r="F60" s="81">
        <v>9090</v>
      </c>
      <c r="G60" s="79">
        <f>SUM(C60:F60)</f>
        <v>35309</v>
      </c>
      <c r="H60" s="81">
        <v>8993</v>
      </c>
      <c r="I60" s="81">
        <v>9206</v>
      </c>
      <c r="J60" s="97">
        <f>J54*J57*J7/365</f>
        <v>9397.98904109589</v>
      </c>
      <c r="K60" s="125" t="s">
        <v>127</v>
      </c>
    </row>
    <row r="61">
      <c r="A61" s="2"/>
      <c r="B61" s="47" t="s">
        <v>113</v>
      </c>
      <c r="C61" s="7"/>
      <c r="D61" s="7"/>
      <c r="E61" s="7"/>
      <c r="F61" s="7"/>
      <c r="G61" s="7"/>
      <c r="H61" s="40">
        <f>IF(OR(H60="",C60=""),"n.a.",IFERROR(IF(C60&lt;=0,"n.m.",IF(H60/C60&lt;=0,"n.m.",H60/C60-1)),"n.a."))</f>
        <v>0.05737801293356859</v>
      </c>
      <c r="I61" s="40">
        <f>IF(OR(I60="",D60=""),"n.a.",IFERROR(IF(D60&lt;=0,"n.m.",IF(I60/D60&lt;=0,"n.m.",I60/D60-1)),"n.a."))</f>
        <v>0.055008022003208756</v>
      </c>
      <c r="J61" s="45">
        <f>IF(OR(J60="",E60=""),"n.a.",IFERROR(IF(E60&lt;=0,"n.m.",IF(J60/E60&lt;=0,"n.m.",J60/E60-1)),"n.a."))</f>
        <v>0.04561515811035721</v>
      </c>
      <c r="K61" s="124"/>
    </row>
    <row r="62">
      <c r="A62" s="2"/>
      <c r="B62" s="47" t="s">
        <v>114</v>
      </c>
      <c r="C62" s="7"/>
      <c r="D62" s="40">
        <f>IF(OR(D60="",C60=""),"n.a.",IFERROR(IF(C60&lt;=0,"n.m.",IF(D60/C60&lt;=0,"n.m.",D60/C60-1)),"n.a."))</f>
        <v>0.025984714873603654</v>
      </c>
      <c r="E62" s="40">
        <f>IF(OR(E60="",D60=""),"n.a.",IFERROR(IF(D60&lt;=0,"n.m.",IF(E60/D60&lt;=0,"n.m.",E60/D60-1)),"n.a."))</f>
        <v>0.03002521201008479</v>
      </c>
      <c r="F62" s="40">
        <f>IF(OR(F60="",E60=""),"n.a.",IFERROR(IF(E60&lt;=0,"n.m.",IF(F60/E60&lt;=0,"n.m.",F60/E60-1)),"n.a."))</f>
        <v>0.011348464619492571</v>
      </c>
      <c r="G62" s="7"/>
      <c r="H62" s="40">
        <f>IF(OR(H60="",F60=""),"n.a.",IFERROR(IF(F60&lt;=0,"n.m.",IF(H60/F60&lt;=0,"n.m.",H60/F60-1)),"n.a."))</f>
        <v>-0.010671067106710619</v>
      </c>
      <c r="I62" s="40">
        <f>IF(OR(I60="",H60=""),"n.a.",IFERROR(IF(H60&lt;=0,"n.m.",IF(I60/H60&lt;=0,"n.m.",I60/H60-1)),"n.a."))</f>
        <v>0.023685088402090493</v>
      </c>
      <c r="J62" s="45">
        <f>IF(OR(J60="",I60=""),"n.a.",IFERROR(IF(I60&lt;=0,"n.m.",IF(J60/I60&lt;=0,"n.m.",J60/I60-1)),"n.a."))</f>
        <v>0.020854773093188284</v>
      </c>
      <c r="K62" s="124"/>
    </row>
    <row r="63">
      <c r="A63" s="2"/>
      <c r="B63" s="47" t="s">
        <v>115</v>
      </c>
      <c r="C63" s="7"/>
      <c r="D63" s="7"/>
      <c r="E63" s="7"/>
      <c r="F63" s="7"/>
      <c r="G63" s="7"/>
      <c r="H63" s="40" t="s">
        <v>116</v>
      </c>
      <c r="I63" s="40" t="s">
        <v>116</v>
      </c>
      <c r="J63" s="45" t="s">
        <v>116</v>
      </c>
      <c r="K63" s="124"/>
    </row>
    <row r="64">
      <c r="A64" s="2"/>
      <c r="B64" s="47" t="s">
        <v>117</v>
      </c>
      <c r="C64" s="7"/>
      <c r="D64" s="7"/>
      <c r="E64" s="7"/>
      <c r="F64" s="7"/>
      <c r="G64" s="7"/>
      <c r="H64" s="40" t="s">
        <v>116</v>
      </c>
      <c r="I64" s="40" t="s">
        <v>116</v>
      </c>
      <c r="J64" s="45" t="s">
        <v>116</v>
      </c>
      <c r="K64" s="124"/>
    </row>
    <row r="65">
      <c r="A65" s="2"/>
      <c r="B65" s="47" t="s">
        <v>118</v>
      </c>
      <c r="C65" s="7"/>
      <c r="D65" s="7"/>
      <c r="E65" s="7"/>
      <c r="F65" s="7"/>
      <c r="G65" s="7"/>
      <c r="H65" s="40" t="s">
        <v>116</v>
      </c>
      <c r="I65" s="40" t="s">
        <v>116</v>
      </c>
      <c r="J65" s="45" t="s">
        <v>116</v>
      </c>
      <c r="K65" s="124"/>
    </row>
    <row r="66">
      <c r="A66" s="2"/>
      <c r="B66" s="47" t="s">
        <v>119</v>
      </c>
      <c r="C66" s="40">
        <f>IFERROR(C60/C159,"n.a.")</f>
        <v>0.8105403602401601</v>
      </c>
      <c r="D66" s="40">
        <f>IFERROR(D60/D159,"n.a.")</f>
        <v>0.8069915842041987</v>
      </c>
      <c r="E66" s="40">
        <f>IFERROR(E60/E159,"n.a.")</f>
        <v>0.8049435787211177</v>
      </c>
      <c r="F66" s="40">
        <f>IFERROR(F60/F159,"n.a.")</f>
        <v>0.8115346844031783</v>
      </c>
      <c r="G66" s="40">
        <f>IFERROR(G60/G159,"n.a.")</f>
        <v>0.8084857921370183</v>
      </c>
      <c r="H66" s="40">
        <f>IFERROR(H60/H159,"n.a.")</f>
        <v>0.8139198117476695</v>
      </c>
      <c r="I66" s="40">
        <f>IFERROR(I60/I159,"n.a.")</f>
        <v>0.8121030345800988</v>
      </c>
      <c r="J66" s="45">
        <f>IFERROR(J60/J159,"n.a.")</f>
        <v>0.8150407202114949</v>
      </c>
      <c r="K66" s="124"/>
    </row>
    <row r="67">
      <c r="A67" s="2"/>
      <c r="B67" s="61" t="s">
        <v>183</v>
      </c>
      <c r="C67" s="41">
        <f>C54*C57*C7/365</f>
        <v>8514.337709589041</v>
      </c>
      <c r="D67" s="41">
        <f>D54*D57*D7/365</f>
        <v>8717.644003561643</v>
      </c>
      <c r="E67" s="41">
        <f>E54*E57*E7/365</f>
        <v>8976.440327671233</v>
      </c>
      <c r="F67" s="41">
        <f>F54*F57*F7/365</f>
        <v>9082.10157150685</v>
      </c>
      <c r="G67" s="7"/>
      <c r="H67" s="41">
        <f>H54*H57*H7/365</f>
        <v>8992.44853150685</v>
      </c>
      <c r="I67" s="41">
        <f>I54*I57*I7/365</f>
        <v>9200.474770410958</v>
      </c>
      <c r="J67" s="52">
        <f>J54*J57*J7/365</f>
        <v>9397.98904109589</v>
      </c>
      <c r="K67" s="124"/>
    </row>
    <row r="68">
      <c r="A68" s="2"/>
      <c r="B68" s="18" t="s">
        <v>184</v>
      </c>
      <c r="C68" s="7"/>
      <c r="D68" s="7"/>
      <c r="E68" s="7"/>
      <c r="F68" s="7"/>
      <c r="G68" s="7"/>
      <c r="H68" s="7"/>
      <c r="I68" s="7"/>
      <c r="J68" s="46"/>
      <c r="K68" s="124"/>
    </row>
    <row r="69">
      <c r="A69" s="2"/>
      <c r="B69" s="3" t="s">
        <v>185</v>
      </c>
      <c r="C69" s="37">
        <v>88208</v>
      </c>
      <c r="D69" s="37">
        <v>94814</v>
      </c>
      <c r="E69" s="37">
        <v>95116</v>
      </c>
      <c r="F69" s="37">
        <v>99622</v>
      </c>
      <c r="G69" s="43">
        <f>SUM(C69:F69)</f>
        <v>377760</v>
      </c>
      <c r="H69" s="37">
        <v>92972</v>
      </c>
      <c r="I69" s="37">
        <v>101877</v>
      </c>
      <c r="J69" s="75">
        <v>103000</v>
      </c>
      <c r="K69" s="125" t="s">
        <v>127</v>
      </c>
    </row>
    <row r="70">
      <c r="A70" s="2"/>
      <c r="B70" s="47" t="s">
        <v>133</v>
      </c>
      <c r="C70" s="7"/>
      <c r="D70" s="7"/>
      <c r="E70" s="7"/>
      <c r="F70" s="7"/>
      <c r="G70" s="7"/>
      <c r="H70" s="40">
        <f>IF(OR(H69="",C69=""),"n.a.",IFERROR(IF(C69&lt;=0,"n.m.",IF(H69/C69&lt;=0,"n.m.",H69/C69-1)),"n.a."))</f>
        <v>0.0540087066932704</v>
      </c>
      <c r="I70" s="40">
        <f>IF(OR(I69="",D69=""),"n.a.",IFERROR(IF(D69&lt;=0,"n.m.",IF(I69/D69&lt;=0,"n.m.",I69/D69-1)),"n.a."))</f>
        <v>0.07449321830109468</v>
      </c>
      <c r="J70" s="45">
        <f>IF(OR(J69="",E69=""),"n.a.",IFERROR(IF(E69&lt;=0,"n.m.",IF(J69/E69&lt;=0,"n.m.",J69/E69-1)),"n.a."))</f>
        <v>0.0828882627528491</v>
      </c>
      <c r="K70" s="124"/>
    </row>
    <row r="71">
      <c r="A71" s="2"/>
      <c r="B71" s="47" t="s">
        <v>134</v>
      </c>
      <c r="C71" s="7"/>
      <c r="D71" s="41">
        <f>IF(OR(D69="",C69=""),"n.a.",IFERROR(D69-C69,"n.a."))</f>
        <v>6606</v>
      </c>
      <c r="E71" s="41">
        <f>IF(OR(E69="",D69=""),"n.a.",IFERROR(E69-D69,"n.a."))</f>
        <v>302</v>
      </c>
      <c r="F71" s="41">
        <f>IF(OR(F69="",E69=""),"n.a.",IFERROR(F69-E69,"n.a."))</f>
        <v>4506</v>
      </c>
      <c r="G71" s="7"/>
      <c r="H71" s="41">
        <f>IF(OR(H69="",F69=""),"n.a.",IFERROR(H69-F69,"n.a."))</f>
        <v>-6650</v>
      </c>
      <c r="I71" s="41">
        <f>IF(OR(I69="",H69=""),"n.a.",IFERROR(I69-H69,"n.a."))</f>
        <v>8905</v>
      </c>
      <c r="J71" s="52">
        <f>IF(OR(J69="",I69=""),"n.a.",IFERROR(J69-I69,"n.a."))</f>
        <v>1123</v>
      </c>
      <c r="K71" s="124"/>
    </row>
    <row r="72">
      <c r="A72" s="2"/>
      <c r="B72" s="3" t="s">
        <v>186</v>
      </c>
      <c r="C72" s="37">
        <v>140197</v>
      </c>
      <c r="D72" s="37">
        <v>149288</v>
      </c>
      <c r="E72" s="37">
        <v>150048</v>
      </c>
      <c r="F72" s="37">
        <v>155070</v>
      </c>
      <c r="G72" s="43">
        <f>SUM(C72:F72)</f>
        <v>594603</v>
      </c>
      <c r="H72" s="37">
        <v>151934</v>
      </c>
      <c r="I72" s="37">
        <v>164189</v>
      </c>
      <c r="J72" s="75">
        <v>166000</v>
      </c>
      <c r="K72" s="125" t="s">
        <v>127</v>
      </c>
    </row>
    <row r="73">
      <c r="A73" s="2"/>
      <c r="B73" s="47" t="s">
        <v>133</v>
      </c>
      <c r="C73" s="7"/>
      <c r="D73" s="7"/>
      <c r="E73" s="7"/>
      <c r="F73" s="7"/>
      <c r="G73" s="7"/>
      <c r="H73" s="40">
        <f>IF(OR(H72="",C72=""),"n.a.",IFERROR(IF(C72&lt;=0,"n.m.",IF(H72/C72&lt;=0,"n.m.",H72/C72-1)),"n.a."))</f>
        <v>0.08371791122491912</v>
      </c>
      <c r="I73" s="40">
        <f>IF(OR(I72="",D72=""),"n.a.",IFERROR(IF(D72&lt;=0,"n.m.",IF(I72/D72&lt;=0,"n.m.",I72/D72-1)),"n.a."))</f>
        <v>0.09981378275547925</v>
      </c>
      <c r="J73" s="45">
        <f>IF(OR(J72="",E72=""),"n.a.",IFERROR(IF(E72&lt;=0,"n.m.",IF(J72/E72&lt;=0,"n.m.",J72/E72-1)),"n.a."))</f>
        <v>0.10631264661974837</v>
      </c>
      <c r="K73" s="124"/>
    </row>
    <row r="74">
      <c r="A74" s="2"/>
      <c r="B74" s="47" t="s">
        <v>134</v>
      </c>
      <c r="C74" s="7"/>
      <c r="D74" s="41">
        <f>IF(OR(D72="",C72=""),"n.a.",IFERROR(D72-C72,"n.a."))</f>
        <v>9091</v>
      </c>
      <c r="E74" s="41">
        <f>IF(OR(E72="",D72=""),"n.a.",IFERROR(E72-D72,"n.a."))</f>
        <v>760</v>
      </c>
      <c r="F74" s="41">
        <f>IF(OR(F72="",E72=""),"n.a.",IFERROR(F72-E72,"n.a."))</f>
        <v>5022</v>
      </c>
      <c r="G74" s="7"/>
      <c r="H74" s="41">
        <f>IF(OR(H72="",F72=""),"n.a.",IFERROR(H72-F72,"n.a."))</f>
        <v>-3136</v>
      </c>
      <c r="I74" s="41">
        <f>IF(OR(I72="",H72=""),"n.a.",IFERROR(I72-H72,"n.a."))</f>
        <v>12255</v>
      </c>
      <c r="J74" s="52">
        <f>IF(OR(J72="",I72=""),"n.a.",IFERROR(J72-I72,"n.a."))</f>
        <v>1811</v>
      </c>
      <c r="K74" s="124"/>
    </row>
    <row r="75">
      <c r="A75" s="2"/>
      <c r="B75" s="18" t="s">
        <v>187</v>
      </c>
      <c r="C75" s="39">
        <f>C69+C72</f>
        <v>228405</v>
      </c>
      <c r="D75" s="39">
        <f>D69+D72</f>
        <v>244102</v>
      </c>
      <c r="E75" s="39">
        <f>E69+E72</f>
        <v>245164</v>
      </c>
      <c r="F75" s="39">
        <f>F69+F72</f>
        <v>254692</v>
      </c>
      <c r="G75" s="39">
        <f>G69+G72</f>
        <v>972363</v>
      </c>
      <c r="H75" s="39">
        <f>H69+H72</f>
        <v>244906</v>
      </c>
      <c r="I75" s="39">
        <f>I69+I72</f>
        <v>266066</v>
      </c>
      <c r="J75" s="50">
        <f>J69+J72</f>
        <v>269000</v>
      </c>
      <c r="K75" s="124"/>
    </row>
    <row r="76">
      <c r="A76" s="2"/>
      <c r="B76" s="47" t="s">
        <v>133</v>
      </c>
      <c r="C76" s="7"/>
      <c r="D76" s="7"/>
      <c r="E76" s="7"/>
      <c r="F76" s="7"/>
      <c r="G76" s="7"/>
      <c r="H76" s="40">
        <f>IF(OR(H75="",C75=""),"n.a.",IFERROR(IF(C75&lt;=0,"n.m.",IF(H75/C75&lt;=0,"n.m.",H75/C75-1)),"n.a."))</f>
        <v>0.07224447801055134</v>
      </c>
      <c r="I76" s="40">
        <f>IF(OR(I75="",D75=""),"n.a.",IFERROR(IF(D75&lt;=0,"n.m.",IF(I75/D75&lt;=0,"n.m.",I75/D75-1)),"n.a."))</f>
        <v>0.08997877936272536</v>
      </c>
      <c r="J76" s="45">
        <f>IF(OR(J75="",E75=""),"n.a.",IFERROR(IF(E75&lt;=0,"n.m.",IF(J75/E75&lt;=0,"n.m.",J75/E75-1)),"n.a."))</f>
        <v>0.09722471488473028</v>
      </c>
      <c r="K76" s="124"/>
    </row>
    <row r="77">
      <c r="A77" s="2"/>
      <c r="B77" s="47" t="s">
        <v>134</v>
      </c>
      <c r="C77" s="7"/>
      <c r="D77" s="41">
        <f>IF(OR(D75="",C75=""),"n.a.",IFERROR(D75-C75,"n.a."))</f>
        <v>15697</v>
      </c>
      <c r="E77" s="41">
        <f>IF(OR(E75="",D75=""),"n.a.",IFERROR(E75-D75,"n.a."))</f>
        <v>1062</v>
      </c>
      <c r="F77" s="41">
        <f>IF(OR(F75="",E75=""),"n.a.",IFERROR(F75-E75,"n.a."))</f>
        <v>9528</v>
      </c>
      <c r="G77" s="7"/>
      <c r="H77" s="41">
        <f>IF(OR(H75="",F75=""),"n.a.",IFERROR(H75-F75,"n.a."))</f>
        <v>-9786</v>
      </c>
      <c r="I77" s="41">
        <f>IF(OR(I75="",H75=""),"n.a.",IFERROR(I75-H75,"n.a."))</f>
        <v>21160</v>
      </c>
      <c r="J77" s="52">
        <f>IF(OR(J75="",I75=""),"n.a.",IFERROR(J75-I75,"n.a."))</f>
        <v>2934</v>
      </c>
      <c r="K77" s="124"/>
    </row>
    <row r="78">
      <c r="A78" s="2"/>
      <c r="B78" s="61" t="s">
        <v>188</v>
      </c>
      <c r="C78" s="90">
        <f>C128/C75</f>
        <v>0.005678509664849719</v>
      </c>
      <c r="D78" s="90">
        <f>D128/D75</f>
        <v>0.0057967570933462245</v>
      </c>
      <c r="E78" s="90">
        <f>E128/E75</f>
        <v>0.005722699907001028</v>
      </c>
      <c r="F78" s="90">
        <f>F128/F75</f>
        <v>0.005265183044618598</v>
      </c>
      <c r="G78" s="90">
        <f>G128/G75</f>
        <v>0.0056110732308818825</v>
      </c>
      <c r="H78" s="90">
        <f>H128/H75</f>
        <v>0.00519791266853405</v>
      </c>
      <c r="I78" s="90">
        <f>I128/I75</f>
        <v>0.005058895161350943</v>
      </c>
      <c r="J78" s="93">
        <v>0.005</v>
      </c>
      <c r="K78" s="124"/>
    </row>
    <row r="79">
      <c r="A79" s="2"/>
      <c r="B79" s="47" t="s">
        <v>169</v>
      </c>
      <c r="C79" s="7"/>
      <c r="D79" s="42">
        <f>(D78-C78)*10000</f>
        <v>1.1824742849650578</v>
      </c>
      <c r="E79" s="42">
        <f>(E78-D78)*10000</f>
        <v>-0.7405718634519686</v>
      </c>
      <c r="F79" s="42">
        <f>(F78-E78)*10000</f>
        <v>-4.5751686238242915</v>
      </c>
      <c r="G79" s="7"/>
      <c r="H79" s="42">
        <f>(H78-F78)*10000</f>
        <v>-0.672703760845484</v>
      </c>
      <c r="I79" s="42">
        <f>(I78-H78)*10000</f>
        <v>-1.390175071831071</v>
      </c>
      <c r="J79" s="56">
        <f>(J78-I78)*10000</f>
        <v>-0.588951613509428</v>
      </c>
      <c r="K79" s="124"/>
    </row>
    <row r="80">
      <c r="A80" s="2"/>
      <c r="B80" s="47" t="s">
        <v>170</v>
      </c>
      <c r="C80" s="7"/>
      <c r="D80" s="7"/>
      <c r="E80" s="7"/>
      <c r="F80" s="7"/>
      <c r="G80" s="7"/>
      <c r="H80" s="42">
        <f>(H78-C78)*10000</f>
        <v>-4.805969963156686</v>
      </c>
      <c r="I80" s="42">
        <f>(I78-D78)*10000</f>
        <v>-7.378619319952816</v>
      </c>
      <c r="J80" s="56">
        <f>(J78-E78)*10000</f>
        <v>-7.226999070010275</v>
      </c>
      <c r="K80" s="124"/>
    </row>
    <row r="81">
      <c r="A81" s="2"/>
      <c r="B81" s="3" t="s">
        <v>189</v>
      </c>
      <c r="C81" s="37">
        <v>100173</v>
      </c>
      <c r="D81" s="37">
        <v>100013</v>
      </c>
      <c r="E81" s="37">
        <v>100966</v>
      </c>
      <c r="F81" s="37">
        <v>102992</v>
      </c>
      <c r="G81" s="37">
        <v>101043</v>
      </c>
      <c r="H81" s="37">
        <v>103087</v>
      </c>
      <c r="I81" s="37">
        <v>103640</v>
      </c>
      <c r="J81" s="75">
        <v>104500</v>
      </c>
      <c r="K81" s="125" t="s">
        <v>127</v>
      </c>
    </row>
    <row r="82">
      <c r="A82" s="2"/>
      <c r="B82" s="47" t="s">
        <v>133</v>
      </c>
      <c r="C82" s="7"/>
      <c r="D82" s="7"/>
      <c r="E82" s="7"/>
      <c r="F82" s="7"/>
      <c r="G82" s="7"/>
      <c r="H82" s="40">
        <f>IF(OR(H81="",C81=""),"n.a.",IFERROR(IF(C81&lt;=0,"n.m.",IF(H81/C81&lt;=0,"n.m.",H81/C81-1)),"n.a."))</f>
        <v>0.029089674862487813</v>
      </c>
      <c r="I82" s="40">
        <f>IF(OR(I81="",D81=""),"n.a.",IFERROR(IF(D81&lt;=0,"n.m.",IF(I81/D81&lt;=0,"n.m.",I81/D81-1)),"n.a."))</f>
        <v>0.03626528551288333</v>
      </c>
      <c r="J82" s="45">
        <f>IF(OR(J81="",E81=""),"n.a.",IFERROR(IF(E81&lt;=0,"n.m.",IF(J81/E81&lt;=0,"n.m.",J81/E81-1)),"n.a."))</f>
        <v>0.03500188182160335</v>
      </c>
      <c r="K82" s="124"/>
    </row>
    <row r="83">
      <c r="A83" s="2"/>
      <c r="B83" s="47" t="s">
        <v>134</v>
      </c>
      <c r="C83" s="7"/>
      <c r="D83" s="41">
        <f>IF(OR(D81="",C81=""),"n.a.",IFERROR(D81-C81,"n.a."))</f>
        <v>-160</v>
      </c>
      <c r="E83" s="41">
        <f>IF(OR(E81="",D81=""),"n.a.",IFERROR(E81-D81,"n.a."))</f>
        <v>953</v>
      </c>
      <c r="F83" s="41">
        <f>IF(OR(F81="",E81=""),"n.a.",IFERROR(F81-E81,"n.a."))</f>
        <v>2026</v>
      </c>
      <c r="G83" s="7"/>
      <c r="H83" s="41">
        <f>IF(OR(H81="",F81=""),"n.a.",IFERROR(H81-F81,"n.a."))</f>
        <v>95</v>
      </c>
      <c r="I83" s="41">
        <f>IF(OR(I81="",H81=""),"n.a.",IFERROR(I81-H81,"n.a."))</f>
        <v>553</v>
      </c>
      <c r="J83" s="52">
        <f>IF(OR(J81="",I81=""),"n.a.",IFERROR(J81-I81,"n.a."))</f>
        <v>860</v>
      </c>
      <c r="K83" s="124"/>
    </row>
    <row r="84">
      <c r="A84" s="2"/>
      <c r="B84" s="61" t="s">
        <v>190</v>
      </c>
      <c r="C84" s="87">
        <v>0.1212</v>
      </c>
      <c r="D84" s="87">
        <v>0.1206</v>
      </c>
      <c r="E84" s="87">
        <v>0.1217</v>
      </c>
      <c r="F84" s="87">
        <v>0.1176</v>
      </c>
      <c r="G84" s="87">
        <v>0.1202</v>
      </c>
      <c r="H84" s="87">
        <v>0.1164</v>
      </c>
      <c r="I84" s="87">
        <v>0.1136</v>
      </c>
      <c r="J84" s="93">
        <v>0.113</v>
      </c>
      <c r="K84" s="125" t="s">
        <v>127</v>
      </c>
    </row>
    <row r="85">
      <c r="A85" s="2"/>
      <c r="B85" s="47" t="s">
        <v>169</v>
      </c>
      <c r="C85" s="7"/>
      <c r="D85" s="42">
        <f>(D84-C84)*10000</f>
        <v>-6.000000000000033</v>
      </c>
      <c r="E85" s="42">
        <f>(E84-D84)*10000</f>
        <v>11.000000000000037</v>
      </c>
      <c r="F85" s="42">
        <f>(F84-E84)*10000</f>
        <v>-41.000000000000064</v>
      </c>
      <c r="G85" s="7"/>
      <c r="H85" s="42">
        <f>(H84-F84)*10000</f>
        <v>-11.999999999999927</v>
      </c>
      <c r="I85" s="42">
        <f>(I84-H84)*10000</f>
        <v>-27.999999999999968</v>
      </c>
      <c r="J85" s="56">
        <f>(J84-I84)*10000</f>
        <v>-6.000000000000033</v>
      </c>
      <c r="K85" s="124"/>
    </row>
    <row r="86">
      <c r="A86" s="2"/>
      <c r="B86" s="47" t="s">
        <v>170</v>
      </c>
      <c r="C86" s="7"/>
      <c r="D86" s="7"/>
      <c r="E86" s="7"/>
      <c r="F86" s="7"/>
      <c r="G86" s="7"/>
      <c r="H86" s="42">
        <f>(H84-C84)*10000</f>
        <v>-47.999999999999986</v>
      </c>
      <c r="I86" s="42">
        <f>(I84-D84)*10000</f>
        <v>-69.99999999999993</v>
      </c>
      <c r="J86" s="56">
        <f>(J84-E84)*10000</f>
        <v>-87</v>
      </c>
      <c r="K86" s="124"/>
    </row>
    <row r="87">
      <c r="A87" s="2"/>
      <c r="B87" s="3" t="s">
        <v>191</v>
      </c>
      <c r="C87" s="37">
        <v>1001</v>
      </c>
      <c r="D87" s="37">
        <v>954</v>
      </c>
      <c r="E87" s="37">
        <v>880</v>
      </c>
      <c r="F87" s="37">
        <v>882</v>
      </c>
      <c r="G87" s="43">
        <f>SUM(C87:F87)</f>
        <v>3717</v>
      </c>
      <c r="H87" s="37">
        <v>924</v>
      </c>
      <c r="I87" s="37">
        <v>919</v>
      </c>
      <c r="J87" s="75">
        <v>900</v>
      </c>
      <c r="K87" s="125" t="s">
        <v>127</v>
      </c>
    </row>
    <row r="88">
      <c r="A88" s="2"/>
      <c r="B88" s="47" t="s">
        <v>133</v>
      </c>
      <c r="C88" s="7"/>
      <c r="D88" s="7"/>
      <c r="E88" s="7"/>
      <c r="F88" s="7"/>
      <c r="G88" s="7"/>
      <c r="H88" s="40">
        <f>IF(OR(H87="",C87=""),"n.a.",IFERROR(IF(C87&lt;=0,"n.m.",IF(H87/C87&lt;=0,"n.m.",H87/C87-1)),"n.a."))</f>
        <v>-0.07692307692307687</v>
      </c>
      <c r="I88" s="40">
        <f>IF(OR(I87="",D87=""),"n.a.",IFERROR(IF(D87&lt;=0,"n.m.",IF(I87/D87&lt;=0,"n.m.",I87/D87-1)),"n.a."))</f>
        <v>-0.0366876310272537</v>
      </c>
      <c r="J88" s="45">
        <f>IF(OR(J87="",E87=""),"n.a.",IFERROR(IF(E87&lt;=0,"n.m.",IF(J87/E87&lt;=0,"n.m.",J87/E87-1)),"n.a."))</f>
        <v>0.022727272727272707</v>
      </c>
      <c r="K88" s="124"/>
    </row>
    <row r="89">
      <c r="A89" s="2"/>
      <c r="B89" s="47" t="s">
        <v>134</v>
      </c>
      <c r="C89" s="7"/>
      <c r="D89" s="41">
        <f>IF(OR(D87="",C87=""),"n.a.",IFERROR(D87-C87,"n.a."))</f>
        <v>-47</v>
      </c>
      <c r="E89" s="41">
        <f>IF(OR(E87="",D87=""),"n.a.",IFERROR(E87-D87,"n.a."))</f>
        <v>-74</v>
      </c>
      <c r="F89" s="41">
        <f>IF(OR(F87="",E87=""),"n.a.",IFERROR(F87-E87,"n.a."))</f>
        <v>2</v>
      </c>
      <c r="G89" s="7"/>
      <c r="H89" s="41">
        <f>IF(OR(H87="",F87=""),"n.a.",IFERROR(H87-F87,"n.a."))</f>
        <v>42</v>
      </c>
      <c r="I89" s="41">
        <f>IF(OR(I87="",H87=""),"n.a.",IFERROR(I87-H87,"n.a."))</f>
        <v>-5</v>
      </c>
      <c r="J89" s="52">
        <f>IF(OR(J87="",I87=""),"n.a.",IFERROR(J87-I87,"n.a."))</f>
        <v>-19</v>
      </c>
      <c r="K89" s="124"/>
    </row>
    <row r="90">
      <c r="A90" s="2"/>
      <c r="B90" s="61" t="s">
        <v>192</v>
      </c>
      <c r="C90" s="90">
        <f>C87/C81*365/C7</f>
        <v>0.04052600112915767</v>
      </c>
      <c r="D90" s="90">
        <f>D87/D81*365/D7</f>
        <v>0.03825986138285539</v>
      </c>
      <c r="E90" s="90">
        <f>E87/E81*365/E7</f>
        <v>0.034579010239348756</v>
      </c>
      <c r="F90" s="90">
        <f>F87/F81*365/F7</f>
        <v>0.033975834340869024</v>
      </c>
      <c r="G90" s="7"/>
      <c r="H90" s="90">
        <f>H87/H81*365/H7</f>
        <v>0.036351172634118106</v>
      </c>
      <c r="I90" s="90">
        <f>I87/I81*365/I7</f>
        <v>0.03556637303260229</v>
      </c>
      <c r="J90" s="101">
        <f>J87/J81*365/J7</f>
        <v>0.03416892032452673</v>
      </c>
      <c r="K90" s="124"/>
    </row>
    <row r="91">
      <c r="A91" s="2"/>
      <c r="B91" s="47" t="s">
        <v>169</v>
      </c>
      <c r="C91" s="7"/>
      <c r="D91" s="42">
        <f>(D90-C90)*10000</f>
        <v>-22.661397463022773</v>
      </c>
      <c r="E91" s="42">
        <f>(E90-D90)*10000</f>
        <v>-36.80851143506636</v>
      </c>
      <c r="F91" s="42">
        <f>(F90-E90)*10000</f>
        <v>-6.031758984797325</v>
      </c>
      <c r="G91" s="7"/>
      <c r="H91" s="42">
        <f>(H90-F90)*10000</f>
        <v>23.753382932490823</v>
      </c>
      <c r="I91" s="42">
        <f>(I90-H90)*10000</f>
        <v>-7.8479960151581905</v>
      </c>
      <c r="J91" s="56">
        <f>(J90-I90)*10000</f>
        <v>-13.97452708075557</v>
      </c>
      <c r="K91" s="124"/>
    </row>
    <row r="92">
      <c r="A92" s="2"/>
      <c r="B92" s="47" t="s">
        <v>170</v>
      </c>
      <c r="C92" s="7"/>
      <c r="D92" s="7"/>
      <c r="E92" s="7"/>
      <c r="F92" s="7"/>
      <c r="G92" s="7"/>
      <c r="H92" s="42">
        <f>(H90-C90)*10000</f>
        <v>-41.748284950395636</v>
      </c>
      <c r="I92" s="42">
        <f>(I90-D90)*10000</f>
        <v>-26.93488350253105</v>
      </c>
      <c r="J92" s="56">
        <f>(J90-E90)*10000</f>
        <v>-4.100899148220261</v>
      </c>
      <c r="K92" s="124"/>
    </row>
    <row r="93">
      <c r="A93" s="2"/>
      <c r="B93" s="3" t="s">
        <v>193</v>
      </c>
      <c r="C93" s="37">
        <v>913</v>
      </c>
      <c r="D93" s="37">
        <v>834</v>
      </c>
      <c r="E93" s="37">
        <v>929</v>
      </c>
      <c r="F93" s="37">
        <v>855</v>
      </c>
      <c r="G93" s="43">
        <f>SUM(C93:F93)</f>
        <v>3531</v>
      </c>
      <c r="H93" s="37">
        <v>884</v>
      </c>
      <c r="I93" s="37">
        <v>999</v>
      </c>
      <c r="J93" s="38" t="s">
        <v>194</v>
      </c>
      <c r="K93" s="125" t="s">
        <v>127</v>
      </c>
    </row>
    <row r="94">
      <c r="A94" s="2"/>
      <c r="B94" s="47" t="s">
        <v>133</v>
      </c>
      <c r="C94" s="7"/>
      <c r="D94" s="7"/>
      <c r="E94" s="7"/>
      <c r="F94" s="7"/>
      <c r="G94" s="7"/>
      <c r="H94" s="40">
        <f>IF(OR(H93="",C93=""),"n.a.",IFERROR(IF(C93&lt;=0,"n.m.",IF(H93/C93&lt;=0,"n.m.",H93/C93-1)),"n.a."))</f>
        <v>-0.03176341730558596</v>
      </c>
      <c r="I94" s="40">
        <f>IF(OR(I93="",D93=""),"n.a.",IFERROR(IF(D93&lt;=0,"n.m.",IF(I93/D93&lt;=0,"n.m.",I93/D93-1)),"n.a."))</f>
        <v>0.19784172661870514</v>
      </c>
      <c r="J94" s="45" t="str">
        <f>IF(OR(J93="",E93=""),"n.a.",IFERROR(IF(E93&lt;=0,"n.m.",IF(J93/E93&lt;=0,"n.m.",J93/E93-1)),"n.a."))</f>
        <v>n.a.</v>
      </c>
      <c r="K94" s="124"/>
    </row>
    <row r="95">
      <c r="A95" s="2"/>
      <c r="B95" s="47" t="s">
        <v>134</v>
      </c>
      <c r="C95" s="7"/>
      <c r="D95" s="41">
        <f>IF(OR(D93="",C93=""),"n.a.",IFERROR(D93-C93,"n.a."))</f>
        <v>-79</v>
      </c>
      <c r="E95" s="41">
        <f>IF(OR(E93="",D93=""),"n.a.",IFERROR(E93-D93,"n.a."))</f>
        <v>95</v>
      </c>
      <c r="F95" s="41">
        <f>IF(OR(F93="",E93=""),"n.a.",IFERROR(F93-E93,"n.a."))</f>
        <v>-74</v>
      </c>
      <c r="G95" s="7"/>
      <c r="H95" s="41">
        <f>IF(OR(H93="",F93=""),"n.a.",IFERROR(H93-F93,"n.a."))</f>
        <v>29</v>
      </c>
      <c r="I95" s="41">
        <f>IF(OR(I93="",H93=""),"n.a.",IFERROR(I93-H93,"n.a."))</f>
        <v>115</v>
      </c>
      <c r="J95" s="52" t="str">
        <f>IF(OR(J93="",I93=""),"n.a.",IFERROR(J93-I93,"n.a."))</f>
        <v>n.a.</v>
      </c>
      <c r="K95" s="124"/>
    </row>
    <row r="96">
      <c r="A96" s="2"/>
      <c r="B96" s="18" t="s">
        <v>195</v>
      </c>
      <c r="C96" s="7"/>
      <c r="D96" s="7"/>
      <c r="E96" s="7"/>
      <c r="F96" s="7"/>
      <c r="G96" s="7"/>
      <c r="H96" s="7"/>
      <c r="I96" s="7"/>
      <c r="J96" s="46"/>
      <c r="K96" s="124"/>
    </row>
    <row r="97">
      <c r="A97" s="2"/>
      <c r="B97" s="3" t="s">
        <v>196</v>
      </c>
      <c r="C97" s="43" t="s">
        <v>44</v>
      </c>
      <c r="D97" s="43">
        <f>C103</f>
        <v>38000</v>
      </c>
      <c r="E97" s="43">
        <f>D103</f>
        <v>38200</v>
      </c>
      <c r="F97" s="43">
        <f>E103</f>
        <v>38400</v>
      </c>
      <c r="G97" s="43" t="str">
        <f>C97</f>
        <v>n.a.</v>
      </c>
      <c r="H97" s="43">
        <f>F103</f>
        <v>38400</v>
      </c>
      <c r="I97" s="43">
        <f>H103</f>
        <v>38500</v>
      </c>
      <c r="J97" s="38">
        <f>I103</f>
        <v>38700</v>
      </c>
      <c r="K97" s="124"/>
    </row>
    <row r="98">
      <c r="A98" s="2"/>
      <c r="B98" s="3" t="s">
        <v>197</v>
      </c>
      <c r="C98" s="43" t="s">
        <v>116</v>
      </c>
      <c r="D98" s="43" t="s">
        <v>116</v>
      </c>
      <c r="E98" s="43" t="s">
        <v>116</v>
      </c>
      <c r="F98" s="43" t="s">
        <v>116</v>
      </c>
      <c r="G98" s="43" t="s">
        <v>116</v>
      </c>
      <c r="H98" s="43" t="s">
        <v>116</v>
      </c>
      <c r="I98" s="43" t="s">
        <v>116</v>
      </c>
      <c r="J98" s="38" t="s">
        <v>116</v>
      </c>
      <c r="K98" s="124"/>
    </row>
    <row r="99">
      <c r="A99" s="2"/>
      <c r="B99" s="3" t="s">
        <v>198</v>
      </c>
      <c r="C99" s="43" t="s">
        <v>116</v>
      </c>
      <c r="D99" s="43" t="s">
        <v>116</v>
      </c>
      <c r="E99" s="43" t="s">
        <v>116</v>
      </c>
      <c r="F99" s="43" t="s">
        <v>116</v>
      </c>
      <c r="G99" s="43" t="s">
        <v>116</v>
      </c>
      <c r="H99" s="43" t="s">
        <v>116</v>
      </c>
      <c r="I99" s="43" t="s">
        <v>116</v>
      </c>
      <c r="J99" s="38" t="s">
        <v>116</v>
      </c>
      <c r="K99" s="124"/>
    </row>
    <row r="100">
      <c r="A100" s="2"/>
      <c r="B100" s="3" t="s">
        <v>199</v>
      </c>
      <c r="C100" s="88">
        <v>250</v>
      </c>
      <c r="D100" s="88">
        <v>175</v>
      </c>
      <c r="E100" s="88">
        <v>212</v>
      </c>
      <c r="F100" s="91">
        <f>G100-C100-D100-E100</f>
        <v>43</v>
      </c>
      <c r="G100" s="88">
        <v>680</v>
      </c>
      <c r="H100" s="88">
        <v>100</v>
      </c>
      <c r="I100" s="88">
        <v>162</v>
      </c>
      <c r="J100" s="95">
        <v>160</v>
      </c>
      <c r="K100" s="125" t="s">
        <v>200</v>
      </c>
    </row>
    <row r="101">
      <c r="A101" s="2"/>
      <c r="B101" s="47" t="s">
        <v>133</v>
      </c>
      <c r="C101" s="7"/>
      <c r="D101" s="7"/>
      <c r="E101" s="7"/>
      <c r="F101" s="7"/>
      <c r="G101" s="7"/>
      <c r="H101" s="40">
        <f>IF(OR(H100="",C100=""),"n.a.",IFERROR(IF(C100&lt;=0,"n.m.",IF(H100/C100&lt;=0,"n.m.",H100/C100-1)),"n.a."))</f>
        <v>-0.6</v>
      </c>
      <c r="I101" s="40">
        <f>IF(OR(I100="",D100=""),"n.a.",IFERROR(IF(D100&lt;=0,"n.m.",IF(I100/D100&lt;=0,"n.m.",I100/D100-1)),"n.a."))</f>
        <v>-0.07428571428571429</v>
      </c>
      <c r="J101" s="45">
        <f>IF(OR(J100="",E100=""),"n.a.",IFERROR(IF(E100&lt;=0,"n.m.",IF(J100/E100&lt;=0,"n.m.",J100/E100-1)),"n.a."))</f>
        <v>-0.24528301886792447</v>
      </c>
      <c r="K101" s="124"/>
    </row>
    <row r="102">
      <c r="A102" s="2"/>
      <c r="B102" s="47" t="s">
        <v>134</v>
      </c>
      <c r="C102" s="7"/>
      <c r="D102" s="41">
        <f>IF(OR(D100="",C100=""),"n.a.",IFERROR(D100-C100,"n.a."))</f>
        <v>-75</v>
      </c>
      <c r="E102" s="41">
        <f>IF(OR(E100="",D100=""),"n.a.",IFERROR(E100-D100,"n.a."))</f>
        <v>37</v>
      </c>
      <c r="F102" s="41">
        <f>IF(OR(F100="",E100=""),"n.a.",IFERROR(F100-E100,"n.a."))</f>
        <v>-169</v>
      </c>
      <c r="G102" s="7"/>
      <c r="H102" s="41">
        <f>IF(OR(H100="",F100=""),"n.a.",IFERROR(H100-F100,"n.a."))</f>
        <v>57</v>
      </c>
      <c r="I102" s="41">
        <f>IF(OR(I100="",H100=""),"n.a.",IFERROR(I100-H100,"n.a."))</f>
        <v>62</v>
      </c>
      <c r="J102" s="52">
        <f>IF(OR(J100="",I100=""),"n.a.",IFERROR(J100-I100,"n.a."))</f>
        <v>-2</v>
      </c>
      <c r="K102" s="124"/>
    </row>
    <row r="103">
      <c r="A103" s="2"/>
      <c r="B103" s="18" t="s">
        <v>201</v>
      </c>
      <c r="C103" s="86">
        <v>38000</v>
      </c>
      <c r="D103" s="86">
        <v>38200</v>
      </c>
      <c r="E103" s="86">
        <v>38400</v>
      </c>
      <c r="F103" s="86">
        <v>38400</v>
      </c>
      <c r="G103" s="102">
        <f>F103</f>
        <v>38400</v>
      </c>
      <c r="H103" s="86">
        <v>38500</v>
      </c>
      <c r="I103" s="86">
        <v>38700</v>
      </c>
      <c r="J103" s="100">
        <f>J97+J100</f>
        <v>38860</v>
      </c>
      <c r="K103" s="125" t="s">
        <v>202</v>
      </c>
    </row>
    <row r="104">
      <c r="A104" s="2"/>
      <c r="B104" s="47" t="s">
        <v>133</v>
      </c>
      <c r="C104" s="7"/>
      <c r="D104" s="7"/>
      <c r="E104" s="7"/>
      <c r="F104" s="7"/>
      <c r="G104" s="7"/>
      <c r="H104" s="40">
        <f>IF(OR(H103="",C103=""),"n.a.",IFERROR(IF(C103&lt;=0,"n.m.",IF(H103/C103&lt;=0,"n.m.",H103/C103-1)),"n.a."))</f>
        <v>0.013157894736842035</v>
      </c>
      <c r="I104" s="40">
        <f>IF(OR(I103="",D103=""),"n.a.",IFERROR(IF(D103&lt;=0,"n.m.",IF(I103/D103&lt;=0,"n.m.",I103/D103-1)),"n.a."))</f>
        <v>0.01308900523560208</v>
      </c>
      <c r="J104" s="45">
        <f>IF(OR(J103="",E103=""),"n.a.",IFERROR(IF(E103&lt;=0,"n.m.",IF(J103/E103&lt;=0,"n.m.",J103/E103-1)),"n.a."))</f>
        <v>0.011979166666666652</v>
      </c>
      <c r="K104" s="124"/>
    </row>
    <row r="105">
      <c r="A105" s="2"/>
      <c r="B105" s="47" t="s">
        <v>134</v>
      </c>
      <c r="C105" s="7"/>
      <c r="D105" s="41">
        <f>IF(OR(D103="",C103=""),"n.a.",IFERROR(D103-C103,"n.a."))</f>
        <v>200</v>
      </c>
      <c r="E105" s="41">
        <f>IF(OR(E103="",D103=""),"n.a.",IFERROR(E103-D103,"n.a."))</f>
        <v>200</v>
      </c>
      <c r="F105" s="41">
        <f>IF(OR(F103="",E103=""),"n.a.",IFERROR(F103-E103,"n.a."))</f>
        <v>0</v>
      </c>
      <c r="G105" s="7"/>
      <c r="H105" s="41">
        <f>IF(OR(H103="",F103=""),"n.a.",IFERROR(H103-F103,"n.a."))</f>
        <v>100</v>
      </c>
      <c r="I105" s="41">
        <f>IF(OR(I103="",H103=""),"n.a.",IFERROR(I103-H103,"n.a."))</f>
        <v>200</v>
      </c>
      <c r="J105" s="52">
        <f>IF(OR(J103="",I103=""),"n.a.",IFERROR(J103-I103,"n.a."))</f>
        <v>160</v>
      </c>
      <c r="K105" s="124"/>
    </row>
    <row r="106">
      <c r="A106" s="2"/>
      <c r="B106" s="61" t="s">
        <v>203</v>
      </c>
      <c r="C106" s="7"/>
      <c r="D106" s="42">
        <f>D103-D97-D100</f>
        <v>25</v>
      </c>
      <c r="E106" s="42">
        <f>E103-E97-E100</f>
        <v>-12</v>
      </c>
      <c r="F106" s="42">
        <f>F103-F97-F100</f>
        <v>-43</v>
      </c>
      <c r="G106" s="7"/>
      <c r="H106" s="42">
        <f>H103-H97-H100</f>
        <v>0</v>
      </c>
      <c r="I106" s="42">
        <f>I103-I97-I100</f>
        <v>38</v>
      </c>
      <c r="J106" s="56">
        <f>J103-J97-J100</f>
        <v>0</v>
      </c>
      <c r="K106" s="125" t="s">
        <v>204</v>
      </c>
    </row>
    <row r="107">
      <c r="A107" s="2"/>
      <c r="B107" s="3" t="s">
        <v>205</v>
      </c>
      <c r="C107" s="7"/>
      <c r="D107" s="91">
        <f>(D97+D103)/2</f>
        <v>38100</v>
      </c>
      <c r="E107" s="91">
        <f>(E97+E103)/2</f>
        <v>38300</v>
      </c>
      <c r="F107" s="91">
        <f>(F97+F103)/2</f>
        <v>38400</v>
      </c>
      <c r="G107" s="7"/>
      <c r="H107" s="91">
        <f>(H97+H103)/2</f>
        <v>38450</v>
      </c>
      <c r="I107" s="91">
        <f>(I97+I103)/2</f>
        <v>38600</v>
      </c>
      <c r="J107" s="99">
        <f>(J97+J103)/2</f>
        <v>38780</v>
      </c>
      <c r="K107" s="124"/>
    </row>
    <row r="108">
      <c r="A108" s="2"/>
      <c r="B108" s="47" t="s">
        <v>133</v>
      </c>
      <c r="C108" s="7"/>
      <c r="D108" s="7"/>
      <c r="E108" s="7"/>
      <c r="F108" s="7"/>
      <c r="G108" s="7"/>
      <c r="H108" s="40" t="str">
        <f>IF(OR(H107="",C107=""),"n.a.",IFERROR(IF(C107&lt;=0,"n.m.",IF(H107/C107&lt;=0,"n.m.",H107/C107-1)),"n.a."))</f>
        <v>n.a.</v>
      </c>
      <c r="I108" s="40">
        <f>IF(OR(I107="",D107=""),"n.a.",IFERROR(IF(D107&lt;=0,"n.m.",IF(I107/D107&lt;=0,"n.m.",I107/D107-1)),"n.a."))</f>
        <v>0.013123359580052396</v>
      </c>
      <c r="J108" s="45">
        <f>IF(OR(J107="",E107=""),"n.a.",IFERROR(IF(E107&lt;=0,"n.m.",IF(J107/E107&lt;=0,"n.m.",J107/E107-1)),"n.a."))</f>
        <v>0.012532637075717945</v>
      </c>
      <c r="K108" s="124"/>
    </row>
    <row r="109">
      <c r="A109" s="2"/>
      <c r="B109" s="47" t="s">
        <v>134</v>
      </c>
      <c r="C109" s="7"/>
      <c r="D109" s="41" t="str">
        <f>IF(OR(D107="",C107=""),"n.a.",IFERROR(D107-C107,"n.a."))</f>
        <v>n.a.</v>
      </c>
      <c r="E109" s="41">
        <f>IF(OR(E107="",D107=""),"n.a.",IFERROR(E107-D107,"n.a."))</f>
        <v>200</v>
      </c>
      <c r="F109" s="41">
        <f>IF(OR(F107="",E107=""),"n.a.",IFERROR(F107-E107,"n.a."))</f>
        <v>100</v>
      </c>
      <c r="G109" s="7"/>
      <c r="H109" s="41">
        <f>IF(OR(H107="",F107=""),"n.a.",IFERROR(H107-F107,"n.a."))</f>
        <v>50</v>
      </c>
      <c r="I109" s="41">
        <f>IF(OR(I107="",H107=""),"n.a.",IFERROR(I107-H107,"n.a."))</f>
        <v>150</v>
      </c>
      <c r="J109" s="52">
        <f>IF(OR(J107="",I107=""),"n.a.",IFERROR(J107-I107,"n.a."))</f>
        <v>180</v>
      </c>
      <c r="K109" s="124"/>
    </row>
    <row r="110">
      <c r="A110" s="2"/>
      <c r="B110" s="61" t="s">
        <v>206</v>
      </c>
      <c r="C110" s="40" t="s">
        <v>116</v>
      </c>
      <c r="D110" s="40" t="s">
        <v>116</v>
      </c>
      <c r="E110" s="40" t="s">
        <v>116</v>
      </c>
      <c r="F110" s="40" t="s">
        <v>116</v>
      </c>
      <c r="G110" s="40" t="s">
        <v>116</v>
      </c>
      <c r="H110" s="40" t="s">
        <v>116</v>
      </c>
      <c r="I110" s="40" t="s">
        <v>116</v>
      </c>
      <c r="J110" s="45" t="s">
        <v>116</v>
      </c>
      <c r="K110" s="124"/>
    </row>
    <row r="111">
      <c r="A111" s="2"/>
      <c r="B111" s="3" t="s">
        <v>207</v>
      </c>
      <c r="C111" s="7"/>
      <c r="D111" s="91">
        <f>D10/D107*1000</f>
        <v>14593.963254593176</v>
      </c>
      <c r="E111" s="91">
        <f>E10/E107*1000</f>
        <v>14450.078328981723</v>
      </c>
      <c r="F111" s="91">
        <f>F10/F107*1000</f>
        <v>14458.385416666668</v>
      </c>
      <c r="G111" s="7"/>
      <c r="H111" s="91">
        <f>H10/H107*1000</f>
        <v>14581.326397919376</v>
      </c>
      <c r="I111" s="91">
        <f>I10/I107*1000</f>
        <v>14702.875647668394</v>
      </c>
      <c r="J111" s="99">
        <f>J10/J107*1000</f>
        <v>14724.084579680248</v>
      </c>
      <c r="K111" s="124"/>
    </row>
    <row r="112">
      <c r="A112" s="2"/>
      <c r="B112" s="47" t="s">
        <v>133</v>
      </c>
      <c r="C112" s="7"/>
      <c r="D112" s="7"/>
      <c r="E112" s="7"/>
      <c r="F112" s="7"/>
      <c r="G112" s="7"/>
      <c r="H112" s="40" t="str">
        <f>IF(OR(H111="",C111=""),"n.a.",IFERROR(IF(C111&lt;=0,"n.m.",IF(H111/C111&lt;=0,"n.m.",H111/C111-1)),"n.a."))</f>
        <v>n.a.</v>
      </c>
      <c r="I112" s="40">
        <f>IF(OR(I111="",D111=""),"n.a.",IFERROR(IF(D111&lt;=0,"n.m.",IF(I111/D111&lt;=0,"n.m.",I111/D111-1)),"n.a."))</f>
        <v>0.00746283865288877</v>
      </c>
      <c r="J112" s="45">
        <f>IF(OR(J111="",E111=""),"n.a.",IFERROR(IF(E111&lt;=0,"n.m.",IF(J111/E111&lt;=0,"n.m.",J111/E111-1)),"n.a."))</f>
        <v>0.018962267501966723</v>
      </c>
      <c r="K112" s="124"/>
    </row>
    <row r="113">
      <c r="A113" s="2"/>
      <c r="B113" s="47" t="s">
        <v>134</v>
      </c>
      <c r="C113" s="7"/>
      <c r="D113" s="41" t="str">
        <f>IF(OR(D111="",C111=""),"n.a.",IFERROR(D111-C111,"n.a."))</f>
        <v>n.a.</v>
      </c>
      <c r="E113" s="41">
        <f>IF(OR(E111="",D111=""),"n.a.",IFERROR(E111-D111,"n.a."))</f>
        <v>-143.88492561145358</v>
      </c>
      <c r="F113" s="41">
        <f>IF(OR(F111="",E111=""),"n.a.",IFERROR(F111-E111,"n.a."))</f>
        <v>8.307087684945145</v>
      </c>
      <c r="G113" s="7"/>
      <c r="H113" s="41">
        <f>IF(OR(H111="",F111=""),"n.a.",IFERROR(H111-F111,"n.a."))</f>
        <v>122.9409812527083</v>
      </c>
      <c r="I113" s="41">
        <f>IF(OR(I111="",H111=""),"n.a.",IFERROR(I111-H111,"n.a."))</f>
        <v>121.54924974901769</v>
      </c>
      <c r="J113" s="52">
        <f>IF(OR(J111="",I111=""),"n.a.",IFERROR(J111-I111,"n.a."))</f>
        <v>21.208932011853904</v>
      </c>
      <c r="K113" s="124"/>
    </row>
    <row r="114">
      <c r="A114" s="2"/>
      <c r="B114" s="3" t="s">
        <v>208</v>
      </c>
      <c r="C114" s="37">
        <v>49028</v>
      </c>
      <c r="D114" s="37">
        <v>48998</v>
      </c>
      <c r="E114" s="37">
        <v>49198</v>
      </c>
      <c r="F114" s="37">
        <v>49323</v>
      </c>
      <c r="G114" s="43">
        <f>F114</f>
        <v>49323</v>
      </c>
      <c r="H114" s="37">
        <v>49986</v>
      </c>
      <c r="I114" s="37">
        <v>49834</v>
      </c>
      <c r="J114" s="38" t="s">
        <v>194</v>
      </c>
      <c r="K114" s="125" t="s">
        <v>127</v>
      </c>
    </row>
    <row r="115">
      <c r="A115" s="2"/>
      <c r="B115" s="47" t="s">
        <v>133</v>
      </c>
      <c r="C115" s="7"/>
      <c r="D115" s="7"/>
      <c r="E115" s="7"/>
      <c r="F115" s="7"/>
      <c r="G115" s="7"/>
      <c r="H115" s="40">
        <f>IF(OR(H114="",C114=""),"n.a.",IFERROR(IF(C114&lt;=0,"n.m.",IF(H114/C114&lt;=0,"n.m.",H114/C114-1)),"n.a."))</f>
        <v>0.019539854776862153</v>
      </c>
      <c r="I115" s="40">
        <f>IF(OR(I114="",D114=""),"n.a.",IFERROR(IF(D114&lt;=0,"n.m.",IF(I114/D114&lt;=0,"n.m.",I114/D114-1)),"n.a."))</f>
        <v>0.017061920894730465</v>
      </c>
      <c r="J115" s="45" t="str">
        <f>IF(OR(J114="",E114=""),"n.a.",IFERROR(IF(E114&lt;=0,"n.m.",IF(J114/E114&lt;=0,"n.m.",J114/E114-1)),"n.a."))</f>
        <v>n.a.</v>
      </c>
      <c r="K115" s="124"/>
    </row>
    <row r="116">
      <c r="A116" s="2"/>
      <c r="B116" s="47" t="s">
        <v>134</v>
      </c>
      <c r="C116" s="7"/>
      <c r="D116" s="41">
        <f>IF(OR(D114="",C114=""),"n.a.",IFERROR(D114-C114,"n.a."))</f>
        <v>-30</v>
      </c>
      <c r="E116" s="41">
        <f>IF(OR(E114="",D114=""),"n.a.",IFERROR(E114-D114,"n.a."))</f>
        <v>200</v>
      </c>
      <c r="F116" s="41">
        <f>IF(OR(F114="",E114=""),"n.a.",IFERROR(F114-E114,"n.a."))</f>
        <v>125</v>
      </c>
      <c r="G116" s="7"/>
      <c r="H116" s="41">
        <f>IF(OR(H114="",F114=""),"n.a.",IFERROR(H114-F114,"n.a."))</f>
        <v>663</v>
      </c>
      <c r="I116" s="41">
        <f>IF(OR(I114="",H114=""),"n.a.",IFERROR(I114-H114,"n.a."))</f>
        <v>-152</v>
      </c>
      <c r="J116" s="52" t="str">
        <f>IF(OR(J114="",I114=""),"n.a.",IFERROR(J114-I114,"n.a."))</f>
        <v>n.a.</v>
      </c>
      <c r="K116" s="124"/>
    </row>
    <row r="117">
      <c r="A117" s="2"/>
      <c r="B117" s="3" t="s">
        <v>209</v>
      </c>
      <c r="C117" s="88">
        <v>3681</v>
      </c>
      <c r="D117" s="88">
        <v>3664</v>
      </c>
      <c r="E117" s="88">
        <v>3649</v>
      </c>
      <c r="F117" s="88">
        <v>3628</v>
      </c>
      <c r="G117" s="91">
        <f>F117</f>
        <v>3628</v>
      </c>
      <c r="H117" s="88">
        <v>3540</v>
      </c>
      <c r="I117" s="88">
        <v>3530</v>
      </c>
      <c r="J117" s="99" t="s">
        <v>194</v>
      </c>
      <c r="K117" s="125" t="s">
        <v>127</v>
      </c>
    </row>
    <row r="118">
      <c r="A118" s="2"/>
      <c r="B118" s="47" t="s">
        <v>133</v>
      </c>
      <c r="C118" s="7"/>
      <c r="D118" s="7"/>
      <c r="E118" s="7"/>
      <c r="F118" s="7"/>
      <c r="G118" s="7"/>
      <c r="H118" s="40">
        <f>IF(OR(H117="",C117=""),"n.a.",IFERROR(IF(C117&lt;=0,"n.m.",IF(H117/C117&lt;=0,"n.m.",H117/C117-1)),"n.a."))</f>
        <v>-0.03830480847595763</v>
      </c>
      <c r="I118" s="40">
        <f>IF(OR(I117="",D117=""),"n.a.",IFERROR(IF(D117&lt;=0,"n.m.",IF(I117/D117&lt;=0,"n.m.",I117/D117-1)),"n.a."))</f>
        <v>-0.03657205240174677</v>
      </c>
      <c r="J118" s="45" t="str">
        <f>IF(OR(J117="",E117=""),"n.a.",IFERROR(IF(E117&lt;=0,"n.m.",IF(J117/E117&lt;=0,"n.m.",J117/E117-1)),"n.a."))</f>
        <v>n.a.</v>
      </c>
      <c r="K118" s="124"/>
    </row>
    <row r="119">
      <c r="A119" s="2"/>
      <c r="B119" s="47" t="s">
        <v>134</v>
      </c>
      <c r="C119" s="7"/>
      <c r="D119" s="41">
        <f>IF(OR(D117="",C117=""),"n.a.",IFERROR(D117-C117,"n.a."))</f>
        <v>-17</v>
      </c>
      <c r="E119" s="41">
        <f>IF(OR(E117="",D117=""),"n.a.",IFERROR(E117-D117,"n.a."))</f>
        <v>-15</v>
      </c>
      <c r="F119" s="41">
        <f>IF(OR(F117="",E117=""),"n.a.",IFERROR(F117-E117,"n.a."))</f>
        <v>-21</v>
      </c>
      <c r="G119" s="7"/>
      <c r="H119" s="41">
        <f>IF(OR(H117="",F117=""),"n.a.",IFERROR(H117-F117,"n.a."))</f>
        <v>-88</v>
      </c>
      <c r="I119" s="41">
        <f>IF(OR(I117="",H117=""),"n.a.",IFERROR(I117-H117,"n.a."))</f>
        <v>-10</v>
      </c>
      <c r="J119" s="52" t="str">
        <f>IF(OR(J117="",I117=""),"n.a.",IFERROR(J117-I117,"n.a."))</f>
        <v>n.a.</v>
      </c>
      <c r="K119" s="124"/>
    </row>
    <row r="120">
      <c r="A120" s="2"/>
      <c r="B120" s="3" t="s">
        <v>210</v>
      </c>
      <c r="C120" s="37">
        <v>497680</v>
      </c>
      <c r="D120" s="37">
        <v>539727</v>
      </c>
      <c r="E120" s="37">
        <v>580391</v>
      </c>
      <c r="F120" s="37">
        <v>599110</v>
      </c>
      <c r="G120" s="43">
        <f>F120</f>
        <v>599110</v>
      </c>
      <c r="H120" s="37">
        <v>573254</v>
      </c>
      <c r="I120" s="37">
        <v>639517</v>
      </c>
      <c r="J120" s="38" t="s">
        <v>194</v>
      </c>
      <c r="K120" s="125" t="s">
        <v>127</v>
      </c>
    </row>
    <row r="121">
      <c r="A121" s="2"/>
      <c r="B121" s="47" t="s">
        <v>133</v>
      </c>
      <c r="C121" s="7"/>
      <c r="D121" s="7"/>
      <c r="E121" s="7"/>
      <c r="F121" s="7"/>
      <c r="G121" s="7"/>
      <c r="H121" s="40">
        <f>IF(OR(H120="",C120=""),"n.a.",IFERROR(IF(C120&lt;=0,"n.m.",IF(H120/C120&lt;=0,"n.m.",H120/C120-1)),"n.a."))</f>
        <v>0.15185259604565182</v>
      </c>
      <c r="I121" s="40">
        <f>IF(OR(I120="",D120=""),"n.a.",IFERROR(IF(D120&lt;=0,"n.m.",IF(I120/D120&lt;=0,"n.m.",I120/D120-1)),"n.a."))</f>
        <v>0.18488976834584903</v>
      </c>
      <c r="J121" s="45" t="str">
        <f>IF(OR(J120="",E120=""),"n.a.",IFERROR(IF(E120&lt;=0,"n.m.",IF(J120/E120&lt;=0,"n.m.",J120/E120-1)),"n.a."))</f>
        <v>n.a.</v>
      </c>
      <c r="K121" s="124"/>
    </row>
    <row r="122">
      <c r="A122" s="2"/>
      <c r="B122" s="47" t="s">
        <v>134</v>
      </c>
      <c r="C122" s="7"/>
      <c r="D122" s="41">
        <f>IF(OR(D120="",C120=""),"n.a.",IFERROR(D120-C120,"n.a."))</f>
        <v>42047</v>
      </c>
      <c r="E122" s="41">
        <f>IF(OR(E120="",D120=""),"n.a.",IFERROR(E120-D120,"n.a."))</f>
        <v>40664</v>
      </c>
      <c r="F122" s="41">
        <f>IF(OR(F120="",E120=""),"n.a.",IFERROR(F120-E120,"n.a."))</f>
        <v>18719</v>
      </c>
      <c r="G122" s="7"/>
      <c r="H122" s="41">
        <f>IF(OR(H120="",F120=""),"n.a.",IFERROR(H120-F120,"n.a."))</f>
        <v>-25856</v>
      </c>
      <c r="I122" s="41">
        <f>IF(OR(I120="",H120=""),"n.a.",IFERROR(I120-H120,"n.a."))</f>
        <v>66263</v>
      </c>
      <c r="J122" s="52" t="str">
        <f>IF(OR(J120="",I120=""),"n.a.",IFERROR(J120-I120,"n.a."))</f>
        <v>n.a.</v>
      </c>
      <c r="K122" s="124"/>
    </row>
    <row r="123">
      <c r="A123" s="2"/>
      <c r="B123" s="18" t="s">
        <v>211</v>
      </c>
      <c r="C123" s="7"/>
      <c r="D123" s="7"/>
      <c r="E123" s="7"/>
      <c r="F123" s="7"/>
      <c r="G123" s="7"/>
      <c r="H123" s="7"/>
      <c r="I123" s="7"/>
      <c r="J123" s="46"/>
      <c r="K123" s="124"/>
    </row>
    <row r="124">
      <c r="A124" s="2"/>
      <c r="B124" s="2" t="s">
        <v>212</v>
      </c>
      <c r="C124" s="37">
        <v>315038</v>
      </c>
      <c r="D124" s="37">
        <v>319142</v>
      </c>
      <c r="E124" s="37">
        <v>320297</v>
      </c>
      <c r="F124" s="37">
        <v>322678</v>
      </c>
      <c r="G124" s="37">
        <v>319312</v>
      </c>
      <c r="H124" s="37">
        <v>322164</v>
      </c>
      <c r="I124" s="37">
        <v>321056</v>
      </c>
      <c r="J124" s="75">
        <v>322500</v>
      </c>
      <c r="K124" s="125" t="s">
        <v>127</v>
      </c>
    </row>
    <row r="125">
      <c r="A125" s="2"/>
      <c r="B125" s="47" t="s">
        <v>133</v>
      </c>
      <c r="C125" s="7"/>
      <c r="D125" s="7"/>
      <c r="E125" s="7"/>
      <c r="F125" s="7"/>
      <c r="G125" s="7"/>
      <c r="H125" s="40">
        <f>IF(OR(H124="",C124=""),"n.a.",IFERROR(IF(C124&lt;=0,"n.m.",IF(H124/C124&lt;=0,"n.m.",H124/C124-1)),"n.a."))</f>
        <v>0.022619493521416567</v>
      </c>
      <c r="I125" s="40">
        <f>IF(OR(I124="",D124=""),"n.a.",IFERROR(IF(D124&lt;=0,"n.m.",IF(I124/D124&lt;=0,"n.m.",I124/D124-1)),"n.a."))</f>
        <v>0.005997330341979357</v>
      </c>
      <c r="J125" s="45">
        <f>IF(OR(J124="",E124=""),"n.a.",IFERROR(IF(E124&lt;=0,"n.m.",IF(J124/E124&lt;=0,"n.m.",J124/E124-1)),"n.a."))</f>
        <v>0.006877991364265146</v>
      </c>
      <c r="K125" s="124"/>
    </row>
    <row r="126">
      <c r="A126" s="2"/>
      <c r="B126" s="47" t="s">
        <v>134</v>
      </c>
      <c r="C126" s="7"/>
      <c r="D126" s="41">
        <f>IF(OR(D124="",C124=""),"n.a.",IFERROR(D124-C124,"n.a."))</f>
        <v>4104</v>
      </c>
      <c r="E126" s="41">
        <f>IF(OR(E124="",D124=""),"n.a.",IFERROR(E124-D124,"n.a."))</f>
        <v>1155</v>
      </c>
      <c r="F126" s="41">
        <f>IF(OR(F124="",E124=""),"n.a.",IFERROR(F124-E124,"n.a."))</f>
        <v>2381</v>
      </c>
      <c r="G126" s="7"/>
      <c r="H126" s="41">
        <f>IF(OR(H124="",F124=""),"n.a.",IFERROR(H124-F124,"n.a."))</f>
        <v>-514</v>
      </c>
      <c r="I126" s="41">
        <f>IF(OR(I124="",H124=""),"n.a.",IFERROR(I124-H124,"n.a."))</f>
        <v>-1108</v>
      </c>
      <c r="J126" s="52">
        <f>IF(OR(J124="",I124=""),"n.a.",IFERROR(J124-I124,"n.a."))</f>
        <v>1444</v>
      </c>
      <c r="K126" s="124"/>
    </row>
    <row r="127">
      <c r="A127" s="2"/>
      <c r="B127" s="18" t="s">
        <v>213</v>
      </c>
      <c r="C127" s="7"/>
      <c r="D127" s="7"/>
      <c r="E127" s="7"/>
      <c r="F127" s="7"/>
      <c r="G127" s="7"/>
      <c r="H127" s="7"/>
      <c r="I127" s="7"/>
      <c r="J127" s="46"/>
      <c r="K127" s="124"/>
    </row>
    <row r="128">
      <c r="A128" s="2"/>
      <c r="B128" s="3" t="s">
        <v>214</v>
      </c>
      <c r="C128" s="37">
        <v>1297</v>
      </c>
      <c r="D128" s="37">
        <v>1415</v>
      </c>
      <c r="E128" s="37">
        <v>1403</v>
      </c>
      <c r="F128" s="37">
        <v>1341</v>
      </c>
      <c r="G128" s="43">
        <f>SUM(C128:F128)</f>
        <v>5456</v>
      </c>
      <c r="H128" s="37">
        <v>1273</v>
      </c>
      <c r="I128" s="37">
        <v>1346</v>
      </c>
      <c r="J128" s="38">
        <f>J75*J78</f>
        <v>1345</v>
      </c>
      <c r="K128" s="125" t="s">
        <v>127</v>
      </c>
    </row>
    <row r="129">
      <c r="A129" s="2"/>
      <c r="B129" s="47" t="s">
        <v>113</v>
      </c>
      <c r="C129" s="7"/>
      <c r="D129" s="7"/>
      <c r="E129" s="7"/>
      <c r="F129" s="7"/>
      <c r="G129" s="7"/>
      <c r="H129" s="40">
        <f>IF(OR(H128="",C128=""),"n.a.",IFERROR(IF(C128&lt;=0,"n.m.",IF(H128/C128&lt;=0,"n.m.",H128/C128-1)),"n.a."))</f>
        <v>-0.018504240555127227</v>
      </c>
      <c r="I129" s="40">
        <f>IF(OR(I128="",D128=""),"n.a.",IFERROR(IF(D128&lt;=0,"n.m.",IF(I128/D128&lt;=0,"n.m.",I128/D128-1)),"n.a."))</f>
        <v>-0.04876325088339217</v>
      </c>
      <c r="J129" s="45">
        <f>IF(OR(J128="",E128=""),"n.a.",IFERROR(IF(E128&lt;=0,"n.m.",IF(J128/E128&lt;=0,"n.m.",J128/E128-1)),"n.a."))</f>
        <v>-0.04133998574483255</v>
      </c>
      <c r="K129" s="124"/>
    </row>
    <row r="130">
      <c r="A130" s="2"/>
      <c r="B130" s="47" t="s">
        <v>114</v>
      </c>
      <c r="C130" s="7"/>
      <c r="D130" s="40">
        <f>IF(OR(D128="",C128=""),"n.a.",IFERROR(IF(C128&lt;=0,"n.m.",IF(D128/C128&lt;=0,"n.m.",D128/C128-1)),"n.a."))</f>
        <v>0.09097918272937555</v>
      </c>
      <c r="E130" s="40">
        <f>IF(OR(E128="",D128=""),"n.a.",IFERROR(IF(D128&lt;=0,"n.m.",IF(E128/D128&lt;=0,"n.m.",E128/D128-1)),"n.a."))</f>
        <v>-0.008480565371024706</v>
      </c>
      <c r="F130" s="40">
        <f>IF(OR(F128="",E128=""),"n.a.",IFERROR(IF(E128&lt;=0,"n.m.",IF(F128/E128&lt;=0,"n.m.",F128/E128-1)),"n.a."))</f>
        <v>-0.044191019244476104</v>
      </c>
      <c r="G130" s="7"/>
      <c r="H130" s="40">
        <f>IF(OR(H128="",F128=""),"n.a.",IFERROR(IF(F128&lt;=0,"n.m.",IF(H128/F128&lt;=0,"n.m.",H128/F128-1)),"n.a."))</f>
        <v>-0.05070842654735275</v>
      </c>
      <c r="I130" s="40">
        <f>IF(OR(I128="",H128=""),"n.a.",IFERROR(IF(H128&lt;=0,"n.m.",IF(I128/H128&lt;=0,"n.m.",I128/H128-1)),"n.a."))</f>
        <v>0.057344854673998524</v>
      </c>
      <c r="J130" s="45">
        <f>IF(OR(J128="",I128=""),"n.a.",IFERROR(IF(I128&lt;=0,"n.m.",IF(J128/I128&lt;=0,"n.m.",J128/I128-1)),"n.a."))</f>
        <v>-0.0007429420505200568</v>
      </c>
      <c r="K130" s="124"/>
    </row>
    <row r="131">
      <c r="A131" s="2"/>
      <c r="B131" s="47" t="s">
        <v>115</v>
      </c>
      <c r="C131" s="7"/>
      <c r="D131" s="7"/>
      <c r="E131" s="7"/>
      <c r="F131" s="7"/>
      <c r="G131" s="7"/>
      <c r="H131" s="40" t="s">
        <v>116</v>
      </c>
      <c r="I131" s="40" t="s">
        <v>116</v>
      </c>
      <c r="J131" s="45" t="s">
        <v>116</v>
      </c>
      <c r="K131" s="124"/>
    </row>
    <row r="132">
      <c r="A132" s="2"/>
      <c r="B132" s="47" t="s">
        <v>117</v>
      </c>
      <c r="C132" s="7"/>
      <c r="D132" s="7"/>
      <c r="E132" s="7"/>
      <c r="F132" s="7"/>
      <c r="G132" s="7"/>
      <c r="H132" s="40" t="s">
        <v>116</v>
      </c>
      <c r="I132" s="40" t="s">
        <v>116</v>
      </c>
      <c r="J132" s="45" t="s">
        <v>116</v>
      </c>
      <c r="K132" s="124"/>
    </row>
    <row r="133">
      <c r="A133" s="2"/>
      <c r="B133" s="47" t="s">
        <v>118</v>
      </c>
      <c r="C133" s="7"/>
      <c r="D133" s="7"/>
      <c r="E133" s="7"/>
      <c r="F133" s="7"/>
      <c r="G133" s="7"/>
      <c r="H133" s="40" t="s">
        <v>116</v>
      </c>
      <c r="I133" s="40" t="s">
        <v>116</v>
      </c>
      <c r="J133" s="45" t="s">
        <v>116</v>
      </c>
      <c r="K133" s="124"/>
    </row>
    <row r="134">
      <c r="A134" s="2"/>
      <c r="B134" s="47" t="s">
        <v>119</v>
      </c>
      <c r="C134" s="40">
        <f>IFERROR(C128/C159,"n.a.")</f>
        <v>0.1236062136662537</v>
      </c>
      <c r="D134" s="40">
        <f>IFERROR(D128/D159,"n.a.")</f>
        <v>0.1308610006473689</v>
      </c>
      <c r="E134" s="40">
        <f>IFERROR(E128/E159,"n.a.")</f>
        <v>0.12564929249507434</v>
      </c>
      <c r="F134" s="40">
        <f>IFERROR(F128/F159,"n.a.")</f>
        <v>0.119721453441657</v>
      </c>
      <c r="G134" s="40">
        <f>IFERROR(G128/G159,"n.a.")</f>
        <v>0.12492844549263847</v>
      </c>
      <c r="H134" s="40">
        <f>IFERROR(H128/H159,"n.a.")</f>
        <v>0.11521404652004706</v>
      </c>
      <c r="I134" s="40">
        <f>IFERROR(I128/I159,"n.a.")</f>
        <v>0.11873676781933663</v>
      </c>
      <c r="J134" s="45">
        <f>IFERROR(J128/J159,"n.a.")</f>
        <v>0.11664514226296974</v>
      </c>
      <c r="K134" s="124"/>
    </row>
    <row r="135">
      <c r="A135" s="2"/>
      <c r="B135" s="61" t="s">
        <v>215</v>
      </c>
      <c r="C135" s="90">
        <f>C138/C25*365/C7</f>
        <v>0.0026450671028793557</v>
      </c>
      <c r="D135" s="90">
        <f>D138/D25*365/D7</f>
        <v>0.0026417301408740356</v>
      </c>
      <c r="E135" s="90">
        <f>E138/E25*365/E7</f>
        <v>0.0027010022981551335</v>
      </c>
      <c r="F135" s="90">
        <f>F138/F25*365/F7</f>
        <v>0.002677397626993521</v>
      </c>
      <c r="G135" s="7"/>
      <c r="H135" s="90">
        <f>H138/H25*365/H7</f>
        <v>0.0027213083221177383</v>
      </c>
      <c r="I135" s="90">
        <f>I138/I25*365/I7</f>
        <v>0.002678304226858655</v>
      </c>
      <c r="J135" s="93">
        <v>0.00268</v>
      </c>
      <c r="K135" s="124"/>
    </row>
    <row r="136">
      <c r="A136" s="2"/>
      <c r="B136" s="47" t="s">
        <v>169</v>
      </c>
      <c r="C136" s="7"/>
      <c r="D136" s="42">
        <f>(D135-C135)*10000</f>
        <v>-0.03336962005320073</v>
      </c>
      <c r="E136" s="42">
        <f>(E135-D135)*10000</f>
        <v>0.5927215728109784</v>
      </c>
      <c r="F136" s="42">
        <f>(F135-E135)*10000</f>
        <v>-0.23604671161612384</v>
      </c>
      <c r="G136" s="7"/>
      <c r="H136" s="42">
        <f>(H135-F135)*10000</f>
        <v>0.4391069512421717</v>
      </c>
      <c r="I136" s="42">
        <f>(I135-H135)*10000</f>
        <v>-0.4300409525908331</v>
      </c>
      <c r="J136" s="56">
        <f>(J135-I135)*10000</f>
        <v>0.016957731413451242</v>
      </c>
      <c r="K136" s="124"/>
    </row>
    <row r="137">
      <c r="A137" s="2"/>
      <c r="B137" s="47" t="s">
        <v>170</v>
      </c>
      <c r="C137" s="7"/>
      <c r="D137" s="7"/>
      <c r="E137" s="7"/>
      <c r="F137" s="7"/>
      <c r="G137" s="7"/>
      <c r="H137" s="42">
        <f>(H135-C135)*10000</f>
        <v>0.7624121923838255</v>
      </c>
      <c r="I137" s="42">
        <f>(I135-D135)*10000</f>
        <v>0.3657408598461932</v>
      </c>
      <c r="J137" s="56">
        <f>(J135-E135)*10000</f>
        <v>-0.21002298155133395</v>
      </c>
      <c r="K137" s="124"/>
    </row>
    <row r="138">
      <c r="A138" s="2"/>
      <c r="B138" s="3" t="s">
        <v>216</v>
      </c>
      <c r="C138" s="37">
        <v>618</v>
      </c>
      <c r="D138" s="37">
        <v>627</v>
      </c>
      <c r="E138" s="37">
        <v>645</v>
      </c>
      <c r="F138" s="37">
        <v>638</v>
      </c>
      <c r="G138" s="43">
        <f>SUM(C138:F138)</f>
        <v>2528</v>
      </c>
      <c r="H138" s="37">
        <v>638</v>
      </c>
      <c r="I138" s="37">
        <v>639</v>
      </c>
      <c r="J138" s="38">
        <f>J25*J135*J7/365</f>
        <v>647.7097424657535</v>
      </c>
      <c r="K138" s="125" t="s">
        <v>127</v>
      </c>
    </row>
    <row r="139">
      <c r="A139" s="2"/>
      <c r="B139" s="47" t="s">
        <v>113</v>
      </c>
      <c r="C139" s="7"/>
      <c r="D139" s="7"/>
      <c r="E139" s="7"/>
      <c r="F139" s="7"/>
      <c r="G139" s="7"/>
      <c r="H139" s="40">
        <f>IF(OR(H138="",C138=""),"n.a.",IFERROR(IF(C138&lt;=0,"n.m.",IF(H138/C138&lt;=0,"n.m.",H138/C138-1)),"n.a."))</f>
        <v>0.032362459546925626</v>
      </c>
      <c r="I139" s="40">
        <f>IF(OR(I138="",D138=""),"n.a.",IFERROR(IF(D138&lt;=0,"n.m.",IF(I138/D138&lt;=0,"n.m.",I138/D138-1)),"n.a."))</f>
        <v>0.019138755980861344</v>
      </c>
      <c r="J139" s="45">
        <f>IF(OR(J138="",E138=""),"n.a.",IFERROR(IF(E138&lt;=0,"n.m.",IF(J138/E138&lt;=0,"n.m.",J138/E138-1)),"n.a."))</f>
        <v>0.0042011511096953225</v>
      </c>
      <c r="K139" s="124"/>
    </row>
    <row r="140">
      <c r="A140" s="2"/>
      <c r="B140" s="47" t="s">
        <v>114</v>
      </c>
      <c r="C140" s="7"/>
      <c r="D140" s="40">
        <f>IF(OR(D138="",C138=""),"n.a.",IFERROR(IF(C138&lt;=0,"n.m.",IF(D138/C138&lt;=0,"n.m.",D138/C138-1)),"n.a."))</f>
        <v>0.014563106796116498</v>
      </c>
      <c r="E140" s="40">
        <f>IF(OR(E138="",D138=""),"n.a.",IFERROR(IF(D138&lt;=0,"n.m.",IF(E138/D138&lt;=0,"n.m.",E138/D138-1)),"n.a."))</f>
        <v>0.028708133971291794</v>
      </c>
      <c r="F140" s="40">
        <f>IF(OR(F138="",E138=""),"n.a.",IFERROR(IF(E138&lt;=0,"n.m.",IF(F138/E138&lt;=0,"n.m.",F138/E138-1)),"n.a."))</f>
        <v>-0.010852713178294615</v>
      </c>
      <c r="G140" s="7"/>
      <c r="H140" s="40">
        <f>IF(OR(H138="",F138=""),"n.a.",IFERROR(IF(F138&lt;=0,"n.m.",IF(H138/F138&lt;=0,"n.m.",H138/F138-1)),"n.a."))</f>
        <v>0</v>
      </c>
      <c r="I140" s="40">
        <f>IF(OR(I138="",H138=""),"n.a.",IFERROR(IF(H138&lt;=0,"n.m.",IF(I138/H138&lt;=0,"n.m.",I138/H138-1)),"n.a."))</f>
        <v>0.0015673981191222097</v>
      </c>
      <c r="J140" s="45">
        <f>IF(OR(J138="",I138=""),"n.a.",IFERROR(IF(I138&lt;=0,"n.m.",IF(J138/I138&lt;=0,"n.m.",J138/I138-1)),"n.a."))</f>
        <v>0.013630269899457703</v>
      </c>
      <c r="K140" s="124"/>
    </row>
    <row r="141">
      <c r="A141" s="2"/>
      <c r="B141" s="47" t="s">
        <v>115</v>
      </c>
      <c r="C141" s="7"/>
      <c r="D141" s="7"/>
      <c r="E141" s="7"/>
      <c r="F141" s="7"/>
      <c r="G141" s="7"/>
      <c r="H141" s="40" t="s">
        <v>116</v>
      </c>
      <c r="I141" s="40" t="s">
        <v>116</v>
      </c>
      <c r="J141" s="45" t="s">
        <v>116</v>
      </c>
      <c r="K141" s="124"/>
    </row>
    <row r="142">
      <c r="A142" s="2"/>
      <c r="B142" s="47" t="s">
        <v>117</v>
      </c>
      <c r="C142" s="7"/>
      <c r="D142" s="7"/>
      <c r="E142" s="7"/>
      <c r="F142" s="7"/>
      <c r="G142" s="7"/>
      <c r="H142" s="40" t="s">
        <v>116</v>
      </c>
      <c r="I142" s="40" t="s">
        <v>116</v>
      </c>
      <c r="J142" s="45" t="s">
        <v>116</v>
      </c>
      <c r="K142" s="124"/>
    </row>
    <row r="143">
      <c r="A143" s="2"/>
      <c r="B143" s="47" t="s">
        <v>118</v>
      </c>
      <c r="C143" s="7"/>
      <c r="D143" s="7"/>
      <c r="E143" s="7"/>
      <c r="F143" s="7"/>
      <c r="G143" s="7"/>
      <c r="H143" s="40" t="s">
        <v>116</v>
      </c>
      <c r="I143" s="40" t="s">
        <v>116</v>
      </c>
      <c r="J143" s="45" t="s">
        <v>116</v>
      </c>
      <c r="K143" s="124"/>
    </row>
    <row r="144">
      <c r="A144" s="2"/>
      <c r="B144" s="47" t="s">
        <v>119</v>
      </c>
      <c r="C144" s="40">
        <f>IFERROR(C138/C159,"n.a.")</f>
        <v>0.058896407128561895</v>
      </c>
      <c r="D144" s="40">
        <f>IFERROR(D138/D159,"n.a.")</f>
        <v>0.05798575788402848</v>
      </c>
      <c r="E144" s="40">
        <f>IFERROR(E138/E159,"n.a.")</f>
        <v>0.05776464266523375</v>
      </c>
      <c r="F144" s="40">
        <f>IFERROR(F138/F159,"n.a.")</f>
        <v>0.056959200071422196</v>
      </c>
      <c r="G144" s="40">
        <f>IFERROR(G138/G159,"n.a.")</f>
        <v>0.05788473427518146</v>
      </c>
      <c r="H144" s="40">
        <f>IFERROR(H138/H159,"n.a.")</f>
        <v>0.05774278215223097</v>
      </c>
      <c r="I144" s="40">
        <f>IFERROR(I138/I159,"n.a.")</f>
        <v>0.05636908962597036</v>
      </c>
      <c r="J144" s="45">
        <f>IFERROR(J138/J159,"n.a.")</f>
        <v>0.05617263572864632</v>
      </c>
      <c r="K144" s="124"/>
    </row>
    <row r="145">
      <c r="A145" s="2"/>
      <c r="B145" s="3" t="s">
        <v>217</v>
      </c>
      <c r="C145" s="37">
        <v>73</v>
      </c>
      <c r="D145" s="37">
        <v>45</v>
      </c>
      <c r="E145" s="37">
        <v>130</v>
      </c>
      <c r="F145" s="37">
        <v>132</v>
      </c>
      <c r="G145" s="43">
        <f>SUM(C145:F145)</f>
        <v>380</v>
      </c>
      <c r="H145" s="37">
        <v>145</v>
      </c>
      <c r="I145" s="37">
        <v>145</v>
      </c>
      <c r="J145" s="75">
        <v>140</v>
      </c>
      <c r="K145" s="125" t="s">
        <v>127</v>
      </c>
    </row>
    <row r="146">
      <c r="A146" s="2"/>
      <c r="B146" s="47" t="s">
        <v>113</v>
      </c>
      <c r="C146" s="7"/>
      <c r="D146" s="7"/>
      <c r="E146" s="7"/>
      <c r="F146" s="7"/>
      <c r="G146" s="7"/>
      <c r="H146" s="40">
        <f>IF(OR(H145="",C145=""),"n.a.",IFERROR(IF(C145&lt;=0,"n.m.",IF(H145/C145&lt;=0,"n.m.",H145/C145-1)),"n.a."))</f>
        <v>0.9863013698630136</v>
      </c>
      <c r="I146" s="40">
        <f>IF(OR(I145="",D145=""),"n.a.",IFERROR(IF(D145&lt;=0,"n.m.",IF(I145/D145&lt;=0,"n.m.",I145/D145-1)),"n.a."))</f>
        <v>2.2222222222222223</v>
      </c>
      <c r="J146" s="45">
        <f>IF(OR(J145="",E145=""),"n.a.",IFERROR(IF(E145&lt;=0,"n.m.",IF(J145/E145&lt;=0,"n.m.",J145/E145-1)),"n.a."))</f>
        <v>0.07692307692307687</v>
      </c>
      <c r="K146" s="124"/>
    </row>
    <row r="147">
      <c r="A147" s="2"/>
      <c r="B147" s="47" t="s">
        <v>114</v>
      </c>
      <c r="C147" s="7"/>
      <c r="D147" s="40">
        <f>IF(OR(D145="",C145=""),"n.a.",IFERROR(IF(C145&lt;=0,"n.m.",IF(D145/C145&lt;=0,"n.m.",D145/C145-1)),"n.a."))</f>
        <v>-0.3835616438356164</v>
      </c>
      <c r="E147" s="40">
        <f>IF(OR(E145="",D145=""),"n.a.",IFERROR(IF(D145&lt;=0,"n.m.",IF(E145/D145&lt;=0,"n.m.",E145/D145-1)),"n.a."))</f>
        <v>1.8888888888888888</v>
      </c>
      <c r="F147" s="40">
        <f>IF(OR(F145="",E145=""),"n.a.",IFERROR(IF(E145&lt;=0,"n.m.",IF(F145/E145&lt;=0,"n.m.",F145/E145-1)),"n.a."))</f>
        <v>0.01538461538461533</v>
      </c>
      <c r="G147" s="7"/>
      <c r="H147" s="40">
        <f>IF(OR(H145="",F145=""),"n.a.",IFERROR(IF(F145&lt;=0,"n.m.",IF(H145/F145&lt;=0,"n.m.",H145/F145-1)),"n.a."))</f>
        <v>0.0984848484848484</v>
      </c>
      <c r="I147" s="40">
        <f>IF(OR(I145="",H145=""),"n.a.",IFERROR(IF(H145&lt;=0,"n.m.",IF(I145/H145&lt;=0,"n.m.",I145/H145-1)),"n.a."))</f>
        <v>0</v>
      </c>
      <c r="J147" s="45">
        <f>IF(OR(J145="",I145=""),"n.a.",IFERROR(IF(I145&lt;=0,"n.m.",IF(J145/I145&lt;=0,"n.m.",J145/I145-1)),"n.a."))</f>
        <v>-0.03448275862068961</v>
      </c>
      <c r="K147" s="124"/>
    </row>
    <row r="148">
      <c r="A148" s="2"/>
      <c r="B148" s="47" t="s">
        <v>115</v>
      </c>
      <c r="C148" s="7"/>
      <c r="D148" s="7"/>
      <c r="E148" s="7"/>
      <c r="F148" s="7"/>
      <c r="G148" s="7"/>
      <c r="H148" s="40" t="s">
        <v>116</v>
      </c>
      <c r="I148" s="40" t="s">
        <v>116</v>
      </c>
      <c r="J148" s="45" t="s">
        <v>116</v>
      </c>
      <c r="K148" s="124"/>
    </row>
    <row r="149">
      <c r="A149" s="2"/>
      <c r="B149" s="47" t="s">
        <v>117</v>
      </c>
      <c r="C149" s="7"/>
      <c r="D149" s="7"/>
      <c r="E149" s="7"/>
      <c r="F149" s="7"/>
      <c r="G149" s="7"/>
      <c r="H149" s="40" t="s">
        <v>116</v>
      </c>
      <c r="I149" s="40" t="s">
        <v>116</v>
      </c>
      <c r="J149" s="45" t="s">
        <v>116</v>
      </c>
      <c r="K149" s="124"/>
    </row>
    <row r="150">
      <c r="A150" s="2"/>
      <c r="B150" s="47" t="s">
        <v>118</v>
      </c>
      <c r="C150" s="7"/>
      <c r="D150" s="7"/>
      <c r="E150" s="7"/>
      <c r="F150" s="7"/>
      <c r="G150" s="7"/>
      <c r="H150" s="40" t="s">
        <v>116</v>
      </c>
      <c r="I150" s="40" t="s">
        <v>116</v>
      </c>
      <c r="J150" s="45" t="s">
        <v>116</v>
      </c>
      <c r="K150" s="124"/>
    </row>
    <row r="151">
      <c r="A151" s="2"/>
      <c r="B151" s="47" t="s">
        <v>119</v>
      </c>
      <c r="C151" s="40">
        <f>IFERROR(C145/C159,"n.a.")</f>
        <v>0.0069570189650243015</v>
      </c>
      <c r="D151" s="40">
        <f>IFERROR(D145/D159,"n.a.")</f>
        <v>0.004161657264403958</v>
      </c>
      <c r="E151" s="40">
        <f>IFERROR(E145/E159,"n.a.")</f>
        <v>0.011642486118574243</v>
      </c>
      <c r="F151" s="40">
        <f>IFERROR(F145/F159,"n.a.")</f>
        <v>0.011784662083742523</v>
      </c>
      <c r="G151" s="40">
        <f>IFERROR(G145/G159,"n.a.")</f>
        <v>0.00870102809516177</v>
      </c>
      <c r="H151" s="40">
        <f>IFERROR(H145/H159,"n.a.")</f>
        <v>0.013123359580052493</v>
      </c>
      <c r="I151" s="40">
        <f>IFERROR(I145/I159,"n.a.")</f>
        <v>0.012791107974594214</v>
      </c>
      <c r="J151" s="45">
        <f>IFERROR(J145/J159,"n.a.")</f>
        <v>0.012141501796889043</v>
      </c>
      <c r="K151" s="124"/>
    </row>
    <row r="152">
      <c r="A152" s="2"/>
      <c r="B152" s="18" t="s">
        <v>218</v>
      </c>
      <c r="C152" s="39">
        <f>C128+C138+C145</f>
        <v>1988</v>
      </c>
      <c r="D152" s="39">
        <f>D128+D138+D145</f>
        <v>2087</v>
      </c>
      <c r="E152" s="39">
        <f>E128+E138+E145</f>
        <v>2178</v>
      </c>
      <c r="F152" s="39">
        <f>F128+F138+F145</f>
        <v>2111</v>
      </c>
      <c r="G152" s="39">
        <f>G128+G138+G145</f>
        <v>8364</v>
      </c>
      <c r="H152" s="39">
        <f>H128+H138+H145</f>
        <v>2056</v>
      </c>
      <c r="I152" s="39">
        <f>I128+I138+I145</f>
        <v>2130</v>
      </c>
      <c r="J152" s="50">
        <f>J128+J138+J145</f>
        <v>2132.7097424657536</v>
      </c>
      <c r="K152" s="124"/>
    </row>
    <row r="153">
      <c r="A153" s="2"/>
      <c r="B153" s="47" t="s">
        <v>113</v>
      </c>
      <c r="C153" s="7"/>
      <c r="D153" s="7"/>
      <c r="E153" s="7"/>
      <c r="F153" s="7"/>
      <c r="G153" s="7"/>
      <c r="H153" s="40">
        <f>IF(OR(H152="",C152=""),"n.a.",IFERROR(IF(C152&lt;=0,"n.m.",IF(H152/C152&lt;=0,"n.m.",H152/C152-1)),"n.a."))</f>
        <v>0.03420523138832987</v>
      </c>
      <c r="I153" s="40">
        <f>IF(OR(I152="",D152=""),"n.a.",IFERROR(IF(D152&lt;=0,"n.m.",IF(I152/D152&lt;=0,"n.m.",I152/D152-1)),"n.a."))</f>
        <v>0.02060373742213706</v>
      </c>
      <c r="J153" s="45">
        <f>IF(OR(J152="",E152=""),"n.a.",IFERROR(IF(E152&lt;=0,"n.m.",IF(J152/E152&lt;=0,"n.m.",J152/E152-1)),"n.a."))</f>
        <v>-0.02079442494685324</v>
      </c>
      <c r="K153" s="124"/>
    </row>
    <row r="154">
      <c r="A154" s="2"/>
      <c r="B154" s="47" t="s">
        <v>114</v>
      </c>
      <c r="C154" s="7"/>
      <c r="D154" s="40">
        <f>IF(OR(D152="",C152=""),"n.a.",IFERROR(IF(C152&lt;=0,"n.m.",IF(D152/C152&lt;=0,"n.m.",D152/C152-1)),"n.a."))</f>
        <v>0.04979879275653931</v>
      </c>
      <c r="E154" s="40">
        <f>IF(OR(E152="",D152=""),"n.a.",IFERROR(IF(D152&lt;=0,"n.m.",IF(E152/D152&lt;=0,"n.m.",E152/D152-1)),"n.a."))</f>
        <v>0.04360325826545286</v>
      </c>
      <c r="F154" s="40">
        <f>IF(OR(F152="",E152=""),"n.a.",IFERROR(IF(E152&lt;=0,"n.m.",IF(F152/E152&lt;=0,"n.m.",F152/E152-1)),"n.a."))</f>
        <v>-0.030762167125803486</v>
      </c>
      <c r="G154" s="7"/>
      <c r="H154" s="40">
        <f>IF(OR(H152="",F152=""),"n.a.",IFERROR(IF(F152&lt;=0,"n.m.",IF(H152/F152&lt;=0,"n.m.",H152/F152-1)),"n.a."))</f>
        <v>-0.026054002842254897</v>
      </c>
      <c r="I154" s="40">
        <f>IF(OR(I152="",H152=""),"n.a.",IFERROR(IF(H152&lt;=0,"n.m.",IF(I152/H152&lt;=0,"n.m.",I152/H152-1)),"n.a."))</f>
        <v>0.03599221789883278</v>
      </c>
      <c r="J154" s="45">
        <f>IF(OR(J152="",I152=""),"n.a.",IFERROR(IF(I152&lt;=0,"n.m.",IF(J152/I152&lt;=0,"n.m.",J152/I152-1)),"n.a."))</f>
        <v>0.0012721795613865883</v>
      </c>
      <c r="K154" s="124"/>
    </row>
    <row r="155">
      <c r="A155" s="2"/>
      <c r="B155" s="47" t="s">
        <v>115</v>
      </c>
      <c r="C155" s="7"/>
      <c r="D155" s="7"/>
      <c r="E155" s="7"/>
      <c r="F155" s="7"/>
      <c r="G155" s="7"/>
      <c r="H155" s="40" t="s">
        <v>116</v>
      </c>
      <c r="I155" s="40" t="s">
        <v>116</v>
      </c>
      <c r="J155" s="45" t="s">
        <v>116</v>
      </c>
      <c r="K155" s="124"/>
    </row>
    <row r="156">
      <c r="A156" s="2"/>
      <c r="B156" s="47" t="s">
        <v>117</v>
      </c>
      <c r="C156" s="7"/>
      <c r="D156" s="7"/>
      <c r="E156" s="7"/>
      <c r="F156" s="7"/>
      <c r="G156" s="7"/>
      <c r="H156" s="40" t="s">
        <v>116</v>
      </c>
      <c r="I156" s="40" t="s">
        <v>116</v>
      </c>
      <c r="J156" s="45" t="s">
        <v>116</v>
      </c>
      <c r="K156" s="124"/>
    </row>
    <row r="157">
      <c r="A157" s="2"/>
      <c r="B157" s="47" t="s">
        <v>118</v>
      </c>
      <c r="C157" s="7"/>
      <c r="D157" s="7"/>
      <c r="E157" s="7"/>
      <c r="F157" s="7"/>
      <c r="G157" s="7"/>
      <c r="H157" s="40" t="s">
        <v>116</v>
      </c>
      <c r="I157" s="40" t="s">
        <v>116</v>
      </c>
      <c r="J157" s="45" t="s">
        <v>116</v>
      </c>
      <c r="K157" s="124"/>
    </row>
    <row r="158">
      <c r="A158" s="2"/>
      <c r="B158" s="47" t="s">
        <v>119</v>
      </c>
      <c r="C158" s="40">
        <f>IFERROR(C152/C159,"n.a.")</f>
        <v>0.1894596397598399</v>
      </c>
      <c r="D158" s="40">
        <f>IFERROR(D152/D159,"n.a.")</f>
        <v>0.19300841579580136</v>
      </c>
      <c r="E158" s="40">
        <f>IFERROR(E152/E159,"n.a.")</f>
        <v>0.1950564212788823</v>
      </c>
      <c r="F158" s="40">
        <f>IFERROR(F152/F159,"n.a.")</f>
        <v>0.18846531559682173</v>
      </c>
      <c r="G158" s="40">
        <f>IFERROR(G152/G159,"n.a.")</f>
        <v>0.1915142078629817</v>
      </c>
      <c r="H158" s="40">
        <f>IFERROR(H152/H159,"n.a.")</f>
        <v>0.18608018825233053</v>
      </c>
      <c r="I158" s="40">
        <f>IFERROR(I152/I159,"n.a.")</f>
        <v>0.1878969654199012</v>
      </c>
      <c r="J158" s="45">
        <f>IFERROR(J152/J159,"n.a.")</f>
        <v>0.1849592797885051</v>
      </c>
      <c r="K158" s="124"/>
    </row>
    <row r="159">
      <c r="A159" s="2"/>
      <c r="B159" s="18" t="s">
        <v>128</v>
      </c>
      <c r="C159" s="39">
        <f>C60+C152</f>
        <v>10493</v>
      </c>
      <c r="D159" s="39">
        <f>D60+D152</f>
        <v>10813</v>
      </c>
      <c r="E159" s="39">
        <f>E60+E152</f>
        <v>11166</v>
      </c>
      <c r="F159" s="39">
        <f>F60+F152</f>
        <v>11201</v>
      </c>
      <c r="G159" s="39">
        <f>G60+G152</f>
        <v>43673</v>
      </c>
      <c r="H159" s="39">
        <f>H60+H152</f>
        <v>11049</v>
      </c>
      <c r="I159" s="39">
        <f>I60+I152</f>
        <v>11336</v>
      </c>
      <c r="J159" s="50">
        <f>J60+J152</f>
        <v>11530.698783561644</v>
      </c>
      <c r="K159" s="124"/>
    </row>
    <row r="160">
      <c r="A160" s="2"/>
      <c r="B160" s="47" t="s">
        <v>113</v>
      </c>
      <c r="C160" s="7"/>
      <c r="D160" s="7"/>
      <c r="E160" s="7"/>
      <c r="F160" s="7"/>
      <c r="G160" s="7"/>
      <c r="H160" s="40">
        <f>IF(OR(H159="",C159=""),"n.a.",IFERROR(IF(C159&lt;=0,"n.m.",IF(H159/C159&lt;=0,"n.m.",H159/C159-1)),"n.a."))</f>
        <v>0.0529877060897741</v>
      </c>
      <c r="I160" s="40">
        <f>IF(OR(I159="",D159=""),"n.a.",IFERROR(IF(D159&lt;=0,"n.m.",IF(I159/D159&lt;=0,"n.m.",I159/D159-1)),"n.a."))</f>
        <v>0.048367705539628325</v>
      </c>
      <c r="J160" s="45">
        <f>IF(OR(J159="",E159=""),"n.a.",IFERROR(IF(E159&lt;=0,"n.m.",IF(J159/E159&lt;=0,"n.m.",J159/E159-1)),"n.a."))</f>
        <v>0.03266154250059494</v>
      </c>
      <c r="K160" s="124"/>
    </row>
    <row r="161">
      <c r="A161" s="2"/>
      <c r="B161" s="47" t="s">
        <v>114</v>
      </c>
      <c r="C161" s="7"/>
      <c r="D161" s="40">
        <f>IF(OR(D159="",C159=""),"n.a.",IFERROR(IF(C159&lt;=0,"n.m.",IF(D159/C159&lt;=0,"n.m.",D159/C159-1)),"n.a."))</f>
        <v>0.030496521490517514</v>
      </c>
      <c r="E161" s="40">
        <f>IF(OR(E159="",D159=""),"n.a.",IFERROR(IF(D159&lt;=0,"n.m.",IF(E159/D159&lt;=0,"n.m.",E159/D159-1)),"n.a."))</f>
        <v>0.0326458892074355</v>
      </c>
      <c r="F161" s="40">
        <f>IF(OR(F159="",E159=""),"n.a.",IFERROR(IF(E159&lt;=0,"n.m.",IF(F159/E159&lt;=0,"n.m.",F159/E159-1)),"n.a."))</f>
        <v>0.003134515493462331</v>
      </c>
      <c r="G161" s="7"/>
      <c r="H161" s="40">
        <f>IF(OR(H159="",F159=""),"n.a.",IFERROR(IF(F159&lt;=0,"n.m.",IF(H159/F159&lt;=0,"n.m.",H159/F159-1)),"n.a."))</f>
        <v>-0.01357021694491567</v>
      </c>
      <c r="I161" s="40">
        <f>IF(OR(I159="",H159=""),"n.a.",IFERROR(IF(H159&lt;=0,"n.m.",IF(I159/H159&lt;=0,"n.m.",I159/H159-1)),"n.a."))</f>
        <v>0.025975201375690204</v>
      </c>
      <c r="J161" s="45">
        <f>IF(OR(J159="",I159=""),"n.a.",IFERROR(IF(I159&lt;=0,"n.m.",IF(J159/I159&lt;=0,"n.m.",J159/I159-1)),"n.a."))</f>
        <v>0.01717526319351137</v>
      </c>
      <c r="K161" s="124"/>
    </row>
    <row r="162">
      <c r="A162" s="2"/>
      <c r="B162" s="47" t="s">
        <v>115</v>
      </c>
      <c r="C162" s="7"/>
      <c r="D162" s="7"/>
      <c r="E162" s="7"/>
      <c r="F162" s="7"/>
      <c r="G162" s="7"/>
      <c r="H162" s="40" t="s">
        <v>116</v>
      </c>
      <c r="I162" s="40" t="s">
        <v>116</v>
      </c>
      <c r="J162" s="45" t="s">
        <v>116</v>
      </c>
      <c r="K162" s="124"/>
    </row>
    <row r="163">
      <c r="A163" s="2"/>
      <c r="B163" s="47" t="s">
        <v>117</v>
      </c>
      <c r="C163" s="7"/>
      <c r="D163" s="7"/>
      <c r="E163" s="7"/>
      <c r="F163" s="7"/>
      <c r="G163" s="7"/>
      <c r="H163" s="40" t="s">
        <v>116</v>
      </c>
      <c r="I163" s="40" t="s">
        <v>116</v>
      </c>
      <c r="J163" s="45" t="s">
        <v>116</v>
      </c>
      <c r="K163" s="124"/>
    </row>
    <row r="164">
      <c r="A164" s="2"/>
      <c r="B164" s="47" t="s">
        <v>118</v>
      </c>
      <c r="C164" s="7"/>
      <c r="D164" s="7"/>
      <c r="E164" s="7"/>
      <c r="F164" s="7"/>
      <c r="G164" s="7"/>
      <c r="H164" s="40" t="s">
        <v>116</v>
      </c>
      <c r="I164" s="40" t="s">
        <v>116</v>
      </c>
      <c r="J164" s="45" t="s">
        <v>116</v>
      </c>
      <c r="K164" s="124"/>
    </row>
    <row r="165">
      <c r="A165" s="2"/>
      <c r="B165" s="3" t="s">
        <v>219</v>
      </c>
      <c r="C165" s="37">
        <v>10493</v>
      </c>
      <c r="D165" s="37">
        <v>10813</v>
      </c>
      <c r="E165" s="37">
        <v>11166</v>
      </c>
      <c r="F165" s="37">
        <v>11201</v>
      </c>
      <c r="G165" s="43">
        <f>SUM(C165:F165)</f>
        <v>43673</v>
      </c>
      <c r="H165" s="37">
        <v>11049</v>
      </c>
      <c r="I165" s="37">
        <v>11336</v>
      </c>
      <c r="J165" s="46"/>
      <c r="K165" s="125" t="s">
        <v>130</v>
      </c>
    </row>
    <row r="166">
      <c r="A166" s="2"/>
      <c r="B166" s="61" t="s">
        <v>167</v>
      </c>
      <c r="C166" s="41">
        <f>C159-C165</f>
        <v>0</v>
      </c>
      <c r="D166" s="41">
        <f>D159-D165</f>
        <v>0</v>
      </c>
      <c r="E166" s="41">
        <f>E159-E165</f>
        <v>0</v>
      </c>
      <c r="F166" s="41">
        <f>F159-F165</f>
        <v>0</v>
      </c>
      <c r="G166" s="41">
        <f>G159-G165</f>
        <v>0</v>
      </c>
      <c r="H166" s="41">
        <f>H159-H165</f>
        <v>0</v>
      </c>
      <c r="I166" s="41">
        <f>I159-I165</f>
        <v>0</v>
      </c>
      <c r="J166" s="46"/>
      <c r="K166" s="124"/>
    </row>
    <row r="167">
      <c r="A167" s="2"/>
      <c r="B167" s="18" t="s">
        <v>220</v>
      </c>
      <c r="C167" s="7"/>
      <c r="D167" s="7"/>
      <c r="E167" s="7"/>
      <c r="F167" s="7"/>
      <c r="G167" s="7"/>
      <c r="H167" s="7"/>
      <c r="I167" s="7"/>
      <c r="J167" s="46"/>
      <c r="K167" s="124"/>
    </row>
    <row r="168">
      <c r="A168" s="2"/>
      <c r="B168" s="3" t="s">
        <v>221</v>
      </c>
      <c r="C168" s="37">
        <v>1292</v>
      </c>
      <c r="D168" s="37">
        <v>1282</v>
      </c>
      <c r="E168" s="37">
        <v>1009</v>
      </c>
      <c r="F168" s="37">
        <v>1066</v>
      </c>
      <c r="G168" s="43">
        <f>SUM(C168:F168)</f>
        <v>4649</v>
      </c>
      <c r="H168" s="37">
        <v>1132</v>
      </c>
      <c r="I168" s="37">
        <v>1160</v>
      </c>
      <c r="J168" s="75">
        <v>1150</v>
      </c>
      <c r="K168" s="125" t="s">
        <v>127</v>
      </c>
    </row>
    <row r="169">
      <c r="A169" s="2"/>
      <c r="B169" s="47" t="s">
        <v>133</v>
      </c>
      <c r="C169" s="7"/>
      <c r="D169" s="7"/>
      <c r="E169" s="7"/>
      <c r="F169" s="7"/>
      <c r="G169" s="7"/>
      <c r="H169" s="40">
        <f>IF(OR(H168="",C168=""),"n.a.",IFERROR(IF(C168&lt;=0,"n.m.",IF(H168/C168&lt;=0,"n.m.",H168/C168-1)),"n.a."))</f>
        <v>-0.12383900928792568</v>
      </c>
      <c r="I169" s="40">
        <f>IF(OR(I168="",D168=""),"n.a.",IFERROR(IF(D168&lt;=0,"n.m.",IF(I168/D168&lt;=0,"n.m.",I168/D168-1)),"n.a."))</f>
        <v>-0.09516380655226209</v>
      </c>
      <c r="J169" s="45">
        <f>IF(OR(J168="",E168=""),"n.a.",IFERROR(IF(E168&lt;=0,"n.m.",IF(J168/E168&lt;=0,"n.m.",J168/E168-1)),"n.a."))</f>
        <v>0.1397423191278493</v>
      </c>
      <c r="K169" s="124"/>
    </row>
    <row r="170">
      <c r="A170" s="2"/>
      <c r="B170" s="47" t="s">
        <v>134</v>
      </c>
      <c r="C170" s="7"/>
      <c r="D170" s="41">
        <f>IF(OR(D168="",C168=""),"n.a.",IFERROR(D168-C168,"n.a."))</f>
        <v>-10</v>
      </c>
      <c r="E170" s="41">
        <f>IF(OR(E168="",D168=""),"n.a.",IFERROR(E168-D168,"n.a."))</f>
        <v>-273</v>
      </c>
      <c r="F170" s="41">
        <f>IF(OR(F168="",E168=""),"n.a.",IFERROR(F168-E168,"n.a."))</f>
        <v>57</v>
      </c>
      <c r="G170" s="7"/>
      <c r="H170" s="41">
        <f>IF(OR(H168="",F168=""),"n.a.",IFERROR(H168-F168,"n.a."))</f>
        <v>66</v>
      </c>
      <c r="I170" s="41">
        <f>IF(OR(I168="",H168=""),"n.a.",IFERROR(I168-H168,"n.a."))</f>
        <v>28</v>
      </c>
      <c r="J170" s="52">
        <f>IF(OR(J168="",I168=""),"n.a.",IFERROR(J168-I168,"n.a."))</f>
        <v>-10</v>
      </c>
      <c r="K170" s="124"/>
    </row>
    <row r="171">
      <c r="A171" s="2"/>
      <c r="B171" s="3" t="s">
        <v>222</v>
      </c>
      <c r="C171" s="37">
        <v>5826</v>
      </c>
      <c r="D171" s="37">
        <v>5567</v>
      </c>
      <c r="E171" s="37">
        <v>5575</v>
      </c>
      <c r="F171" s="37">
        <v>5729</v>
      </c>
      <c r="G171" s="43">
        <f>SUM(C171:F171)</f>
        <v>22697</v>
      </c>
      <c r="H171" s="37">
        <v>5837</v>
      </c>
      <c r="I171" s="37">
        <v>5801</v>
      </c>
      <c r="J171" s="75">
        <v>5790</v>
      </c>
      <c r="K171" s="125" t="s">
        <v>127</v>
      </c>
    </row>
    <row r="172">
      <c r="A172" s="2"/>
      <c r="B172" s="47" t="s">
        <v>133</v>
      </c>
      <c r="C172" s="7"/>
      <c r="D172" s="7"/>
      <c r="E172" s="7"/>
      <c r="F172" s="7"/>
      <c r="G172" s="7"/>
      <c r="H172" s="40">
        <f>IF(OR(H171="",C171=""),"n.a.",IFERROR(IF(C171&lt;=0,"n.m.",IF(H171/C171&lt;=0,"n.m.",H171/C171-1)),"n.a."))</f>
        <v>0.001888087881908751</v>
      </c>
      <c r="I172" s="40">
        <f>IF(OR(I171="",D171=""),"n.a.",IFERROR(IF(D171&lt;=0,"n.m.",IF(I171/D171&lt;=0,"n.m.",I171/D171-1)),"n.a."))</f>
        <v>0.04203341117298365</v>
      </c>
      <c r="J172" s="45">
        <f>IF(OR(J171="",E171=""),"n.a.",IFERROR(IF(E171&lt;=0,"n.m.",IF(J171/E171&lt;=0,"n.m.",J171/E171-1)),"n.a."))</f>
        <v>0.0385650224215246</v>
      </c>
      <c r="K172" s="124"/>
    </row>
    <row r="173">
      <c r="A173" s="2"/>
      <c r="B173" s="47" t="s">
        <v>134</v>
      </c>
      <c r="C173" s="7"/>
      <c r="D173" s="41">
        <f>IF(OR(D171="",C171=""),"n.a.",IFERROR(D171-C171,"n.a."))</f>
        <v>-259</v>
      </c>
      <c r="E173" s="41">
        <f>IF(OR(E171="",D171=""),"n.a.",IFERROR(E171-D171,"n.a."))</f>
        <v>8</v>
      </c>
      <c r="F173" s="41">
        <f>IF(OR(F171="",E171=""),"n.a.",IFERROR(F171-E171,"n.a."))</f>
        <v>154</v>
      </c>
      <c r="G173" s="7"/>
      <c r="H173" s="41">
        <f>IF(OR(H171="",F171=""),"n.a.",IFERROR(H171-F171,"n.a."))</f>
        <v>108</v>
      </c>
      <c r="I173" s="41">
        <f>IF(OR(I171="",H171=""),"n.a.",IFERROR(I171-H171,"n.a."))</f>
        <v>-36</v>
      </c>
      <c r="J173" s="52">
        <f>IF(OR(J171="",I171=""),"n.a.",IFERROR(J171-I171,"n.a."))</f>
        <v>-11</v>
      </c>
      <c r="K173" s="124"/>
    </row>
    <row r="174">
      <c r="A174" s="2"/>
      <c r="B174" s="18" t="s">
        <v>223</v>
      </c>
      <c r="C174" s="39">
        <f>C159-C168-C171</f>
        <v>3375</v>
      </c>
      <c r="D174" s="39">
        <f>D159-D168-D171</f>
        <v>3964</v>
      </c>
      <c r="E174" s="39">
        <f>E159-E168-E171</f>
        <v>4582</v>
      </c>
      <c r="F174" s="39">
        <f>F159-F168-F171</f>
        <v>4406</v>
      </c>
      <c r="G174" s="39">
        <f>G159-G168-G171</f>
        <v>16327</v>
      </c>
      <c r="H174" s="39">
        <f>H159-H168-H171</f>
        <v>4080</v>
      </c>
      <c r="I174" s="39">
        <f>I159-I168-I171</f>
        <v>4375</v>
      </c>
      <c r="J174" s="50">
        <f>J159-J168-J171</f>
        <v>4590.698783561644</v>
      </c>
      <c r="K174" s="124"/>
    </row>
    <row r="175">
      <c r="A175" s="2"/>
      <c r="B175" s="47" t="s">
        <v>133</v>
      </c>
      <c r="C175" s="7"/>
      <c r="D175" s="7"/>
      <c r="E175" s="7"/>
      <c r="F175" s="7"/>
      <c r="G175" s="7"/>
      <c r="H175" s="40">
        <f>IF(OR(H174="",C174=""),"n.a.",IFERROR(IF(C174&lt;=0,"n.m.",IF(H174/C174&lt;=0,"n.m.",H174/C174-1)),"n.a."))</f>
        <v>0.2088888888888889</v>
      </c>
      <c r="I175" s="40">
        <f>IF(OR(I174="",D174=""),"n.a.",IFERROR(IF(D174&lt;=0,"n.m.",IF(I174/D174&lt;=0,"n.m.",I174/D174-1)),"n.a."))</f>
        <v>0.10368314833501513</v>
      </c>
      <c r="J175" s="45">
        <f>IF(OR(J174="",E174=""),"n.a.",IFERROR(IF(E174&lt;=0,"n.m.",IF(J174/E174&lt;=0,"n.m.",J174/E174-1)),"n.a."))</f>
        <v>0.001898468695251898</v>
      </c>
      <c r="K175" s="124"/>
    </row>
    <row r="176">
      <c r="A176" s="2"/>
      <c r="B176" s="47" t="s">
        <v>134</v>
      </c>
      <c r="C176" s="7"/>
      <c r="D176" s="41">
        <f>IF(OR(D174="",C174=""),"n.a.",IFERROR(D174-C174,"n.a."))</f>
        <v>589</v>
      </c>
      <c r="E176" s="41">
        <f>IF(OR(E174="",D174=""),"n.a.",IFERROR(E174-D174,"n.a."))</f>
        <v>618</v>
      </c>
      <c r="F176" s="41">
        <f>IF(OR(F174="",E174=""),"n.a.",IFERROR(F174-E174,"n.a."))</f>
        <v>-176</v>
      </c>
      <c r="G176" s="7"/>
      <c r="H176" s="41">
        <f>IF(OR(H174="",F174=""),"n.a.",IFERROR(H174-F174,"n.a."))</f>
        <v>-326</v>
      </c>
      <c r="I176" s="41">
        <f>IF(OR(I174="",H174=""),"n.a.",IFERROR(I174-H174,"n.a."))</f>
        <v>295</v>
      </c>
      <c r="J176" s="52">
        <f>IF(OR(J174="",I174=""),"n.a.",IFERROR(J174-I174,"n.a."))</f>
        <v>215.69878356164372</v>
      </c>
      <c r="K176" s="124"/>
    </row>
    <row r="177">
      <c r="A177" s="2"/>
      <c r="B177" s="61" t="s">
        <v>224</v>
      </c>
      <c r="C177" s="40">
        <f>C180/C174</f>
        <v>0.25007407407407406</v>
      </c>
      <c r="D177" s="40">
        <f>D180/D174</f>
        <v>0.25</v>
      </c>
      <c r="E177" s="40">
        <f>E180/E174</f>
        <v>0.24989087734613705</v>
      </c>
      <c r="F177" s="40">
        <f>F180/F174</f>
        <v>0.25011348161597824</v>
      </c>
      <c r="G177" s="40">
        <f>G180/G174</f>
        <v>0.2500153120597783</v>
      </c>
      <c r="H177" s="40">
        <f>H180/H174</f>
        <v>0.25</v>
      </c>
      <c r="I177" s="40">
        <f>I180/I174</f>
        <v>0.25005714285714287</v>
      </c>
      <c r="J177" s="92">
        <v>0.25</v>
      </c>
      <c r="K177" s="124"/>
    </row>
    <row r="178">
      <c r="A178" s="2"/>
      <c r="B178" s="47" t="s">
        <v>169</v>
      </c>
      <c r="C178" s="7"/>
      <c r="D178" s="42">
        <f>(D177-C177)*10000</f>
        <v>-0.7407407407405975</v>
      </c>
      <c r="E178" s="42">
        <f>(E177-D177)*10000</f>
        <v>-1.0912265386295306</v>
      </c>
      <c r="F178" s="42">
        <f>(F177-E177)*10000</f>
        <v>2.226042698411923</v>
      </c>
      <c r="G178" s="7"/>
      <c r="H178" s="42">
        <f>(H177-F177)*10000</f>
        <v>-1.1348161597823925</v>
      </c>
      <c r="I178" s="42">
        <f>(I177-H177)*10000</f>
        <v>0.5714285714286671</v>
      </c>
      <c r="J178" s="56">
        <f>(J177-I177)*10000</f>
        <v>-0.5714285714286671</v>
      </c>
      <c r="K178" s="124"/>
    </row>
    <row r="179">
      <c r="A179" s="2"/>
      <c r="B179" s="47" t="s">
        <v>170</v>
      </c>
      <c r="C179" s="7"/>
      <c r="D179" s="7"/>
      <c r="E179" s="7"/>
      <c r="F179" s="7"/>
      <c r="G179" s="7"/>
      <c r="H179" s="42">
        <f>(H177-C177)*10000</f>
        <v>-0.7407407407405975</v>
      </c>
      <c r="I179" s="42">
        <f>(I177-D177)*10000</f>
        <v>0.5714285714286671</v>
      </c>
      <c r="J179" s="56">
        <f>(J177-E177)*10000</f>
        <v>1.0912265386295306</v>
      </c>
      <c r="K179" s="124"/>
    </row>
    <row r="180">
      <c r="A180" s="2"/>
      <c r="B180" s="3" t="s">
        <v>225</v>
      </c>
      <c r="C180" s="37">
        <v>844</v>
      </c>
      <c r="D180" s="37">
        <v>991</v>
      </c>
      <c r="E180" s="37">
        <v>1145</v>
      </c>
      <c r="F180" s="37">
        <v>1102</v>
      </c>
      <c r="G180" s="43">
        <f>SUM(C180:F180)</f>
        <v>4082</v>
      </c>
      <c r="H180" s="37">
        <v>1020</v>
      </c>
      <c r="I180" s="37">
        <v>1094</v>
      </c>
      <c r="J180" s="38">
        <f>J174*J177</f>
        <v>1147.674695890411</v>
      </c>
      <c r="K180" s="125" t="s">
        <v>127</v>
      </c>
    </row>
    <row r="181">
      <c r="A181" s="2"/>
      <c r="B181" s="18" t="s">
        <v>226</v>
      </c>
      <c r="C181" s="39">
        <f>C174-C180</f>
        <v>2531</v>
      </c>
      <c r="D181" s="39">
        <f>D174-D180</f>
        <v>2973</v>
      </c>
      <c r="E181" s="39">
        <f>E174-E180</f>
        <v>3437</v>
      </c>
      <c r="F181" s="39">
        <f>F174-F180</f>
        <v>3304</v>
      </c>
      <c r="G181" s="39">
        <f>G174-G180</f>
        <v>12245</v>
      </c>
      <c r="H181" s="39">
        <f>H174-H180</f>
        <v>3060</v>
      </c>
      <c r="I181" s="39">
        <f>I174-I180</f>
        <v>3281</v>
      </c>
      <c r="J181" s="50">
        <f>J174-J180</f>
        <v>3443.024087671233</v>
      </c>
      <c r="K181" s="124"/>
    </row>
    <row r="182">
      <c r="A182" s="2"/>
      <c r="B182" s="47" t="s">
        <v>133</v>
      </c>
      <c r="C182" s="7"/>
      <c r="D182" s="7"/>
      <c r="E182" s="7"/>
      <c r="F182" s="7"/>
      <c r="G182" s="7"/>
      <c r="H182" s="40">
        <f>IF(OR(H181="",C181=""),"n.a.",IFERROR(IF(C181&lt;=0,"n.m.",IF(H181/C181&lt;=0,"n.m.",H181/C181-1)),"n.a."))</f>
        <v>0.20900829711576452</v>
      </c>
      <c r="I182" s="40">
        <f>IF(OR(I181="",D181=""),"n.a.",IFERROR(IF(D181&lt;=0,"n.m.",IF(I181/D181&lt;=0,"n.m.",I181/D181-1)),"n.a."))</f>
        <v>0.10359905819038007</v>
      </c>
      <c r="J182" s="45">
        <f>IF(OR(J181="",E181=""),"n.a.",IFERROR(IF(E181&lt;=0,"n.m.",IF(J181/E181&lt;=0,"n.m.",J181/E181-1)),"n.a."))</f>
        <v>0.0017527168086217682</v>
      </c>
      <c r="K182" s="124"/>
    </row>
    <row r="183">
      <c r="A183" s="2"/>
      <c r="B183" s="47" t="s">
        <v>134</v>
      </c>
      <c r="C183" s="7"/>
      <c r="D183" s="41">
        <f>IF(OR(D181="",C181=""),"n.a.",IFERROR(D181-C181,"n.a."))</f>
        <v>442</v>
      </c>
      <c r="E183" s="41">
        <f>IF(OR(E181="",D181=""),"n.a.",IFERROR(E181-D181,"n.a."))</f>
        <v>464</v>
      </c>
      <c r="F183" s="41">
        <f>IF(OR(F181="",E181=""),"n.a.",IFERROR(F181-E181,"n.a."))</f>
        <v>-133</v>
      </c>
      <c r="G183" s="7"/>
      <c r="H183" s="41">
        <f>IF(OR(H181="",F181=""),"n.a.",IFERROR(H181-F181,"n.a."))</f>
        <v>-244</v>
      </c>
      <c r="I183" s="41">
        <f>IF(OR(I181="",H181=""),"n.a.",IFERROR(I181-H181,"n.a."))</f>
        <v>221</v>
      </c>
      <c r="J183" s="52">
        <f>IF(OR(J181="",I181=""),"n.a.",IFERROR(J181-I181,"n.a."))</f>
        <v>162.0240876712328</v>
      </c>
      <c r="K183" s="124"/>
    </row>
    <row r="184">
      <c r="A184" s="2"/>
      <c r="B184" s="1" t="s">
        <v>227</v>
      </c>
      <c r="C184" s="40">
        <f>C171/C159</f>
        <v>0.555227294386734</v>
      </c>
      <c r="D184" s="40">
        <f>D171/D159</f>
        <v>0.5148432442430407</v>
      </c>
      <c r="E184" s="40">
        <f>E171/E159</f>
        <v>0.49928353931578007</v>
      </c>
      <c r="F184" s="40">
        <f>F171/F159</f>
        <v>0.5114721899830372</v>
      </c>
      <c r="G184" s="40">
        <f>G171/G159</f>
        <v>0.5197032491470702</v>
      </c>
      <c r="H184" s="40">
        <f>H171/H159</f>
        <v>0.5282831025432165</v>
      </c>
      <c r="I184" s="40">
        <f>I171/I159</f>
        <v>0.5117325335215244</v>
      </c>
      <c r="J184" s="45">
        <f>J171/J159</f>
        <v>0.5021378243141968</v>
      </c>
      <c r="K184" s="124"/>
    </row>
    <row r="185">
      <c r="A185" s="2"/>
      <c r="B185" s="47" t="s">
        <v>169</v>
      </c>
      <c r="C185" s="7"/>
      <c r="D185" s="42">
        <f>(D184-C184)*10000</f>
        <v>-403.84050143693287</v>
      </c>
      <c r="E185" s="42">
        <f>(E184-D184)*10000</f>
        <v>-155.59704927260665</v>
      </c>
      <c r="F185" s="42">
        <f>(F184-E184)*10000</f>
        <v>121.88650667257161</v>
      </c>
      <c r="G185" s="7"/>
      <c r="H185" s="42">
        <f>(H184-F184)*10000</f>
        <v>168.10912560179304</v>
      </c>
      <c r="I185" s="42">
        <f>(I184-H184)*10000</f>
        <v>-165.50569021692164</v>
      </c>
      <c r="J185" s="56">
        <f>(J184-I184)*10000</f>
        <v>-95.94709207327523</v>
      </c>
      <c r="K185" s="124"/>
    </row>
    <row r="186">
      <c r="A186" s="2"/>
      <c r="B186" s="47" t="s">
        <v>170</v>
      </c>
      <c r="C186" s="7"/>
      <c r="D186" s="7"/>
      <c r="E186" s="7"/>
      <c r="F186" s="7"/>
      <c r="G186" s="7"/>
      <c r="H186" s="42">
        <f>(H184-C184)*10000</f>
        <v>-269.44191843517484</v>
      </c>
      <c r="I186" s="42">
        <f>(I184-D184)*10000</f>
        <v>-31.10710721516363</v>
      </c>
      <c r="J186" s="56">
        <f>(J184-E184)*10000</f>
        <v>28.542849984167784</v>
      </c>
      <c r="K186" s="124"/>
    </row>
    <row r="187">
      <c r="A187" s="2"/>
      <c r="B187" s="1" t="s">
        <v>228</v>
      </c>
      <c r="C187" s="40">
        <f>C174/C159</f>
        <v>0.3216430000953016</v>
      </c>
      <c r="D187" s="40">
        <f>D174/D159</f>
        <v>0.36659576435771757</v>
      </c>
      <c r="E187" s="40">
        <f>E174/E159</f>
        <v>0.4103528568869783</v>
      </c>
      <c r="F187" s="40">
        <f>F174/F159</f>
        <v>0.393357735916436</v>
      </c>
      <c r="G187" s="40">
        <f>G174/G159</f>
        <v>0.37384654134133216</v>
      </c>
      <c r="H187" s="40">
        <f>H174/H159</f>
        <v>0.3692641868042357</v>
      </c>
      <c r="I187" s="40">
        <f>I174/I159</f>
        <v>0.3859386026817219</v>
      </c>
      <c r="J187" s="45">
        <f>J174/J159</f>
        <v>0.39812841092564316</v>
      </c>
      <c r="K187" s="124"/>
    </row>
    <row r="188">
      <c r="A188" s="2"/>
      <c r="B188" s="47" t="s">
        <v>169</v>
      </c>
      <c r="C188" s="7"/>
      <c r="D188" s="42">
        <f>(D187-C187)*10000</f>
        <v>449.52764262415957</v>
      </c>
      <c r="E188" s="42">
        <f>(E187-D187)*10000</f>
        <v>437.57092529260746</v>
      </c>
      <c r="F188" s="42">
        <f>(F187-E187)*10000</f>
        <v>-169.95120970542288</v>
      </c>
      <c r="G188" s="7"/>
      <c r="H188" s="42">
        <f>(H187-F187)*10000</f>
        <v>-240.93549112200353</v>
      </c>
      <c r="I188" s="42">
        <f>(I187-H187)*10000</f>
        <v>166.74415877486248</v>
      </c>
      <c r="J188" s="56">
        <f>(J187-I187)*10000</f>
        <v>121.8980824392124</v>
      </c>
      <c r="K188" s="124"/>
    </row>
    <row r="189">
      <c r="A189" s="2"/>
      <c r="B189" s="47" t="s">
        <v>170</v>
      </c>
      <c r="C189" s="7"/>
      <c r="D189" s="7"/>
      <c r="E189" s="7"/>
      <c r="F189" s="7"/>
      <c r="G189" s="7"/>
      <c r="H189" s="42">
        <f>(H187-C187)*10000</f>
        <v>476.2118670893406</v>
      </c>
      <c r="I189" s="42">
        <f>(I187-D187)*10000</f>
        <v>193.42838324004353</v>
      </c>
      <c r="J189" s="56">
        <f>(J187-E187)*10000</f>
        <v>-122.24445961335151</v>
      </c>
      <c r="K189" s="124"/>
    </row>
    <row r="190">
      <c r="A190" s="2"/>
      <c r="B190" s="2"/>
      <c r="C190" s="2"/>
      <c r="D190" s="2"/>
      <c r="E190" s="2"/>
      <c r="F190" s="2"/>
      <c r="G190" s="2"/>
      <c r="H190" s="2"/>
      <c r="I190" s="2"/>
      <c r="J190" s="2"/>
      <c r="K190" s="2"/>
    </row>
    <row r="191">
      <c r="A191" s="2"/>
      <c r="B191" s="2"/>
      <c r="C191" s="2"/>
      <c r="D191" s="2"/>
      <c r="E191" s="2"/>
      <c r="F191" s="2"/>
      <c r="G191" s="2"/>
      <c r="H191" s="2"/>
      <c r="I191" s="2"/>
      <c r="J191" s="2"/>
      <c r="K191" s="2"/>
    </row>
  </sheetData>
  <legacyDrawing r:id="rId2"/>
</worksheet>
</file>

<file path=xl/worksheets/sheet4.xml><?xml version="1.0" encoding="utf-8"?>
<worksheet xmlns="http://schemas.openxmlformats.org/spreadsheetml/2006/main" xmlns:r="http://schemas.openxmlformats.org/officeDocument/2006/relationships">
  <dimension ref="A1:K168"/>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229</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230</v>
      </c>
      <c r="C9" s="7"/>
      <c r="D9" s="7"/>
      <c r="E9" s="7"/>
      <c r="F9" s="7"/>
      <c r="G9" s="7"/>
      <c r="H9" s="7"/>
      <c r="I9" s="7"/>
      <c r="J9" s="46"/>
      <c r="K9" s="124"/>
    </row>
    <row r="10">
      <c r="A10" s="2"/>
      <c r="B10" s="3" t="s">
        <v>231</v>
      </c>
      <c r="C10" s="37">
        <v>1882211</v>
      </c>
      <c r="D10" s="143">
        <f>C20</f>
        <v>1855657</v>
      </c>
      <c r="E10" s="143">
        <f>D20</f>
        <v>1986523</v>
      </c>
      <c r="F10" s="143">
        <f>E20</f>
        <v>2109946</v>
      </c>
      <c r="G10" s="143">
        <f>C10</f>
        <v>1882211</v>
      </c>
      <c r="H10" s="143">
        <f>F20</f>
        <v>2177708</v>
      </c>
      <c r="I10" s="143">
        <f>H20</f>
        <v>2115782</v>
      </c>
      <c r="J10" s="38">
        <f>I20</f>
        <v>2327766</v>
      </c>
      <c r="K10" s="125" t="s">
        <v>232</v>
      </c>
    </row>
    <row r="11">
      <c r="A11" s="2"/>
      <c r="B11" s="3" t="s">
        <v>233</v>
      </c>
      <c r="C11" s="37">
        <v>23957</v>
      </c>
      <c r="D11" s="37">
        <v>14314</v>
      </c>
      <c r="E11" s="37">
        <v>23517</v>
      </c>
      <c r="F11" s="37">
        <v>20209</v>
      </c>
      <c r="G11" s="43">
        <f>SUM(C11:F11)</f>
        <v>81997</v>
      </c>
      <c r="H11" s="37">
        <v>20372</v>
      </c>
      <c r="I11" s="37">
        <v>13673</v>
      </c>
      <c r="J11" s="75">
        <v>18000</v>
      </c>
      <c r="K11" s="125" t="s">
        <v>127</v>
      </c>
    </row>
    <row r="12">
      <c r="A12" s="2"/>
      <c r="B12" s="47" t="s">
        <v>133</v>
      </c>
      <c r="C12" s="7"/>
      <c r="D12" s="7"/>
      <c r="E12" s="7"/>
      <c r="F12" s="7"/>
      <c r="G12" s="7"/>
      <c r="H12" s="40">
        <f>IF(OR(H11="",C11=""),"n.a.",IFERROR(IF(C11&lt;=0,"n.m.",IF(H11/C11&lt;=0,"n.m.",H11/C11-1)),"n.a."))</f>
        <v>-0.1496431105731102</v>
      </c>
      <c r="I12" s="40">
        <f>IF(OR(I11="",D11=""),"n.a.",IFERROR(IF(D11&lt;=0,"n.m.",IF(I11/D11&lt;=0,"n.m.",I11/D11-1)),"n.a."))</f>
        <v>-0.04478133296073772</v>
      </c>
      <c r="J12" s="45">
        <f>IF(OR(J11="",E11=""),"n.a.",IFERROR(IF(E11&lt;=0,"n.m.",IF(J11/E11&lt;=0,"n.m.",J11/E11-1)),"n.a."))</f>
        <v>-0.2345962495216226</v>
      </c>
      <c r="K12" s="124"/>
    </row>
    <row r="13">
      <c r="A13" s="2"/>
      <c r="B13" s="47" t="s">
        <v>134</v>
      </c>
      <c r="C13" s="7"/>
      <c r="D13" s="41">
        <f>IF(OR(D11="",C11=""),"n.a.",IFERROR(D11-C11,"n.a."))</f>
        <v>-9643</v>
      </c>
      <c r="E13" s="41">
        <f>IF(OR(E11="",D11=""),"n.a.",IFERROR(E11-D11,"n.a."))</f>
        <v>9203</v>
      </c>
      <c r="F13" s="41">
        <f>IF(OR(F11="",E11=""),"n.a.",IFERROR(F11-E11,"n.a."))</f>
        <v>-3308</v>
      </c>
      <c r="G13" s="7"/>
      <c r="H13" s="41">
        <f>IF(OR(H11="",F11=""),"n.a.",IFERROR(H11-F11,"n.a."))</f>
        <v>163</v>
      </c>
      <c r="I13" s="41">
        <f>IF(OR(I11="",H11=""),"n.a.",IFERROR(I11-H11,"n.a."))</f>
        <v>-6699</v>
      </c>
      <c r="J13" s="52">
        <f>IF(OR(J11="",I11=""),"n.a.",IFERROR(J11-I11,"n.a."))</f>
        <v>4327</v>
      </c>
      <c r="K13" s="124"/>
    </row>
    <row r="14">
      <c r="A14" s="2"/>
      <c r="B14" s="61" t="s">
        <v>234</v>
      </c>
      <c r="C14" s="40">
        <f>C17/C10</f>
        <v>-0.02683599235154826</v>
      </c>
      <c r="D14" s="40">
        <f>D17/D10</f>
        <v>0.0628090212792558</v>
      </c>
      <c r="E14" s="40">
        <f>E17/E10</f>
        <v>0.0502918919136602</v>
      </c>
      <c r="F14" s="40">
        <f>F17/F10</f>
        <v>0.022537543614860284</v>
      </c>
      <c r="G14" s="40">
        <f>G17/G10</f>
        <v>0.11343042836323877</v>
      </c>
      <c r="H14" s="40">
        <f>H17/H10</f>
        <v>-0.03779110881716006</v>
      </c>
      <c r="I14" s="40">
        <f>I17/I10</f>
        <v>0.09372941068597805</v>
      </c>
      <c r="J14" s="92">
        <v>0.0045</v>
      </c>
      <c r="K14" s="124"/>
    </row>
    <row r="15">
      <c r="A15" s="2"/>
      <c r="B15" s="47" t="s">
        <v>169</v>
      </c>
      <c r="C15" s="7"/>
      <c r="D15" s="42">
        <f>(D14-C14)*10000</f>
        <v>896.4501363080407</v>
      </c>
      <c r="E15" s="42">
        <f>(E14-D14)*10000</f>
        <v>-125.17129365595605</v>
      </c>
      <c r="F15" s="42">
        <f>(F14-E14)*10000</f>
        <v>-277.5434829879992</v>
      </c>
      <c r="G15" s="7"/>
      <c r="H15" s="42">
        <f>(H14-F14)*10000</f>
        <v>-603.2865243202035</v>
      </c>
      <c r="I15" s="42">
        <f>(I14-H14)*10000</f>
        <v>1315.2051950313812</v>
      </c>
      <c r="J15" s="56">
        <f>(J14-I14)*10000</f>
        <v>-892.2941068597805</v>
      </c>
      <c r="K15" s="124"/>
    </row>
    <row r="16">
      <c r="A16" s="2"/>
      <c r="B16" s="47" t="s">
        <v>170</v>
      </c>
      <c r="C16" s="7"/>
      <c r="D16" s="7"/>
      <c r="E16" s="7"/>
      <c r="F16" s="7"/>
      <c r="G16" s="7"/>
      <c r="H16" s="42">
        <f>(H14-C14)*10000</f>
        <v>-109.551164656118</v>
      </c>
      <c r="I16" s="42">
        <f>(I14-D14)*10000</f>
        <v>309.20389406722245</v>
      </c>
      <c r="J16" s="56">
        <f>(J14-E14)*10000</f>
        <v>-457.918919136602</v>
      </c>
      <c r="K16" s="124"/>
    </row>
    <row r="17">
      <c r="A17" s="2"/>
      <c r="B17" s="3" t="s">
        <v>235</v>
      </c>
      <c r="C17" s="37">
        <v>-50511</v>
      </c>
      <c r="D17" s="37">
        <v>116552</v>
      </c>
      <c r="E17" s="37">
        <v>99906</v>
      </c>
      <c r="F17" s="37">
        <v>47553</v>
      </c>
      <c r="G17" s="43">
        <f>SUM(C17:F17)</f>
        <v>213500</v>
      </c>
      <c r="H17" s="37">
        <v>-82298</v>
      </c>
      <c r="I17" s="37">
        <v>198311</v>
      </c>
      <c r="J17" s="38">
        <f>J10*J14</f>
        <v>10474.947</v>
      </c>
      <c r="K17" s="125" t="s">
        <v>127</v>
      </c>
    </row>
    <row r="18">
      <c r="A18" s="2"/>
      <c r="B18" s="47" t="s">
        <v>133</v>
      </c>
      <c r="C18" s="7"/>
      <c r="D18" s="7"/>
      <c r="E18" s="7"/>
      <c r="F18" s="7"/>
      <c r="G18" s="7"/>
      <c r="H18" s="40" t="str">
        <f>IF(OR(H17="",C17=""),"n.a.",IFERROR(IF(C17&lt;=0,"n.m.",IF(H17/C17&lt;=0,"n.m.",H17/C17-1)),"n.a."))</f>
        <v>n.m.</v>
      </c>
      <c r="I18" s="40">
        <f>IF(OR(I17="",D17=""),"n.a.",IFERROR(IF(D17&lt;=0,"n.m.",IF(I17/D17&lt;=0,"n.m.",I17/D17-1)),"n.a."))</f>
        <v>0.7014808840689135</v>
      </c>
      <c r="J18" s="45">
        <f>IF(OR(J17="",E17=""),"n.a.",IFERROR(IF(E17&lt;=0,"n.m.",IF(J17/E17&lt;=0,"n.m.",J17/E17-1)),"n.a."))</f>
        <v>-0.8951519728544832</v>
      </c>
      <c r="K18" s="124"/>
    </row>
    <row r="19">
      <c r="A19" s="2"/>
      <c r="B19" s="47" t="s">
        <v>134</v>
      </c>
      <c r="C19" s="7"/>
      <c r="D19" s="41">
        <f>IF(OR(D17="",C17=""),"n.a.",IFERROR(D17-C17,"n.a."))</f>
        <v>167063</v>
      </c>
      <c r="E19" s="41">
        <f>IF(OR(E17="",D17=""),"n.a.",IFERROR(E17-D17,"n.a."))</f>
        <v>-16646</v>
      </c>
      <c r="F19" s="41">
        <f>IF(OR(F17="",E17=""),"n.a.",IFERROR(F17-E17,"n.a."))</f>
        <v>-52353</v>
      </c>
      <c r="G19" s="7"/>
      <c r="H19" s="41">
        <f>IF(OR(H17="",F17=""),"n.a.",IFERROR(H17-F17,"n.a."))</f>
        <v>-129851</v>
      </c>
      <c r="I19" s="41">
        <f>IF(OR(I17="",H17=""),"n.a.",IFERROR(I17-H17,"n.a."))</f>
        <v>280609</v>
      </c>
      <c r="J19" s="52">
        <f>IF(OR(J17="",I17=""),"n.a.",IFERROR(J17-I17,"n.a."))</f>
        <v>-187836.053</v>
      </c>
      <c r="K19" s="124"/>
    </row>
    <row r="20">
      <c r="A20" s="2"/>
      <c r="B20" s="18" t="s">
        <v>236</v>
      </c>
      <c r="C20" s="39">
        <f>C10+C11+C17</f>
        <v>1855657</v>
      </c>
      <c r="D20" s="39">
        <f>D10+D11+D17</f>
        <v>1986523</v>
      </c>
      <c r="E20" s="39">
        <f>E10+E11+E17</f>
        <v>2109946</v>
      </c>
      <c r="F20" s="39">
        <f>F10+F11+F17</f>
        <v>2177708</v>
      </c>
      <c r="G20" s="39">
        <f>F20</f>
        <v>2177708</v>
      </c>
      <c r="H20" s="39">
        <f>H10+H11+H17</f>
        <v>2115782</v>
      </c>
      <c r="I20" s="39">
        <f>I10+I11+I17</f>
        <v>2327766</v>
      </c>
      <c r="J20" s="50">
        <f>J10+J11+J17</f>
        <v>2356240.947</v>
      </c>
      <c r="K20" s="124"/>
    </row>
    <row r="21">
      <c r="A21" s="2"/>
      <c r="B21" s="47" t="s">
        <v>133</v>
      </c>
      <c r="C21" s="7"/>
      <c r="D21" s="7"/>
      <c r="E21" s="7"/>
      <c r="F21" s="7"/>
      <c r="G21" s="7"/>
      <c r="H21" s="40">
        <f>IF(OR(H20="",C20=""),"n.a.",IFERROR(IF(C20&lt;=0,"n.m.",IF(H20/C20&lt;=0,"n.m.",H20/C20-1)),"n.a."))</f>
        <v>0.14017946204497922</v>
      </c>
      <c r="I21" s="40">
        <f>IF(OR(I20="",D20=""),"n.a.",IFERROR(IF(D20&lt;=0,"n.m.",IF(I20/D20&lt;=0,"n.m.",I20/D20-1)),"n.a."))</f>
        <v>0.17177903301396458</v>
      </c>
      <c r="J21" s="45">
        <f>IF(OR(J20="",E20=""),"n.a.",IFERROR(IF(E20&lt;=0,"n.m.",IF(J20/E20&lt;=0,"n.m.",J20/E20-1)),"n.a."))</f>
        <v>0.11673045044754704</v>
      </c>
      <c r="K21" s="124"/>
    </row>
    <row r="22">
      <c r="A22" s="2"/>
      <c r="B22" s="47" t="s">
        <v>134</v>
      </c>
      <c r="C22" s="7"/>
      <c r="D22" s="41">
        <f>IF(OR(D20="",C20=""),"n.a.",IFERROR(D20-C20,"n.a."))</f>
        <v>130866</v>
      </c>
      <c r="E22" s="41">
        <f>IF(OR(E20="",D20=""),"n.a.",IFERROR(E20-D20,"n.a."))</f>
        <v>123423</v>
      </c>
      <c r="F22" s="41">
        <f>IF(OR(F20="",E20=""),"n.a.",IFERROR(F20-E20,"n.a."))</f>
        <v>67762</v>
      </c>
      <c r="G22" s="7"/>
      <c r="H22" s="41">
        <f>IF(OR(H20="",F20=""),"n.a.",IFERROR(H20-F20,"n.a."))</f>
        <v>-61926</v>
      </c>
      <c r="I22" s="41">
        <f>IF(OR(I20="",H20=""),"n.a.",IFERROR(I20-H20,"n.a."))</f>
        <v>211984</v>
      </c>
      <c r="J22" s="52">
        <f>IF(OR(J20="",I20=""),"n.a.",IFERROR(J20-I20,"n.a."))</f>
        <v>28474.94700000016</v>
      </c>
      <c r="K22" s="124"/>
    </row>
    <row r="23">
      <c r="A23" s="2"/>
      <c r="B23" s="3" t="s">
        <v>237</v>
      </c>
      <c r="C23" s="37">
        <v>1855657</v>
      </c>
      <c r="D23" s="37">
        <v>1986523</v>
      </c>
      <c r="E23" s="37">
        <v>2109946</v>
      </c>
      <c r="F23" s="37">
        <v>2177708</v>
      </c>
      <c r="G23" s="43">
        <f>F23</f>
        <v>2177708</v>
      </c>
      <c r="H23" s="37">
        <v>2115782</v>
      </c>
      <c r="I23" s="37">
        <v>2327766</v>
      </c>
      <c r="J23" s="46"/>
      <c r="K23" s="125" t="s">
        <v>127</v>
      </c>
    </row>
    <row r="24">
      <c r="A24" s="2"/>
      <c r="B24" s="61" t="s">
        <v>238</v>
      </c>
      <c r="C24" s="41">
        <f>C20-C23</f>
        <v>0</v>
      </c>
      <c r="D24" s="41">
        <f>D20-D23</f>
        <v>0</v>
      </c>
      <c r="E24" s="41">
        <f>E20-E23</f>
        <v>0</v>
      </c>
      <c r="F24" s="41">
        <f>F20-F23</f>
        <v>0</v>
      </c>
      <c r="G24" s="41">
        <f>G20-G23</f>
        <v>0</v>
      </c>
      <c r="H24" s="41">
        <f>H20-H23</f>
        <v>0</v>
      </c>
      <c r="I24" s="41">
        <f>I20-I23</f>
        <v>0</v>
      </c>
      <c r="J24" s="46"/>
      <c r="K24" s="124"/>
    </row>
    <row r="25">
      <c r="A25" s="2"/>
      <c r="B25" s="3" t="s">
        <v>239</v>
      </c>
      <c r="C25" s="43">
        <f>(C10+C20)/2</f>
        <v>1868934</v>
      </c>
      <c r="D25" s="43">
        <f>(D10+D20)/2</f>
        <v>1921090</v>
      </c>
      <c r="E25" s="43">
        <f>(E10+E20)/2</f>
        <v>2048234.5</v>
      </c>
      <c r="F25" s="43">
        <f>(F10+F20)/2</f>
        <v>2143827</v>
      </c>
      <c r="G25" s="7"/>
      <c r="H25" s="43">
        <f>(H10+H20)/2</f>
        <v>2146745</v>
      </c>
      <c r="I25" s="43">
        <f>(I10+I20)/2</f>
        <v>2221774</v>
      </c>
      <c r="J25" s="38">
        <f>(J10+J20)/2</f>
        <v>2342003.4735000003</v>
      </c>
      <c r="K25" s="124"/>
    </row>
    <row r="26">
      <c r="A26" s="2"/>
      <c r="B26" s="47" t="s">
        <v>133</v>
      </c>
      <c r="C26" s="7"/>
      <c r="D26" s="7"/>
      <c r="E26" s="7"/>
      <c r="F26" s="7"/>
      <c r="G26" s="7"/>
      <c r="H26" s="40">
        <f>IF(OR(H25="",C25=""),"n.a.",IFERROR(IF(C25&lt;=0,"n.m.",IF(H25/C25&lt;=0,"n.m.",H25/C25-1)),"n.a."))</f>
        <v>0.14864676869274152</v>
      </c>
      <c r="I26" s="40">
        <f>IF(OR(I25="",D25=""),"n.a.",IFERROR(IF(D25&lt;=0,"n.m.",IF(I25/D25&lt;=0,"n.m.",I25/D25-1)),"n.a."))</f>
        <v>0.15651739377124452</v>
      </c>
      <c r="J26" s="45">
        <f>IF(OR(J25="",E25=""),"n.a.",IFERROR(IF(E25&lt;=0,"n.m.",IF(J25/E25&lt;=0,"n.m.",J25/E25-1)),"n.a."))</f>
        <v>0.14342545909660265</v>
      </c>
      <c r="K26" s="124"/>
    </row>
    <row r="27">
      <c r="A27" s="2"/>
      <c r="B27" s="47" t="s">
        <v>134</v>
      </c>
      <c r="C27" s="7"/>
      <c r="D27" s="41">
        <f>IF(OR(D25="",C25=""),"n.a.",IFERROR(D25-C25,"n.a."))</f>
        <v>52156</v>
      </c>
      <c r="E27" s="41">
        <f>IF(OR(E25="",D25=""),"n.a.",IFERROR(E25-D25,"n.a."))</f>
        <v>127144.5</v>
      </c>
      <c r="F27" s="41">
        <f>IF(OR(F25="",E25=""),"n.a.",IFERROR(F25-E25,"n.a."))</f>
        <v>95592.5</v>
      </c>
      <c r="G27" s="7"/>
      <c r="H27" s="41">
        <f>IF(OR(H25="",F25=""),"n.a.",IFERROR(H25-F25,"n.a."))</f>
        <v>2918</v>
      </c>
      <c r="I27" s="41">
        <f>IF(OR(I25="",H25=""),"n.a.",IFERROR(I25-H25,"n.a."))</f>
        <v>75029</v>
      </c>
      <c r="J27" s="52">
        <f>IF(OR(J25="",I25=""),"n.a.",IFERROR(J25-I25,"n.a."))</f>
        <v>120229.47350000031</v>
      </c>
      <c r="K27" s="124"/>
    </row>
    <row r="28">
      <c r="A28" s="2"/>
      <c r="B28" s="61" t="s">
        <v>240</v>
      </c>
      <c r="C28" s="40">
        <f>C11/C10*365/C7</f>
        <v>0.05161958167519181</v>
      </c>
      <c r="D28" s="40">
        <f>D11/D10*365/D7</f>
        <v>0.03093960613588433</v>
      </c>
      <c r="E28" s="40">
        <f>E11/E10*365/E7</f>
        <v>0.04696705817367724</v>
      </c>
      <c r="F28" s="40">
        <f>F11/F10*365/F7</f>
        <v>0.03799955585098634</v>
      </c>
      <c r="G28" s="7"/>
      <c r="H28" s="40">
        <f>H11/H10*365/H7</f>
        <v>0.037938868653546655</v>
      </c>
      <c r="I28" s="40">
        <f>I11/I10*365/I7</f>
        <v>0.02592055927654775</v>
      </c>
      <c r="J28" s="45">
        <f>J11/J10*365/J7</f>
        <v>0.03067878965422679</v>
      </c>
      <c r="K28" s="124"/>
    </row>
    <row r="29">
      <c r="A29" s="2"/>
      <c r="B29" s="47" t="s">
        <v>169</v>
      </c>
      <c r="C29" s="7"/>
      <c r="D29" s="42">
        <f>(D28-C28)*10000</f>
        <v>-206.7997553930748</v>
      </c>
      <c r="E29" s="42">
        <f>(E28-D28)*10000</f>
        <v>160.2745203779291</v>
      </c>
      <c r="F29" s="42">
        <f>(F28-E28)*10000</f>
        <v>-89.67502322690898</v>
      </c>
      <c r="G29" s="7"/>
      <c r="H29" s="42">
        <f>(H28-F28)*10000</f>
        <v>-0.6068719743968637</v>
      </c>
      <c r="I29" s="42">
        <f>(I28-H28)*10000</f>
        <v>-120.18309376998906</v>
      </c>
      <c r="J29" s="56">
        <f>(J28-I28)*10000</f>
        <v>47.5823037767904</v>
      </c>
      <c r="K29" s="124"/>
    </row>
    <row r="30">
      <c r="A30" s="2"/>
      <c r="B30" s="47" t="s">
        <v>170</v>
      </c>
      <c r="C30" s="7"/>
      <c r="D30" s="7"/>
      <c r="E30" s="7"/>
      <c r="F30" s="7"/>
      <c r="G30" s="7"/>
      <c r="H30" s="42">
        <f>(H28-C28)*10000</f>
        <v>-136.80713021645155</v>
      </c>
      <c r="I30" s="42">
        <f>(I28-D28)*10000</f>
        <v>-50.1904685933658</v>
      </c>
      <c r="J30" s="56">
        <f>(J28-E28)*10000</f>
        <v>-162.8826851945045</v>
      </c>
      <c r="K30" s="124"/>
    </row>
    <row r="31">
      <c r="A31" s="2"/>
      <c r="B31" s="61" t="s">
        <v>241</v>
      </c>
      <c r="C31" s="84">
        <f>'Income Statement'!C169/C25*365/C7</f>
        <v>0.008111397548905776</v>
      </c>
      <c r="D31" s="84">
        <f>'Income Statement'!D169/D25*365/D7</f>
        <v>0.007720948712781475</v>
      </c>
      <c r="E31" s="84">
        <f>'Income Statement'!E169/E25*365/E7</f>
        <v>0.0076936885209528336</v>
      </c>
      <c r="F31" s="84">
        <f>'Income Statement'!F169/F25*365/F7</f>
        <v>0.007759614809931229</v>
      </c>
      <c r="G31" s="7"/>
      <c r="H31" s="84">
        <f>'Income Statement'!H169/H25*365/H7</f>
        <v>0.008146079555585575</v>
      </c>
      <c r="I31" s="84">
        <f>'Income Statement'!I169/I25*365/I7</f>
        <v>0.007992103765571275</v>
      </c>
      <c r="J31" s="93">
        <v>0.00775</v>
      </c>
      <c r="K31" s="124"/>
    </row>
    <row r="32">
      <c r="A32" s="2"/>
      <c r="B32" s="47" t="s">
        <v>169</v>
      </c>
      <c r="C32" s="7"/>
      <c r="D32" s="42">
        <f>(D31-C31)*10000</f>
        <v>-3.9044883612430072</v>
      </c>
      <c r="E32" s="42">
        <f>(E31-D31)*10000</f>
        <v>-0.27260191828641817</v>
      </c>
      <c r="F32" s="42">
        <f>(F31-E31)*10000</f>
        <v>0.6592628897839504</v>
      </c>
      <c r="G32" s="7"/>
      <c r="H32" s="42">
        <f>(H31-F31)*10000</f>
        <v>3.8646474565434596</v>
      </c>
      <c r="I32" s="42">
        <f>(I31-H31)*10000</f>
        <v>-1.5397579001429942</v>
      </c>
      <c r="J32" s="56">
        <f>(J31-I31)*10000</f>
        <v>-2.421037655712752</v>
      </c>
      <c r="K32" s="124"/>
    </row>
    <row r="33">
      <c r="A33" s="2"/>
      <c r="B33" s="47" t="s">
        <v>170</v>
      </c>
      <c r="C33" s="7"/>
      <c r="D33" s="7"/>
      <c r="E33" s="7"/>
      <c r="F33" s="7"/>
      <c r="G33" s="7"/>
      <c r="H33" s="42">
        <f>(H31-C31)*10000</f>
        <v>0.34682006679798494</v>
      </c>
      <c r="I33" s="42">
        <f>(I31-D31)*10000</f>
        <v>2.711550527897998</v>
      </c>
      <c r="J33" s="56">
        <f>(J31-E31)*10000</f>
        <v>0.5631147904716638</v>
      </c>
      <c r="K33" s="124"/>
    </row>
    <row r="34">
      <c r="A34" s="2"/>
      <c r="B34" s="3" t="s">
        <v>242</v>
      </c>
      <c r="C34" s="58">
        <f>'Income Statement'!C169</f>
        <v>3738</v>
      </c>
      <c r="D34" s="58">
        <f>'Income Statement'!D169</f>
        <v>3698</v>
      </c>
      <c r="E34" s="58">
        <f>'Income Statement'!E169</f>
        <v>3972</v>
      </c>
      <c r="F34" s="58">
        <f>'Income Statement'!F169</f>
        <v>4193</v>
      </c>
      <c r="G34" s="58">
        <f>'Income Statement'!G169</f>
        <v>15601</v>
      </c>
      <c r="H34" s="58">
        <f>'Income Statement'!H169</f>
        <v>4312</v>
      </c>
      <c r="I34" s="58">
        <f>'Income Statement'!I169</f>
        <v>4427</v>
      </c>
      <c r="J34" s="38">
        <f>J25*J31*J7/365</f>
        <v>4574.927333165754</v>
      </c>
      <c r="K34" s="124"/>
    </row>
    <row r="35">
      <c r="A35" s="2"/>
      <c r="B35" s="47" t="s">
        <v>113</v>
      </c>
      <c r="C35" s="7"/>
      <c r="D35" s="7"/>
      <c r="E35" s="7"/>
      <c r="F35" s="7"/>
      <c r="G35" s="7"/>
      <c r="H35" s="40">
        <f>IF(OR(H34="",C34=""),"n.a.",IFERROR(IF(C34&lt;=0,"n.m.",IF(H34/C34&lt;=0,"n.m.",H34/C34-1)),"n.a."))</f>
        <v>0.15355805243445686</v>
      </c>
      <c r="I35" s="40">
        <f>IF(OR(I34="",D34=""),"n.a.",IFERROR(IF(D34&lt;=0,"n.m.",IF(I34/D34&lt;=0,"n.m.",I34/D34-1)),"n.a."))</f>
        <v>0.197133585722012</v>
      </c>
      <c r="J35" s="45">
        <f>IF(OR(J34="",E34=""),"n.a.",IFERROR(IF(E34&lt;=0,"n.m.",IF(J34/E34&lt;=0,"n.m.",J34/E34-1)),"n.a."))</f>
        <v>0.151794394049787</v>
      </c>
      <c r="K35" s="124"/>
    </row>
    <row r="36">
      <c r="A36" s="2"/>
      <c r="B36" s="47" t="s">
        <v>114</v>
      </c>
      <c r="C36" s="7"/>
      <c r="D36" s="40">
        <f>IF(OR(D34="",C34=""),"n.a.",IFERROR(IF(C34&lt;=0,"n.m.",IF(D34/C34&lt;=0,"n.m.",D34/C34-1)),"n.a."))</f>
        <v>-0.010700909577314066</v>
      </c>
      <c r="E36" s="40">
        <f>IF(OR(E34="",D34=""),"n.a.",IFERROR(IF(D34&lt;=0,"n.m.",IF(E34/D34&lt;=0,"n.m.",E34/D34-1)),"n.a."))</f>
        <v>0.0740941049215793</v>
      </c>
      <c r="F36" s="40">
        <f>IF(OR(F34="",E34=""),"n.a.",IFERROR(IF(E34&lt;=0,"n.m.",IF(F34/E34&lt;=0,"n.m.",F34/E34-1)),"n.a."))</f>
        <v>0.05563947633434041</v>
      </c>
      <c r="G36" s="7"/>
      <c r="H36" s="40">
        <f>IF(OR(H34="",F34=""),"n.a.",IFERROR(IF(F34&lt;=0,"n.m.",IF(H34/F34&lt;=0,"n.m.",H34/F34-1)),"n.a."))</f>
        <v>0.028380634390651194</v>
      </c>
      <c r="I36" s="40">
        <f>IF(OR(I34="",H34=""),"n.a.",IFERROR(IF(H34&lt;=0,"n.m.",IF(I34/H34&lt;=0,"n.m.",I34/H34-1)),"n.a."))</f>
        <v>0.026669758812615907</v>
      </c>
      <c r="J36" s="45">
        <f>IF(OR(J34="",I34=""),"n.a.",IFERROR(IF(I34&lt;=0,"n.m.",IF(J34/I34&lt;=0,"n.m.",J34/I34-1)),"n.a."))</f>
        <v>0.03341480306432221</v>
      </c>
      <c r="K36" s="124"/>
    </row>
    <row r="37">
      <c r="A37" s="2"/>
      <c r="B37" s="47" t="s">
        <v>115</v>
      </c>
      <c r="C37" s="7"/>
      <c r="D37" s="7"/>
      <c r="E37" s="7"/>
      <c r="F37" s="7"/>
      <c r="G37" s="7"/>
      <c r="H37" s="40" t="s">
        <v>116</v>
      </c>
      <c r="I37" s="40" t="s">
        <v>116</v>
      </c>
      <c r="J37" s="45" t="s">
        <v>116</v>
      </c>
      <c r="K37" s="124"/>
    </row>
    <row r="38">
      <c r="A38" s="2"/>
      <c r="B38" s="47" t="s">
        <v>117</v>
      </c>
      <c r="C38" s="7"/>
      <c r="D38" s="7"/>
      <c r="E38" s="7"/>
      <c r="F38" s="7"/>
      <c r="G38" s="7"/>
      <c r="H38" s="40" t="s">
        <v>116</v>
      </c>
      <c r="I38" s="40" t="s">
        <v>116</v>
      </c>
      <c r="J38" s="45" t="s">
        <v>116</v>
      </c>
      <c r="K38" s="124"/>
    </row>
    <row r="39">
      <c r="A39" s="2"/>
      <c r="B39" s="47" t="s">
        <v>118</v>
      </c>
      <c r="C39" s="7"/>
      <c r="D39" s="7"/>
      <c r="E39" s="7"/>
      <c r="F39" s="7"/>
      <c r="G39" s="7"/>
      <c r="H39" s="40" t="s">
        <v>116</v>
      </c>
      <c r="I39" s="40" t="s">
        <v>116</v>
      </c>
      <c r="J39" s="45" t="s">
        <v>116</v>
      </c>
      <c r="K39" s="124"/>
    </row>
    <row r="40">
      <c r="A40" s="2"/>
      <c r="B40" s="47" t="s">
        <v>119</v>
      </c>
      <c r="C40" s="40">
        <f>IFERROR(C34/C117,"n.a.")</f>
        <v>0.621343085106383</v>
      </c>
      <c r="D40" s="40">
        <f>IFERROR(D34/D117,"n.a.")</f>
        <v>0.6228735051372747</v>
      </c>
      <c r="E40" s="40">
        <f>IFERROR(E34/E117,"n.a.")</f>
        <v>0.629277566539924</v>
      </c>
      <c r="F40" s="40">
        <f>IFERROR(F34/F117,"n.a.")</f>
        <v>0.633575098216984</v>
      </c>
      <c r="G40" s="40">
        <f>IFERROR(G34/G117,"n.a.")</f>
        <v>0.626974239440582</v>
      </c>
      <c r="H40" s="40">
        <f>IFERROR(H34/H117,"n.a.")</f>
        <v>0.6424314660309892</v>
      </c>
      <c r="I40" s="40">
        <f>IFERROR(I34/I117,"n.a.")</f>
        <v>0.6443021394265754</v>
      </c>
      <c r="J40" s="45">
        <f>IFERROR(J34/J117,"n.a.")</f>
        <v>0.648974114655031</v>
      </c>
      <c r="K40" s="124"/>
    </row>
    <row r="41">
      <c r="A41" s="2"/>
      <c r="B41" s="18" t="s">
        <v>243</v>
      </c>
      <c r="C41" s="7"/>
      <c r="D41" s="7"/>
      <c r="E41" s="7"/>
      <c r="F41" s="7"/>
      <c r="G41" s="7"/>
      <c r="H41" s="7"/>
      <c r="I41" s="7"/>
      <c r="J41" s="46"/>
      <c r="K41" s="124"/>
    </row>
    <row r="42">
      <c r="A42" s="2"/>
      <c r="B42" s="3" t="s">
        <v>244</v>
      </c>
      <c r="C42" s="43">
        <f>C23</f>
        <v>1855657</v>
      </c>
      <c r="D42" s="43">
        <f>D23</f>
        <v>1986523</v>
      </c>
      <c r="E42" s="43">
        <f>E23</f>
        <v>2109946</v>
      </c>
      <c r="F42" s="43">
        <f>F23</f>
        <v>2177708</v>
      </c>
      <c r="G42" s="43">
        <f>G23</f>
        <v>2177708</v>
      </c>
      <c r="H42" s="43">
        <f>H23</f>
        <v>2115782</v>
      </c>
      <c r="I42" s="43">
        <f>I23</f>
        <v>2327766</v>
      </c>
      <c r="J42" s="38">
        <f>J20</f>
        <v>2356240.947</v>
      </c>
      <c r="K42" s="125" t="s">
        <v>127</v>
      </c>
    </row>
    <row r="43">
      <c r="A43" s="2"/>
      <c r="B43" s="47" t="s">
        <v>133</v>
      </c>
      <c r="C43" s="7"/>
      <c r="D43" s="7"/>
      <c r="E43" s="7"/>
      <c r="F43" s="7"/>
      <c r="G43" s="7"/>
      <c r="H43" s="40">
        <f>IF(OR(H42="",C42=""),"n.a.",IFERROR(IF(C42&lt;=0,"n.m.",IF(H42/C42&lt;=0,"n.m.",H42/C42-1)),"n.a."))</f>
        <v>0.14017946204497922</v>
      </c>
      <c r="I43" s="40">
        <f>IF(OR(I42="",D42=""),"n.a.",IFERROR(IF(D42&lt;=0,"n.m.",IF(I42/D42&lt;=0,"n.m.",I42/D42-1)),"n.a."))</f>
        <v>0.17177903301396458</v>
      </c>
      <c r="J43" s="45">
        <f>IF(OR(J42="",E42=""),"n.a.",IFERROR(IF(E42&lt;=0,"n.m.",IF(J42/E42&lt;=0,"n.m.",J42/E42-1)),"n.a."))</f>
        <v>0.11673045044754704</v>
      </c>
      <c r="K43" s="124"/>
    </row>
    <row r="44">
      <c r="A44" s="2"/>
      <c r="B44" s="47" t="s">
        <v>134</v>
      </c>
      <c r="C44" s="7"/>
      <c r="D44" s="41">
        <f>IF(OR(D42="",C42=""),"n.a.",IFERROR(D42-C42,"n.a."))</f>
        <v>130866</v>
      </c>
      <c r="E44" s="41">
        <f>IF(OR(E42="",D42=""),"n.a.",IFERROR(E42-D42,"n.a."))</f>
        <v>123423</v>
      </c>
      <c r="F44" s="41">
        <f>IF(OR(F42="",E42=""),"n.a.",IFERROR(F42-E42,"n.a."))</f>
        <v>67762</v>
      </c>
      <c r="G44" s="7"/>
      <c r="H44" s="41">
        <f>IF(OR(H42="",F42=""),"n.a.",IFERROR(H42-F42,"n.a."))</f>
        <v>-61926</v>
      </c>
      <c r="I44" s="41">
        <f>IF(OR(I42="",H42=""),"n.a.",IFERROR(I42-H42,"n.a."))</f>
        <v>211984</v>
      </c>
      <c r="J44" s="52">
        <f>IF(OR(J42="",I42=""),"n.a.",IFERROR(J42-I42,"n.a."))</f>
        <v>28474.94700000016</v>
      </c>
      <c r="K44" s="124"/>
    </row>
    <row r="45">
      <c r="A45" s="2"/>
      <c r="B45" s="3" t="s">
        <v>245</v>
      </c>
      <c r="C45" s="37">
        <v>1821203</v>
      </c>
      <c r="D45" s="37">
        <v>1932182</v>
      </c>
      <c r="E45" s="37">
        <v>2040748</v>
      </c>
      <c r="F45" s="37">
        <v>2067937</v>
      </c>
      <c r="G45" s="43">
        <f>F45</f>
        <v>2067937</v>
      </c>
      <c r="H45" s="37">
        <v>1946617</v>
      </c>
      <c r="I45" s="37">
        <v>2094157</v>
      </c>
      <c r="J45" s="38" t="s">
        <v>194</v>
      </c>
      <c r="K45" s="125" t="s">
        <v>127</v>
      </c>
    </row>
    <row r="46">
      <c r="A46" s="2"/>
      <c r="B46" s="47" t="s">
        <v>133</v>
      </c>
      <c r="C46" s="7"/>
      <c r="D46" s="7"/>
      <c r="E46" s="7"/>
      <c r="F46" s="7"/>
      <c r="G46" s="7"/>
      <c r="H46" s="40">
        <f>IF(OR(H45="",C45=""),"n.a.",IFERROR(IF(C45&lt;=0,"n.m.",IF(H45/C45&lt;=0,"n.m.",H45/C45-1)),"n.a."))</f>
        <v>0.0688632733418515</v>
      </c>
      <c r="I46" s="40">
        <f>IF(OR(I45="",D45=""),"n.a.",IFERROR(IF(D45&lt;=0,"n.m.",IF(I45/D45&lt;=0,"n.m.",I45/D45-1)),"n.a."))</f>
        <v>0.08383009468052172</v>
      </c>
      <c r="J46" s="45" t="str">
        <f>IF(OR(J45="",E45=""),"n.a.",IFERROR(IF(E45&lt;=0,"n.m.",IF(J45/E45&lt;=0,"n.m.",J45/E45-1)),"n.a."))</f>
        <v>n.a.</v>
      </c>
      <c r="K46" s="124"/>
    </row>
    <row r="47">
      <c r="A47" s="2"/>
      <c r="B47" s="47" t="s">
        <v>134</v>
      </c>
      <c r="C47" s="7"/>
      <c r="D47" s="41">
        <f>IF(OR(D45="",C45=""),"n.a.",IFERROR(D45-C45,"n.a."))</f>
        <v>110979</v>
      </c>
      <c r="E47" s="41">
        <f>IF(OR(E45="",D45=""),"n.a.",IFERROR(E45-D45,"n.a."))</f>
        <v>108566</v>
      </c>
      <c r="F47" s="41">
        <f>IF(OR(F45="",E45=""),"n.a.",IFERROR(F45-E45,"n.a."))</f>
        <v>27189</v>
      </c>
      <c r="G47" s="7"/>
      <c r="H47" s="41">
        <f>IF(OR(H45="",F45=""),"n.a.",IFERROR(H45-F45,"n.a."))</f>
        <v>-121320</v>
      </c>
      <c r="I47" s="41">
        <f>IF(OR(I45="",H45=""),"n.a.",IFERROR(I45-H45,"n.a."))</f>
        <v>147540</v>
      </c>
      <c r="J47" s="52" t="str">
        <f>IF(OR(J45="",I45=""),"n.a.",IFERROR(J45-I45,"n.a."))</f>
        <v>n.a.</v>
      </c>
      <c r="K47" s="124"/>
    </row>
    <row r="48">
      <c r="A48" s="2"/>
      <c r="B48" s="3" t="s">
        <v>246</v>
      </c>
      <c r="C48" s="37">
        <v>285063</v>
      </c>
      <c r="D48" s="37">
        <v>275778</v>
      </c>
      <c r="E48" s="37">
        <v>278931</v>
      </c>
      <c r="F48" s="37">
        <v>289854</v>
      </c>
      <c r="G48" s="43">
        <f>F48</f>
        <v>289854</v>
      </c>
      <c r="H48" s="37">
        <v>287719</v>
      </c>
      <c r="I48" s="37">
        <v>278155</v>
      </c>
      <c r="J48" s="38" t="s">
        <v>194</v>
      </c>
      <c r="K48" s="125" t="s">
        <v>127</v>
      </c>
    </row>
    <row r="49">
      <c r="A49" s="2"/>
      <c r="B49" s="47" t="s">
        <v>133</v>
      </c>
      <c r="C49" s="7"/>
      <c r="D49" s="7"/>
      <c r="E49" s="7"/>
      <c r="F49" s="7"/>
      <c r="G49" s="7"/>
      <c r="H49" s="40">
        <f>IF(OR(H48="",C48=""),"n.a.",IFERROR(IF(C48&lt;=0,"n.m.",IF(H48/C48&lt;=0,"n.m.",H48/C48-1)),"n.a."))</f>
        <v>0.009317238645492498</v>
      </c>
      <c r="I49" s="40">
        <f>IF(OR(I48="",D48=""),"n.a.",IFERROR(IF(D48&lt;=0,"n.m.",IF(I48/D48&lt;=0,"n.m.",I48/D48-1)),"n.a."))</f>
        <v>0.008619251716960763</v>
      </c>
      <c r="J49" s="45" t="str">
        <f>IF(OR(J48="",E48=""),"n.a.",IFERROR(IF(E48&lt;=0,"n.m.",IF(J48/E48&lt;=0,"n.m.",J48/E48-1)),"n.a."))</f>
        <v>n.a.</v>
      </c>
      <c r="K49" s="124"/>
    </row>
    <row r="50">
      <c r="A50" s="2"/>
      <c r="B50" s="47" t="s">
        <v>134</v>
      </c>
      <c r="C50" s="7"/>
      <c r="D50" s="41">
        <f>IF(OR(D48="",C48=""),"n.a.",IFERROR(D48-C48,"n.a."))</f>
        <v>-9285</v>
      </c>
      <c r="E50" s="41">
        <f>IF(OR(E48="",D48=""),"n.a.",IFERROR(E48-D48,"n.a."))</f>
        <v>3153</v>
      </c>
      <c r="F50" s="41">
        <f>IF(OR(F48="",E48=""),"n.a.",IFERROR(F48-E48,"n.a."))</f>
        <v>10923</v>
      </c>
      <c r="G50" s="7"/>
      <c r="H50" s="41">
        <f>IF(OR(H48="",F48=""),"n.a.",IFERROR(H48-F48,"n.a."))</f>
        <v>-2135</v>
      </c>
      <c r="I50" s="41">
        <f>IF(OR(I48="",H48=""),"n.a.",IFERROR(I48-H48,"n.a."))</f>
        <v>-9564</v>
      </c>
      <c r="J50" s="52" t="str">
        <f>IF(OR(J48="",I48=""),"n.a.",IFERROR(J48-I48,"n.a."))</f>
        <v>n.a.</v>
      </c>
      <c r="K50" s="124"/>
    </row>
    <row r="51">
      <c r="A51" s="2"/>
      <c r="B51" s="3" t="s">
        <v>247</v>
      </c>
      <c r="C51" s="37">
        <v>236641</v>
      </c>
      <c r="D51" s="37">
        <v>243409</v>
      </c>
      <c r="E51" s="37">
        <v>255381</v>
      </c>
      <c r="F51" s="37">
        <v>263819</v>
      </c>
      <c r="G51" s="43">
        <f>F51</f>
        <v>263819</v>
      </c>
      <c r="H51" s="37">
        <v>266657</v>
      </c>
      <c r="I51" s="37">
        <v>279618</v>
      </c>
      <c r="J51" s="38" t="s">
        <v>194</v>
      </c>
      <c r="K51" s="125" t="s">
        <v>127</v>
      </c>
    </row>
    <row r="52">
      <c r="A52" s="2"/>
      <c r="B52" s="47" t="s">
        <v>133</v>
      </c>
      <c r="C52" s="7"/>
      <c r="D52" s="7"/>
      <c r="E52" s="7"/>
      <c r="F52" s="7"/>
      <c r="G52" s="7"/>
      <c r="H52" s="40">
        <f>IF(OR(H51="",C51=""),"n.a.",IFERROR(IF(C51&lt;=0,"n.m.",IF(H51/C51&lt;=0,"n.m.",H51/C51-1)),"n.a."))</f>
        <v>0.126841925110188</v>
      </c>
      <c r="I52" s="40">
        <f>IF(OR(I51="",D51=""),"n.a.",IFERROR(IF(D51&lt;=0,"n.m.",IF(I51/D51&lt;=0,"n.m.",I51/D51-1)),"n.a."))</f>
        <v>0.14875785201040226</v>
      </c>
      <c r="J52" s="45" t="str">
        <f>IF(OR(J51="",E51=""),"n.a.",IFERROR(IF(E51&lt;=0,"n.m.",IF(J51/E51&lt;=0,"n.m.",J51/E51-1)),"n.a."))</f>
        <v>n.a.</v>
      </c>
      <c r="K52" s="124"/>
    </row>
    <row r="53">
      <c r="A53" s="2"/>
      <c r="B53" s="47" t="s">
        <v>134</v>
      </c>
      <c r="C53" s="7"/>
      <c r="D53" s="41">
        <f>IF(OR(D51="",C51=""),"n.a.",IFERROR(D51-C51,"n.a."))</f>
        <v>6768</v>
      </c>
      <c r="E53" s="41">
        <f>IF(OR(E51="",D51=""),"n.a.",IFERROR(E51-D51,"n.a."))</f>
        <v>11972</v>
      </c>
      <c r="F53" s="41">
        <f>IF(OR(F51="",E51=""),"n.a.",IFERROR(F51-E51,"n.a."))</f>
        <v>8438</v>
      </c>
      <c r="G53" s="7"/>
      <c r="H53" s="41">
        <f>IF(OR(H51="",F51=""),"n.a.",IFERROR(H51-F51,"n.a."))</f>
        <v>2838</v>
      </c>
      <c r="I53" s="41">
        <f>IF(OR(I51="",H51=""),"n.a.",IFERROR(I51-H51,"n.a."))</f>
        <v>12961</v>
      </c>
      <c r="J53" s="52" t="str">
        <f>IF(OR(J51="",I51=""),"n.a.",IFERROR(J51-I51,"n.a."))</f>
        <v>n.a.</v>
      </c>
      <c r="K53" s="124"/>
    </row>
    <row r="54">
      <c r="A54" s="2"/>
      <c r="B54" s="3" t="s">
        <v>248</v>
      </c>
      <c r="C54" s="37">
        <v>-41370</v>
      </c>
      <c r="D54" s="37">
        <v>-42661</v>
      </c>
      <c r="E54" s="37">
        <v>-44207</v>
      </c>
      <c r="F54" s="37">
        <v>-47924</v>
      </c>
      <c r="G54" s="43">
        <f>F54</f>
        <v>-47924</v>
      </c>
      <c r="H54" s="37">
        <v>-44369</v>
      </c>
      <c r="I54" s="37">
        <v>-45300</v>
      </c>
      <c r="J54" s="38" t="s">
        <v>194</v>
      </c>
      <c r="K54" s="125" t="s">
        <v>127</v>
      </c>
    </row>
    <row r="55">
      <c r="A55" s="2"/>
      <c r="B55" s="47" t="s">
        <v>133</v>
      </c>
      <c r="C55" s="7"/>
      <c r="D55" s="7"/>
      <c r="E55" s="7"/>
      <c r="F55" s="7"/>
      <c r="G55" s="7"/>
      <c r="H55" s="40" t="str">
        <f>IF(OR(H54="",C54=""),"n.a.",IFERROR(IF(C54&lt;=0,"n.m.",IF(H54/C54&lt;=0,"n.m.",H54/C54-1)),"n.a."))</f>
        <v>n.m.</v>
      </c>
      <c r="I55" s="40" t="str">
        <f>IF(OR(I54="",D54=""),"n.a.",IFERROR(IF(D54&lt;=0,"n.m.",IF(I54/D54&lt;=0,"n.m.",I54/D54-1)),"n.a."))</f>
        <v>n.m.</v>
      </c>
      <c r="J55" s="45" t="str">
        <f>IF(OR(J54="",E54=""),"n.a.",IFERROR(IF(E54&lt;=0,"n.m.",IF(J54/E54&lt;=0,"n.m.",J54/E54-1)),"n.a."))</f>
        <v>n.m.</v>
      </c>
      <c r="K55" s="124"/>
    </row>
    <row r="56">
      <c r="A56" s="2"/>
      <c r="B56" s="47" t="s">
        <v>134</v>
      </c>
      <c r="C56" s="7"/>
      <c r="D56" s="41">
        <f>IF(OR(D54="",C54=""),"n.a.",IFERROR(D54-C54,"n.a."))</f>
        <v>-1291</v>
      </c>
      <c r="E56" s="41">
        <f>IF(OR(E54="",D54=""),"n.a.",IFERROR(E54-D54,"n.a."))</f>
        <v>-1546</v>
      </c>
      <c r="F56" s="41">
        <f>IF(OR(F54="",E54=""),"n.a.",IFERROR(F54-E54,"n.a."))</f>
        <v>-3717</v>
      </c>
      <c r="G56" s="7"/>
      <c r="H56" s="41">
        <f>IF(OR(H54="",F54=""),"n.a.",IFERROR(H54-F54,"n.a."))</f>
        <v>3555</v>
      </c>
      <c r="I56" s="41">
        <f>IF(OR(I54="",H54=""),"n.a.",IFERROR(I54-H54,"n.a."))</f>
        <v>-931</v>
      </c>
      <c r="J56" s="52" t="str">
        <f>IF(OR(J54="",I54=""),"n.a.",IFERROR(J54-I54,"n.a."))</f>
        <v>n.a.</v>
      </c>
      <c r="K56" s="124"/>
    </row>
    <row r="57">
      <c r="A57" s="2"/>
      <c r="B57" s="18" t="s">
        <v>249</v>
      </c>
      <c r="C57" s="39">
        <f>C42+C45+C48+C51+C54</f>
        <v>4157194</v>
      </c>
      <c r="D57" s="39">
        <f>D42+D45+D48+D51+D54</f>
        <v>4395231</v>
      </c>
      <c r="E57" s="39">
        <f>E42+E45+E48+E51+E54</f>
        <v>4640799</v>
      </c>
      <c r="F57" s="39">
        <f>F42+F45+F48+F51+F54</f>
        <v>4751394</v>
      </c>
      <c r="G57" s="39">
        <f>G42+G45+G48+G51+G54</f>
        <v>4751394</v>
      </c>
      <c r="H57" s="39">
        <f>H42+H45+H48+H51+H54</f>
        <v>4572406</v>
      </c>
      <c r="I57" s="39">
        <f>I42+I45+I48+I51+I54</f>
        <v>4934396</v>
      </c>
      <c r="J57" s="50" t="s">
        <v>194</v>
      </c>
      <c r="K57" s="124"/>
    </row>
    <row r="58">
      <c r="A58" s="2"/>
      <c r="B58" s="47" t="s">
        <v>133</v>
      </c>
      <c r="C58" s="7"/>
      <c r="D58" s="7"/>
      <c r="E58" s="7"/>
      <c r="F58" s="7"/>
      <c r="G58" s="7"/>
      <c r="H58" s="40">
        <f>IF(OR(H57="",C57=""),"n.a.",IFERROR(IF(C57&lt;=0,"n.m.",IF(H57/C57&lt;=0,"n.m.",H57/C57-1)),"n.a."))</f>
        <v>0.0998779465187336</v>
      </c>
      <c r="I58" s="40">
        <f>IF(OR(I57="",D57=""),"n.a.",IFERROR(IF(D57&lt;=0,"n.m.",IF(I57/D57&lt;=0,"n.m.",I57/D57-1)),"n.a."))</f>
        <v>0.122670458048735</v>
      </c>
      <c r="J58" s="45" t="str">
        <f>IF(OR(J57="",E57=""),"n.a.",IFERROR(IF(E57&lt;=0,"n.m.",IF(J57/E57&lt;=0,"n.m.",J57/E57-1)),"n.a."))</f>
        <v>n.a.</v>
      </c>
      <c r="K58" s="124"/>
    </row>
    <row r="59">
      <c r="A59" s="2"/>
      <c r="B59" s="47" t="s">
        <v>134</v>
      </c>
      <c r="C59" s="7"/>
      <c r="D59" s="41">
        <f>IF(OR(D57="",C57=""),"n.a.",IFERROR(D57-C57,"n.a."))</f>
        <v>238037</v>
      </c>
      <c r="E59" s="41">
        <f>IF(OR(E57="",D57=""),"n.a.",IFERROR(E57-D57,"n.a."))</f>
        <v>245568</v>
      </c>
      <c r="F59" s="41">
        <f>IF(OR(F57="",E57=""),"n.a.",IFERROR(F57-E57,"n.a."))</f>
        <v>110595</v>
      </c>
      <c r="G59" s="7"/>
      <c r="H59" s="41">
        <f>IF(OR(H57="",F57=""),"n.a.",IFERROR(H57-F57,"n.a."))</f>
        <v>-178988</v>
      </c>
      <c r="I59" s="41">
        <f>IF(OR(I57="",H57=""),"n.a.",IFERROR(I57-H57,"n.a."))</f>
        <v>361990</v>
      </c>
      <c r="J59" s="52" t="str">
        <f>IF(OR(J57="",I57=""),"n.a.",IFERROR(J57-I57,"n.a."))</f>
        <v>n.a.</v>
      </c>
      <c r="K59" s="124"/>
    </row>
    <row r="60">
      <c r="A60" s="2"/>
      <c r="B60" s="3" t="s">
        <v>250</v>
      </c>
      <c r="C60" s="37">
        <v>4157194</v>
      </c>
      <c r="D60" s="37">
        <v>4395231</v>
      </c>
      <c r="E60" s="37">
        <v>4640799</v>
      </c>
      <c r="F60" s="37">
        <v>4751394</v>
      </c>
      <c r="G60" s="43">
        <f>F60</f>
        <v>4751394</v>
      </c>
      <c r="H60" s="37">
        <v>4572406</v>
      </c>
      <c r="I60" s="37">
        <v>4934396</v>
      </c>
      <c r="J60" s="46"/>
      <c r="K60" s="125" t="s">
        <v>127</v>
      </c>
    </row>
    <row r="61">
      <c r="A61" s="2"/>
      <c r="B61" s="61" t="s">
        <v>167</v>
      </c>
      <c r="C61" s="41">
        <f>C57-C60</f>
        <v>0</v>
      </c>
      <c r="D61" s="41">
        <f>D57-D60</f>
        <v>0</v>
      </c>
      <c r="E61" s="41">
        <f>E57-E60</f>
        <v>0</v>
      </c>
      <c r="F61" s="41">
        <f>F57-F60</f>
        <v>0</v>
      </c>
      <c r="G61" s="41">
        <f>G57-G60</f>
        <v>0</v>
      </c>
      <c r="H61" s="41">
        <f>H57-H60</f>
        <v>0</v>
      </c>
      <c r="I61" s="41">
        <f>I57-I60</f>
        <v>0</v>
      </c>
      <c r="J61" s="46"/>
      <c r="K61" s="124"/>
    </row>
    <row r="62">
      <c r="A62" s="2"/>
      <c r="B62" s="3" t="s">
        <v>251</v>
      </c>
      <c r="C62" s="37">
        <v>3486594</v>
      </c>
      <c r="D62" s="37">
        <v>3695213</v>
      </c>
      <c r="E62" s="37">
        <v>3896124</v>
      </c>
      <c r="F62" s="37">
        <v>3992312</v>
      </c>
      <c r="G62" s="43">
        <f>F62</f>
        <v>3992312</v>
      </c>
      <c r="H62" s="37">
        <v>3815389</v>
      </c>
      <c r="I62" s="37">
        <v>4132451</v>
      </c>
      <c r="J62" s="38" t="s">
        <v>194</v>
      </c>
      <c r="K62" s="125" t="s">
        <v>127</v>
      </c>
    </row>
    <row r="63">
      <c r="A63" s="2"/>
      <c r="B63" s="47" t="s">
        <v>133</v>
      </c>
      <c r="C63" s="7"/>
      <c r="D63" s="7"/>
      <c r="E63" s="7"/>
      <c r="F63" s="7"/>
      <c r="G63" s="7"/>
      <c r="H63" s="40">
        <f>IF(OR(H62="",C62=""),"n.a.",IFERROR(IF(C62&lt;=0,"n.m.",IF(H62/C62&lt;=0,"n.m.",H62/C62-1)),"n.a."))</f>
        <v>0.09430263460557775</v>
      </c>
      <c r="I63" s="40">
        <f>IF(OR(I62="",D62=""),"n.a.",IFERROR(IF(D62&lt;=0,"n.m.",IF(I62/D62&lt;=0,"n.m.",I62/D62-1)),"n.a."))</f>
        <v>0.11832552007150876</v>
      </c>
      <c r="J63" s="45" t="str">
        <f>IF(OR(J62="",E62=""),"n.a.",IFERROR(IF(E62&lt;=0,"n.m.",IF(J62/E62&lt;=0,"n.m.",J62/E62-1)),"n.a."))</f>
        <v>n.a.</v>
      </c>
      <c r="K63" s="124"/>
    </row>
    <row r="64">
      <c r="A64" s="2"/>
      <c r="B64" s="47" t="s">
        <v>134</v>
      </c>
      <c r="C64" s="7"/>
      <c r="D64" s="41">
        <f>IF(OR(D62="",C62=""),"n.a.",IFERROR(D62-C62,"n.a."))</f>
        <v>208619</v>
      </c>
      <c r="E64" s="41">
        <f>IF(OR(E62="",D62=""),"n.a.",IFERROR(E62-D62,"n.a."))</f>
        <v>200911</v>
      </c>
      <c r="F64" s="41">
        <f>IF(OR(F62="",E62=""),"n.a.",IFERROR(F62-E62,"n.a."))</f>
        <v>96188</v>
      </c>
      <c r="G64" s="7"/>
      <c r="H64" s="41">
        <f>IF(OR(H62="",F62=""),"n.a.",IFERROR(H62-F62,"n.a."))</f>
        <v>-176923</v>
      </c>
      <c r="I64" s="41">
        <f>IF(OR(I62="",H62=""),"n.a.",IFERROR(I62-H62,"n.a."))</f>
        <v>317062</v>
      </c>
      <c r="J64" s="52" t="str">
        <f>IF(OR(J62="",I62=""),"n.a.",IFERROR(J62-I62,"n.a."))</f>
        <v>n.a.</v>
      </c>
      <c r="K64" s="124"/>
    </row>
    <row r="65">
      <c r="A65" s="2"/>
      <c r="B65" s="3" t="s">
        <v>252</v>
      </c>
      <c r="C65" s="37">
        <v>670600</v>
      </c>
      <c r="D65" s="37">
        <v>700018</v>
      </c>
      <c r="E65" s="37">
        <v>744675</v>
      </c>
      <c r="F65" s="37">
        <v>759082</v>
      </c>
      <c r="G65" s="43">
        <f>F65</f>
        <v>759082</v>
      </c>
      <c r="H65" s="37">
        <v>757017</v>
      </c>
      <c r="I65" s="37">
        <v>801945</v>
      </c>
      <c r="J65" s="38" t="s">
        <v>194</v>
      </c>
      <c r="K65" s="125" t="s">
        <v>127</v>
      </c>
    </row>
    <row r="66">
      <c r="A66" s="2"/>
      <c r="B66" s="47" t="s">
        <v>133</v>
      </c>
      <c r="C66" s="7"/>
      <c r="D66" s="7"/>
      <c r="E66" s="7"/>
      <c r="F66" s="7"/>
      <c r="G66" s="7"/>
      <c r="H66" s="40">
        <f>IF(OR(H65="",C65=""),"n.a.",IFERROR(IF(C65&lt;=0,"n.m.",IF(H65/C65&lt;=0,"n.m.",H65/C65-1)),"n.a."))</f>
        <v>0.12886519534745</v>
      </c>
      <c r="I66" s="40">
        <f>IF(OR(I65="",D65=""),"n.a.",IFERROR(IF(D65&lt;=0,"n.m.",IF(I65/D65&lt;=0,"n.m.",I65/D65-1)),"n.a."))</f>
        <v>0.14560625583913556</v>
      </c>
      <c r="J66" s="45" t="str">
        <f>IF(OR(J65="",E65=""),"n.a.",IFERROR(IF(E65&lt;=0,"n.m.",IF(J65/E65&lt;=0,"n.m.",J65/E65-1)),"n.a."))</f>
        <v>n.a.</v>
      </c>
      <c r="K66" s="124"/>
    </row>
    <row r="67">
      <c r="A67" s="2"/>
      <c r="B67" s="47" t="s">
        <v>134</v>
      </c>
      <c r="C67" s="7"/>
      <c r="D67" s="41">
        <f>IF(OR(D65="",C65=""),"n.a.",IFERROR(D65-C65,"n.a."))</f>
        <v>29418</v>
      </c>
      <c r="E67" s="41">
        <f>IF(OR(E65="",D65=""),"n.a.",IFERROR(E65-D65,"n.a."))</f>
        <v>44657</v>
      </c>
      <c r="F67" s="41">
        <f>IF(OR(F65="",E65=""),"n.a.",IFERROR(F65-E65,"n.a."))</f>
        <v>14407</v>
      </c>
      <c r="G67" s="7"/>
      <c r="H67" s="41">
        <f>IF(OR(H65="",F65=""),"n.a.",IFERROR(H65-F65,"n.a."))</f>
        <v>-2065</v>
      </c>
      <c r="I67" s="41">
        <f>IF(OR(I65="",H65=""),"n.a.",IFERROR(I65-H65,"n.a."))</f>
        <v>44928</v>
      </c>
      <c r="J67" s="52" t="str">
        <f>IF(OR(J65="",I65=""),"n.a.",IFERROR(J65-I65,"n.a."))</f>
        <v>n.a.</v>
      </c>
      <c r="K67" s="124"/>
    </row>
    <row r="68">
      <c r="A68" s="2"/>
      <c r="B68" s="18" t="s">
        <v>253</v>
      </c>
      <c r="C68" s="7"/>
      <c r="D68" s="7"/>
      <c r="E68" s="7"/>
      <c r="F68" s="7"/>
      <c r="G68" s="7"/>
      <c r="H68" s="7"/>
      <c r="I68" s="7"/>
      <c r="J68" s="46"/>
      <c r="K68" s="124"/>
    </row>
    <row r="69">
      <c r="A69" s="2"/>
      <c r="B69" s="2" t="s">
        <v>212</v>
      </c>
      <c r="C69" s="37">
        <v>232326</v>
      </c>
      <c r="D69" s="37">
        <v>237377</v>
      </c>
      <c r="E69" s="37">
        <v>245523</v>
      </c>
      <c r="F69" s="37">
        <v>256968</v>
      </c>
      <c r="G69" s="37">
        <v>243123</v>
      </c>
      <c r="H69" s="37">
        <v>262150</v>
      </c>
      <c r="I69" s="37">
        <v>270257</v>
      </c>
      <c r="J69" s="75">
        <v>276000</v>
      </c>
      <c r="K69" s="125" t="s">
        <v>127</v>
      </c>
    </row>
    <row r="70">
      <c r="A70" s="2"/>
      <c r="B70" s="47" t="s">
        <v>133</v>
      </c>
      <c r="C70" s="7"/>
      <c r="D70" s="7"/>
      <c r="E70" s="7"/>
      <c r="F70" s="7"/>
      <c r="G70" s="7"/>
      <c r="H70" s="40">
        <f>IF(OR(H69="",C69=""),"n.a.",IFERROR(IF(C69&lt;=0,"n.m.",IF(H69/C69&lt;=0,"n.m.",H69/C69-1)),"n.a."))</f>
        <v>0.12837134027185937</v>
      </c>
      <c r="I70" s="40">
        <f>IF(OR(I69="",D69=""),"n.a.",IFERROR(IF(D69&lt;=0,"n.m.",IF(I69/D69&lt;=0,"n.m.",I69/D69-1)),"n.a."))</f>
        <v>0.138513840852315</v>
      </c>
      <c r="J70" s="45">
        <f>IF(OR(J69="",E69=""),"n.a.",IFERROR(IF(E69&lt;=0,"n.m.",IF(J69/E69&lt;=0,"n.m.",J69/E69-1)),"n.a."))</f>
        <v>0.12413093681651</v>
      </c>
      <c r="K70" s="124"/>
    </row>
    <row r="71">
      <c r="A71" s="2"/>
      <c r="B71" s="47" t="s">
        <v>134</v>
      </c>
      <c r="C71" s="7"/>
      <c r="D71" s="41">
        <f>IF(OR(D69="",C69=""),"n.a.",IFERROR(D69-C69,"n.a."))</f>
        <v>5051</v>
      </c>
      <c r="E71" s="41">
        <f>IF(OR(E69="",D69=""),"n.a.",IFERROR(E69-D69,"n.a."))</f>
        <v>8146</v>
      </c>
      <c r="F71" s="41">
        <f>IF(OR(F69="",E69=""),"n.a.",IFERROR(F69-E69,"n.a."))</f>
        <v>11445</v>
      </c>
      <c r="G71" s="7"/>
      <c r="H71" s="41">
        <f>IF(OR(H69="",F69=""),"n.a.",IFERROR(H69-F69,"n.a."))</f>
        <v>5182</v>
      </c>
      <c r="I71" s="41">
        <f>IF(OR(I69="",H69=""),"n.a.",IFERROR(I69-H69,"n.a."))</f>
        <v>8107</v>
      </c>
      <c r="J71" s="52">
        <f>IF(OR(J69="",I69=""),"n.a.",IFERROR(J69-I69,"n.a."))</f>
        <v>5743</v>
      </c>
      <c r="K71" s="124"/>
    </row>
    <row r="72">
      <c r="A72" s="2"/>
      <c r="B72" s="2" t="s">
        <v>254</v>
      </c>
      <c r="C72" s="37">
        <v>286399</v>
      </c>
      <c r="D72" s="37">
        <v>276825</v>
      </c>
      <c r="E72" s="37">
        <v>276534</v>
      </c>
      <c r="F72" s="37">
        <v>279456</v>
      </c>
      <c r="G72" s="37">
        <v>279776</v>
      </c>
      <c r="H72" s="37">
        <v>286578</v>
      </c>
      <c r="I72" s="37">
        <v>281593</v>
      </c>
      <c r="J72" s="75">
        <v>281000</v>
      </c>
      <c r="K72" s="125" t="s">
        <v>127</v>
      </c>
    </row>
    <row r="73">
      <c r="A73" s="2"/>
      <c r="B73" s="47" t="s">
        <v>133</v>
      </c>
      <c r="C73" s="7"/>
      <c r="D73" s="7"/>
      <c r="E73" s="7"/>
      <c r="F73" s="7"/>
      <c r="G73" s="7"/>
      <c r="H73" s="40">
        <f>IF(OR(H72="",C72=""),"n.a.",IFERROR(IF(C72&lt;=0,"n.m.",IF(H72/C72&lt;=0,"n.m.",H72/C72-1)),"n.a."))</f>
        <v>0.0006250021822702401</v>
      </c>
      <c r="I73" s="40">
        <f>IF(OR(I72="",D72=""),"n.a.",IFERROR(IF(D72&lt;=0,"n.m.",IF(I72/D72&lt;=0,"n.m.",I72/D72-1)),"n.a."))</f>
        <v>0.017223877901201057</v>
      </c>
      <c r="J73" s="45">
        <f>IF(OR(J72="",E72=""),"n.a.",IFERROR(IF(E72&lt;=0,"n.m.",IF(J72/E72&lt;=0,"n.m.",J72/E72-1)),"n.a."))</f>
        <v>0.016149912849776182</v>
      </c>
      <c r="K73" s="124"/>
    </row>
    <row r="74">
      <c r="A74" s="2"/>
      <c r="B74" s="47" t="s">
        <v>134</v>
      </c>
      <c r="C74" s="7"/>
      <c r="D74" s="41">
        <f>IF(OR(D72="",C72=""),"n.a.",IFERROR(D72-C72,"n.a."))</f>
        <v>-9574</v>
      </c>
      <c r="E74" s="41">
        <f>IF(OR(E72="",D72=""),"n.a.",IFERROR(E72-D72,"n.a."))</f>
        <v>-291</v>
      </c>
      <c r="F74" s="41">
        <f>IF(OR(F72="",E72=""),"n.a.",IFERROR(F72-E72,"n.a."))</f>
        <v>2922</v>
      </c>
      <c r="G74" s="7"/>
      <c r="H74" s="41">
        <f>IF(OR(H72="",F72=""),"n.a.",IFERROR(H72-F72,"n.a."))</f>
        <v>7122</v>
      </c>
      <c r="I74" s="41">
        <f>IF(OR(I72="",H72=""),"n.a.",IFERROR(I72-H72,"n.a."))</f>
        <v>-4985</v>
      </c>
      <c r="J74" s="52">
        <f>IF(OR(J72="",I72=""),"n.a.",IFERROR(J72-I72,"n.a."))</f>
        <v>-593</v>
      </c>
      <c r="K74" s="124"/>
    </row>
    <row r="75">
      <c r="A75" s="2"/>
      <c r="B75" s="2" t="s">
        <v>180</v>
      </c>
      <c r="C75" s="37">
        <v>316887</v>
      </c>
      <c r="D75" s="37">
        <v>306490</v>
      </c>
      <c r="E75" s="37">
        <v>306384</v>
      </c>
      <c r="F75" s="37">
        <v>309916</v>
      </c>
      <c r="G75" s="37">
        <v>309890</v>
      </c>
      <c r="H75" s="37">
        <v>318978</v>
      </c>
      <c r="I75" s="37">
        <v>313639</v>
      </c>
      <c r="J75" s="75">
        <v>316000</v>
      </c>
      <c r="K75" s="125" t="s">
        <v>127</v>
      </c>
    </row>
    <row r="76">
      <c r="A76" s="2"/>
      <c r="B76" s="47" t="s">
        <v>133</v>
      </c>
      <c r="C76" s="7"/>
      <c r="D76" s="7"/>
      <c r="E76" s="7"/>
      <c r="F76" s="7"/>
      <c r="G76" s="7"/>
      <c r="H76" s="40">
        <f>IF(OR(H75="",C75=""),"n.a.",IFERROR(IF(C75&lt;=0,"n.m.",IF(H75/C75&lt;=0,"n.m.",H75/C75-1)),"n.a."))</f>
        <v>0.006598566681498497</v>
      </c>
      <c r="I76" s="40">
        <f>IF(OR(I75="",D75=""),"n.a.",IFERROR(IF(D75&lt;=0,"n.m.",IF(I75/D75&lt;=0,"n.m.",I75/D75-1)),"n.a."))</f>
        <v>0.023325393976965092</v>
      </c>
      <c r="J76" s="45">
        <f>IF(OR(J75="",E75=""),"n.a.",IFERROR(IF(E75&lt;=0,"n.m.",IF(J75/E75&lt;=0,"n.m.",J75/E75-1)),"n.a."))</f>
        <v>0.03138545093738587</v>
      </c>
      <c r="K76" s="124"/>
    </row>
    <row r="77">
      <c r="A77" s="2"/>
      <c r="B77" s="47" t="s">
        <v>134</v>
      </c>
      <c r="C77" s="7"/>
      <c r="D77" s="41">
        <f>IF(OR(D75="",C75=""),"n.a.",IFERROR(D75-C75,"n.a."))</f>
        <v>-10397</v>
      </c>
      <c r="E77" s="41">
        <f>IF(OR(E75="",D75=""),"n.a.",IFERROR(E75-D75,"n.a."))</f>
        <v>-106</v>
      </c>
      <c r="F77" s="41">
        <f>IF(OR(F75="",E75=""),"n.a.",IFERROR(F75-E75,"n.a."))</f>
        <v>3532</v>
      </c>
      <c r="G77" s="7"/>
      <c r="H77" s="41">
        <f>IF(OR(H75="",F75=""),"n.a.",IFERROR(H75-F75,"n.a."))</f>
        <v>9062</v>
      </c>
      <c r="I77" s="41">
        <f>IF(OR(I75="",H75=""),"n.a.",IFERROR(I75-H75,"n.a."))</f>
        <v>-5339</v>
      </c>
      <c r="J77" s="52">
        <f>IF(OR(J75="",I75=""),"n.a.",IFERROR(J75-I75,"n.a."))</f>
        <v>2361</v>
      </c>
      <c r="K77" s="124"/>
    </row>
    <row r="78">
      <c r="A78" s="2"/>
      <c r="B78" s="1" t="s">
        <v>181</v>
      </c>
      <c r="C78" s="87">
        <v>0.0226</v>
      </c>
      <c r="D78" s="87">
        <v>0.0231</v>
      </c>
      <c r="E78" s="87">
        <v>0.0233</v>
      </c>
      <c r="F78" s="87">
        <v>0.0239</v>
      </c>
      <c r="G78" s="87">
        <v>0.0232</v>
      </c>
      <c r="H78" s="87">
        <v>0.0237</v>
      </c>
      <c r="I78" s="87">
        <v>0.0242</v>
      </c>
      <c r="J78" s="93">
        <v>0.0241</v>
      </c>
      <c r="K78" s="125" t="s">
        <v>127</v>
      </c>
    </row>
    <row r="79">
      <c r="A79" s="2"/>
      <c r="B79" s="47" t="s">
        <v>169</v>
      </c>
      <c r="C79" s="7"/>
      <c r="D79" s="42">
        <f>(D78-C78)*10000</f>
        <v>5.000000000000004</v>
      </c>
      <c r="E79" s="42">
        <f>(E78-D78)*10000</f>
        <v>2.0000000000000226</v>
      </c>
      <c r="F79" s="42">
        <f>(F78-E78)*10000</f>
        <v>5.999999999999998</v>
      </c>
      <c r="G79" s="7"/>
      <c r="H79" s="42">
        <f>(H78-F78)*10000</f>
        <v>-2.0000000000000226</v>
      </c>
      <c r="I79" s="42">
        <f>(I78-H78)*10000</f>
        <v>5.000000000000004</v>
      </c>
      <c r="J79" s="56">
        <f>(J78-I78)*10000</f>
        <v>-0.999999999999994</v>
      </c>
      <c r="K79" s="124"/>
    </row>
    <row r="80">
      <c r="A80" s="2"/>
      <c r="B80" s="47" t="s">
        <v>170</v>
      </c>
      <c r="C80" s="7"/>
      <c r="D80" s="7"/>
      <c r="E80" s="7"/>
      <c r="F80" s="7"/>
      <c r="G80" s="7"/>
      <c r="H80" s="42">
        <f>(H78-C78)*10000</f>
        <v>11.000000000000004</v>
      </c>
      <c r="I80" s="42">
        <f>(I78-D78)*10000</f>
        <v>11.000000000000004</v>
      </c>
      <c r="J80" s="56">
        <f>(J78-E78)*10000</f>
        <v>7.999999999999987</v>
      </c>
      <c r="K80" s="124"/>
    </row>
    <row r="81">
      <c r="A81" s="2"/>
      <c r="B81" s="18" t="s">
        <v>182</v>
      </c>
      <c r="C81" s="81">
        <v>1765</v>
      </c>
      <c r="D81" s="81">
        <v>1762</v>
      </c>
      <c r="E81" s="81">
        <v>1800</v>
      </c>
      <c r="F81" s="81">
        <v>1870</v>
      </c>
      <c r="G81" s="79">
        <f>SUM(C81:F81)</f>
        <v>7197</v>
      </c>
      <c r="H81" s="81">
        <v>1862</v>
      </c>
      <c r="I81" s="81">
        <v>1888</v>
      </c>
      <c r="J81" s="97">
        <f>J75*J78*J7/365</f>
        <v>1919.548493150685</v>
      </c>
      <c r="K81" s="125" t="s">
        <v>127</v>
      </c>
    </row>
    <row r="82">
      <c r="A82" s="2"/>
      <c r="B82" s="47" t="s">
        <v>113</v>
      </c>
      <c r="C82" s="7"/>
      <c r="D82" s="7"/>
      <c r="E82" s="7"/>
      <c r="F82" s="7"/>
      <c r="G82" s="7"/>
      <c r="H82" s="40">
        <f>IF(OR(H81="",C81=""),"n.a.",IFERROR(IF(C81&lt;=0,"n.m.",IF(H81/C81&lt;=0,"n.m.",H81/C81-1)),"n.a."))</f>
        <v>0.05495750708215308</v>
      </c>
      <c r="I82" s="40">
        <f>IF(OR(I81="",D81=""),"n.a.",IFERROR(IF(D81&lt;=0,"n.m.",IF(I81/D81&lt;=0,"n.m.",I81/D81-1)),"n.a."))</f>
        <v>0.07150964812712823</v>
      </c>
      <c r="J82" s="45">
        <f>IF(OR(J81="",E81=""),"n.a.",IFERROR(IF(E81&lt;=0,"n.m.",IF(J81/E81&lt;=0,"n.m.",J81/E81-1)),"n.a."))</f>
        <v>0.06641582952815828</v>
      </c>
      <c r="K82" s="124"/>
    </row>
    <row r="83">
      <c r="A83" s="2"/>
      <c r="B83" s="47" t="s">
        <v>114</v>
      </c>
      <c r="C83" s="7"/>
      <c r="D83" s="40">
        <f>IF(OR(D81="",C81=""),"n.a.",IFERROR(IF(C81&lt;=0,"n.m.",IF(D81/C81&lt;=0,"n.m.",D81/C81-1)),"n.a."))</f>
        <v>-0.0016997167138810276</v>
      </c>
      <c r="E83" s="40">
        <f>IF(OR(E81="",D81=""),"n.a.",IFERROR(IF(D81&lt;=0,"n.m.",IF(E81/D81&lt;=0,"n.m.",E81/D81-1)),"n.a."))</f>
        <v>0.02156640181611813</v>
      </c>
      <c r="F83" s="40">
        <f>IF(OR(F81="",E81=""),"n.a.",IFERROR(IF(E81&lt;=0,"n.m.",IF(F81/E81&lt;=0,"n.m.",F81/E81-1)),"n.a."))</f>
        <v>0.03888888888888897</v>
      </c>
      <c r="G83" s="7"/>
      <c r="H83" s="40">
        <f>IF(OR(H81="",F81=""),"n.a.",IFERROR(IF(F81&lt;=0,"n.m.",IF(H81/F81&lt;=0,"n.m.",H81/F81-1)),"n.a."))</f>
        <v>-0.004278074866310155</v>
      </c>
      <c r="I83" s="40">
        <f>IF(OR(I81="",H81=""),"n.a.",IFERROR(IF(H81&lt;=0,"n.m.",IF(I81/H81&lt;=0,"n.m.",I81/H81-1)),"n.a."))</f>
        <v>0.013963480128893702</v>
      </c>
      <c r="J83" s="45">
        <f>IF(OR(J81="",I81=""),"n.a.",IFERROR(IF(I81&lt;=0,"n.m.",IF(J81/I81&lt;=0,"n.m.",J81/I81-1)),"n.a."))</f>
        <v>0.016710006965405144</v>
      </c>
      <c r="K83" s="124"/>
    </row>
    <row r="84">
      <c r="A84" s="2"/>
      <c r="B84" s="47" t="s">
        <v>115</v>
      </c>
      <c r="C84" s="7"/>
      <c r="D84" s="7"/>
      <c r="E84" s="7"/>
      <c r="F84" s="7"/>
      <c r="G84" s="7"/>
      <c r="H84" s="40" t="s">
        <v>116</v>
      </c>
      <c r="I84" s="40" t="s">
        <v>116</v>
      </c>
      <c r="J84" s="45" t="s">
        <v>116</v>
      </c>
      <c r="K84" s="124"/>
    </row>
    <row r="85">
      <c r="A85" s="2"/>
      <c r="B85" s="47" t="s">
        <v>117</v>
      </c>
      <c r="C85" s="7"/>
      <c r="D85" s="7"/>
      <c r="E85" s="7"/>
      <c r="F85" s="7"/>
      <c r="G85" s="7"/>
      <c r="H85" s="40" t="s">
        <v>116</v>
      </c>
      <c r="I85" s="40" t="s">
        <v>116</v>
      </c>
      <c r="J85" s="45" t="s">
        <v>116</v>
      </c>
      <c r="K85" s="124"/>
    </row>
    <row r="86">
      <c r="A86" s="2"/>
      <c r="B86" s="47" t="s">
        <v>118</v>
      </c>
      <c r="C86" s="7"/>
      <c r="D86" s="7"/>
      <c r="E86" s="7"/>
      <c r="F86" s="7"/>
      <c r="G86" s="7"/>
      <c r="H86" s="40" t="s">
        <v>116</v>
      </c>
      <c r="I86" s="40" t="s">
        <v>116</v>
      </c>
      <c r="J86" s="45" t="s">
        <v>116</v>
      </c>
      <c r="K86" s="124"/>
    </row>
    <row r="87">
      <c r="A87" s="2"/>
      <c r="B87" s="47" t="s">
        <v>119</v>
      </c>
      <c r="C87" s="40">
        <f>IFERROR(C81/C117,"n.a.")</f>
        <v>0.2933843085106383</v>
      </c>
      <c r="D87" s="40">
        <f>IFERROR(D81/D117,"n.a.")</f>
        <v>0.2967828869799562</v>
      </c>
      <c r="E87" s="40">
        <f>IFERROR(E81/E117,"n.a.")</f>
        <v>0.28517110266159695</v>
      </c>
      <c r="F87" s="40">
        <f>IFERROR(F81/F117,"n.a.")</f>
        <v>0.2825627077666969</v>
      </c>
      <c r="G87" s="40">
        <f>IFERROR(G81/G117,"n.a.")</f>
        <v>0.2892336133102922</v>
      </c>
      <c r="H87" s="40">
        <f>IFERROR(H81/H117,"n.a.")</f>
        <v>0.2774135876042908</v>
      </c>
      <c r="I87" s="40">
        <f>IFERROR(I81/I117,"n.a.")</f>
        <v>0.27477805268519867</v>
      </c>
      <c r="J87" s="45">
        <f>IFERROR(J81/J117,"n.a.")</f>
        <v>0.2722966275002756</v>
      </c>
      <c r="K87" s="124"/>
    </row>
    <row r="88">
      <c r="A88" s="2"/>
      <c r="B88" s="18" t="s">
        <v>213</v>
      </c>
      <c r="C88" s="7"/>
      <c r="D88" s="7"/>
      <c r="E88" s="7"/>
      <c r="F88" s="7"/>
      <c r="G88" s="7"/>
      <c r="H88" s="7"/>
      <c r="I88" s="7"/>
      <c r="J88" s="46"/>
      <c r="K88" s="124"/>
    </row>
    <row r="89">
      <c r="A89" s="2"/>
      <c r="B89" s="3" t="s">
        <v>255</v>
      </c>
      <c r="C89" s="43">
        <f>C96-C34</f>
        <v>351</v>
      </c>
      <c r="D89" s="43">
        <f>D96-D34</f>
        <v>335</v>
      </c>
      <c r="E89" s="43">
        <f>E96-E34</f>
        <v>362</v>
      </c>
      <c r="F89" s="43">
        <f>F96-F34</f>
        <v>370</v>
      </c>
      <c r="G89" s="43">
        <f>G96-G34</f>
        <v>1418</v>
      </c>
      <c r="H89" s="43">
        <f>H96-H34</f>
        <v>359</v>
      </c>
      <c r="I89" s="43">
        <f>I96-I34</f>
        <v>366</v>
      </c>
      <c r="J89" s="75">
        <v>370</v>
      </c>
      <c r="K89" s="124"/>
    </row>
    <row r="90">
      <c r="A90" s="2"/>
      <c r="B90" s="47" t="s">
        <v>113</v>
      </c>
      <c r="C90" s="7"/>
      <c r="D90" s="7"/>
      <c r="E90" s="7"/>
      <c r="F90" s="7"/>
      <c r="G90" s="7"/>
      <c r="H90" s="40">
        <f>IF(OR(H89="",C89=""),"n.a.",IFERROR(IF(C89&lt;=0,"n.m.",IF(H89/C89&lt;=0,"n.m.",H89/C89-1)),"n.a."))</f>
        <v>0.02279202279202286</v>
      </c>
      <c r="I90" s="40">
        <f>IF(OR(I89="",D89=""),"n.a.",IFERROR(IF(D89&lt;=0,"n.m.",IF(I89/D89&lt;=0,"n.m.",I89/D89-1)),"n.a."))</f>
        <v>0.09253731343283578</v>
      </c>
      <c r="J90" s="45">
        <f>IF(OR(J89="",E89=""),"n.a.",IFERROR(IF(E89&lt;=0,"n.m.",IF(J89/E89&lt;=0,"n.m.",J89/E89-1)),"n.a."))</f>
        <v>0.022099447513812098</v>
      </c>
      <c r="K90" s="124"/>
    </row>
    <row r="91">
      <c r="A91" s="2"/>
      <c r="B91" s="47" t="s">
        <v>114</v>
      </c>
      <c r="C91" s="7"/>
      <c r="D91" s="40">
        <f>IF(OR(D89="",C89=""),"n.a.",IFERROR(IF(C89&lt;=0,"n.m.",IF(D89/C89&lt;=0,"n.m.",D89/C89-1)),"n.a."))</f>
        <v>-0.04558404558404561</v>
      </c>
      <c r="E91" s="40">
        <f>IF(OR(E89="",D89=""),"n.a.",IFERROR(IF(D89&lt;=0,"n.m.",IF(E89/D89&lt;=0,"n.m.",E89/D89-1)),"n.a."))</f>
        <v>0.08059701492537319</v>
      </c>
      <c r="F91" s="40">
        <f>IF(OR(F89="",E89=""),"n.a.",IFERROR(IF(E89&lt;=0,"n.m.",IF(F89/E89&lt;=0,"n.m.",F89/E89-1)),"n.a."))</f>
        <v>0.022099447513812098</v>
      </c>
      <c r="G91" s="7"/>
      <c r="H91" s="40">
        <f>IF(OR(H89="",F89=""),"n.a.",IFERROR(IF(F89&lt;=0,"n.m.",IF(H89/F89&lt;=0,"n.m.",H89/F89-1)),"n.a."))</f>
        <v>-0.02972972972972976</v>
      </c>
      <c r="I91" s="40">
        <f>IF(OR(I89="",H89=""),"n.a.",IFERROR(IF(H89&lt;=0,"n.m.",IF(I89/H89&lt;=0,"n.m.",I89/H89-1)),"n.a."))</f>
        <v>0.01949860724233976</v>
      </c>
      <c r="J91" s="45">
        <f>IF(OR(J89="",I89=""),"n.a.",IFERROR(IF(I89&lt;=0,"n.m.",IF(J89/I89&lt;=0,"n.m.",J89/I89-1)),"n.a."))</f>
        <v>0.010928961748633892</v>
      </c>
      <c r="K91" s="124"/>
    </row>
    <row r="92">
      <c r="A92" s="2"/>
      <c r="B92" s="47" t="s">
        <v>115</v>
      </c>
      <c r="C92" s="7"/>
      <c r="D92" s="7"/>
      <c r="E92" s="7"/>
      <c r="F92" s="7"/>
      <c r="G92" s="7"/>
      <c r="H92" s="40" t="s">
        <v>116</v>
      </c>
      <c r="I92" s="40" t="s">
        <v>116</v>
      </c>
      <c r="J92" s="45" t="s">
        <v>116</v>
      </c>
      <c r="K92" s="124"/>
    </row>
    <row r="93">
      <c r="A93" s="2"/>
      <c r="B93" s="47" t="s">
        <v>117</v>
      </c>
      <c r="C93" s="7"/>
      <c r="D93" s="7"/>
      <c r="E93" s="7"/>
      <c r="F93" s="7"/>
      <c r="G93" s="7"/>
      <c r="H93" s="40" t="s">
        <v>116</v>
      </c>
      <c r="I93" s="40" t="s">
        <v>116</v>
      </c>
      <c r="J93" s="45" t="s">
        <v>116</v>
      </c>
      <c r="K93" s="124"/>
    </row>
    <row r="94">
      <c r="A94" s="2"/>
      <c r="B94" s="47" t="s">
        <v>118</v>
      </c>
      <c r="C94" s="7"/>
      <c r="D94" s="7"/>
      <c r="E94" s="7"/>
      <c r="F94" s="7"/>
      <c r="G94" s="7"/>
      <c r="H94" s="40" t="s">
        <v>116</v>
      </c>
      <c r="I94" s="40" t="s">
        <v>116</v>
      </c>
      <c r="J94" s="45" t="s">
        <v>116</v>
      </c>
      <c r="K94" s="124"/>
    </row>
    <row r="95">
      <c r="A95" s="2"/>
      <c r="B95" s="47" t="s">
        <v>119</v>
      </c>
      <c r="C95" s="40">
        <f>IFERROR(C89/C117,"n.a.")</f>
        <v>0.05834441489361702</v>
      </c>
      <c r="D95" s="40">
        <f>IFERROR(D89/D117,"n.a.")</f>
        <v>0.05642580427825501</v>
      </c>
      <c r="E95" s="40">
        <f>IFERROR(E89/E117,"n.a.")</f>
        <v>0.0573510773130545</v>
      </c>
      <c r="F95" s="40">
        <f>IFERROR(F89/F117,"n.a.")</f>
        <v>0.055908129344212756</v>
      </c>
      <c r="G95" s="40">
        <f>IFERROR(G89/G117,"n.a.")</f>
        <v>0.0569866977454487</v>
      </c>
      <c r="H95" s="40">
        <f>IFERROR(H89/H117,"n.a.")</f>
        <v>0.053486293206197855</v>
      </c>
      <c r="I95" s="40">
        <f>IFERROR(I89/I117,"n.a.")</f>
        <v>0.05326735555232135</v>
      </c>
      <c r="J95" s="45">
        <f>IFERROR(J89/J117,"n.a.")</f>
        <v>0.052486171896462264</v>
      </c>
      <c r="K95" s="124"/>
    </row>
    <row r="96">
      <c r="A96" s="2"/>
      <c r="B96" s="3" t="s">
        <v>256</v>
      </c>
      <c r="C96" s="37">
        <v>4089</v>
      </c>
      <c r="D96" s="37">
        <v>4033</v>
      </c>
      <c r="E96" s="37">
        <v>4334</v>
      </c>
      <c r="F96" s="37">
        <v>4563</v>
      </c>
      <c r="G96" s="43">
        <f>SUM(C96:F96)</f>
        <v>17019</v>
      </c>
      <c r="H96" s="37">
        <v>4671</v>
      </c>
      <c r="I96" s="37">
        <v>4793</v>
      </c>
      <c r="J96" s="38">
        <f>J34+J89</f>
        <v>4944.927333165754</v>
      </c>
      <c r="K96" s="125" t="s">
        <v>127</v>
      </c>
    </row>
    <row r="97">
      <c r="A97" s="2"/>
      <c r="B97" s="47" t="s">
        <v>113</v>
      </c>
      <c r="C97" s="7"/>
      <c r="D97" s="7"/>
      <c r="E97" s="7"/>
      <c r="F97" s="7"/>
      <c r="G97" s="7"/>
      <c r="H97" s="40">
        <f>IF(OR(H96="",C96=""),"n.a.",IFERROR(IF(C96&lt;=0,"n.m.",IF(H96/C96&lt;=0,"n.m.",H96/C96-1)),"n.a."))</f>
        <v>0.14233308877476158</v>
      </c>
      <c r="I97" s="40">
        <f>IF(OR(I96="",D96=""),"n.a.",IFERROR(IF(D96&lt;=0,"n.m.",IF(I96/D96&lt;=0,"n.m.",I96/D96-1)),"n.a."))</f>
        <v>0.18844532606000497</v>
      </c>
      <c r="J97" s="45">
        <f>IF(OR(J96="",E96=""),"n.a.",IFERROR(IF(E96&lt;=0,"n.m.",IF(J96/E96&lt;=0,"n.m.",J96/E96-1)),"n.a."))</f>
        <v>0.1409615443391219</v>
      </c>
      <c r="K97" s="124"/>
    </row>
    <row r="98">
      <c r="A98" s="2"/>
      <c r="B98" s="47" t="s">
        <v>114</v>
      </c>
      <c r="C98" s="7"/>
      <c r="D98" s="40">
        <f>IF(OR(D96="",C96=""),"n.a.",IFERROR(IF(C96&lt;=0,"n.m.",IF(D96/C96&lt;=0,"n.m.",D96/C96-1)),"n.a."))</f>
        <v>-0.01369528001956466</v>
      </c>
      <c r="E98" s="40">
        <f>IF(OR(E96="",D96=""),"n.a.",IFERROR(IF(D96&lt;=0,"n.m.",IF(E96/D96&lt;=0,"n.m.",E96/D96-1)),"n.a."))</f>
        <v>0.0746342672948177</v>
      </c>
      <c r="F98" s="40">
        <f>IF(OR(F96="",E96=""),"n.a.",IFERROR(IF(E96&lt;=0,"n.m.",IF(F96/E96&lt;=0,"n.m.",F96/E96-1)),"n.a."))</f>
        <v>0.052838024919243276</v>
      </c>
      <c r="G98" s="7"/>
      <c r="H98" s="40">
        <f>IF(OR(H96="",F96=""),"n.a.",IFERROR(IF(F96&lt;=0,"n.m.",IF(H96/F96&lt;=0,"n.m.",H96/F96-1)),"n.a."))</f>
        <v>0.023668639053254337</v>
      </c>
      <c r="I98" s="40">
        <f>IF(OR(I96="",H96=""),"n.a.",IFERROR(IF(H96&lt;=0,"n.m.",IF(I96/H96&lt;=0,"n.m.",I96/H96-1)),"n.a."))</f>
        <v>0.02611860415328615</v>
      </c>
      <c r="J98" s="45">
        <f>IF(OR(J96="",I96=""),"n.a.",IFERROR(IF(I96&lt;=0,"n.m.",IF(J96/I96&lt;=0,"n.m.",J96/I96-1)),"n.a."))</f>
        <v>0.03169775363358118</v>
      </c>
      <c r="K98" s="124"/>
    </row>
    <row r="99">
      <c r="A99" s="2"/>
      <c r="B99" s="47" t="s">
        <v>115</v>
      </c>
      <c r="C99" s="7"/>
      <c r="D99" s="7"/>
      <c r="E99" s="7"/>
      <c r="F99" s="7"/>
      <c r="G99" s="7"/>
      <c r="H99" s="40" t="s">
        <v>116</v>
      </c>
      <c r="I99" s="40" t="s">
        <v>116</v>
      </c>
      <c r="J99" s="45" t="s">
        <v>116</v>
      </c>
      <c r="K99" s="124"/>
    </row>
    <row r="100">
      <c r="A100" s="2"/>
      <c r="B100" s="47" t="s">
        <v>117</v>
      </c>
      <c r="C100" s="7"/>
      <c r="D100" s="7"/>
      <c r="E100" s="7"/>
      <c r="F100" s="7"/>
      <c r="G100" s="7"/>
      <c r="H100" s="40" t="s">
        <v>116</v>
      </c>
      <c r="I100" s="40" t="s">
        <v>116</v>
      </c>
      <c r="J100" s="45" t="s">
        <v>116</v>
      </c>
      <c r="K100" s="124"/>
    </row>
    <row r="101">
      <c r="A101" s="2"/>
      <c r="B101" s="47" t="s">
        <v>118</v>
      </c>
      <c r="C101" s="7"/>
      <c r="D101" s="7"/>
      <c r="E101" s="7"/>
      <c r="F101" s="7"/>
      <c r="G101" s="7"/>
      <c r="H101" s="40" t="s">
        <v>116</v>
      </c>
      <c r="I101" s="40" t="s">
        <v>116</v>
      </c>
      <c r="J101" s="45" t="s">
        <v>116</v>
      </c>
      <c r="K101" s="124"/>
    </row>
    <row r="102">
      <c r="A102" s="2"/>
      <c r="B102" s="47" t="s">
        <v>119</v>
      </c>
      <c r="C102" s="40">
        <f>IFERROR(C96/C117,"n.a.")</f>
        <v>0.6796875</v>
      </c>
      <c r="D102" s="40">
        <f>IFERROR(D96/D117,"n.a.")</f>
        <v>0.6792993094155297</v>
      </c>
      <c r="E102" s="40">
        <f>IFERROR(E96/E117,"n.a.")</f>
        <v>0.6866286438529785</v>
      </c>
      <c r="F102" s="40">
        <f>IFERROR(F96/F117,"n.a.")</f>
        <v>0.6894832275611967</v>
      </c>
      <c r="G102" s="40">
        <f>IFERROR(G96/G117,"n.a.")</f>
        <v>0.6839609371860306</v>
      </c>
      <c r="H102" s="40">
        <f>IFERROR(H96/H117,"n.a.")</f>
        <v>0.6959177592371871</v>
      </c>
      <c r="I102" s="40">
        <f>IFERROR(I96/I117,"n.a.")</f>
        <v>0.6975694949788969</v>
      </c>
      <c r="J102" s="45">
        <f>IFERROR(J96/J117,"n.a.")</f>
        <v>0.7014602865514933</v>
      </c>
      <c r="K102" s="124"/>
    </row>
    <row r="103">
      <c r="A103" s="2"/>
      <c r="B103" s="3" t="s">
        <v>217</v>
      </c>
      <c r="C103" s="37">
        <v>162</v>
      </c>
      <c r="D103" s="37">
        <v>142</v>
      </c>
      <c r="E103" s="37">
        <v>178</v>
      </c>
      <c r="F103" s="37">
        <v>185</v>
      </c>
      <c r="G103" s="43">
        <f>SUM(C103:F103)</f>
        <v>667</v>
      </c>
      <c r="H103" s="37">
        <v>179</v>
      </c>
      <c r="I103" s="37">
        <v>190</v>
      </c>
      <c r="J103" s="75">
        <v>185</v>
      </c>
      <c r="K103" s="125" t="s">
        <v>127</v>
      </c>
    </row>
    <row r="104">
      <c r="A104" s="2"/>
      <c r="B104" s="47" t="s">
        <v>113</v>
      </c>
      <c r="C104" s="7"/>
      <c r="D104" s="7"/>
      <c r="E104" s="7"/>
      <c r="F104" s="7"/>
      <c r="G104" s="7"/>
      <c r="H104" s="40">
        <f>IF(OR(H103="",C103=""),"n.a.",IFERROR(IF(C103&lt;=0,"n.m.",IF(H103/C103&lt;=0,"n.m.",H103/C103-1)),"n.a."))</f>
        <v>0.1049382716049383</v>
      </c>
      <c r="I104" s="40">
        <f>IF(OR(I103="",D103=""),"n.a.",IFERROR(IF(D103&lt;=0,"n.m.",IF(I103/D103&lt;=0,"n.m.",I103/D103-1)),"n.a."))</f>
        <v>0.3380281690140845</v>
      </c>
      <c r="J104" s="45">
        <f>IF(OR(J103="",E103=""),"n.a.",IFERROR(IF(E103&lt;=0,"n.m.",IF(J103/E103&lt;=0,"n.m.",J103/E103-1)),"n.a."))</f>
        <v>0.0393258426966292</v>
      </c>
      <c r="K104" s="124"/>
    </row>
    <row r="105">
      <c r="A105" s="2"/>
      <c r="B105" s="47" t="s">
        <v>114</v>
      </c>
      <c r="C105" s="7"/>
      <c r="D105" s="40">
        <f>IF(OR(D103="",C103=""),"n.a.",IFERROR(IF(C103&lt;=0,"n.m.",IF(D103/C103&lt;=0,"n.m.",D103/C103-1)),"n.a."))</f>
        <v>-0.12345679012345678</v>
      </c>
      <c r="E105" s="40">
        <f>IF(OR(E103="",D103=""),"n.a.",IFERROR(IF(D103&lt;=0,"n.m.",IF(E103/D103&lt;=0,"n.m.",E103/D103-1)),"n.a."))</f>
        <v>0.2535211267605635</v>
      </c>
      <c r="F105" s="40">
        <f>IF(OR(F103="",E103=""),"n.a.",IFERROR(IF(E103&lt;=0,"n.m.",IF(F103/E103&lt;=0,"n.m.",F103/E103-1)),"n.a."))</f>
        <v>0.0393258426966292</v>
      </c>
      <c r="G105" s="7"/>
      <c r="H105" s="40">
        <f>IF(OR(H103="",F103=""),"n.a.",IFERROR(IF(F103&lt;=0,"n.m.",IF(H103/F103&lt;=0,"n.m.",H103/F103-1)),"n.a."))</f>
        <v>-0.032432432432432434</v>
      </c>
      <c r="I105" s="40">
        <f>IF(OR(I103="",H103=""),"n.a.",IFERROR(IF(H103&lt;=0,"n.m.",IF(I103/H103&lt;=0,"n.m.",I103/H103-1)),"n.a."))</f>
        <v>0.06145251396648055</v>
      </c>
      <c r="J105" s="45">
        <f>IF(OR(J103="",I103=""),"n.a.",IFERROR(IF(I103&lt;=0,"n.m.",IF(J103/I103&lt;=0,"n.m.",J103/I103-1)),"n.a."))</f>
        <v>-0.02631578947368418</v>
      </c>
      <c r="K105" s="124"/>
    </row>
    <row r="106">
      <c r="A106" s="2"/>
      <c r="B106" s="47" t="s">
        <v>115</v>
      </c>
      <c r="C106" s="7"/>
      <c r="D106" s="7"/>
      <c r="E106" s="7"/>
      <c r="F106" s="7"/>
      <c r="G106" s="7"/>
      <c r="H106" s="40" t="s">
        <v>116</v>
      </c>
      <c r="I106" s="40" t="s">
        <v>116</v>
      </c>
      <c r="J106" s="45" t="s">
        <v>116</v>
      </c>
      <c r="K106" s="124"/>
    </row>
    <row r="107">
      <c r="A107" s="2"/>
      <c r="B107" s="47" t="s">
        <v>117</v>
      </c>
      <c r="C107" s="7"/>
      <c r="D107" s="7"/>
      <c r="E107" s="7"/>
      <c r="F107" s="7"/>
      <c r="G107" s="7"/>
      <c r="H107" s="40" t="s">
        <v>116</v>
      </c>
      <c r="I107" s="40" t="s">
        <v>116</v>
      </c>
      <c r="J107" s="45" t="s">
        <v>116</v>
      </c>
      <c r="K107" s="124"/>
    </row>
    <row r="108">
      <c r="A108" s="2"/>
      <c r="B108" s="47" t="s">
        <v>118</v>
      </c>
      <c r="C108" s="7"/>
      <c r="D108" s="7"/>
      <c r="E108" s="7"/>
      <c r="F108" s="7"/>
      <c r="G108" s="7"/>
      <c r="H108" s="40" t="s">
        <v>116</v>
      </c>
      <c r="I108" s="40" t="s">
        <v>116</v>
      </c>
      <c r="J108" s="45" t="s">
        <v>116</v>
      </c>
      <c r="K108" s="124"/>
    </row>
    <row r="109">
      <c r="A109" s="2"/>
      <c r="B109" s="47" t="s">
        <v>119</v>
      </c>
      <c r="C109" s="40">
        <f>IFERROR(C103/C117,"n.a.")</f>
        <v>0.0269281914893617</v>
      </c>
      <c r="D109" s="40">
        <f>IFERROR(D103/D117,"n.a.")</f>
        <v>0.023917803604514065</v>
      </c>
      <c r="E109" s="40">
        <f>IFERROR(E103/E117,"n.a.")</f>
        <v>0.028200253485424587</v>
      </c>
      <c r="F109" s="40">
        <f>IFERROR(F103/F117,"n.a.")</f>
        <v>0.027954064672106378</v>
      </c>
      <c r="G109" s="40">
        <f>IFERROR(G103/G117,"n.a.")</f>
        <v>0.02680544950367721</v>
      </c>
      <c r="H109" s="40">
        <f>IFERROR(H103/H117,"n.a.")</f>
        <v>0.02666865315852205</v>
      </c>
      <c r="I109" s="40">
        <f>IFERROR(I103/I117,"n.a.")</f>
        <v>0.027652452335904527</v>
      </c>
      <c r="J109" s="45">
        <f>IFERROR(J103/J117,"n.a.")</f>
        <v>0.026243085948231132</v>
      </c>
      <c r="K109" s="124"/>
    </row>
    <row r="110">
      <c r="A110" s="2"/>
      <c r="B110" s="18" t="s">
        <v>218</v>
      </c>
      <c r="C110" s="39">
        <f>C96+C103</f>
        <v>4251</v>
      </c>
      <c r="D110" s="39">
        <f>D96+D103</f>
        <v>4175</v>
      </c>
      <c r="E110" s="39">
        <f>E96+E103</f>
        <v>4512</v>
      </c>
      <c r="F110" s="39">
        <f>F96+F103</f>
        <v>4748</v>
      </c>
      <c r="G110" s="39">
        <f>G96+G103</f>
        <v>17686</v>
      </c>
      <c r="H110" s="39">
        <f>H96+H103</f>
        <v>4850</v>
      </c>
      <c r="I110" s="39">
        <f>I96+I103</f>
        <v>4983</v>
      </c>
      <c r="J110" s="50">
        <f>J96+J103</f>
        <v>5129.927333165754</v>
      </c>
      <c r="K110" s="124"/>
    </row>
    <row r="111">
      <c r="A111" s="2"/>
      <c r="B111" s="47" t="s">
        <v>113</v>
      </c>
      <c r="C111" s="7"/>
      <c r="D111" s="7"/>
      <c r="E111" s="7"/>
      <c r="F111" s="7"/>
      <c r="G111" s="7"/>
      <c r="H111" s="40">
        <f>IF(OR(H110="",C110=""),"n.a.",IFERROR(IF(C110&lt;=0,"n.m.",IF(H110/C110&lt;=0,"n.m.",H110/C110-1)),"n.a."))</f>
        <v>0.1409080216419667</v>
      </c>
      <c r="I111" s="40">
        <f>IF(OR(I110="",D110=""),"n.a.",IFERROR(IF(D110&lt;=0,"n.m.",IF(I110/D110&lt;=0,"n.m.",I110/D110-1)),"n.a."))</f>
        <v>0.19353293413173644</v>
      </c>
      <c r="J111" s="45">
        <f>IF(OR(J110="",E110=""),"n.a.",IFERROR(IF(E110&lt;=0,"n.m.",IF(J110/E110&lt;=0,"n.m.",J110/E110-1)),"n.a."))</f>
        <v>0.13695197986829655</v>
      </c>
      <c r="K111" s="124"/>
    </row>
    <row r="112">
      <c r="A112" s="2"/>
      <c r="B112" s="47" t="s">
        <v>114</v>
      </c>
      <c r="C112" s="7"/>
      <c r="D112" s="40">
        <f>IF(OR(D110="",C110=""),"n.a.",IFERROR(IF(C110&lt;=0,"n.m.",IF(D110/C110&lt;=0,"n.m.",D110/C110-1)),"n.a."))</f>
        <v>-0.017878146318513255</v>
      </c>
      <c r="E112" s="40">
        <f>IF(OR(E110="",D110=""),"n.a.",IFERROR(IF(D110&lt;=0,"n.m.",IF(E110/D110&lt;=0,"n.m.",E110/D110-1)),"n.a."))</f>
        <v>0.0807185628742515</v>
      </c>
      <c r="F112" s="40">
        <f>IF(OR(F110="",E110=""),"n.a.",IFERROR(IF(E110&lt;=0,"n.m.",IF(F110/E110&lt;=0,"n.m.",F110/E110-1)),"n.a."))</f>
        <v>0.052304964539007015</v>
      </c>
      <c r="G112" s="7"/>
      <c r="H112" s="40">
        <f>IF(OR(H110="",F110=""),"n.a.",IFERROR(IF(F110&lt;=0,"n.m.",IF(H110/F110&lt;=0,"n.m.",H110/F110-1)),"n.a."))</f>
        <v>0.02148272957034547</v>
      </c>
      <c r="I112" s="40">
        <f>IF(OR(I110="",H110=""),"n.a.",IFERROR(IF(H110&lt;=0,"n.m.",IF(I110/H110&lt;=0,"n.m.",I110/H110-1)),"n.a."))</f>
        <v>0.02742268041237117</v>
      </c>
      <c r="J112" s="45">
        <f>IF(OR(J110="",I110=""),"n.a.",IFERROR(IF(I110&lt;=0,"n.m.",IF(J110/I110&lt;=0,"n.m.",J110/I110-1)),"n.a."))</f>
        <v>0.029485718074604428</v>
      </c>
      <c r="K112" s="124"/>
    </row>
    <row r="113">
      <c r="A113" s="2"/>
      <c r="B113" s="47" t="s">
        <v>115</v>
      </c>
      <c r="C113" s="7"/>
      <c r="D113" s="7"/>
      <c r="E113" s="7"/>
      <c r="F113" s="7"/>
      <c r="G113" s="7"/>
      <c r="H113" s="40" t="s">
        <v>116</v>
      </c>
      <c r="I113" s="40" t="s">
        <v>116</v>
      </c>
      <c r="J113" s="45" t="s">
        <v>116</v>
      </c>
      <c r="K113" s="124"/>
    </row>
    <row r="114">
      <c r="A114" s="2"/>
      <c r="B114" s="47" t="s">
        <v>117</v>
      </c>
      <c r="C114" s="7"/>
      <c r="D114" s="7"/>
      <c r="E114" s="7"/>
      <c r="F114" s="7"/>
      <c r="G114" s="7"/>
      <c r="H114" s="40" t="s">
        <v>116</v>
      </c>
      <c r="I114" s="40" t="s">
        <v>116</v>
      </c>
      <c r="J114" s="45" t="s">
        <v>116</v>
      </c>
      <c r="K114" s="124"/>
    </row>
    <row r="115">
      <c r="A115" s="2"/>
      <c r="B115" s="47" t="s">
        <v>118</v>
      </c>
      <c r="C115" s="7"/>
      <c r="D115" s="7"/>
      <c r="E115" s="7"/>
      <c r="F115" s="7"/>
      <c r="G115" s="7"/>
      <c r="H115" s="40" t="s">
        <v>116</v>
      </c>
      <c r="I115" s="40" t="s">
        <v>116</v>
      </c>
      <c r="J115" s="45" t="s">
        <v>116</v>
      </c>
      <c r="K115" s="124"/>
    </row>
    <row r="116">
      <c r="A116" s="2"/>
      <c r="B116" s="47" t="s">
        <v>119</v>
      </c>
      <c r="C116" s="40">
        <f>IFERROR(C110/C117,"n.a.")</f>
        <v>0.7066156914893617</v>
      </c>
      <c r="D116" s="40">
        <f>IFERROR(D110/D117,"n.a.")</f>
        <v>0.7032171130200437</v>
      </c>
      <c r="E116" s="40">
        <f>IFERROR(E110/E117,"n.a.")</f>
        <v>0.714828897338403</v>
      </c>
      <c r="F116" s="40">
        <f>IFERROR(F110/F117,"n.a.")</f>
        <v>0.7174372922333031</v>
      </c>
      <c r="G116" s="40">
        <f>IFERROR(G110/G117,"n.a.")</f>
        <v>0.7107663866897078</v>
      </c>
      <c r="H116" s="40">
        <f>IFERROR(H110/H117,"n.a.")</f>
        <v>0.7225864123957092</v>
      </c>
      <c r="I116" s="40">
        <f>IFERROR(I110/I117,"n.a.")</f>
        <v>0.7252219473148014</v>
      </c>
      <c r="J116" s="45">
        <f>IFERROR(J110/J117,"n.a.")</f>
        <v>0.7277033724997244</v>
      </c>
      <c r="K116" s="124"/>
    </row>
    <row r="117">
      <c r="A117" s="2"/>
      <c r="B117" s="18" t="s">
        <v>128</v>
      </c>
      <c r="C117" s="39">
        <f>C81+C110</f>
        <v>6016</v>
      </c>
      <c r="D117" s="39">
        <f>D81+D110</f>
        <v>5937</v>
      </c>
      <c r="E117" s="39">
        <f>E81+E110</f>
        <v>6312</v>
      </c>
      <c r="F117" s="39">
        <f>F81+F110</f>
        <v>6618</v>
      </c>
      <c r="G117" s="39">
        <f>G81+G110</f>
        <v>24883</v>
      </c>
      <c r="H117" s="39">
        <f>H81+H110</f>
        <v>6712</v>
      </c>
      <c r="I117" s="39">
        <f>I81+I110</f>
        <v>6871</v>
      </c>
      <c r="J117" s="50">
        <f>J81+J110</f>
        <v>7049.475826316439</v>
      </c>
      <c r="K117" s="124"/>
    </row>
    <row r="118">
      <c r="A118" s="2"/>
      <c r="B118" s="47" t="s">
        <v>113</v>
      </c>
      <c r="C118" s="7"/>
      <c r="D118" s="7"/>
      <c r="E118" s="7"/>
      <c r="F118" s="7"/>
      <c r="G118" s="7"/>
      <c r="H118" s="40">
        <f>IF(OR(H117="",C117=""),"n.a.",IFERROR(IF(C117&lt;=0,"n.m.",IF(H117/C117&lt;=0,"n.m.",H117/C117-1)),"n.a."))</f>
        <v>0.11569148936170204</v>
      </c>
      <c r="I118" s="40">
        <f>IF(OR(I117="",D117=""),"n.a.",IFERROR(IF(D117&lt;=0,"n.m.",IF(I117/D117&lt;=0,"n.m.",I117/D117-1)),"n.a."))</f>
        <v>0.15731851103250793</v>
      </c>
      <c r="J118" s="45">
        <f>IF(OR(J117="",E117=""),"n.a.",IFERROR(IF(E117&lt;=0,"n.m.",IF(J117/E117&lt;=0,"n.m.",J117/E117-1)),"n.a."))</f>
        <v>0.11683710809829528</v>
      </c>
      <c r="K118" s="124"/>
    </row>
    <row r="119">
      <c r="A119" s="2"/>
      <c r="B119" s="47" t="s">
        <v>114</v>
      </c>
      <c r="C119" s="7"/>
      <c r="D119" s="40">
        <f>IF(OR(D117="",C117=""),"n.a.",IFERROR(IF(C117&lt;=0,"n.m.",IF(D117/C117&lt;=0,"n.m.",D117/C117-1)),"n.a."))</f>
        <v>-0.013131648936170248</v>
      </c>
      <c r="E119" s="40">
        <f>IF(OR(E117="",D117=""),"n.a.",IFERROR(IF(D117&lt;=0,"n.m.",IF(E117/D117&lt;=0,"n.m.",E117/D117-1)),"n.a."))</f>
        <v>0.06316321374431522</v>
      </c>
      <c r="F119" s="40">
        <f>IF(OR(F117="",E117=""),"n.a.",IFERROR(IF(E117&lt;=0,"n.m.",IF(F117/E117&lt;=0,"n.m.",F117/E117-1)),"n.a."))</f>
        <v>0.048479087452471425</v>
      </c>
      <c r="G119" s="7"/>
      <c r="H119" s="40">
        <f>IF(OR(H117="",F117=""),"n.a.",IFERROR(IF(F117&lt;=0,"n.m.",IF(H117/F117&lt;=0,"n.m.",H117/F117-1)),"n.a."))</f>
        <v>0.01420368691447571</v>
      </c>
      <c r="I119" s="40">
        <f>IF(OR(I117="",H117=""),"n.a.",IFERROR(IF(H117&lt;=0,"n.m.",IF(I117/H117&lt;=0,"n.m.",I117/H117-1)),"n.a."))</f>
        <v>0.02368891537544693</v>
      </c>
      <c r="J119" s="45">
        <f>IF(OR(J117="",I117=""),"n.a.",IFERROR(IF(I117&lt;=0,"n.m.",IF(J117/I117&lt;=0,"n.m.",J117/I117-1)),"n.a."))</f>
        <v>0.025975233054350122</v>
      </c>
      <c r="K119" s="124"/>
    </row>
    <row r="120">
      <c r="A120" s="2"/>
      <c r="B120" s="47" t="s">
        <v>115</v>
      </c>
      <c r="C120" s="7"/>
      <c r="D120" s="7"/>
      <c r="E120" s="7"/>
      <c r="F120" s="7"/>
      <c r="G120" s="7"/>
      <c r="H120" s="40" t="s">
        <v>116</v>
      </c>
      <c r="I120" s="40" t="s">
        <v>116</v>
      </c>
      <c r="J120" s="45" t="s">
        <v>116</v>
      </c>
      <c r="K120" s="124"/>
    </row>
    <row r="121">
      <c r="A121" s="2"/>
      <c r="B121" s="47" t="s">
        <v>117</v>
      </c>
      <c r="C121" s="7"/>
      <c r="D121" s="7"/>
      <c r="E121" s="7"/>
      <c r="F121" s="7"/>
      <c r="G121" s="7"/>
      <c r="H121" s="40" t="s">
        <v>116</v>
      </c>
      <c r="I121" s="40" t="s">
        <v>116</v>
      </c>
      <c r="J121" s="45" t="s">
        <v>116</v>
      </c>
      <c r="K121" s="124"/>
    </row>
    <row r="122">
      <c r="A122" s="2"/>
      <c r="B122" s="47" t="s">
        <v>118</v>
      </c>
      <c r="C122" s="7"/>
      <c r="D122" s="7"/>
      <c r="E122" s="7"/>
      <c r="F122" s="7"/>
      <c r="G122" s="7"/>
      <c r="H122" s="40" t="s">
        <v>116</v>
      </c>
      <c r="I122" s="40" t="s">
        <v>116</v>
      </c>
      <c r="J122" s="45" t="s">
        <v>116</v>
      </c>
      <c r="K122" s="124"/>
    </row>
    <row r="123">
      <c r="A123" s="2"/>
      <c r="B123" s="3" t="s">
        <v>219</v>
      </c>
      <c r="C123" s="37">
        <v>6016</v>
      </c>
      <c r="D123" s="37">
        <v>5937</v>
      </c>
      <c r="E123" s="37">
        <v>6312</v>
      </c>
      <c r="F123" s="37">
        <v>6618</v>
      </c>
      <c r="G123" s="43">
        <f>SUM(C123:F123)</f>
        <v>24883</v>
      </c>
      <c r="H123" s="37">
        <v>6712</v>
      </c>
      <c r="I123" s="37">
        <v>6871</v>
      </c>
      <c r="J123" s="46"/>
      <c r="K123" s="125" t="s">
        <v>130</v>
      </c>
    </row>
    <row r="124">
      <c r="A124" s="2"/>
      <c r="B124" s="61" t="s">
        <v>167</v>
      </c>
      <c r="C124" s="41">
        <f>C117-C123</f>
        <v>0</v>
      </c>
      <c r="D124" s="41">
        <f>D117-D123</f>
        <v>0</v>
      </c>
      <c r="E124" s="41">
        <f>E117-E123</f>
        <v>0</v>
      </c>
      <c r="F124" s="41">
        <f>F117-F123</f>
        <v>0</v>
      </c>
      <c r="G124" s="41">
        <f>G117-G123</f>
        <v>0</v>
      </c>
      <c r="H124" s="41">
        <f>H117-H123</f>
        <v>0</v>
      </c>
      <c r="I124" s="41">
        <f>I117-I123</f>
        <v>0</v>
      </c>
      <c r="J124" s="46"/>
      <c r="K124" s="124"/>
    </row>
    <row r="125">
      <c r="A125" s="2"/>
      <c r="B125" s="61" t="s">
        <v>257</v>
      </c>
      <c r="C125" s="40">
        <f>C135/C117</f>
        <v>0.1657247340425532</v>
      </c>
      <c r="D125" s="40">
        <f>D135/D117</f>
        <v>0.16759306046824995</v>
      </c>
      <c r="E125" s="40">
        <f>E135/E117</f>
        <v>0.16650823827629913</v>
      </c>
      <c r="F125" s="40">
        <f>F135/F117</f>
        <v>0.16983983076458145</v>
      </c>
      <c r="G125" s="40">
        <f>G135/G117</f>
        <v>0.16746373025760558</v>
      </c>
      <c r="H125" s="40">
        <f>H135/H117</f>
        <v>0.1688021454112038</v>
      </c>
      <c r="I125" s="40">
        <f>I135/I117</f>
        <v>0.16882549847183817</v>
      </c>
      <c r="J125" s="45">
        <f>I125</f>
        <v>0.16882549847183817</v>
      </c>
      <c r="K125" s="124"/>
    </row>
    <row r="126">
      <c r="A126" s="2"/>
      <c r="B126" s="47" t="s">
        <v>169</v>
      </c>
      <c r="C126" s="7"/>
      <c r="D126" s="42">
        <f>(D125-C125)*10000</f>
        <v>18.68326425696759</v>
      </c>
      <c r="E126" s="42">
        <f>(E125-D125)*10000</f>
        <v>-10.848221919508294</v>
      </c>
      <c r="F126" s="42">
        <f>(F125-E125)*10000</f>
        <v>33.31592488282325</v>
      </c>
      <c r="G126" s="7"/>
      <c r="H126" s="42">
        <f>(H125-F125)*10000</f>
        <v>-10.376853533776432</v>
      </c>
      <c r="I126" s="42">
        <f>(I125-H125)*10000</f>
        <v>0.23353060634362377</v>
      </c>
      <c r="J126" s="56">
        <f>(J125-I125)*10000</f>
        <v>0</v>
      </c>
      <c r="K126" s="124"/>
    </row>
    <row r="127">
      <c r="A127" s="2"/>
      <c r="B127" s="47" t="s">
        <v>170</v>
      </c>
      <c r="C127" s="7"/>
      <c r="D127" s="7"/>
      <c r="E127" s="7"/>
      <c r="F127" s="7"/>
      <c r="G127" s="7"/>
      <c r="H127" s="42">
        <f>(H125-C125)*10000</f>
        <v>30.774113686506123</v>
      </c>
      <c r="I127" s="42">
        <f>(I125-D125)*10000</f>
        <v>12.324380035882154</v>
      </c>
      <c r="J127" s="56">
        <f>(J125-E125)*10000</f>
        <v>23.172601955390448</v>
      </c>
      <c r="K127" s="124"/>
    </row>
    <row r="128">
      <c r="A128" s="2"/>
      <c r="B128" s="3" t="s">
        <v>258</v>
      </c>
      <c r="C128" s="37">
        <v>5019</v>
      </c>
      <c r="D128" s="37">
        <v>4942</v>
      </c>
      <c r="E128" s="37">
        <v>5261</v>
      </c>
      <c r="F128" s="37">
        <v>5494</v>
      </c>
      <c r="G128" s="43">
        <f>SUM(C128:F128)</f>
        <v>20716</v>
      </c>
      <c r="H128" s="37">
        <v>5579</v>
      </c>
      <c r="I128" s="37">
        <v>5711</v>
      </c>
      <c r="J128" s="38">
        <f>J117-J135</f>
        <v>5859.344555973394</v>
      </c>
      <c r="K128" s="125" t="s">
        <v>127</v>
      </c>
    </row>
    <row r="129">
      <c r="A129" s="2"/>
      <c r="B129" s="47" t="s">
        <v>113</v>
      </c>
      <c r="C129" s="7"/>
      <c r="D129" s="7"/>
      <c r="E129" s="7"/>
      <c r="F129" s="7"/>
      <c r="G129" s="7"/>
      <c r="H129" s="40">
        <f>IF(OR(H128="",C128=""),"n.a.",IFERROR(IF(C128&lt;=0,"n.m.",IF(H128/C128&lt;=0,"n.m.",H128/C128-1)),"n.a."))</f>
        <v>0.11157601115760118</v>
      </c>
      <c r="I129" s="40">
        <f>IF(OR(I128="",D128=""),"n.a.",IFERROR(IF(D128&lt;=0,"n.m.",IF(I128/D128&lt;=0,"n.m.",I128/D128-1)),"n.a."))</f>
        <v>0.1556050182112505</v>
      </c>
      <c r="J129" s="45">
        <f>IF(OR(J128="",E128=""),"n.a.",IFERROR(IF(E128&lt;=0,"n.m.",IF(J128/E128&lt;=0,"n.m.",J128/E128-1)),"n.a."))</f>
        <v>0.1137320957942205</v>
      </c>
      <c r="K129" s="124"/>
    </row>
    <row r="130">
      <c r="A130" s="2"/>
      <c r="B130" s="47" t="s">
        <v>114</v>
      </c>
      <c r="C130" s="7"/>
      <c r="D130" s="40">
        <f>IF(OR(D128="",C128=""),"n.a.",IFERROR(IF(C128&lt;=0,"n.m.",IF(D128/C128&lt;=0,"n.m.",D128/C128-1)),"n.a."))</f>
        <v>-0.015341701534170138</v>
      </c>
      <c r="E130" s="40">
        <f>IF(OR(E128="",D128=""),"n.a.",IFERROR(IF(D128&lt;=0,"n.m.",IF(E128/D128&lt;=0,"n.m.",E128/D128-1)),"n.a."))</f>
        <v>0.06454876568191015</v>
      </c>
      <c r="F130" s="40">
        <f>IF(OR(F128="",E128=""),"n.a.",IFERROR(IF(E128&lt;=0,"n.m.",IF(F128/E128&lt;=0,"n.m.",F128/E128-1)),"n.a."))</f>
        <v>0.04428815814483933</v>
      </c>
      <c r="G130" s="7"/>
      <c r="H130" s="40">
        <f>IF(OR(H128="",F128=""),"n.a.",IFERROR(IF(F128&lt;=0,"n.m.",IF(H128/F128&lt;=0,"n.m.",H128/F128-1)),"n.a."))</f>
        <v>0.015471423370950088</v>
      </c>
      <c r="I130" s="40">
        <f>IF(OR(I128="",H128=""),"n.a.",IFERROR(IF(H128&lt;=0,"n.m.",IF(I128/H128&lt;=0,"n.m.",I128/H128-1)),"n.a."))</f>
        <v>0.023660154149489188</v>
      </c>
      <c r="J130" s="45">
        <f>IF(OR(J128="",I128=""),"n.a.",IFERROR(IF(I128&lt;=0,"n.m.",IF(J128/I128&lt;=0,"n.m.",J128/I128-1)),"n.a."))</f>
        <v>0.025975233054350122</v>
      </c>
      <c r="K130" s="124"/>
    </row>
    <row r="131">
      <c r="A131" s="2"/>
      <c r="B131" s="47" t="s">
        <v>115</v>
      </c>
      <c r="C131" s="7"/>
      <c r="D131" s="7"/>
      <c r="E131" s="7"/>
      <c r="F131" s="7"/>
      <c r="G131" s="7"/>
      <c r="H131" s="40" t="s">
        <v>116</v>
      </c>
      <c r="I131" s="40" t="s">
        <v>116</v>
      </c>
      <c r="J131" s="45" t="s">
        <v>116</v>
      </c>
      <c r="K131" s="124"/>
    </row>
    <row r="132">
      <c r="A132" s="2"/>
      <c r="B132" s="47" t="s">
        <v>117</v>
      </c>
      <c r="C132" s="7"/>
      <c r="D132" s="7"/>
      <c r="E132" s="7"/>
      <c r="F132" s="7"/>
      <c r="G132" s="7"/>
      <c r="H132" s="40" t="s">
        <v>116</v>
      </c>
      <c r="I132" s="40" t="s">
        <v>116</v>
      </c>
      <c r="J132" s="45" t="s">
        <v>116</v>
      </c>
      <c r="K132" s="124"/>
    </row>
    <row r="133">
      <c r="A133" s="2"/>
      <c r="B133" s="47" t="s">
        <v>118</v>
      </c>
      <c r="C133" s="7"/>
      <c r="D133" s="7"/>
      <c r="E133" s="7"/>
      <c r="F133" s="7"/>
      <c r="G133" s="7"/>
      <c r="H133" s="40" t="s">
        <v>116</v>
      </c>
      <c r="I133" s="40" t="s">
        <v>116</v>
      </c>
      <c r="J133" s="45" t="s">
        <v>116</v>
      </c>
      <c r="K133" s="124"/>
    </row>
    <row r="134">
      <c r="A134" s="2"/>
      <c r="B134" s="47" t="s">
        <v>119</v>
      </c>
      <c r="C134" s="40">
        <f>IFERROR(C128/C117,"n.a.")</f>
        <v>0.8342752659574468</v>
      </c>
      <c r="D134" s="40">
        <f>IFERROR(D128/D117,"n.a.")</f>
        <v>0.83240693953175</v>
      </c>
      <c r="E134" s="40">
        <f>IFERROR(E128/E117,"n.a.")</f>
        <v>0.8334917617237009</v>
      </c>
      <c r="F134" s="40">
        <f>IFERROR(F128/F117,"n.a.")</f>
        <v>0.8301601692354186</v>
      </c>
      <c r="G134" s="40">
        <f>IFERROR(G128/G117,"n.a.")</f>
        <v>0.8325362697423944</v>
      </c>
      <c r="H134" s="40">
        <f>IFERROR(H128/H117,"n.a.")</f>
        <v>0.8311978545887961</v>
      </c>
      <c r="I134" s="40">
        <f>IFERROR(I128/I117,"n.a.")</f>
        <v>0.8311745015281619</v>
      </c>
      <c r="J134" s="45">
        <f>IFERROR(J128/J117,"n.a.")</f>
        <v>0.8311745015281619</v>
      </c>
      <c r="K134" s="124"/>
    </row>
    <row r="135">
      <c r="A135" s="2"/>
      <c r="B135" s="3" t="s">
        <v>259</v>
      </c>
      <c r="C135" s="37">
        <v>997</v>
      </c>
      <c r="D135" s="37">
        <v>995</v>
      </c>
      <c r="E135" s="37">
        <v>1051</v>
      </c>
      <c r="F135" s="37">
        <v>1124</v>
      </c>
      <c r="G135" s="43">
        <f>SUM(C135:F135)</f>
        <v>4167</v>
      </c>
      <c r="H135" s="37">
        <v>1133</v>
      </c>
      <c r="I135" s="37">
        <v>1160</v>
      </c>
      <c r="J135" s="38">
        <f>J117*J125</f>
        <v>1190.1312703430463</v>
      </c>
      <c r="K135" s="125" t="s">
        <v>127</v>
      </c>
    </row>
    <row r="136">
      <c r="A136" s="2"/>
      <c r="B136" s="47" t="s">
        <v>113</v>
      </c>
      <c r="C136" s="7"/>
      <c r="D136" s="7"/>
      <c r="E136" s="7"/>
      <c r="F136" s="7"/>
      <c r="G136" s="7"/>
      <c r="H136" s="40">
        <f>IF(OR(H135="",C135=""),"n.a.",IFERROR(IF(C135&lt;=0,"n.m.",IF(H135/C135&lt;=0,"n.m.",H135/C135-1)),"n.a."))</f>
        <v>0.13640922768304908</v>
      </c>
      <c r="I136" s="40">
        <f>IF(OR(I135="",D135=""),"n.a.",IFERROR(IF(D135&lt;=0,"n.m.",IF(I135/D135&lt;=0,"n.m.",I135/D135-1)),"n.a."))</f>
        <v>0.16582914572864316</v>
      </c>
      <c r="J136" s="45">
        <f>IF(OR(J135="",E135=""),"n.a.",IFERROR(IF(E135&lt;=0,"n.m.",IF(J135/E135&lt;=0,"n.m.",J135/E135-1)),"n.a."))</f>
        <v>0.13237989566417352</v>
      </c>
      <c r="K136" s="124"/>
    </row>
    <row r="137">
      <c r="A137" s="2"/>
      <c r="B137" s="47" t="s">
        <v>114</v>
      </c>
      <c r="C137" s="7"/>
      <c r="D137" s="40">
        <f>IF(OR(D135="",C135=""),"n.a.",IFERROR(IF(C135&lt;=0,"n.m.",IF(D135/C135&lt;=0,"n.m.",D135/C135-1)),"n.a."))</f>
        <v>-0.0020060180541624506</v>
      </c>
      <c r="E137" s="40">
        <f>IF(OR(E135="",D135=""),"n.a.",IFERROR(IF(D135&lt;=0,"n.m.",IF(E135/D135&lt;=0,"n.m.",E135/D135-1)),"n.a."))</f>
        <v>0.05628140703517581</v>
      </c>
      <c r="F137" s="40">
        <f>IF(OR(F135="",E135=""),"n.a.",IFERROR(IF(E135&lt;=0,"n.m.",IF(F135/E135&lt;=0,"n.m.",F135/E135-1)),"n.a."))</f>
        <v>0.06945765937202664</v>
      </c>
      <c r="G137" s="7"/>
      <c r="H137" s="40">
        <f>IF(OR(H135="",F135=""),"n.a.",IFERROR(IF(F135&lt;=0,"n.m.",IF(H135/F135&lt;=0,"n.m.",H135/F135-1)),"n.a."))</f>
        <v>0.008007117437722311</v>
      </c>
      <c r="I137" s="40">
        <f>IF(OR(I135="",H135=""),"n.a.",IFERROR(IF(H135&lt;=0,"n.m.",IF(I135/H135&lt;=0,"n.m.",I135/H135-1)),"n.a."))</f>
        <v>0.02383053839364524</v>
      </c>
      <c r="J137" s="45">
        <f>IF(OR(J135="",I135=""),"n.a.",IFERROR(IF(I135&lt;=0,"n.m.",IF(J135/I135&lt;=0,"n.m.",J135/I135-1)),"n.a."))</f>
        <v>0.025975233054350122</v>
      </c>
      <c r="K137" s="124"/>
    </row>
    <row r="138">
      <c r="A138" s="2"/>
      <c r="B138" s="47" t="s">
        <v>115</v>
      </c>
      <c r="C138" s="7"/>
      <c r="D138" s="7"/>
      <c r="E138" s="7"/>
      <c r="F138" s="7"/>
      <c r="G138" s="7"/>
      <c r="H138" s="40" t="s">
        <v>116</v>
      </c>
      <c r="I138" s="40" t="s">
        <v>116</v>
      </c>
      <c r="J138" s="45" t="s">
        <v>116</v>
      </c>
      <c r="K138" s="124"/>
    </row>
    <row r="139">
      <c r="A139" s="2"/>
      <c r="B139" s="47" t="s">
        <v>117</v>
      </c>
      <c r="C139" s="7"/>
      <c r="D139" s="7"/>
      <c r="E139" s="7"/>
      <c r="F139" s="7"/>
      <c r="G139" s="7"/>
      <c r="H139" s="40" t="s">
        <v>116</v>
      </c>
      <c r="I139" s="40" t="s">
        <v>116</v>
      </c>
      <c r="J139" s="45" t="s">
        <v>116</v>
      </c>
      <c r="K139" s="124"/>
    </row>
    <row r="140">
      <c r="A140" s="2"/>
      <c r="B140" s="47" t="s">
        <v>118</v>
      </c>
      <c r="C140" s="7"/>
      <c r="D140" s="7"/>
      <c r="E140" s="7"/>
      <c r="F140" s="7"/>
      <c r="G140" s="7"/>
      <c r="H140" s="40" t="s">
        <v>116</v>
      </c>
      <c r="I140" s="40" t="s">
        <v>116</v>
      </c>
      <c r="J140" s="45" t="s">
        <v>116</v>
      </c>
      <c r="K140" s="124"/>
    </row>
    <row r="141">
      <c r="A141" s="2"/>
      <c r="B141" s="47" t="s">
        <v>119</v>
      </c>
      <c r="C141" s="40">
        <f>IFERROR(C135/C117,"n.a.")</f>
        <v>0.1657247340425532</v>
      </c>
      <c r="D141" s="40">
        <f>IFERROR(D135/D117,"n.a.")</f>
        <v>0.16759306046824995</v>
      </c>
      <c r="E141" s="40">
        <f>IFERROR(E135/E117,"n.a.")</f>
        <v>0.16650823827629913</v>
      </c>
      <c r="F141" s="40">
        <f>IFERROR(F135/F117,"n.a.")</f>
        <v>0.16983983076458145</v>
      </c>
      <c r="G141" s="40">
        <f>IFERROR(G135/G117,"n.a.")</f>
        <v>0.16746373025760558</v>
      </c>
      <c r="H141" s="40">
        <f>IFERROR(H135/H117,"n.a.")</f>
        <v>0.1688021454112038</v>
      </c>
      <c r="I141" s="40">
        <f>IFERROR(I135/I117,"n.a.")</f>
        <v>0.16882549847183817</v>
      </c>
      <c r="J141" s="45">
        <f>IFERROR(J135/J117,"n.a.")</f>
        <v>0.16882549847183817</v>
      </c>
      <c r="K141" s="124"/>
    </row>
    <row r="142">
      <c r="A142" s="2"/>
      <c r="B142" s="18" t="s">
        <v>260</v>
      </c>
      <c r="C142" s="39">
        <f>C128+C135</f>
        <v>6016</v>
      </c>
      <c r="D142" s="39">
        <f>D128+D135</f>
        <v>5937</v>
      </c>
      <c r="E142" s="39">
        <f>E128+E135</f>
        <v>6312</v>
      </c>
      <c r="F142" s="39">
        <f>F128+F135</f>
        <v>6618</v>
      </c>
      <c r="G142" s="39">
        <f>G128+G135</f>
        <v>24883</v>
      </c>
      <c r="H142" s="39">
        <f>H128+H135</f>
        <v>6712</v>
      </c>
      <c r="I142" s="39">
        <f>I128+I135</f>
        <v>6871</v>
      </c>
      <c r="J142" s="50">
        <f>J128+J135</f>
        <v>7049.47582631644</v>
      </c>
      <c r="K142" s="124"/>
    </row>
    <row r="143">
      <c r="A143" s="2"/>
      <c r="B143" s="61" t="s">
        <v>261</v>
      </c>
      <c r="C143" s="41">
        <f>C142-C117</f>
        <v>0</v>
      </c>
      <c r="D143" s="41">
        <f>D142-D117</f>
        <v>0</v>
      </c>
      <c r="E143" s="41">
        <f>E142-E117</f>
        <v>0</v>
      </c>
      <c r="F143" s="41">
        <f>F142-F117</f>
        <v>0</v>
      </c>
      <c r="G143" s="41">
        <f>G142-G117</f>
        <v>0</v>
      </c>
      <c r="H143" s="41">
        <f>H142-H117</f>
        <v>0</v>
      </c>
      <c r="I143" s="41">
        <f>I142-I117</f>
        <v>0</v>
      </c>
      <c r="J143" s="52">
        <f>J142-J117</f>
        <v>0</v>
      </c>
      <c r="K143" s="124"/>
    </row>
    <row r="144">
      <c r="A144" s="2"/>
      <c r="B144" s="18" t="s">
        <v>220</v>
      </c>
      <c r="C144" s="7"/>
      <c r="D144" s="7"/>
      <c r="E144" s="7"/>
      <c r="F144" s="7"/>
      <c r="G144" s="7"/>
      <c r="H144" s="7"/>
      <c r="I144" s="7"/>
      <c r="J144" s="46"/>
      <c r="K144" s="124"/>
    </row>
    <row r="145">
      <c r="A145" s="2"/>
      <c r="B145" s="3" t="s">
        <v>221</v>
      </c>
      <c r="C145" s="37">
        <v>14</v>
      </c>
      <c r="D145" s="37">
        <v>20</v>
      </c>
      <c r="E145" s="37">
        <v>4</v>
      </c>
      <c r="F145" s="37">
        <v>-3</v>
      </c>
      <c r="G145" s="43">
        <f>SUM(C145:F145)</f>
        <v>35</v>
      </c>
      <c r="H145" s="37">
        <v>2</v>
      </c>
      <c r="I145" s="37">
        <v>11</v>
      </c>
      <c r="J145" s="75">
        <v>10</v>
      </c>
      <c r="K145" s="125" t="s">
        <v>127</v>
      </c>
    </row>
    <row r="146">
      <c r="A146" s="2"/>
      <c r="B146" s="47" t="s">
        <v>133</v>
      </c>
      <c r="C146" s="7"/>
      <c r="D146" s="7"/>
      <c r="E146" s="7"/>
      <c r="F146" s="7"/>
      <c r="G146" s="7"/>
      <c r="H146" s="40">
        <f>IF(OR(H145="",C145=""),"n.a.",IFERROR(IF(C145&lt;=0,"n.m.",IF(H145/C145&lt;=0,"n.m.",H145/C145-1)),"n.a."))</f>
        <v>-0.8571428571428572</v>
      </c>
      <c r="I146" s="40">
        <f>IF(OR(I145="",D145=""),"n.a.",IFERROR(IF(D145&lt;=0,"n.m.",IF(I145/D145&lt;=0,"n.m.",I145/D145-1)),"n.a."))</f>
        <v>-0.44999999999999996</v>
      </c>
      <c r="J146" s="45">
        <f>IF(OR(J145="",E145=""),"n.a.",IFERROR(IF(E145&lt;=0,"n.m.",IF(J145/E145&lt;=0,"n.m.",J145/E145-1)),"n.a."))</f>
        <v>1.5</v>
      </c>
      <c r="K146" s="124"/>
    </row>
    <row r="147">
      <c r="A147" s="2"/>
      <c r="B147" s="47" t="s">
        <v>134</v>
      </c>
      <c r="C147" s="7"/>
      <c r="D147" s="41">
        <f>IF(OR(D145="",C145=""),"n.a.",IFERROR(D145-C145,"n.a."))</f>
        <v>6</v>
      </c>
      <c r="E147" s="41">
        <f>IF(OR(E145="",D145=""),"n.a.",IFERROR(E145-D145,"n.a."))</f>
        <v>-16</v>
      </c>
      <c r="F147" s="41">
        <f>IF(OR(F145="",E145=""),"n.a.",IFERROR(F145-E145,"n.a."))</f>
        <v>-7</v>
      </c>
      <c r="G147" s="7"/>
      <c r="H147" s="41">
        <f>IF(OR(H145="",F145=""),"n.a.",IFERROR(H145-F145,"n.a."))</f>
        <v>5</v>
      </c>
      <c r="I147" s="41">
        <f>IF(OR(I145="",H145=""),"n.a.",IFERROR(I145-H145,"n.a."))</f>
        <v>9</v>
      </c>
      <c r="J147" s="52">
        <f>IF(OR(J145="",I145=""),"n.a.",IFERROR(J145-I145,"n.a."))</f>
        <v>-1</v>
      </c>
      <c r="K147" s="124"/>
    </row>
    <row r="148">
      <c r="A148" s="2"/>
      <c r="B148" s="3" t="s">
        <v>222</v>
      </c>
      <c r="C148" s="37">
        <v>4659</v>
      </c>
      <c r="D148" s="37">
        <v>4593</v>
      </c>
      <c r="E148" s="37">
        <v>4622</v>
      </c>
      <c r="F148" s="37">
        <v>4747</v>
      </c>
      <c r="G148" s="43">
        <f>SUM(C148:F148)</f>
        <v>18621</v>
      </c>
      <c r="H148" s="37">
        <v>4938</v>
      </c>
      <c r="I148" s="37">
        <v>4976</v>
      </c>
      <c r="J148" s="75">
        <v>5040</v>
      </c>
      <c r="K148" s="125" t="s">
        <v>127</v>
      </c>
    </row>
    <row r="149">
      <c r="A149" s="2"/>
      <c r="B149" s="47" t="s">
        <v>133</v>
      </c>
      <c r="C149" s="7"/>
      <c r="D149" s="7"/>
      <c r="E149" s="7"/>
      <c r="F149" s="7"/>
      <c r="G149" s="7"/>
      <c r="H149" s="40">
        <f>IF(OR(H148="",C148=""),"n.a.",IFERROR(IF(C148&lt;=0,"n.m.",IF(H148/C148&lt;=0,"n.m.",H148/C148-1)),"n.a."))</f>
        <v>0.0598840952994204</v>
      </c>
      <c r="I149" s="40">
        <f>IF(OR(I148="",D148=""),"n.a.",IFERROR(IF(D148&lt;=0,"n.m.",IF(I148/D148&lt;=0,"n.m.",I148/D148-1)),"n.a."))</f>
        <v>0.08338776398867842</v>
      </c>
      <c r="J149" s="45">
        <f>IF(OR(J148="",E148=""),"n.a.",IFERROR(IF(E148&lt;=0,"n.m.",IF(J148/E148&lt;=0,"n.m.",J148/E148-1)),"n.a."))</f>
        <v>0.09043704024231936</v>
      </c>
      <c r="K149" s="124"/>
    </row>
    <row r="150">
      <c r="A150" s="2"/>
      <c r="B150" s="47" t="s">
        <v>134</v>
      </c>
      <c r="C150" s="7"/>
      <c r="D150" s="41">
        <f>IF(OR(D148="",C148=""),"n.a.",IFERROR(D148-C148,"n.a."))</f>
        <v>-66</v>
      </c>
      <c r="E150" s="41">
        <f>IF(OR(E148="",D148=""),"n.a.",IFERROR(E148-D148,"n.a."))</f>
        <v>29</v>
      </c>
      <c r="F150" s="41">
        <f>IF(OR(F148="",E148=""),"n.a.",IFERROR(F148-E148,"n.a."))</f>
        <v>125</v>
      </c>
      <c r="G150" s="7"/>
      <c r="H150" s="41">
        <f>IF(OR(H148="",F148=""),"n.a.",IFERROR(H148-F148,"n.a."))</f>
        <v>191</v>
      </c>
      <c r="I150" s="41">
        <f>IF(OR(I148="",H148=""),"n.a.",IFERROR(I148-H148,"n.a."))</f>
        <v>38</v>
      </c>
      <c r="J150" s="52">
        <f>IF(OR(J148="",I148=""),"n.a.",IFERROR(J148-I148,"n.a."))</f>
        <v>64</v>
      </c>
      <c r="K150" s="124"/>
    </row>
    <row r="151">
      <c r="A151" s="2"/>
      <c r="B151" s="18" t="s">
        <v>223</v>
      </c>
      <c r="C151" s="39">
        <f>C117-C145-C148</f>
        <v>1343</v>
      </c>
      <c r="D151" s="39">
        <f>D117-D145-D148</f>
        <v>1324</v>
      </c>
      <c r="E151" s="39">
        <f>E117-E145-E148</f>
        <v>1686</v>
      </c>
      <c r="F151" s="39">
        <f>F117-F145-F148</f>
        <v>1874</v>
      </c>
      <c r="G151" s="39">
        <f>G117-G145-G148</f>
        <v>6227</v>
      </c>
      <c r="H151" s="39">
        <f>H117-H145-H148</f>
        <v>1772</v>
      </c>
      <c r="I151" s="39">
        <f>I117-I145-I148</f>
        <v>1884</v>
      </c>
      <c r="J151" s="50">
        <f>J117-J145-J148</f>
        <v>1999.4758263164395</v>
      </c>
      <c r="K151" s="124"/>
    </row>
    <row r="152">
      <c r="A152" s="2"/>
      <c r="B152" s="47" t="s">
        <v>133</v>
      </c>
      <c r="C152" s="7"/>
      <c r="D152" s="7"/>
      <c r="E152" s="7"/>
      <c r="F152" s="7"/>
      <c r="G152" s="7"/>
      <c r="H152" s="40">
        <f>IF(OR(H151="",C151=""),"n.a.",IFERROR(IF(C151&lt;=0,"n.m.",IF(H151/C151&lt;=0,"n.m.",H151/C151-1)),"n.a."))</f>
        <v>0.31943410275502604</v>
      </c>
      <c r="I152" s="40">
        <f>IF(OR(I151="",D151=""),"n.a.",IFERROR(IF(D151&lt;=0,"n.m.",IF(I151/D151&lt;=0,"n.m.",I151/D151-1)),"n.a."))</f>
        <v>0.42296072507552873</v>
      </c>
      <c r="J152" s="45">
        <f>IF(OR(J151="",E151=""),"n.a.",IFERROR(IF(E151&lt;=0,"n.m.",IF(J151/E151&lt;=0,"n.m.",J151/E151-1)),"n.a."))</f>
        <v>0.1859287226076154</v>
      </c>
      <c r="K152" s="124"/>
    </row>
    <row r="153">
      <c r="A153" s="2"/>
      <c r="B153" s="47" t="s">
        <v>134</v>
      </c>
      <c r="C153" s="7"/>
      <c r="D153" s="41">
        <f>IF(OR(D151="",C151=""),"n.a.",IFERROR(D151-C151,"n.a."))</f>
        <v>-19</v>
      </c>
      <c r="E153" s="41">
        <f>IF(OR(E151="",D151=""),"n.a.",IFERROR(E151-D151,"n.a."))</f>
        <v>362</v>
      </c>
      <c r="F153" s="41">
        <f>IF(OR(F151="",E151=""),"n.a.",IFERROR(F151-E151,"n.a."))</f>
        <v>188</v>
      </c>
      <c r="G153" s="7"/>
      <c r="H153" s="41">
        <f>IF(OR(H151="",F151=""),"n.a.",IFERROR(H151-F151,"n.a."))</f>
        <v>-102</v>
      </c>
      <c r="I153" s="41">
        <f>IF(OR(I151="",H151=""),"n.a.",IFERROR(I151-H151,"n.a."))</f>
        <v>112</v>
      </c>
      <c r="J153" s="52">
        <f>IF(OR(J151="",I151=""),"n.a.",IFERROR(J151-I151,"n.a."))</f>
        <v>115.47582631643945</v>
      </c>
      <c r="K153" s="124"/>
    </row>
    <row r="154">
      <c r="A154" s="2"/>
      <c r="B154" s="61" t="s">
        <v>224</v>
      </c>
      <c r="C154" s="40">
        <f>C157/C151</f>
        <v>0.2501861504095309</v>
      </c>
      <c r="D154" s="40">
        <f>D157/D151</f>
        <v>0.25</v>
      </c>
      <c r="E154" s="40">
        <f>E157/E151</f>
        <v>0.24970344009489917</v>
      </c>
      <c r="F154" s="40">
        <f>F157/F151</f>
        <v>0.2502668089647812</v>
      </c>
      <c r="G154" s="40">
        <f>G157/G151</f>
        <v>0.2500401477436968</v>
      </c>
      <c r="H154" s="40">
        <f>H157/H151</f>
        <v>0.25</v>
      </c>
      <c r="I154" s="40">
        <f>I157/I151</f>
        <v>0.25</v>
      </c>
      <c r="J154" s="92">
        <v>0.25</v>
      </c>
      <c r="K154" s="124"/>
    </row>
    <row r="155">
      <c r="A155" s="2"/>
      <c r="B155" s="47" t="s">
        <v>169</v>
      </c>
      <c r="C155" s="7"/>
      <c r="D155" s="42">
        <f>(D154-C154)*10000</f>
        <v>-1.8615040953090523</v>
      </c>
      <c r="E155" s="42">
        <f>(E154-D154)*10000</f>
        <v>-2.965599051008294</v>
      </c>
      <c r="F155" s="42">
        <f>(F154-E154)*10000</f>
        <v>5.633688698820361</v>
      </c>
      <c r="G155" s="7"/>
      <c r="H155" s="42">
        <f>(H154-F154)*10000</f>
        <v>-2.6680896478120664</v>
      </c>
      <c r="I155" s="42">
        <f>(I154-H154)*10000</f>
        <v>0</v>
      </c>
      <c r="J155" s="56">
        <f>(J154-I154)*10000</f>
        <v>0</v>
      </c>
      <c r="K155" s="124"/>
    </row>
    <row r="156">
      <c r="A156" s="2"/>
      <c r="B156" s="47" t="s">
        <v>170</v>
      </c>
      <c r="C156" s="7"/>
      <c r="D156" s="7"/>
      <c r="E156" s="7"/>
      <c r="F156" s="7"/>
      <c r="G156" s="7"/>
      <c r="H156" s="42">
        <f>(H154-C154)*10000</f>
        <v>-1.8615040953090523</v>
      </c>
      <c r="I156" s="42">
        <f>(I154-D154)*10000</f>
        <v>0</v>
      </c>
      <c r="J156" s="56">
        <f>(J154-E154)*10000</f>
        <v>2.965599051008294</v>
      </c>
      <c r="K156" s="124"/>
    </row>
    <row r="157">
      <c r="A157" s="2"/>
      <c r="B157" s="3" t="s">
        <v>225</v>
      </c>
      <c r="C157" s="37">
        <v>336</v>
      </c>
      <c r="D157" s="37">
        <v>331</v>
      </c>
      <c r="E157" s="37">
        <v>421</v>
      </c>
      <c r="F157" s="37">
        <v>469</v>
      </c>
      <c r="G157" s="43">
        <f>SUM(C157:F157)</f>
        <v>1557</v>
      </c>
      <c r="H157" s="37">
        <v>443</v>
      </c>
      <c r="I157" s="37">
        <v>471</v>
      </c>
      <c r="J157" s="38">
        <f>J151*J154</f>
        <v>499.86895657910986</v>
      </c>
      <c r="K157" s="125" t="s">
        <v>127</v>
      </c>
    </row>
    <row r="158">
      <c r="A158" s="2"/>
      <c r="B158" s="18" t="s">
        <v>226</v>
      </c>
      <c r="C158" s="39">
        <f>C151-C157</f>
        <v>1007</v>
      </c>
      <c r="D158" s="39">
        <f>D151-D157</f>
        <v>993</v>
      </c>
      <c r="E158" s="39">
        <f>E151-E157</f>
        <v>1265</v>
      </c>
      <c r="F158" s="39">
        <f>F151-F157</f>
        <v>1405</v>
      </c>
      <c r="G158" s="39">
        <f>G151-G157</f>
        <v>4670</v>
      </c>
      <c r="H158" s="39">
        <f>H151-H157</f>
        <v>1329</v>
      </c>
      <c r="I158" s="39">
        <f>I151-I157</f>
        <v>1413</v>
      </c>
      <c r="J158" s="50">
        <f>J151-J157</f>
        <v>1499.6068697373296</v>
      </c>
      <c r="K158" s="124"/>
    </row>
    <row r="159">
      <c r="A159" s="2"/>
      <c r="B159" s="47" t="s">
        <v>133</v>
      </c>
      <c r="C159" s="7"/>
      <c r="D159" s="7"/>
      <c r="E159" s="7"/>
      <c r="F159" s="7"/>
      <c r="G159" s="7"/>
      <c r="H159" s="40">
        <f>IF(OR(H158="",C158=""),"n.a.",IFERROR(IF(C158&lt;=0,"n.m.",IF(H158/C158&lt;=0,"n.m.",H158/C158-1)),"n.a."))</f>
        <v>0.3197616683217477</v>
      </c>
      <c r="I159" s="40">
        <f>IF(OR(I158="",D158=""),"n.a.",IFERROR(IF(D158&lt;=0,"n.m.",IF(I158/D158&lt;=0,"n.m.",I158/D158-1)),"n.a."))</f>
        <v>0.42296072507552873</v>
      </c>
      <c r="J159" s="45">
        <f>IF(OR(J158="",E158=""),"n.a.",IFERROR(IF(E158&lt;=0,"n.m.",IF(J158/E158&lt;=0,"n.m.",J158/E158-1)),"n.a."))</f>
        <v>0.18545997607694042</v>
      </c>
      <c r="K159" s="124"/>
    </row>
    <row r="160">
      <c r="A160" s="2"/>
      <c r="B160" s="47" t="s">
        <v>134</v>
      </c>
      <c r="C160" s="7"/>
      <c r="D160" s="41">
        <f>IF(OR(D158="",C158=""),"n.a.",IFERROR(D158-C158,"n.a."))</f>
        <v>-14</v>
      </c>
      <c r="E160" s="41">
        <f>IF(OR(E158="",D158=""),"n.a.",IFERROR(E158-D158,"n.a."))</f>
        <v>272</v>
      </c>
      <c r="F160" s="41">
        <f>IF(OR(F158="",E158=""),"n.a.",IFERROR(F158-E158,"n.a."))</f>
        <v>140</v>
      </c>
      <c r="G160" s="7"/>
      <c r="H160" s="41">
        <f>IF(OR(H158="",F158=""),"n.a.",IFERROR(H158-F158,"n.a."))</f>
        <v>-76</v>
      </c>
      <c r="I160" s="41">
        <f>IF(OR(I158="",H158=""),"n.a.",IFERROR(I158-H158,"n.a."))</f>
        <v>84</v>
      </c>
      <c r="J160" s="52">
        <f>IF(OR(J158="",I158=""),"n.a.",IFERROR(J158-I158,"n.a."))</f>
        <v>86.60686973732959</v>
      </c>
      <c r="K160" s="124"/>
    </row>
    <row r="161">
      <c r="A161" s="2"/>
      <c r="B161" s="1" t="s">
        <v>227</v>
      </c>
      <c r="C161" s="40">
        <f>C148/C117</f>
        <v>0.7744348404255319</v>
      </c>
      <c r="D161" s="40">
        <f>D148/D117</f>
        <v>0.7736230419403739</v>
      </c>
      <c r="E161" s="40">
        <f>E148/E117</f>
        <v>0.732256020278834</v>
      </c>
      <c r="F161" s="40">
        <f>F148/F117</f>
        <v>0.7172861891810215</v>
      </c>
      <c r="G161" s="40">
        <f>G148/G117</f>
        <v>0.7483422416911144</v>
      </c>
      <c r="H161" s="40">
        <f>H148/H117</f>
        <v>0.7356972586412396</v>
      </c>
      <c r="I161" s="40">
        <f>I148/I117</f>
        <v>0.7242031727550575</v>
      </c>
      <c r="J161" s="45">
        <f>J148/J117</f>
        <v>0.7149467739409995</v>
      </c>
      <c r="K161" s="124"/>
    </row>
    <row r="162">
      <c r="A162" s="2"/>
      <c r="B162" s="47" t="s">
        <v>169</v>
      </c>
      <c r="C162" s="7"/>
      <c r="D162" s="42">
        <f>(D161-C161)*10000</f>
        <v>-8.117984851579996</v>
      </c>
      <c r="E162" s="42">
        <f>(E161-D161)*10000</f>
        <v>-413.6702166153994</v>
      </c>
      <c r="F162" s="42">
        <f>(F161-E161)*10000</f>
        <v>-149.69831097812468</v>
      </c>
      <c r="G162" s="7"/>
      <c r="H162" s="42">
        <f>(H161-F161)*10000</f>
        <v>184.11069460218087</v>
      </c>
      <c r="I162" s="42">
        <f>(I161-H161)*10000</f>
        <v>-114.9408588618206</v>
      </c>
      <c r="J162" s="56">
        <f>(J161-I161)*10000</f>
        <v>-92.56398814058042</v>
      </c>
      <c r="K162" s="124"/>
    </row>
    <row r="163">
      <c r="A163" s="2"/>
      <c r="B163" s="47" t="s">
        <v>170</v>
      </c>
      <c r="C163" s="7"/>
      <c r="D163" s="7"/>
      <c r="E163" s="7"/>
      <c r="F163" s="7"/>
      <c r="G163" s="7"/>
      <c r="H163" s="42">
        <f>(H161-C161)*10000</f>
        <v>-387.3758178429232</v>
      </c>
      <c r="I163" s="42">
        <f>(I161-D161)*10000</f>
        <v>-494.1986918531638</v>
      </c>
      <c r="J163" s="56">
        <f>(J161-E161)*10000</f>
        <v>-173.09246337834483</v>
      </c>
      <c r="K163" s="124"/>
    </row>
    <row r="164">
      <c r="A164" s="2"/>
      <c r="B164" s="1" t="s">
        <v>228</v>
      </c>
      <c r="C164" s="40">
        <f>C151/C117</f>
        <v>0.2232380319148936</v>
      </c>
      <c r="D164" s="40">
        <f>D151/D117</f>
        <v>0.22300825332659593</v>
      </c>
      <c r="E164" s="40">
        <f>E151/E117</f>
        <v>0.2671102661596958</v>
      </c>
      <c r="F164" s="40">
        <f>F151/F117</f>
        <v>0.2831671199758235</v>
      </c>
      <c r="G164" s="40">
        <f>G151/G117</f>
        <v>0.2502511755013463</v>
      </c>
      <c r="H164" s="40">
        <f>H151/H117</f>
        <v>0.26400476758045294</v>
      </c>
      <c r="I164" s="40">
        <f>I151/I117</f>
        <v>0.27419589579391646</v>
      </c>
      <c r="J164" s="45">
        <f>J151/J117</f>
        <v>0.2836346808726096</v>
      </c>
      <c r="K164" s="124"/>
    </row>
    <row r="165">
      <c r="A165" s="2"/>
      <c r="B165" s="47" t="s">
        <v>169</v>
      </c>
      <c r="C165" s="7"/>
      <c r="D165" s="42">
        <f>(D164-C164)*10000</f>
        <v>-2.297785882976744</v>
      </c>
      <c r="E165" s="42">
        <f>(E164-D164)*10000</f>
        <v>441.0201283309986</v>
      </c>
      <c r="F165" s="42">
        <f>(F164-E164)*10000</f>
        <v>160.56853816127702</v>
      </c>
      <c r="G165" s="7"/>
      <c r="H165" s="42">
        <f>(H164-F164)*10000</f>
        <v>-191.62352395370564</v>
      </c>
      <c r="I165" s="42">
        <f>(I164-H164)*10000</f>
        <v>101.91128213463519</v>
      </c>
      <c r="J165" s="56">
        <f>(J164-I164)*10000</f>
        <v>94.38785078693168</v>
      </c>
      <c r="K165" s="124"/>
    </row>
    <row r="166">
      <c r="A166" s="2"/>
      <c r="B166" s="47" t="s">
        <v>170</v>
      </c>
      <c r="C166" s="7"/>
      <c r="D166" s="7"/>
      <c r="E166" s="7"/>
      <c r="F166" s="7"/>
      <c r="G166" s="7"/>
      <c r="H166" s="42">
        <f>(H164-C164)*10000</f>
        <v>407.66735665559327</v>
      </c>
      <c r="I166" s="42">
        <f>(I164-D164)*10000</f>
        <v>511.87642467320524</v>
      </c>
      <c r="J166" s="56">
        <f>(J164-E164)*10000</f>
        <v>165.24414712913827</v>
      </c>
      <c r="K166" s="124"/>
    </row>
    <row r="167">
      <c r="A167" s="2"/>
      <c r="B167" s="2"/>
      <c r="C167" s="2"/>
      <c r="D167" s="2"/>
      <c r="E167" s="2"/>
      <c r="F167" s="2"/>
      <c r="G167" s="2"/>
      <c r="H167" s="2"/>
      <c r="I167" s="2"/>
      <c r="J167" s="2"/>
      <c r="K167" s="2"/>
    </row>
    <row r="168">
      <c r="A168" s="2"/>
      <c r="B168" s="2"/>
      <c r="C168" s="2"/>
      <c r="D168" s="2"/>
      <c r="E168" s="2"/>
      <c r="F168" s="2"/>
      <c r="G168" s="2"/>
      <c r="H168" s="2"/>
      <c r="I168" s="2"/>
      <c r="J168" s="2"/>
      <c r="K168" s="2"/>
    </row>
  </sheetData>
  <legacyDrawing r:id="rId2"/>
</worksheet>
</file>

<file path=xl/worksheets/sheet5.xml><?xml version="1.0" encoding="utf-8"?>
<worksheet xmlns="http://schemas.openxmlformats.org/spreadsheetml/2006/main" xmlns:r="http://schemas.openxmlformats.org/officeDocument/2006/relationships">
  <dimension ref="A1:K284"/>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262</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263</v>
      </c>
      <c r="C9" s="7"/>
      <c r="D9" s="7"/>
      <c r="E9" s="7"/>
      <c r="F9" s="7"/>
      <c r="G9" s="7"/>
      <c r="H9" s="7"/>
      <c r="I9" s="7"/>
      <c r="J9" s="46"/>
      <c r="K9" s="124"/>
    </row>
    <row r="10">
      <c r="A10" s="2"/>
      <c r="B10" s="3" t="s">
        <v>264</v>
      </c>
      <c r="C10" s="37">
        <v>384</v>
      </c>
      <c r="D10" s="37">
        <v>333</v>
      </c>
      <c r="E10" s="37">
        <v>583</v>
      </c>
      <c r="F10" s="37">
        <v>590</v>
      </c>
      <c r="G10" s="43">
        <f>SUM(C10:F10)</f>
        <v>1890</v>
      </c>
      <c r="H10" s="37">
        <v>553</v>
      </c>
      <c r="I10" s="37">
        <v>558</v>
      </c>
      <c r="J10" s="75">
        <v>540</v>
      </c>
      <c r="K10" s="125" t="s">
        <v>127</v>
      </c>
    </row>
    <row r="11">
      <c r="A11" s="2"/>
      <c r="B11" s="47" t="s">
        <v>113</v>
      </c>
      <c r="C11" s="7"/>
      <c r="D11" s="7"/>
      <c r="E11" s="7"/>
      <c r="F11" s="7"/>
      <c r="G11" s="7"/>
      <c r="H11" s="40">
        <f>IF(OR(H10="",C10=""),"n.a.",IFERROR(IF(C10&lt;=0,"n.m.",IF(H10/C10&lt;=0,"n.m.",H10/C10-1)),"n.a."))</f>
        <v>0.44010416666666674</v>
      </c>
      <c r="I11" s="40">
        <f>IF(OR(I10="",D10=""),"n.a.",IFERROR(IF(D10&lt;=0,"n.m.",IF(I10/D10&lt;=0,"n.m.",I10/D10-1)),"n.a."))</f>
        <v>0.6756756756756757</v>
      </c>
      <c r="J11" s="45">
        <f>IF(OR(J10="",E10=""),"n.a.",IFERROR(IF(E10&lt;=0,"n.m.",IF(J10/E10&lt;=0,"n.m.",J10/E10-1)),"n.a."))</f>
        <v>-0.07375643224699824</v>
      </c>
      <c r="K11" s="124"/>
    </row>
    <row r="12">
      <c r="A12" s="2"/>
      <c r="B12" s="47" t="s">
        <v>114</v>
      </c>
      <c r="C12" s="7"/>
      <c r="D12" s="40">
        <f>IF(OR(D10="",C10=""),"n.a.",IFERROR(IF(C10&lt;=0,"n.m.",IF(D10/C10&lt;=0,"n.m.",D10/C10-1)),"n.a."))</f>
        <v>-0.1328125</v>
      </c>
      <c r="E12" s="40">
        <f>IF(OR(E10="",D10=""),"n.a.",IFERROR(IF(D10&lt;=0,"n.m.",IF(E10/D10&lt;=0,"n.m.",E10/D10-1)),"n.a."))</f>
        <v>0.7507507507507507</v>
      </c>
      <c r="F12" s="40">
        <f>IF(OR(F10="",E10=""),"n.a.",IFERROR(IF(E10&lt;=0,"n.m.",IF(F10/E10&lt;=0,"n.m.",F10/E10-1)),"n.a."))</f>
        <v>0.012006861063464935</v>
      </c>
      <c r="G12" s="7"/>
      <c r="H12" s="40">
        <f>IF(OR(H10="",F10=""),"n.a.",IFERROR(IF(F10&lt;=0,"n.m.",IF(H10/F10&lt;=0,"n.m.",H10/F10-1)),"n.a."))</f>
        <v>-0.06271186440677967</v>
      </c>
      <c r="I12" s="40">
        <f>IF(OR(I10="",H10=""),"n.a.",IFERROR(IF(H10&lt;=0,"n.m.",IF(I10/H10&lt;=0,"n.m.",I10/H10-1)),"n.a."))</f>
        <v>0.009041591320072317</v>
      </c>
      <c r="J12" s="45">
        <f>IF(OR(J10="",I10=""),"n.a.",IFERROR(IF(I10&lt;=0,"n.m.",IF(J10/I10&lt;=0,"n.m.",J10/I10-1)),"n.a."))</f>
        <v>-0.032258064516129004</v>
      </c>
      <c r="K12" s="124"/>
    </row>
    <row r="13">
      <c r="A13" s="2"/>
      <c r="B13" s="47" t="s">
        <v>115</v>
      </c>
      <c r="C13" s="7"/>
      <c r="D13" s="7"/>
      <c r="E13" s="7"/>
      <c r="F13" s="7"/>
      <c r="G13" s="7"/>
      <c r="H13" s="40" t="s">
        <v>116</v>
      </c>
      <c r="I13" s="40" t="s">
        <v>116</v>
      </c>
      <c r="J13" s="45" t="s">
        <v>116</v>
      </c>
      <c r="K13" s="124"/>
    </row>
    <row r="14">
      <c r="A14" s="2"/>
      <c r="B14" s="47" t="s">
        <v>117</v>
      </c>
      <c r="C14" s="7"/>
      <c r="D14" s="7"/>
      <c r="E14" s="7"/>
      <c r="F14" s="7"/>
      <c r="G14" s="7"/>
      <c r="H14" s="40" t="s">
        <v>116</v>
      </c>
      <c r="I14" s="40" t="s">
        <v>116</v>
      </c>
      <c r="J14" s="45" t="s">
        <v>116</v>
      </c>
      <c r="K14" s="124"/>
    </row>
    <row r="15">
      <c r="A15" s="2"/>
      <c r="B15" s="47" t="s">
        <v>118</v>
      </c>
      <c r="C15" s="7"/>
      <c r="D15" s="7"/>
      <c r="E15" s="7"/>
      <c r="F15" s="7"/>
      <c r="G15" s="7"/>
      <c r="H15" s="40" t="s">
        <v>116</v>
      </c>
      <c r="I15" s="40" t="s">
        <v>116</v>
      </c>
      <c r="J15" s="45" t="s">
        <v>116</v>
      </c>
      <c r="K15" s="124"/>
    </row>
    <row r="16">
      <c r="A16" s="2"/>
      <c r="B16" s="3" t="s">
        <v>265</v>
      </c>
      <c r="C16" s="37">
        <v>942</v>
      </c>
      <c r="D16" s="37">
        <v>837</v>
      </c>
      <c r="E16" s="37">
        <v>1109</v>
      </c>
      <c r="F16" s="37">
        <v>810</v>
      </c>
      <c r="G16" s="43">
        <f>SUM(C16:F16)</f>
        <v>3698</v>
      </c>
      <c r="H16" s="37">
        <v>986</v>
      </c>
      <c r="I16" s="37">
        <v>1113</v>
      </c>
      <c r="J16" s="75">
        <v>930</v>
      </c>
      <c r="K16" s="125" t="s">
        <v>127</v>
      </c>
    </row>
    <row r="17">
      <c r="A17" s="2"/>
      <c r="B17" s="47" t="s">
        <v>113</v>
      </c>
      <c r="C17" s="7"/>
      <c r="D17" s="7"/>
      <c r="E17" s="7"/>
      <c r="F17" s="7"/>
      <c r="G17" s="7"/>
      <c r="H17" s="40">
        <f>IF(OR(H16="",C16=""),"n.a.",IFERROR(IF(C16&lt;=0,"n.m.",IF(H16/C16&lt;=0,"n.m.",H16/C16-1)),"n.a."))</f>
        <v>0.04670912951167727</v>
      </c>
      <c r="I17" s="40">
        <f>IF(OR(I16="",D16=""),"n.a.",IFERROR(IF(D16&lt;=0,"n.m.",IF(I16/D16&lt;=0,"n.m.",I16/D16-1)),"n.a."))</f>
        <v>0.32974910394265233</v>
      </c>
      <c r="J17" s="45">
        <f>IF(OR(J16="",E16=""),"n.a.",IFERROR(IF(E16&lt;=0,"n.m.",IF(J16/E16&lt;=0,"n.m.",J16/E16-1)),"n.a."))</f>
        <v>-0.1614066726780884</v>
      </c>
      <c r="K17" s="124"/>
    </row>
    <row r="18">
      <c r="A18" s="2"/>
      <c r="B18" s="47" t="s">
        <v>114</v>
      </c>
      <c r="C18" s="7"/>
      <c r="D18" s="40">
        <f>IF(OR(D16="",C16=""),"n.a.",IFERROR(IF(C16&lt;=0,"n.m.",IF(D16/C16&lt;=0,"n.m.",D16/C16-1)),"n.a."))</f>
        <v>-0.11146496815286622</v>
      </c>
      <c r="E18" s="40">
        <f>IF(OR(E16="",D16=""),"n.a.",IFERROR(IF(D16&lt;=0,"n.m.",IF(E16/D16&lt;=0,"n.m.",E16/D16-1)),"n.a."))</f>
        <v>0.32497013142174436</v>
      </c>
      <c r="F18" s="40">
        <f>IF(OR(F16="",E16=""),"n.a.",IFERROR(IF(E16&lt;=0,"n.m.",IF(F16/E16&lt;=0,"n.m.",F16/E16-1)),"n.a."))</f>
        <v>-0.26961226330027055</v>
      </c>
      <c r="G18" s="7"/>
      <c r="H18" s="40">
        <f>IF(OR(H16="",F16=""),"n.a.",IFERROR(IF(F16&lt;=0,"n.m.",IF(H16/F16&lt;=0,"n.m.",H16/F16-1)),"n.a."))</f>
        <v>0.2172839506172839</v>
      </c>
      <c r="I18" s="40">
        <f>IF(OR(I16="",H16=""),"n.a.",IFERROR(IF(H16&lt;=0,"n.m.",IF(I16/H16&lt;=0,"n.m.",I16/H16-1)),"n.a."))</f>
        <v>0.12880324543610544</v>
      </c>
      <c r="J18" s="45">
        <f>IF(OR(J16="",I16=""),"n.a.",IFERROR(IF(I16&lt;=0,"n.m.",IF(J16/I16&lt;=0,"n.m.",J16/I16-1)),"n.a."))</f>
        <v>-0.16442048517520214</v>
      </c>
      <c r="K18" s="124"/>
    </row>
    <row r="19">
      <c r="A19" s="2"/>
      <c r="B19" s="47" t="s">
        <v>115</v>
      </c>
      <c r="C19" s="7"/>
      <c r="D19" s="7"/>
      <c r="E19" s="7"/>
      <c r="F19" s="7"/>
      <c r="G19" s="7"/>
      <c r="H19" s="40" t="s">
        <v>116</v>
      </c>
      <c r="I19" s="40" t="s">
        <v>116</v>
      </c>
      <c r="J19" s="45" t="s">
        <v>116</v>
      </c>
      <c r="K19" s="124"/>
    </row>
    <row r="20">
      <c r="A20" s="2"/>
      <c r="B20" s="47" t="s">
        <v>117</v>
      </c>
      <c r="C20" s="7"/>
      <c r="D20" s="7"/>
      <c r="E20" s="7"/>
      <c r="F20" s="7"/>
      <c r="G20" s="7"/>
      <c r="H20" s="40" t="s">
        <v>116</v>
      </c>
      <c r="I20" s="40" t="s">
        <v>116</v>
      </c>
      <c r="J20" s="45" t="s">
        <v>116</v>
      </c>
      <c r="K20" s="124"/>
    </row>
    <row r="21">
      <c r="A21" s="2"/>
      <c r="B21" s="47" t="s">
        <v>118</v>
      </c>
      <c r="C21" s="7"/>
      <c r="D21" s="7"/>
      <c r="E21" s="7"/>
      <c r="F21" s="7"/>
      <c r="G21" s="7"/>
      <c r="H21" s="40" t="s">
        <v>116</v>
      </c>
      <c r="I21" s="40" t="s">
        <v>116</v>
      </c>
      <c r="J21" s="45" t="s">
        <v>116</v>
      </c>
      <c r="K21" s="124"/>
    </row>
    <row r="22">
      <c r="A22" s="2"/>
      <c r="B22" s="3" t="s">
        <v>266</v>
      </c>
      <c r="C22" s="37">
        <v>272</v>
      </c>
      <c r="D22" s="37">
        <v>328</v>
      </c>
      <c r="E22" s="37">
        <v>362</v>
      </c>
      <c r="F22" s="37">
        <v>297</v>
      </c>
      <c r="G22" s="43">
        <f>SUM(C22:F22)</f>
        <v>1259</v>
      </c>
      <c r="H22" s="37">
        <v>353</v>
      </c>
      <c r="I22" s="37">
        <v>535</v>
      </c>
      <c r="J22" s="75">
        <v>380</v>
      </c>
      <c r="K22" s="125" t="s">
        <v>127</v>
      </c>
    </row>
    <row r="23">
      <c r="A23" s="2"/>
      <c r="B23" s="47" t="s">
        <v>113</v>
      </c>
      <c r="C23" s="7"/>
      <c r="D23" s="7"/>
      <c r="E23" s="7"/>
      <c r="F23" s="7"/>
      <c r="G23" s="7"/>
      <c r="H23" s="40">
        <f>IF(OR(H22="",C22=""),"n.a.",IFERROR(IF(C22&lt;=0,"n.m.",IF(H22/C22&lt;=0,"n.m.",H22/C22-1)),"n.a."))</f>
        <v>0.2977941176470589</v>
      </c>
      <c r="I23" s="40">
        <f>IF(OR(I22="",D22=""),"n.a.",IFERROR(IF(D22&lt;=0,"n.m.",IF(I22/D22&lt;=0,"n.m.",I22/D22-1)),"n.a."))</f>
        <v>0.6310975609756098</v>
      </c>
      <c r="J23" s="45">
        <f>IF(OR(J22="",E22=""),"n.a.",IFERROR(IF(E22&lt;=0,"n.m.",IF(J22/E22&lt;=0,"n.m.",J22/E22-1)),"n.a."))</f>
        <v>0.04972375690607733</v>
      </c>
      <c r="K23" s="124"/>
    </row>
    <row r="24">
      <c r="A24" s="2"/>
      <c r="B24" s="47" t="s">
        <v>114</v>
      </c>
      <c r="C24" s="7"/>
      <c r="D24" s="40">
        <f>IF(OR(D22="",C22=""),"n.a.",IFERROR(IF(C22&lt;=0,"n.m.",IF(D22/C22&lt;=0,"n.m.",D22/C22-1)),"n.a."))</f>
        <v>0.2058823529411764</v>
      </c>
      <c r="E24" s="40">
        <f>IF(OR(E22="",D22=""),"n.a.",IFERROR(IF(D22&lt;=0,"n.m.",IF(E22/D22&lt;=0,"n.m.",E22/D22-1)),"n.a."))</f>
        <v>0.10365853658536595</v>
      </c>
      <c r="F24" s="40">
        <f>IF(OR(F22="",E22=""),"n.a.",IFERROR(IF(E22&lt;=0,"n.m.",IF(F22/E22&lt;=0,"n.m.",F22/E22-1)),"n.a."))</f>
        <v>-0.1795580110497238</v>
      </c>
      <c r="G24" s="7"/>
      <c r="H24" s="40">
        <f>IF(OR(H22="",F22=""),"n.a.",IFERROR(IF(F22&lt;=0,"n.m.",IF(H22/F22&lt;=0,"n.m.",H22/F22-1)),"n.a."))</f>
        <v>0.18855218855218858</v>
      </c>
      <c r="I24" s="40">
        <f>IF(OR(I22="",H22=""),"n.a.",IFERROR(IF(H22&lt;=0,"n.m.",IF(I22/H22&lt;=0,"n.m.",I22/H22-1)),"n.a."))</f>
        <v>0.5155807365439093</v>
      </c>
      <c r="J24" s="45">
        <f>IF(OR(J22="",I22=""),"n.a.",IFERROR(IF(I22&lt;=0,"n.m.",IF(J22/I22&lt;=0,"n.m.",J22/I22-1)),"n.a."))</f>
        <v>-0.28971962616822433</v>
      </c>
      <c r="K24" s="124"/>
    </row>
    <row r="25">
      <c r="A25" s="2"/>
      <c r="B25" s="47" t="s">
        <v>115</v>
      </c>
      <c r="C25" s="7"/>
      <c r="D25" s="7"/>
      <c r="E25" s="7"/>
      <c r="F25" s="7"/>
      <c r="G25" s="7"/>
      <c r="H25" s="40" t="s">
        <v>116</v>
      </c>
      <c r="I25" s="40" t="s">
        <v>116</v>
      </c>
      <c r="J25" s="45" t="s">
        <v>116</v>
      </c>
      <c r="K25" s="124"/>
    </row>
    <row r="26">
      <c r="A26" s="2"/>
      <c r="B26" s="47" t="s">
        <v>117</v>
      </c>
      <c r="C26" s="7"/>
      <c r="D26" s="7"/>
      <c r="E26" s="7"/>
      <c r="F26" s="7"/>
      <c r="G26" s="7"/>
      <c r="H26" s="40" t="s">
        <v>116</v>
      </c>
      <c r="I26" s="40" t="s">
        <v>116</v>
      </c>
      <c r="J26" s="45" t="s">
        <v>116</v>
      </c>
      <c r="K26" s="124"/>
    </row>
    <row r="27">
      <c r="A27" s="2"/>
      <c r="B27" s="47" t="s">
        <v>118</v>
      </c>
      <c r="C27" s="7"/>
      <c r="D27" s="7"/>
      <c r="E27" s="7"/>
      <c r="F27" s="7"/>
      <c r="G27" s="7"/>
      <c r="H27" s="40" t="s">
        <v>116</v>
      </c>
      <c r="I27" s="40" t="s">
        <v>116</v>
      </c>
      <c r="J27" s="45" t="s">
        <v>116</v>
      </c>
      <c r="K27" s="124"/>
    </row>
    <row r="28">
      <c r="A28" s="2"/>
      <c r="B28" s="18" t="s">
        <v>267</v>
      </c>
      <c r="C28" s="39">
        <f>C10+C16+C22</f>
        <v>1598</v>
      </c>
      <c r="D28" s="39">
        <f>D10+D16+D22</f>
        <v>1498</v>
      </c>
      <c r="E28" s="39">
        <f>E10+E16+E22</f>
        <v>2054</v>
      </c>
      <c r="F28" s="39">
        <f>F10+F16+F22</f>
        <v>1697</v>
      </c>
      <c r="G28" s="39">
        <f>G10+G16+G22</f>
        <v>6847</v>
      </c>
      <c r="H28" s="39">
        <f>H10+H16+H22</f>
        <v>1892</v>
      </c>
      <c r="I28" s="39">
        <f>I10+I16+I22</f>
        <v>2206</v>
      </c>
      <c r="J28" s="50">
        <f>J10+J16+J22</f>
        <v>1850</v>
      </c>
      <c r="K28" s="124"/>
    </row>
    <row r="29">
      <c r="A29" s="2"/>
      <c r="B29" s="47" t="s">
        <v>113</v>
      </c>
      <c r="C29" s="7"/>
      <c r="D29" s="7"/>
      <c r="E29" s="7"/>
      <c r="F29" s="7"/>
      <c r="G29" s="7"/>
      <c r="H29" s="40">
        <f>IF(OR(H28="",C28=""),"n.a.",IFERROR(IF(C28&lt;=0,"n.m.",IF(H28/C28&lt;=0,"n.m.",H28/C28-1)),"n.a."))</f>
        <v>0.183979974968711</v>
      </c>
      <c r="I29" s="40">
        <f>IF(OR(I28="",D28=""),"n.a.",IFERROR(IF(D28&lt;=0,"n.m.",IF(I28/D28&lt;=0,"n.m.",I28/D28-1)),"n.a."))</f>
        <v>0.4726301735647529</v>
      </c>
      <c r="J29" s="45">
        <f>IF(OR(J28="",E28=""),"n.a.",IFERROR(IF(E28&lt;=0,"n.m.",IF(J28/E28&lt;=0,"n.m.",J28/E28-1)),"n.a."))</f>
        <v>-0.09931840311587148</v>
      </c>
      <c r="K29" s="124"/>
    </row>
    <row r="30">
      <c r="A30" s="2"/>
      <c r="B30" s="47" t="s">
        <v>114</v>
      </c>
      <c r="C30" s="7"/>
      <c r="D30" s="40">
        <f>IF(OR(D28="",C28=""),"n.a.",IFERROR(IF(C28&lt;=0,"n.m.",IF(D28/C28&lt;=0,"n.m.",D28/C28-1)),"n.a."))</f>
        <v>-0.06257822277847314</v>
      </c>
      <c r="E30" s="40">
        <f>IF(OR(E28="",D28=""),"n.a.",IFERROR(IF(D28&lt;=0,"n.m.",IF(E28/D28&lt;=0,"n.m.",E28/D28-1)),"n.a."))</f>
        <v>0.3711615487316422</v>
      </c>
      <c r="F30" s="40">
        <f>IF(OR(F28="",E28=""),"n.a.",IFERROR(IF(E28&lt;=0,"n.m.",IF(F28/E28&lt;=0,"n.m.",F28/E28-1)),"n.a."))</f>
        <v>-0.17380720545277506</v>
      </c>
      <c r="G30" s="7"/>
      <c r="H30" s="40">
        <f>IF(OR(H28="",F28=""),"n.a.",IFERROR(IF(F28&lt;=0,"n.m.",IF(H28/F28&lt;=0,"n.m.",H28/F28-1)),"n.a."))</f>
        <v>0.11490866234531527</v>
      </c>
      <c r="I30" s="40">
        <f>IF(OR(I28="",H28=""),"n.a.",IFERROR(IF(H28&lt;=0,"n.m.",IF(I28/H28&lt;=0,"n.m.",I28/H28-1)),"n.a."))</f>
        <v>0.16596194503171247</v>
      </c>
      <c r="J30" s="45">
        <f>IF(OR(J28="",I28=""),"n.a.",IFERROR(IF(I28&lt;=0,"n.m.",IF(J28/I28&lt;=0,"n.m.",J28/I28-1)),"n.a."))</f>
        <v>-0.16137805983680875</v>
      </c>
      <c r="K30" s="124"/>
    </row>
    <row r="31">
      <c r="A31" s="2"/>
      <c r="B31" s="47" t="s">
        <v>115</v>
      </c>
      <c r="C31" s="7"/>
      <c r="D31" s="7"/>
      <c r="E31" s="7"/>
      <c r="F31" s="7"/>
      <c r="G31" s="7"/>
      <c r="H31" s="40" t="s">
        <v>116</v>
      </c>
      <c r="I31" s="40" t="s">
        <v>116</v>
      </c>
      <c r="J31" s="45" t="s">
        <v>116</v>
      </c>
      <c r="K31" s="124"/>
    </row>
    <row r="32">
      <c r="A32" s="2"/>
      <c r="B32" s="47" t="s">
        <v>117</v>
      </c>
      <c r="C32" s="7"/>
      <c r="D32" s="7"/>
      <c r="E32" s="7"/>
      <c r="F32" s="7"/>
      <c r="G32" s="7"/>
      <c r="H32" s="40" t="s">
        <v>116</v>
      </c>
      <c r="I32" s="40" t="s">
        <v>116</v>
      </c>
      <c r="J32" s="45" t="s">
        <v>116</v>
      </c>
      <c r="K32" s="124"/>
    </row>
    <row r="33">
      <c r="A33" s="2"/>
      <c r="B33" s="47" t="s">
        <v>118</v>
      </c>
      <c r="C33" s="7"/>
      <c r="D33" s="7"/>
      <c r="E33" s="7"/>
      <c r="F33" s="7"/>
      <c r="G33" s="7"/>
      <c r="H33" s="40" t="s">
        <v>116</v>
      </c>
      <c r="I33" s="40" t="s">
        <v>116</v>
      </c>
      <c r="J33" s="45" t="s">
        <v>116</v>
      </c>
      <c r="K33" s="124"/>
    </row>
    <row r="34">
      <c r="A34" s="2"/>
      <c r="B34" s="3" t="s">
        <v>268</v>
      </c>
      <c r="C34" s="37">
        <v>-75</v>
      </c>
      <c r="D34" s="37">
        <v>-70</v>
      </c>
      <c r="E34" s="37">
        <v>-41</v>
      </c>
      <c r="F34" s="37">
        <v>-31</v>
      </c>
      <c r="G34" s="43">
        <f>SUM(C34:F34)</f>
        <v>-217</v>
      </c>
      <c r="H34" s="37">
        <v>-51</v>
      </c>
      <c r="I34" s="37">
        <v>-68</v>
      </c>
      <c r="J34" s="75">
        <v>-50</v>
      </c>
      <c r="K34" s="125" t="s">
        <v>127</v>
      </c>
    </row>
    <row r="35">
      <c r="A35" s="2"/>
      <c r="B35" s="47" t="s">
        <v>113</v>
      </c>
      <c r="C35" s="7"/>
      <c r="D35" s="7"/>
      <c r="E35" s="7"/>
      <c r="F35" s="7"/>
      <c r="G35" s="7"/>
      <c r="H35" s="40" t="str">
        <f>IF(OR(H34="",C34=""),"n.a.",IFERROR(IF(C34&lt;=0,"n.m.",IF(H34/C34&lt;=0,"n.m.",H34/C34-1)),"n.a."))</f>
        <v>n.m.</v>
      </c>
      <c r="I35" s="40" t="str">
        <f>IF(OR(I34="",D34=""),"n.a.",IFERROR(IF(D34&lt;=0,"n.m.",IF(I34/D34&lt;=0,"n.m.",I34/D34-1)),"n.a."))</f>
        <v>n.m.</v>
      </c>
      <c r="J35" s="45" t="str">
        <f>IF(OR(J34="",E34=""),"n.a.",IFERROR(IF(E34&lt;=0,"n.m.",IF(J34/E34&lt;=0,"n.m.",J34/E34-1)),"n.a."))</f>
        <v>n.m.</v>
      </c>
      <c r="K35" s="124"/>
    </row>
    <row r="36">
      <c r="A36" s="2"/>
      <c r="B36" s="47" t="s">
        <v>114</v>
      </c>
      <c r="C36" s="7"/>
      <c r="D36" s="40" t="str">
        <f>IF(OR(D34="",C34=""),"n.a.",IFERROR(IF(C34&lt;=0,"n.m.",IF(D34/C34&lt;=0,"n.m.",D34/C34-1)),"n.a."))</f>
        <v>n.m.</v>
      </c>
      <c r="E36" s="40" t="str">
        <f>IF(OR(E34="",D34=""),"n.a.",IFERROR(IF(D34&lt;=0,"n.m.",IF(E34/D34&lt;=0,"n.m.",E34/D34-1)),"n.a."))</f>
        <v>n.m.</v>
      </c>
      <c r="F36" s="40" t="str">
        <f>IF(OR(F34="",E34=""),"n.a.",IFERROR(IF(E34&lt;=0,"n.m.",IF(F34/E34&lt;=0,"n.m.",F34/E34-1)),"n.a."))</f>
        <v>n.m.</v>
      </c>
      <c r="G36" s="7"/>
      <c r="H36" s="40" t="str">
        <f>IF(OR(H34="",F34=""),"n.a.",IFERROR(IF(F34&lt;=0,"n.m.",IF(H34/F34&lt;=0,"n.m.",H34/F34-1)),"n.a."))</f>
        <v>n.m.</v>
      </c>
      <c r="I36" s="40" t="str">
        <f>IF(OR(I34="",H34=""),"n.a.",IFERROR(IF(H34&lt;=0,"n.m.",IF(I34/H34&lt;=0,"n.m.",I34/H34-1)),"n.a."))</f>
        <v>n.m.</v>
      </c>
      <c r="J36" s="45" t="str">
        <f>IF(OR(J34="",I34=""),"n.a.",IFERROR(IF(I34&lt;=0,"n.m.",IF(J34/I34&lt;=0,"n.m.",J34/I34-1)),"n.a."))</f>
        <v>n.m.</v>
      </c>
      <c r="K36" s="124"/>
    </row>
    <row r="37">
      <c r="A37" s="2"/>
      <c r="B37" s="47" t="s">
        <v>115</v>
      </c>
      <c r="C37" s="7"/>
      <c r="D37" s="7"/>
      <c r="E37" s="7"/>
      <c r="F37" s="7"/>
      <c r="G37" s="7"/>
      <c r="H37" s="40" t="s">
        <v>116</v>
      </c>
      <c r="I37" s="40" t="s">
        <v>116</v>
      </c>
      <c r="J37" s="45" t="s">
        <v>116</v>
      </c>
      <c r="K37" s="124"/>
    </row>
    <row r="38">
      <c r="A38" s="2"/>
      <c r="B38" s="47" t="s">
        <v>117</v>
      </c>
      <c r="C38" s="7"/>
      <c r="D38" s="7"/>
      <c r="E38" s="7"/>
      <c r="F38" s="7"/>
      <c r="G38" s="7"/>
      <c r="H38" s="40" t="s">
        <v>116</v>
      </c>
      <c r="I38" s="40" t="s">
        <v>116</v>
      </c>
      <c r="J38" s="45" t="s">
        <v>116</v>
      </c>
      <c r="K38" s="124"/>
    </row>
    <row r="39">
      <c r="A39" s="2"/>
      <c r="B39" s="47" t="s">
        <v>118</v>
      </c>
      <c r="C39" s="7"/>
      <c r="D39" s="7"/>
      <c r="E39" s="7"/>
      <c r="F39" s="7"/>
      <c r="G39" s="7"/>
      <c r="H39" s="40" t="s">
        <v>116</v>
      </c>
      <c r="I39" s="40" t="s">
        <v>116</v>
      </c>
      <c r="J39" s="45" t="s">
        <v>116</v>
      </c>
      <c r="K39" s="124"/>
    </row>
    <row r="40">
      <c r="A40" s="2"/>
      <c r="B40" s="18" t="s">
        <v>269</v>
      </c>
      <c r="C40" s="39">
        <f>C28+C34</f>
        <v>1523</v>
      </c>
      <c r="D40" s="39">
        <f>D28+D34</f>
        <v>1428</v>
      </c>
      <c r="E40" s="39">
        <f>E28+E34</f>
        <v>2013</v>
      </c>
      <c r="F40" s="39">
        <f>F28+F34</f>
        <v>1666</v>
      </c>
      <c r="G40" s="39">
        <f>G28+G34</f>
        <v>6630</v>
      </c>
      <c r="H40" s="39">
        <f>H28+H34</f>
        <v>1841</v>
      </c>
      <c r="I40" s="39">
        <f>I28+I34</f>
        <v>2138</v>
      </c>
      <c r="J40" s="50">
        <f>J28+J34</f>
        <v>1800</v>
      </c>
      <c r="K40" s="124"/>
    </row>
    <row r="41">
      <c r="A41" s="2"/>
      <c r="B41" s="47" t="s">
        <v>113</v>
      </c>
      <c r="C41" s="7"/>
      <c r="D41" s="7"/>
      <c r="E41" s="7"/>
      <c r="F41" s="7"/>
      <c r="G41" s="7"/>
      <c r="H41" s="40">
        <f>IF(OR(H40="",C40=""),"n.a.",IFERROR(IF(C40&lt;=0,"n.m.",IF(H40/C40&lt;=0,"n.m.",H40/C40-1)),"n.a."))</f>
        <v>0.20879842416283645</v>
      </c>
      <c r="I41" s="40">
        <f>IF(OR(I40="",D40=""),"n.a.",IFERROR(IF(D40&lt;=0,"n.m.",IF(I40/D40&lt;=0,"n.m.",I40/D40-1)),"n.a."))</f>
        <v>0.49719887955182074</v>
      </c>
      <c r="J41" s="45">
        <f>IF(OR(J40="",E40=""),"n.a.",IFERROR(IF(E40&lt;=0,"n.m.",IF(J40/E40&lt;=0,"n.m.",J40/E40-1)),"n.a."))</f>
        <v>-0.10581222056631889</v>
      </c>
      <c r="K41" s="124"/>
    </row>
    <row r="42">
      <c r="A42" s="2"/>
      <c r="B42" s="47" t="s">
        <v>114</v>
      </c>
      <c r="C42" s="7"/>
      <c r="D42" s="40">
        <f>IF(OR(D40="",C40=""),"n.a.",IFERROR(IF(C40&lt;=0,"n.m.",IF(D40/C40&lt;=0,"n.m.",D40/C40-1)),"n.a."))</f>
        <v>-0.0623768877216021</v>
      </c>
      <c r="E42" s="40">
        <f>IF(OR(E40="",D40=""),"n.a.",IFERROR(IF(D40&lt;=0,"n.m.",IF(E40/D40&lt;=0,"n.m.",E40/D40-1)),"n.a."))</f>
        <v>0.4096638655462186</v>
      </c>
      <c r="F42" s="40">
        <f>IF(OR(F40="",E40=""),"n.a.",IFERROR(IF(E40&lt;=0,"n.m.",IF(F40/E40&lt;=0,"n.m.",F40/E40-1)),"n.a."))</f>
        <v>-0.17237953303527076</v>
      </c>
      <c r="G42" s="7"/>
      <c r="H42" s="40">
        <f>IF(OR(H40="",F40=""),"n.a.",IFERROR(IF(F40&lt;=0,"n.m.",IF(H40/F40&lt;=0,"n.m.",H40/F40-1)),"n.a."))</f>
        <v>0.10504201680672276</v>
      </c>
      <c r="I42" s="40">
        <f>IF(OR(I40="",H40=""),"n.a.",IFERROR(IF(H40&lt;=0,"n.m.",IF(I40/H40&lt;=0,"n.m.",I40/H40-1)),"n.a."))</f>
        <v>0.16132536664856056</v>
      </c>
      <c r="J42" s="45">
        <f>IF(OR(J40="",I40=""),"n.a.",IFERROR(IF(I40&lt;=0,"n.m.",IF(J40/I40&lt;=0,"n.m.",J40/I40-1)),"n.a."))</f>
        <v>-0.15809167446211414</v>
      </c>
      <c r="K42" s="124"/>
    </row>
    <row r="43">
      <c r="A43" s="2"/>
      <c r="B43" s="47" t="s">
        <v>115</v>
      </c>
      <c r="C43" s="7"/>
      <c r="D43" s="7"/>
      <c r="E43" s="7"/>
      <c r="F43" s="7"/>
      <c r="G43" s="7"/>
      <c r="H43" s="40" t="s">
        <v>116</v>
      </c>
      <c r="I43" s="40" t="s">
        <v>116</v>
      </c>
      <c r="J43" s="45" t="s">
        <v>116</v>
      </c>
      <c r="K43" s="124"/>
    </row>
    <row r="44">
      <c r="A44" s="2"/>
      <c r="B44" s="47" t="s">
        <v>117</v>
      </c>
      <c r="C44" s="7"/>
      <c r="D44" s="7"/>
      <c r="E44" s="7"/>
      <c r="F44" s="7"/>
      <c r="G44" s="7"/>
      <c r="H44" s="40" t="s">
        <v>116</v>
      </c>
      <c r="I44" s="40" t="s">
        <v>116</v>
      </c>
      <c r="J44" s="45" t="s">
        <v>116</v>
      </c>
      <c r="K44" s="124"/>
    </row>
    <row r="45">
      <c r="A45" s="2"/>
      <c r="B45" s="47" t="s">
        <v>118</v>
      </c>
      <c r="C45" s="7"/>
      <c r="D45" s="7"/>
      <c r="E45" s="7"/>
      <c r="F45" s="7"/>
      <c r="G45" s="7"/>
      <c r="H45" s="40" t="s">
        <v>116</v>
      </c>
      <c r="I45" s="40" t="s">
        <v>116</v>
      </c>
      <c r="J45" s="45" t="s">
        <v>116</v>
      </c>
      <c r="K45" s="124"/>
    </row>
    <row r="46">
      <c r="A46" s="2"/>
      <c r="B46" s="3" t="s">
        <v>270</v>
      </c>
      <c r="C46" s="58">
        <f>'Income Statement'!C183</f>
        <v>1523</v>
      </c>
      <c r="D46" s="58">
        <f>'Income Statement'!D183</f>
        <v>1428</v>
      </c>
      <c r="E46" s="58">
        <f>'Income Statement'!E183</f>
        <v>2013</v>
      </c>
      <c r="F46" s="58">
        <f>'Income Statement'!F183</f>
        <v>1666</v>
      </c>
      <c r="G46" s="58">
        <f>'Income Statement'!G183</f>
        <v>6630</v>
      </c>
      <c r="H46" s="58">
        <f>'Income Statement'!H183</f>
        <v>1841</v>
      </c>
      <c r="I46" s="58">
        <f>'Income Statement'!I183</f>
        <v>2138</v>
      </c>
      <c r="J46" s="46"/>
      <c r="K46" s="124"/>
    </row>
    <row r="47">
      <c r="A47" s="2"/>
      <c r="B47" s="61" t="s">
        <v>167</v>
      </c>
      <c r="C47" s="41">
        <f>C40-C46</f>
        <v>0</v>
      </c>
      <c r="D47" s="41">
        <f>D40-D46</f>
        <v>0</v>
      </c>
      <c r="E47" s="41">
        <f>E40-E46</f>
        <v>0</v>
      </c>
      <c r="F47" s="41">
        <f>F40-F46</f>
        <v>0</v>
      </c>
      <c r="G47" s="41">
        <f>G40-G46</f>
        <v>0</v>
      </c>
      <c r="H47" s="41">
        <f>H40-H46</f>
        <v>0</v>
      </c>
      <c r="I47" s="41">
        <f>I40-I46</f>
        <v>0</v>
      </c>
      <c r="J47" s="46"/>
      <c r="K47" s="124"/>
    </row>
    <row r="48">
      <c r="A48" s="2"/>
      <c r="B48" s="18" t="s">
        <v>271</v>
      </c>
      <c r="C48" s="7"/>
      <c r="D48" s="7"/>
      <c r="E48" s="7"/>
      <c r="F48" s="7"/>
      <c r="G48" s="7"/>
      <c r="H48" s="7"/>
      <c r="I48" s="7"/>
      <c r="J48" s="46"/>
      <c r="K48" s="124"/>
    </row>
    <row r="49">
      <c r="A49" s="2"/>
      <c r="B49" s="61" t="s">
        <v>272</v>
      </c>
      <c r="C49" s="40">
        <f>C52/C10</f>
        <v>0.8828125</v>
      </c>
      <c r="D49" s="40">
        <f>D52/D10</f>
        <v>0.8738738738738738</v>
      </c>
      <c r="E49" s="40">
        <f>E52/E10</f>
        <v>0.9193825042881647</v>
      </c>
      <c r="F49" s="40">
        <f>F52/F10</f>
        <v>0.9169491525423729</v>
      </c>
      <c r="G49" s="40">
        <f>G52/G10</f>
        <v>0.9031746031746032</v>
      </c>
      <c r="H49" s="40">
        <f>H52/H10</f>
        <v>0.8987341772151899</v>
      </c>
      <c r="I49" s="40">
        <f>I52/I10</f>
        <v>0.9265232974910395</v>
      </c>
      <c r="J49" s="92">
        <v>0.92</v>
      </c>
      <c r="K49" s="124"/>
    </row>
    <row r="50">
      <c r="A50" s="2"/>
      <c r="B50" s="47" t="s">
        <v>169</v>
      </c>
      <c r="C50" s="7"/>
      <c r="D50" s="42">
        <f>(D49-C49)*10000</f>
        <v>-89.3862612612617</v>
      </c>
      <c r="E50" s="42">
        <f>(E49-D49)*10000</f>
        <v>455.0863041429087</v>
      </c>
      <c r="F50" s="42">
        <f>(F49-E49)*10000</f>
        <v>-24.333517457918454</v>
      </c>
      <c r="G50" s="7"/>
      <c r="H50" s="42">
        <f>(H49-F49)*10000</f>
        <v>-182.1497532718297</v>
      </c>
      <c r="I50" s="42">
        <f>(I49-H49)*10000</f>
        <v>277.89120275849564</v>
      </c>
      <c r="J50" s="56">
        <f>(J49-I49)*10000</f>
        <v>-65.23297491039415</v>
      </c>
      <c r="K50" s="124"/>
    </row>
    <row r="51">
      <c r="A51" s="2"/>
      <c r="B51" s="47" t="s">
        <v>170</v>
      </c>
      <c r="C51" s="7"/>
      <c r="D51" s="7"/>
      <c r="E51" s="7"/>
      <c r="F51" s="7"/>
      <c r="G51" s="7"/>
      <c r="H51" s="42">
        <f>(H49-C49)*10000</f>
        <v>159.21677215189888</v>
      </c>
      <c r="I51" s="42">
        <f>(I49-D49)*10000</f>
        <v>526.4942361716562</v>
      </c>
      <c r="J51" s="56">
        <f>(J49-E49)*10000</f>
        <v>6.174957118353364</v>
      </c>
      <c r="K51" s="124"/>
    </row>
    <row r="52">
      <c r="A52" s="2"/>
      <c r="B52" s="3" t="s">
        <v>273</v>
      </c>
      <c r="C52" s="37">
        <v>339</v>
      </c>
      <c r="D52" s="37">
        <v>291</v>
      </c>
      <c r="E52" s="37">
        <v>536</v>
      </c>
      <c r="F52" s="37">
        <v>541</v>
      </c>
      <c r="G52" s="43">
        <f>SUM(C52:F52)</f>
        <v>1707</v>
      </c>
      <c r="H52" s="37">
        <v>497</v>
      </c>
      <c r="I52" s="37">
        <v>517</v>
      </c>
      <c r="J52" s="38">
        <f>J10*J49</f>
        <v>496.8</v>
      </c>
      <c r="K52" s="125" t="s">
        <v>127</v>
      </c>
    </row>
    <row r="53">
      <c r="A53" s="2"/>
      <c r="B53" s="47" t="s">
        <v>113</v>
      </c>
      <c r="C53" s="7"/>
      <c r="D53" s="7"/>
      <c r="E53" s="7"/>
      <c r="F53" s="7"/>
      <c r="G53" s="7"/>
      <c r="H53" s="40">
        <f>IF(OR(H52="",C52=""),"n.a.",IFERROR(IF(C52&lt;=0,"n.m.",IF(H52/C52&lt;=0,"n.m.",H52/C52-1)),"n.a."))</f>
        <v>0.46607669616519165</v>
      </c>
      <c r="I53" s="40">
        <f>IF(OR(I52="",D52=""),"n.a.",IFERROR(IF(D52&lt;=0,"n.m.",IF(I52/D52&lt;=0,"n.m.",I52/D52-1)),"n.a."))</f>
        <v>0.7766323024054982</v>
      </c>
      <c r="J53" s="45">
        <f>IF(OR(J52="",E52=""),"n.a.",IFERROR(IF(E52&lt;=0,"n.m.",IF(J52/E52&lt;=0,"n.m.",J52/E52-1)),"n.a."))</f>
        <v>-0.07313432835820899</v>
      </c>
      <c r="K53" s="124"/>
    </row>
    <row r="54">
      <c r="A54" s="2"/>
      <c r="B54" s="47" t="s">
        <v>114</v>
      </c>
      <c r="C54" s="7"/>
      <c r="D54" s="40">
        <f>IF(OR(D52="",C52=""),"n.a.",IFERROR(IF(C52&lt;=0,"n.m.",IF(D52/C52&lt;=0,"n.m.",D52/C52-1)),"n.a."))</f>
        <v>-0.1415929203539823</v>
      </c>
      <c r="E54" s="40">
        <f>IF(OR(E52="",D52=""),"n.a.",IFERROR(IF(D52&lt;=0,"n.m.",IF(E52/D52&lt;=0,"n.m.",E52/D52-1)),"n.a."))</f>
        <v>0.8419243986254294</v>
      </c>
      <c r="F54" s="40">
        <f>IF(OR(F52="",E52=""),"n.a.",IFERROR(IF(E52&lt;=0,"n.m.",IF(F52/E52&lt;=0,"n.m.",F52/E52-1)),"n.a."))</f>
        <v>0.009328358208955168</v>
      </c>
      <c r="G54" s="7"/>
      <c r="H54" s="40">
        <f>IF(OR(H52="",F52=""),"n.a.",IFERROR(IF(F52&lt;=0,"n.m.",IF(H52/F52&lt;=0,"n.m.",H52/F52-1)),"n.a."))</f>
        <v>-0.08133086876155271</v>
      </c>
      <c r="I54" s="40">
        <f>IF(OR(I52="",H52=""),"n.a.",IFERROR(IF(H52&lt;=0,"n.m.",IF(I52/H52&lt;=0,"n.m.",I52/H52-1)),"n.a."))</f>
        <v>0.04024144869215296</v>
      </c>
      <c r="J54" s="45">
        <f>IF(OR(J52="",I52=""),"n.a.",IFERROR(IF(I52&lt;=0,"n.m.",IF(J52/I52&lt;=0,"n.m.",J52/I52-1)),"n.a."))</f>
        <v>-0.039071566731141205</v>
      </c>
      <c r="K54" s="124"/>
    </row>
    <row r="55">
      <c r="A55" s="2"/>
      <c r="B55" s="47" t="s">
        <v>115</v>
      </c>
      <c r="C55" s="7"/>
      <c r="D55" s="7"/>
      <c r="E55" s="7"/>
      <c r="F55" s="7"/>
      <c r="G55" s="7"/>
      <c r="H55" s="40" t="s">
        <v>116</v>
      </c>
      <c r="I55" s="40" t="s">
        <v>116</v>
      </c>
      <c r="J55" s="45" t="s">
        <v>116</v>
      </c>
      <c r="K55" s="124"/>
    </row>
    <row r="56">
      <c r="A56" s="2"/>
      <c r="B56" s="47" t="s">
        <v>117</v>
      </c>
      <c r="C56" s="7"/>
      <c r="D56" s="7"/>
      <c r="E56" s="7"/>
      <c r="F56" s="7"/>
      <c r="G56" s="7"/>
      <c r="H56" s="40" t="s">
        <v>116</v>
      </c>
      <c r="I56" s="40" t="s">
        <v>116</v>
      </c>
      <c r="J56" s="45" t="s">
        <v>116</v>
      </c>
      <c r="K56" s="124"/>
    </row>
    <row r="57">
      <c r="A57" s="2"/>
      <c r="B57" s="47" t="s">
        <v>118</v>
      </c>
      <c r="C57" s="7"/>
      <c r="D57" s="7"/>
      <c r="E57" s="7"/>
      <c r="F57" s="7"/>
      <c r="G57" s="7"/>
      <c r="H57" s="40" t="s">
        <v>116</v>
      </c>
      <c r="I57" s="40" t="s">
        <v>116</v>
      </c>
      <c r="J57" s="45" t="s">
        <v>116</v>
      </c>
      <c r="K57" s="124"/>
    </row>
    <row r="58">
      <c r="A58" s="2"/>
      <c r="B58" s="61" t="s">
        <v>274</v>
      </c>
      <c r="C58" s="40">
        <f>C61/C16</f>
        <v>0.43418259023354566</v>
      </c>
      <c r="D58" s="40">
        <f>D61/D16</f>
        <v>0.4133811230585424</v>
      </c>
      <c r="E58" s="40">
        <f>E61/E16</f>
        <v>0.42560865644724977</v>
      </c>
      <c r="F58" s="40">
        <f>F61/F16</f>
        <v>0.3962962962962963</v>
      </c>
      <c r="G58" s="40">
        <f>G61/G16</f>
        <v>0.4186046511627907</v>
      </c>
      <c r="H58" s="40">
        <f>H61/H16</f>
        <v>0.4259634888438134</v>
      </c>
      <c r="I58" s="40">
        <f>I61/I16</f>
        <v>0.3746630727762803</v>
      </c>
      <c r="J58" s="92">
        <v>0.4</v>
      </c>
      <c r="K58" s="124"/>
    </row>
    <row r="59">
      <c r="A59" s="2"/>
      <c r="B59" s="47" t="s">
        <v>169</v>
      </c>
      <c r="C59" s="7"/>
      <c r="D59" s="42">
        <f>(D58-C58)*10000</f>
        <v>-208.01467175003253</v>
      </c>
      <c r="E59" s="42">
        <f>(E58-D58)*10000</f>
        <v>122.27533388707357</v>
      </c>
      <c r="F59" s="42">
        <f>(F58-E58)*10000</f>
        <v>-293.1236015095345</v>
      </c>
      <c r="G59" s="7"/>
      <c r="H59" s="42">
        <f>(H58-F58)*10000</f>
        <v>296.67192547517095</v>
      </c>
      <c r="I59" s="42">
        <f>(I58-H58)*10000</f>
        <v>-513.004160675331</v>
      </c>
      <c r="J59" s="56">
        <f>(J58-I58)*10000</f>
        <v>253.36927223719718</v>
      </c>
      <c r="K59" s="124"/>
    </row>
    <row r="60">
      <c r="A60" s="2"/>
      <c r="B60" s="47" t="s">
        <v>170</v>
      </c>
      <c r="C60" s="7"/>
      <c r="D60" s="7"/>
      <c r="E60" s="7"/>
      <c r="F60" s="7"/>
      <c r="G60" s="7"/>
      <c r="H60" s="42">
        <f>(H58-C58)*10000</f>
        <v>-82.19101389732253</v>
      </c>
      <c r="I60" s="42">
        <f>(I58-D58)*10000</f>
        <v>-387.18050282262107</v>
      </c>
      <c r="J60" s="56">
        <f>(J58-E58)*10000</f>
        <v>-256.08656447249746</v>
      </c>
      <c r="K60" s="124"/>
    </row>
    <row r="61">
      <c r="A61" s="2"/>
      <c r="B61" s="3" t="s">
        <v>275</v>
      </c>
      <c r="C61" s="37">
        <v>409</v>
      </c>
      <c r="D61" s="37">
        <v>346</v>
      </c>
      <c r="E61" s="37">
        <v>472</v>
      </c>
      <c r="F61" s="37">
        <v>321</v>
      </c>
      <c r="G61" s="43">
        <f>SUM(C61:F61)</f>
        <v>1548</v>
      </c>
      <c r="H61" s="37">
        <v>420</v>
      </c>
      <c r="I61" s="37">
        <v>417</v>
      </c>
      <c r="J61" s="38">
        <f>J16*J58</f>
        <v>372</v>
      </c>
      <c r="K61" s="125" t="s">
        <v>127</v>
      </c>
    </row>
    <row r="62">
      <c r="A62" s="2"/>
      <c r="B62" s="47" t="s">
        <v>113</v>
      </c>
      <c r="C62" s="7"/>
      <c r="D62" s="7"/>
      <c r="E62" s="7"/>
      <c r="F62" s="7"/>
      <c r="G62" s="7"/>
      <c r="H62" s="40">
        <f>IF(OR(H61="",C61=""),"n.a.",IFERROR(IF(C61&lt;=0,"n.m.",IF(H61/C61&lt;=0,"n.m.",H61/C61-1)),"n.a."))</f>
        <v>0.02689486552567244</v>
      </c>
      <c r="I62" s="40">
        <f>IF(OR(I61="",D61=""),"n.a.",IFERROR(IF(D61&lt;=0,"n.m.",IF(I61/D61&lt;=0,"n.m.",I61/D61-1)),"n.a."))</f>
        <v>0.2052023121387283</v>
      </c>
      <c r="J62" s="45">
        <f>IF(OR(J61="",E61=""),"n.a.",IFERROR(IF(E61&lt;=0,"n.m.",IF(J61/E61&lt;=0,"n.m.",J61/E61-1)),"n.a."))</f>
        <v>-0.211864406779661</v>
      </c>
      <c r="K62" s="124"/>
    </row>
    <row r="63">
      <c r="A63" s="2"/>
      <c r="B63" s="47" t="s">
        <v>114</v>
      </c>
      <c r="C63" s="7"/>
      <c r="D63" s="40">
        <f>IF(OR(D61="",C61=""),"n.a.",IFERROR(IF(C61&lt;=0,"n.m.",IF(D61/C61&lt;=0,"n.m.",D61/C61-1)),"n.a."))</f>
        <v>-0.15403422982885084</v>
      </c>
      <c r="E63" s="40">
        <f>IF(OR(E61="",D61=""),"n.a.",IFERROR(IF(D61&lt;=0,"n.m.",IF(E61/D61&lt;=0,"n.m.",E61/D61-1)),"n.a."))</f>
        <v>0.36416184971098264</v>
      </c>
      <c r="F63" s="40">
        <f>IF(OR(F61="",E61=""),"n.a.",IFERROR(IF(E61&lt;=0,"n.m.",IF(F61/E61&lt;=0,"n.m.",F61/E61-1)),"n.a."))</f>
        <v>-0.31991525423728817</v>
      </c>
      <c r="G63" s="7"/>
      <c r="H63" s="40">
        <f>IF(OR(H61="",F61=""),"n.a.",IFERROR(IF(F61&lt;=0,"n.m.",IF(H61/F61&lt;=0,"n.m.",H61/F61-1)),"n.a."))</f>
        <v>0.30841121495327095</v>
      </c>
      <c r="I63" s="40">
        <f>IF(OR(I61="",H61=""),"n.a.",IFERROR(IF(H61&lt;=0,"n.m.",IF(I61/H61&lt;=0,"n.m.",I61/H61-1)),"n.a."))</f>
        <v>-0.0071428571428571175</v>
      </c>
      <c r="J63" s="45">
        <f>IF(OR(J61="",I61=""),"n.a.",IFERROR(IF(I61&lt;=0,"n.m.",IF(J61/I61&lt;=0,"n.m.",J61/I61-1)),"n.a."))</f>
        <v>-0.1079136690647482</v>
      </c>
      <c r="K63" s="124"/>
    </row>
    <row r="64">
      <c r="A64" s="2"/>
      <c r="B64" s="47" t="s">
        <v>115</v>
      </c>
      <c r="C64" s="7"/>
      <c r="D64" s="7"/>
      <c r="E64" s="7"/>
      <c r="F64" s="7"/>
      <c r="G64" s="7"/>
      <c r="H64" s="40" t="s">
        <v>116</v>
      </c>
      <c r="I64" s="40" t="s">
        <v>116</v>
      </c>
      <c r="J64" s="45" t="s">
        <v>116</v>
      </c>
      <c r="K64" s="124"/>
    </row>
    <row r="65">
      <c r="A65" s="2"/>
      <c r="B65" s="47" t="s">
        <v>117</v>
      </c>
      <c r="C65" s="7"/>
      <c r="D65" s="7"/>
      <c r="E65" s="7"/>
      <c r="F65" s="7"/>
      <c r="G65" s="7"/>
      <c r="H65" s="40" t="s">
        <v>116</v>
      </c>
      <c r="I65" s="40" t="s">
        <v>116</v>
      </c>
      <c r="J65" s="45" t="s">
        <v>116</v>
      </c>
      <c r="K65" s="124"/>
    </row>
    <row r="66">
      <c r="A66" s="2"/>
      <c r="B66" s="47" t="s">
        <v>118</v>
      </c>
      <c r="C66" s="7"/>
      <c r="D66" s="7"/>
      <c r="E66" s="7"/>
      <c r="F66" s="7"/>
      <c r="G66" s="7"/>
      <c r="H66" s="40" t="s">
        <v>116</v>
      </c>
      <c r="I66" s="40" t="s">
        <v>116</v>
      </c>
      <c r="J66" s="45" t="s">
        <v>116</v>
      </c>
      <c r="K66" s="124"/>
    </row>
    <row r="67">
      <c r="A67" s="2"/>
      <c r="B67" s="61" t="s">
        <v>276</v>
      </c>
      <c r="C67" s="40">
        <f>C70/C22</f>
        <v>0.3639705882352941</v>
      </c>
      <c r="D67" s="40">
        <f>D70/D22</f>
        <v>0.39634146341463417</v>
      </c>
      <c r="E67" s="40">
        <f>E70/E22</f>
        <v>0.40607734806629836</v>
      </c>
      <c r="F67" s="40">
        <f>F70/F22</f>
        <v>0.37373737373737376</v>
      </c>
      <c r="G67" s="40">
        <f>G70/G22</f>
        <v>0.3868149324861001</v>
      </c>
      <c r="H67" s="40">
        <f>H70/H22</f>
        <v>0.36827195467422097</v>
      </c>
      <c r="I67" s="40">
        <f>I70/I22</f>
        <v>0.411214953271028</v>
      </c>
      <c r="J67" s="92">
        <v>0.39</v>
      </c>
      <c r="K67" s="124"/>
    </row>
    <row r="68">
      <c r="A68" s="2"/>
      <c r="B68" s="47" t="s">
        <v>169</v>
      </c>
      <c r="C68" s="7"/>
      <c r="D68" s="42">
        <f>(D67-C67)*10000</f>
        <v>323.70875179340067</v>
      </c>
      <c r="E68" s="42">
        <f>(E67-D67)*10000</f>
        <v>97.35884651664195</v>
      </c>
      <c r="F68" s="42">
        <f>(F67-E67)*10000</f>
        <v>-323.39974328924603</v>
      </c>
      <c r="G68" s="7"/>
      <c r="H68" s="42">
        <f>(H67-F67)*10000</f>
        <v>-54.654190631527875</v>
      </c>
      <c r="I68" s="42">
        <f>(I67-H67)*10000</f>
        <v>429.4299859680706</v>
      </c>
      <c r="J68" s="56">
        <f>(J67-I67)*10000</f>
        <v>-212.14953271028014</v>
      </c>
      <c r="K68" s="124"/>
    </row>
    <row r="69">
      <c r="A69" s="2"/>
      <c r="B69" s="47" t="s">
        <v>170</v>
      </c>
      <c r="C69" s="7"/>
      <c r="D69" s="7"/>
      <c r="E69" s="7"/>
      <c r="F69" s="7"/>
      <c r="G69" s="7"/>
      <c r="H69" s="42">
        <f>(H67-C67)*10000</f>
        <v>43.01366438926868</v>
      </c>
      <c r="I69" s="42">
        <f>(I67-D67)*10000</f>
        <v>148.73489856393863</v>
      </c>
      <c r="J69" s="56">
        <f>(J67-E67)*10000</f>
        <v>-160.77348066298347</v>
      </c>
      <c r="K69" s="124"/>
    </row>
    <row r="70">
      <c r="A70" s="2"/>
      <c r="B70" s="3" t="s">
        <v>277</v>
      </c>
      <c r="C70" s="37">
        <v>99</v>
      </c>
      <c r="D70" s="37">
        <v>130</v>
      </c>
      <c r="E70" s="37">
        <v>147</v>
      </c>
      <c r="F70" s="37">
        <v>111</v>
      </c>
      <c r="G70" s="43">
        <f>SUM(C70:F70)</f>
        <v>487</v>
      </c>
      <c r="H70" s="37">
        <v>130</v>
      </c>
      <c r="I70" s="37">
        <v>220</v>
      </c>
      <c r="J70" s="38">
        <f>J22*J67</f>
        <v>148.20000000000002</v>
      </c>
      <c r="K70" s="125" t="s">
        <v>127</v>
      </c>
    </row>
    <row r="71">
      <c r="A71" s="2"/>
      <c r="B71" s="47" t="s">
        <v>113</v>
      </c>
      <c r="C71" s="7"/>
      <c r="D71" s="7"/>
      <c r="E71" s="7"/>
      <c r="F71" s="7"/>
      <c r="G71" s="7"/>
      <c r="H71" s="40">
        <f>IF(OR(H70="",C70=""),"n.a.",IFERROR(IF(C70&lt;=0,"n.m.",IF(H70/C70&lt;=0,"n.m.",H70/C70-1)),"n.a."))</f>
        <v>0.31313131313131315</v>
      </c>
      <c r="I71" s="40">
        <f>IF(OR(I70="",D70=""),"n.a.",IFERROR(IF(D70&lt;=0,"n.m.",IF(I70/D70&lt;=0,"n.m.",I70/D70-1)),"n.a."))</f>
        <v>0.6923076923076923</v>
      </c>
      <c r="J71" s="45">
        <f>IF(OR(J70="",E70=""),"n.a.",IFERROR(IF(E70&lt;=0,"n.m.",IF(J70/E70&lt;=0,"n.m.",J70/E70-1)),"n.a."))</f>
        <v>0.008163265306122547</v>
      </c>
      <c r="K71" s="124"/>
    </row>
    <row r="72">
      <c r="A72" s="2"/>
      <c r="B72" s="47" t="s">
        <v>114</v>
      </c>
      <c r="C72" s="7"/>
      <c r="D72" s="40">
        <f>IF(OR(D70="",C70=""),"n.a.",IFERROR(IF(C70&lt;=0,"n.m.",IF(D70/C70&lt;=0,"n.m.",D70/C70-1)),"n.a."))</f>
        <v>0.31313131313131315</v>
      </c>
      <c r="E72" s="40">
        <f>IF(OR(E70="",D70=""),"n.a.",IFERROR(IF(D70&lt;=0,"n.m.",IF(E70/D70&lt;=0,"n.m.",E70/D70-1)),"n.a."))</f>
        <v>0.13076923076923075</v>
      </c>
      <c r="F72" s="40">
        <f>IF(OR(F70="",E70=""),"n.a.",IFERROR(IF(E70&lt;=0,"n.m.",IF(F70/E70&lt;=0,"n.m.",F70/E70-1)),"n.a."))</f>
        <v>-0.24489795918367352</v>
      </c>
      <c r="G72" s="7"/>
      <c r="H72" s="40">
        <f>IF(OR(H70="",F70=""),"n.a.",IFERROR(IF(F70&lt;=0,"n.m.",IF(H70/F70&lt;=0,"n.m.",H70/F70-1)),"n.a."))</f>
        <v>0.1711711711711712</v>
      </c>
      <c r="I72" s="40">
        <f>IF(OR(I70="",H70=""),"n.a.",IFERROR(IF(H70&lt;=0,"n.m.",IF(I70/H70&lt;=0,"n.m.",I70/H70-1)),"n.a."))</f>
        <v>0.6923076923076923</v>
      </c>
      <c r="J72" s="45">
        <f>IF(OR(J70="",I70=""),"n.a.",IFERROR(IF(I70&lt;=0,"n.m.",IF(J70/I70&lt;=0,"n.m.",J70/I70-1)),"n.a."))</f>
        <v>-0.3263636363636363</v>
      </c>
      <c r="K72" s="124"/>
    </row>
    <row r="73">
      <c r="A73" s="2"/>
      <c r="B73" s="47" t="s">
        <v>115</v>
      </c>
      <c r="C73" s="7"/>
      <c r="D73" s="7"/>
      <c r="E73" s="7"/>
      <c r="F73" s="7"/>
      <c r="G73" s="7"/>
      <c r="H73" s="40" t="s">
        <v>116</v>
      </c>
      <c r="I73" s="40" t="s">
        <v>116</v>
      </c>
      <c r="J73" s="45" t="s">
        <v>116</v>
      </c>
      <c r="K73" s="124"/>
    </row>
    <row r="74">
      <c r="A74" s="2"/>
      <c r="B74" s="47" t="s">
        <v>117</v>
      </c>
      <c r="C74" s="7"/>
      <c r="D74" s="7"/>
      <c r="E74" s="7"/>
      <c r="F74" s="7"/>
      <c r="G74" s="7"/>
      <c r="H74" s="40" t="s">
        <v>116</v>
      </c>
      <c r="I74" s="40" t="s">
        <v>116</v>
      </c>
      <c r="J74" s="45" t="s">
        <v>116</v>
      </c>
      <c r="K74" s="124"/>
    </row>
    <row r="75">
      <c r="A75" s="2"/>
      <c r="B75" s="47" t="s">
        <v>118</v>
      </c>
      <c r="C75" s="7"/>
      <c r="D75" s="7"/>
      <c r="E75" s="7"/>
      <c r="F75" s="7"/>
      <c r="G75" s="7"/>
      <c r="H75" s="40" t="s">
        <v>116</v>
      </c>
      <c r="I75" s="40" t="s">
        <v>116</v>
      </c>
      <c r="J75" s="45" t="s">
        <v>116</v>
      </c>
      <c r="K75" s="124"/>
    </row>
    <row r="76">
      <c r="A76" s="2"/>
      <c r="B76" s="18" t="s">
        <v>271</v>
      </c>
      <c r="C76" s="39">
        <f>C52+C61+C70</f>
        <v>847</v>
      </c>
      <c r="D76" s="39">
        <f>D52+D61+D70</f>
        <v>767</v>
      </c>
      <c r="E76" s="39">
        <f>E52+E61+E70</f>
        <v>1155</v>
      </c>
      <c r="F76" s="39">
        <f>F52+F61+F70</f>
        <v>973</v>
      </c>
      <c r="G76" s="39">
        <f>G52+G61+G70</f>
        <v>3742</v>
      </c>
      <c r="H76" s="39">
        <f>H52+H61+H70</f>
        <v>1047</v>
      </c>
      <c r="I76" s="39">
        <f>I52+I61+I70</f>
        <v>1154</v>
      </c>
      <c r="J76" s="50">
        <f>J52+J61+J70</f>
        <v>1017</v>
      </c>
      <c r="K76" s="124"/>
    </row>
    <row r="77">
      <c r="A77" s="2"/>
      <c r="B77" s="47" t="s">
        <v>113</v>
      </c>
      <c r="C77" s="7"/>
      <c r="D77" s="7"/>
      <c r="E77" s="7"/>
      <c r="F77" s="7"/>
      <c r="G77" s="7"/>
      <c r="H77" s="40">
        <f>IF(OR(H76="",C76=""),"n.a.",IFERROR(IF(C76&lt;=0,"n.m.",IF(H76/C76&lt;=0,"n.m.",H76/C76-1)),"n.a."))</f>
        <v>0.23612750885478162</v>
      </c>
      <c r="I77" s="40">
        <f>IF(OR(I76="",D76=""),"n.a.",IFERROR(IF(D76&lt;=0,"n.m.",IF(I76/D76&lt;=0,"n.m.",I76/D76-1)),"n.a."))</f>
        <v>0.5045632333767927</v>
      </c>
      <c r="J77" s="45">
        <f>IF(OR(J76="",E76=""),"n.a.",IFERROR(IF(E76&lt;=0,"n.m.",IF(J76/E76&lt;=0,"n.m.",J76/E76-1)),"n.a."))</f>
        <v>-0.11948051948051952</v>
      </c>
      <c r="K77" s="124"/>
    </row>
    <row r="78">
      <c r="A78" s="2"/>
      <c r="B78" s="47" t="s">
        <v>114</v>
      </c>
      <c r="C78" s="7"/>
      <c r="D78" s="40">
        <f>IF(OR(D76="",C76=""),"n.a.",IFERROR(IF(C76&lt;=0,"n.m.",IF(D76/C76&lt;=0,"n.m.",D76/C76-1)),"n.a."))</f>
        <v>-0.0944510035419126</v>
      </c>
      <c r="E78" s="40">
        <f>IF(OR(E76="",D76=""),"n.a.",IFERROR(IF(D76&lt;=0,"n.m.",IF(E76/D76&lt;=0,"n.m.",E76/D76-1)),"n.a."))</f>
        <v>0.5058670143415906</v>
      </c>
      <c r="F78" s="40">
        <f>IF(OR(F76="",E76=""),"n.a.",IFERROR(IF(E76&lt;=0,"n.m.",IF(F76/E76&lt;=0,"n.m.",F76/E76-1)),"n.a."))</f>
        <v>-0.1575757575757576</v>
      </c>
      <c r="G78" s="7"/>
      <c r="H78" s="40">
        <f>IF(OR(H76="",F76=""),"n.a.",IFERROR(IF(F76&lt;=0,"n.m.",IF(H76/F76&lt;=0,"n.m.",H76/F76-1)),"n.a."))</f>
        <v>0.07605344295991778</v>
      </c>
      <c r="I78" s="40">
        <f>IF(OR(I76="",H76=""),"n.a.",IFERROR(IF(H76&lt;=0,"n.m.",IF(I76/H76&lt;=0,"n.m.",I76/H76-1)),"n.a."))</f>
        <v>0.10219675262655215</v>
      </c>
      <c r="J78" s="45">
        <f>IF(OR(J76="",I76=""),"n.a.",IFERROR(IF(I76&lt;=0,"n.m.",IF(J76/I76&lt;=0,"n.m.",J76/I76-1)),"n.a."))</f>
        <v>-0.11871750433275563</v>
      </c>
      <c r="K78" s="124"/>
    </row>
    <row r="79">
      <c r="A79" s="2"/>
      <c r="B79" s="47" t="s">
        <v>115</v>
      </c>
      <c r="C79" s="7"/>
      <c r="D79" s="7"/>
      <c r="E79" s="7"/>
      <c r="F79" s="7"/>
      <c r="G79" s="7"/>
      <c r="H79" s="40" t="s">
        <v>116</v>
      </c>
      <c r="I79" s="40" t="s">
        <v>116</v>
      </c>
      <c r="J79" s="45" t="s">
        <v>116</v>
      </c>
      <c r="K79" s="124"/>
    </row>
    <row r="80">
      <c r="A80" s="2"/>
      <c r="B80" s="47" t="s">
        <v>117</v>
      </c>
      <c r="C80" s="7"/>
      <c r="D80" s="7"/>
      <c r="E80" s="7"/>
      <c r="F80" s="7"/>
      <c r="G80" s="7"/>
      <c r="H80" s="40" t="s">
        <v>116</v>
      </c>
      <c r="I80" s="40" t="s">
        <v>116</v>
      </c>
      <c r="J80" s="45" t="s">
        <v>116</v>
      </c>
      <c r="K80" s="124"/>
    </row>
    <row r="81">
      <c r="A81" s="2"/>
      <c r="B81" s="47" t="s">
        <v>118</v>
      </c>
      <c r="C81" s="7"/>
      <c r="D81" s="7"/>
      <c r="E81" s="7"/>
      <c r="F81" s="7"/>
      <c r="G81" s="7"/>
      <c r="H81" s="40" t="s">
        <v>116</v>
      </c>
      <c r="I81" s="40" t="s">
        <v>116</v>
      </c>
      <c r="J81" s="45" t="s">
        <v>116</v>
      </c>
      <c r="K81" s="124"/>
    </row>
    <row r="82">
      <c r="A82" s="2"/>
      <c r="B82" s="47" t="s">
        <v>119</v>
      </c>
      <c r="C82" s="40">
        <f>IFERROR(C76/C248,"n.a.")</f>
        <v>0.1413551401869159</v>
      </c>
      <c r="D82" s="40">
        <f>IFERROR(D76/D248,"n.a.")</f>
        <v>0.1348215855159079</v>
      </c>
      <c r="E82" s="40">
        <f>IFERROR(E76/E248,"n.a.")</f>
        <v>0.18662142510906446</v>
      </c>
      <c r="F82" s="40">
        <f>IFERROR(F76/F248,"n.a.")</f>
        <v>0.1559794806027573</v>
      </c>
      <c r="G82" s="40">
        <f>IFERROR(G76/G248,"n.a.")</f>
        <v>0.15521818483490957</v>
      </c>
      <c r="H82" s="40">
        <f>IFERROR(H76/H248,"n.a.")</f>
        <v>0.16653411802131382</v>
      </c>
      <c r="I82" s="40">
        <f>IFERROR(I76/I248,"n.a.")</f>
        <v>0.18505452212957024</v>
      </c>
      <c r="J82" s="45">
        <f>IFERROR(J76/J248,"n.a.")</f>
        <v>0.16154715026851404</v>
      </c>
      <c r="K82" s="124"/>
    </row>
    <row r="83">
      <c r="A83" s="2"/>
      <c r="B83" s="18" t="s">
        <v>278</v>
      </c>
      <c r="C83" s="7"/>
      <c r="D83" s="7"/>
      <c r="E83" s="7"/>
      <c r="F83" s="7"/>
      <c r="G83" s="7"/>
      <c r="H83" s="7"/>
      <c r="I83" s="7"/>
      <c r="J83" s="46"/>
      <c r="K83" s="124"/>
    </row>
    <row r="84">
      <c r="A84" s="2"/>
      <c r="B84" s="3" t="s">
        <v>279</v>
      </c>
      <c r="C84" s="37">
        <v>379473</v>
      </c>
      <c r="D84" s="43">
        <f>C88</f>
        <v>384208</v>
      </c>
      <c r="E84" s="43">
        <f>D88</f>
        <v>390691</v>
      </c>
      <c r="F84" s="43">
        <f>E88</f>
        <v>386828</v>
      </c>
      <c r="G84" s="43">
        <f>C84</f>
        <v>379473</v>
      </c>
      <c r="H84" s="43">
        <f>F88</f>
        <v>388998</v>
      </c>
      <c r="I84" s="43">
        <f>H88</f>
        <v>406982</v>
      </c>
      <c r="J84" s="38">
        <f>I88</f>
        <v>412294</v>
      </c>
      <c r="K84" s="125" t="s">
        <v>280</v>
      </c>
    </row>
    <row r="85">
      <c r="A85" s="2"/>
      <c r="B85" s="3" t="s">
        <v>281</v>
      </c>
      <c r="C85" s="43">
        <f>C88-C84</f>
        <v>4735</v>
      </c>
      <c r="D85" s="43">
        <f>D88-D84</f>
        <v>6483</v>
      </c>
      <c r="E85" s="43">
        <f>E88-E84</f>
        <v>-3863</v>
      </c>
      <c r="F85" s="43">
        <f>F88-F84</f>
        <v>2170</v>
      </c>
      <c r="G85" s="43">
        <f>G88-G84</f>
        <v>9525</v>
      </c>
      <c r="H85" s="43">
        <f>H88-H84</f>
        <v>17984</v>
      </c>
      <c r="I85" s="43">
        <f>I88-I84</f>
        <v>5312</v>
      </c>
      <c r="J85" s="75">
        <v>18000</v>
      </c>
      <c r="K85" s="124"/>
    </row>
    <row r="86">
      <c r="A86" s="2"/>
      <c r="B86" s="47" t="s">
        <v>133</v>
      </c>
      <c r="C86" s="7"/>
      <c r="D86" s="7"/>
      <c r="E86" s="7"/>
      <c r="F86" s="7"/>
      <c r="G86" s="7"/>
      <c r="H86" s="40">
        <f>IF(OR(H85="",C85=""),"n.a.",IFERROR(IF(C85&lt;=0,"n.m.",IF(H85/C85&lt;=0,"n.m.",H85/C85-1)),"n.a."))</f>
        <v>2.7980992608236535</v>
      </c>
      <c r="I86" s="40">
        <f>IF(OR(I85="",D85=""),"n.a.",IFERROR(IF(D85&lt;=0,"n.m.",IF(I85/D85&lt;=0,"n.m.",I85/D85-1)),"n.a."))</f>
        <v>-0.18062625327780346</v>
      </c>
      <c r="J86" s="45" t="str">
        <f>IF(OR(J85="",E85=""),"n.a.",IFERROR(IF(E85&lt;=0,"n.m.",IF(J85/E85&lt;=0,"n.m.",J85/E85-1)),"n.a."))</f>
        <v>n.m.</v>
      </c>
      <c r="K86" s="124"/>
    </row>
    <row r="87">
      <c r="A87" s="2"/>
      <c r="B87" s="47" t="s">
        <v>134</v>
      </c>
      <c r="C87" s="7"/>
      <c r="D87" s="41">
        <f>IF(OR(D85="",C85=""),"n.a.",IFERROR(D85-C85,"n.a."))</f>
        <v>1748</v>
      </c>
      <c r="E87" s="41">
        <f>IF(OR(E85="",D85=""),"n.a.",IFERROR(E85-D85,"n.a."))</f>
        <v>-10346</v>
      </c>
      <c r="F87" s="41">
        <f>IF(OR(F85="",E85=""),"n.a.",IFERROR(F85-E85,"n.a."))</f>
        <v>6033</v>
      </c>
      <c r="G87" s="7"/>
      <c r="H87" s="41">
        <f>IF(OR(H85="",F85=""),"n.a.",IFERROR(H85-F85,"n.a."))</f>
        <v>15814</v>
      </c>
      <c r="I87" s="41">
        <f>IF(OR(I85="",H85=""),"n.a.",IFERROR(I85-H85,"n.a."))</f>
        <v>-12672</v>
      </c>
      <c r="J87" s="52">
        <f>IF(OR(J85="",I85=""),"n.a.",IFERROR(J85-I85,"n.a."))</f>
        <v>12688</v>
      </c>
      <c r="K87" s="124"/>
    </row>
    <row r="88">
      <c r="A88" s="2"/>
      <c r="B88" s="18" t="s">
        <v>282</v>
      </c>
      <c r="C88" s="68">
        <v>384208</v>
      </c>
      <c r="D88" s="68">
        <v>390691</v>
      </c>
      <c r="E88" s="68">
        <v>386828</v>
      </c>
      <c r="F88" s="68">
        <v>388998</v>
      </c>
      <c r="G88" s="39">
        <f>F88</f>
        <v>388998</v>
      </c>
      <c r="H88" s="68">
        <v>406982</v>
      </c>
      <c r="I88" s="68">
        <v>412294</v>
      </c>
      <c r="J88" s="50">
        <f>J84+J85</f>
        <v>430294</v>
      </c>
      <c r="K88" s="125" t="s">
        <v>127</v>
      </c>
    </row>
    <row r="89">
      <c r="A89" s="2"/>
      <c r="B89" s="47" t="s">
        <v>133</v>
      </c>
      <c r="C89" s="7"/>
      <c r="D89" s="7"/>
      <c r="E89" s="7"/>
      <c r="F89" s="7"/>
      <c r="G89" s="7"/>
      <c r="H89" s="40">
        <f>IF(OR(H88="",C88=""),"n.a.",IFERROR(IF(C88&lt;=0,"n.m.",IF(H88/C88&lt;=0,"n.m.",H88/C88-1)),"n.a."))</f>
        <v>0.05927518427518419</v>
      </c>
      <c r="I89" s="40">
        <f>IF(OR(I88="",D88=""),"n.a.",IFERROR(IF(D88&lt;=0,"n.m.",IF(I88/D88&lt;=0,"n.m.",I88/D88-1)),"n.a."))</f>
        <v>0.05529433746874135</v>
      </c>
      <c r="J89" s="45">
        <f>IF(OR(J88="",E88=""),"n.a.",IFERROR(IF(E88&lt;=0,"n.m.",IF(J88/E88&lt;=0,"n.m.",J88/E88-1)),"n.a."))</f>
        <v>0.11236518556050745</v>
      </c>
      <c r="K89" s="124"/>
    </row>
    <row r="90">
      <c r="A90" s="2"/>
      <c r="B90" s="47" t="s">
        <v>134</v>
      </c>
      <c r="C90" s="7"/>
      <c r="D90" s="41">
        <f>IF(OR(D88="",C88=""),"n.a.",IFERROR(D88-C88,"n.a."))</f>
        <v>6483</v>
      </c>
      <c r="E90" s="41">
        <f>IF(OR(E88="",D88=""),"n.a.",IFERROR(E88-D88,"n.a."))</f>
        <v>-3863</v>
      </c>
      <c r="F90" s="41">
        <f>IF(OR(F88="",E88=""),"n.a.",IFERROR(F88-E88,"n.a."))</f>
        <v>2170</v>
      </c>
      <c r="G90" s="7"/>
      <c r="H90" s="41">
        <f>IF(OR(H88="",F88=""),"n.a.",IFERROR(H88-F88,"n.a."))</f>
        <v>17984</v>
      </c>
      <c r="I90" s="41">
        <f>IF(OR(I88="",H88=""),"n.a.",IFERROR(I88-H88,"n.a."))</f>
        <v>5312</v>
      </c>
      <c r="J90" s="52">
        <f>IF(OR(J88="",I88=""),"n.a.",IFERROR(J88-I88,"n.a."))</f>
        <v>18000</v>
      </c>
      <c r="K90" s="124"/>
    </row>
    <row r="91">
      <c r="A91" s="2"/>
      <c r="B91" s="3" t="s">
        <v>283</v>
      </c>
      <c r="C91" s="43">
        <f>(C84+C88)/2</f>
        <v>381840.5</v>
      </c>
      <c r="D91" s="43">
        <f>(D84+D88)/2</f>
        <v>387449.5</v>
      </c>
      <c r="E91" s="43">
        <f>(E84+E88)/2</f>
        <v>388759.5</v>
      </c>
      <c r="F91" s="43">
        <f>(F84+F88)/2</f>
        <v>387913</v>
      </c>
      <c r="G91" s="7"/>
      <c r="H91" s="43">
        <f>(H84+H88)/2</f>
        <v>397990</v>
      </c>
      <c r="I91" s="43">
        <f>(I84+I88)/2</f>
        <v>409638</v>
      </c>
      <c r="J91" s="38">
        <f>(J84+J88)/2</f>
        <v>421294</v>
      </c>
      <c r="K91" s="124"/>
    </row>
    <row r="92">
      <c r="A92" s="2"/>
      <c r="B92" s="3" t="s">
        <v>284</v>
      </c>
      <c r="C92" s="43">
        <f>C96-C91</f>
        <v>-3107.5</v>
      </c>
      <c r="D92" s="43">
        <f>D96-D91</f>
        <v>414.5</v>
      </c>
      <c r="E92" s="43">
        <f>E96-E91</f>
        <v>-277.5</v>
      </c>
      <c r="F92" s="43">
        <f>F96-F91</f>
        <v>-1594</v>
      </c>
      <c r="G92" s="7"/>
      <c r="H92" s="43">
        <f>H96-H91</f>
        <v>-1002</v>
      </c>
      <c r="I92" s="43">
        <f>I96-I91</f>
        <v>3726</v>
      </c>
      <c r="J92" s="38">
        <f>AVERAGE(E92,F92,H92,I92)</f>
        <v>213.125</v>
      </c>
      <c r="K92" s="124"/>
    </row>
    <row r="93">
      <c r="A93" s="2"/>
      <c r="B93" s="18" t="s">
        <v>212</v>
      </c>
      <c r="C93" s="39">
        <f>C97+C100+C103+C106+C109</f>
        <v>378733</v>
      </c>
      <c r="D93" s="39">
        <f>D97+D100+D103+D106+D109</f>
        <v>387864</v>
      </c>
      <c r="E93" s="39">
        <f>E97+E100+E103+E106+E109</f>
        <v>388482</v>
      </c>
      <c r="F93" s="39">
        <f>F97+F100+F103+F106+F109</f>
        <v>386319</v>
      </c>
      <c r="G93" s="39">
        <f>G97+G100+G103+G106+G109</f>
        <v>385379</v>
      </c>
      <c r="H93" s="39">
        <f>H97+H100+H103+H106+H109</f>
        <v>396988</v>
      </c>
      <c r="I93" s="39">
        <f>I97+I100+I103+I106+I109</f>
        <v>413364</v>
      </c>
      <c r="J93" s="50">
        <f>J91+J92</f>
        <v>421507.125</v>
      </c>
      <c r="K93" s="124"/>
    </row>
    <row r="94">
      <c r="A94" s="2"/>
      <c r="B94" s="47" t="s">
        <v>133</v>
      </c>
      <c r="C94" s="7"/>
      <c r="D94" s="7"/>
      <c r="E94" s="7"/>
      <c r="F94" s="7"/>
      <c r="G94" s="7"/>
      <c r="H94" s="40">
        <f>IF(OR(H93="",C93=""),"n.a.",IFERROR(IF(C93&lt;=0,"n.m.",IF(H93/C93&lt;=0,"n.m.",H93/C93-1)),"n.a."))</f>
        <v>0.04820018324254827</v>
      </c>
      <c r="I94" s="40">
        <f>IF(OR(I93="",D93=""),"n.a.",IFERROR(IF(D93&lt;=0,"n.m.",IF(I93/D93&lt;=0,"n.m.",I93/D93-1)),"n.a."))</f>
        <v>0.06574469401645944</v>
      </c>
      <c r="J94" s="45">
        <f>IF(OR(J93="",E93=""),"n.a.",IFERROR(IF(E93&lt;=0,"n.m.",IF(J93/E93&lt;=0,"n.m.",J93/E93-1)),"n.a."))</f>
        <v>0.08501069547623819</v>
      </c>
      <c r="K94" s="124"/>
    </row>
    <row r="95">
      <c r="A95" s="2"/>
      <c r="B95" s="47" t="s">
        <v>134</v>
      </c>
      <c r="C95" s="7"/>
      <c r="D95" s="41">
        <f>IF(OR(D93="",C93=""),"n.a.",IFERROR(D93-C93,"n.a."))</f>
        <v>9131</v>
      </c>
      <c r="E95" s="41">
        <f>IF(OR(E93="",D93=""),"n.a.",IFERROR(E93-D93,"n.a."))</f>
        <v>618</v>
      </c>
      <c r="F95" s="41">
        <f>IF(OR(F93="",E93=""),"n.a.",IFERROR(F93-E93,"n.a."))</f>
        <v>-2163</v>
      </c>
      <c r="G95" s="7"/>
      <c r="H95" s="41">
        <f>IF(OR(H93="",F93=""),"n.a.",IFERROR(H93-F93,"n.a."))</f>
        <v>10669</v>
      </c>
      <c r="I95" s="41">
        <f>IF(OR(I93="",H93=""),"n.a.",IFERROR(I93-H93,"n.a."))</f>
        <v>16376</v>
      </c>
      <c r="J95" s="52">
        <f>IF(OR(J93="",I93=""),"n.a.",IFERROR(J93-I93,"n.a."))</f>
        <v>8143.125</v>
      </c>
      <c r="K95" s="124"/>
    </row>
    <row r="96">
      <c r="A96" s="2"/>
      <c r="B96" s="3" t="s">
        <v>285</v>
      </c>
      <c r="C96" s="37">
        <v>378733</v>
      </c>
      <c r="D96" s="37">
        <v>387864</v>
      </c>
      <c r="E96" s="37">
        <v>388482</v>
      </c>
      <c r="F96" s="37">
        <v>386319</v>
      </c>
      <c r="G96" s="37">
        <v>385379</v>
      </c>
      <c r="H96" s="37">
        <v>396988</v>
      </c>
      <c r="I96" s="37">
        <v>413364</v>
      </c>
      <c r="J96" s="46"/>
      <c r="K96" s="125" t="s">
        <v>127</v>
      </c>
    </row>
    <row r="97">
      <c r="A97" s="2"/>
      <c r="B97" s="3" t="s">
        <v>286</v>
      </c>
      <c r="C97" s="37">
        <v>235518</v>
      </c>
      <c r="D97" s="37">
        <v>242431</v>
      </c>
      <c r="E97" s="37">
        <v>244131</v>
      </c>
      <c r="F97" s="37">
        <v>242890</v>
      </c>
      <c r="G97" s="37">
        <v>241271</v>
      </c>
      <c r="H97" s="37">
        <v>249606</v>
      </c>
      <c r="I97" s="37">
        <v>260750</v>
      </c>
      <c r="J97" s="38">
        <f>J93*I97/I93</f>
        <v>265886.6830293639</v>
      </c>
      <c r="K97" s="125" t="s">
        <v>127</v>
      </c>
    </row>
    <row r="98">
      <c r="A98" s="2"/>
      <c r="B98" s="47" t="s">
        <v>133</v>
      </c>
      <c r="C98" s="7"/>
      <c r="D98" s="7"/>
      <c r="E98" s="7"/>
      <c r="F98" s="7"/>
      <c r="G98" s="7"/>
      <c r="H98" s="40">
        <f>IF(OR(H97="",C97=""),"n.a.",IFERROR(IF(C97&lt;=0,"n.m.",IF(H97/C97&lt;=0,"n.m.",H97/C97-1)),"n.a."))</f>
        <v>0.059817084044531565</v>
      </c>
      <c r="I98" s="40">
        <f>IF(OR(I97="",D97=""),"n.a.",IFERROR(IF(D97&lt;=0,"n.m.",IF(I97/D97&lt;=0,"n.m.",I97/D97-1)),"n.a."))</f>
        <v>0.07556376865994863</v>
      </c>
      <c r="J98" s="45">
        <f>IF(OR(J97="",E97=""),"n.a.",IFERROR(IF(E97&lt;=0,"n.m.",IF(J97/E97&lt;=0,"n.m.",J97/E97-1)),"n.a."))</f>
        <v>0.08911479094979313</v>
      </c>
      <c r="K98" s="124"/>
    </row>
    <row r="99">
      <c r="A99" s="2"/>
      <c r="B99" s="47" t="s">
        <v>134</v>
      </c>
      <c r="C99" s="7"/>
      <c r="D99" s="41">
        <f>IF(OR(D97="",C97=""),"n.a.",IFERROR(D97-C97,"n.a."))</f>
        <v>6913</v>
      </c>
      <c r="E99" s="41">
        <f>IF(OR(E97="",D97=""),"n.a.",IFERROR(E97-D97,"n.a."))</f>
        <v>1700</v>
      </c>
      <c r="F99" s="41">
        <f>IF(OR(F97="",E97=""),"n.a.",IFERROR(F97-E97,"n.a."))</f>
        <v>-1241</v>
      </c>
      <c r="G99" s="7"/>
      <c r="H99" s="41">
        <f>IF(OR(H97="",F97=""),"n.a.",IFERROR(H97-F97,"n.a."))</f>
        <v>6716</v>
      </c>
      <c r="I99" s="41">
        <f>IF(OR(I97="",H97=""),"n.a.",IFERROR(I97-H97,"n.a."))</f>
        <v>11144</v>
      </c>
      <c r="J99" s="52">
        <f>IF(OR(J97="",I97=""),"n.a.",IFERROR(J97-I97,"n.a."))</f>
        <v>5136.683029363921</v>
      </c>
      <c r="K99" s="124"/>
    </row>
    <row r="100">
      <c r="A100" s="2"/>
      <c r="B100" s="3" t="s">
        <v>287</v>
      </c>
      <c r="C100" s="37">
        <v>78141</v>
      </c>
      <c r="D100" s="37">
        <v>80672</v>
      </c>
      <c r="E100" s="37">
        <v>79811</v>
      </c>
      <c r="F100" s="37">
        <v>78363</v>
      </c>
      <c r="G100" s="37">
        <v>79249</v>
      </c>
      <c r="H100" s="37">
        <v>80905</v>
      </c>
      <c r="I100" s="37">
        <v>84824</v>
      </c>
      <c r="J100" s="38">
        <f>J93*I100/I93</f>
        <v>86495.00288123784</v>
      </c>
      <c r="K100" s="125" t="s">
        <v>127</v>
      </c>
    </row>
    <row r="101">
      <c r="A101" s="2"/>
      <c r="B101" s="47" t="s">
        <v>133</v>
      </c>
      <c r="C101" s="7"/>
      <c r="D101" s="7"/>
      <c r="E101" s="7"/>
      <c r="F101" s="7"/>
      <c r="G101" s="7"/>
      <c r="H101" s="40">
        <f>IF(OR(H100="",C100=""),"n.a.",IFERROR(IF(C100&lt;=0,"n.m.",IF(H100/C100&lt;=0,"n.m.",H100/C100-1)),"n.a."))</f>
        <v>0.03537195582344732</v>
      </c>
      <c r="I101" s="40">
        <f>IF(OR(I100="",D100=""),"n.a.",IFERROR(IF(D100&lt;=0,"n.m.",IF(I100/D100&lt;=0,"n.m.",I100/D100-1)),"n.a."))</f>
        <v>0.051467671558905304</v>
      </c>
      <c r="J101" s="45">
        <f>IF(OR(J100="",E100=""),"n.a.",IFERROR(IF(E100&lt;=0,"n.m.",IF(J100/E100&lt;=0,"n.m.",J100/E100-1)),"n.a."))</f>
        <v>0.0837478904065585</v>
      </c>
      <c r="K101" s="124"/>
    </row>
    <row r="102">
      <c r="A102" s="2"/>
      <c r="B102" s="47" t="s">
        <v>134</v>
      </c>
      <c r="C102" s="7"/>
      <c r="D102" s="41">
        <f>IF(OR(D100="",C100=""),"n.a.",IFERROR(D100-C100,"n.a."))</f>
        <v>2531</v>
      </c>
      <c r="E102" s="41">
        <f>IF(OR(E100="",D100=""),"n.a.",IFERROR(E100-D100,"n.a."))</f>
        <v>-861</v>
      </c>
      <c r="F102" s="41">
        <f>IF(OR(F100="",E100=""),"n.a.",IFERROR(F100-E100,"n.a."))</f>
        <v>-1448</v>
      </c>
      <c r="G102" s="7"/>
      <c r="H102" s="41">
        <f>IF(OR(H100="",F100=""),"n.a.",IFERROR(H100-F100,"n.a."))</f>
        <v>2542</v>
      </c>
      <c r="I102" s="41">
        <f>IF(OR(I100="",H100=""),"n.a.",IFERROR(I100-H100,"n.a."))</f>
        <v>3919</v>
      </c>
      <c r="J102" s="52">
        <f>IF(OR(J100="",I100=""),"n.a.",IFERROR(J100-I100,"n.a."))</f>
        <v>1671.0028812378441</v>
      </c>
      <c r="K102" s="124"/>
    </row>
    <row r="103">
      <c r="A103" s="2"/>
      <c r="B103" s="3" t="s">
        <v>288</v>
      </c>
      <c r="C103" s="37">
        <v>48939</v>
      </c>
      <c r="D103" s="37">
        <v>48397</v>
      </c>
      <c r="E103" s="37">
        <v>48256</v>
      </c>
      <c r="F103" s="37">
        <v>48313</v>
      </c>
      <c r="G103" s="37">
        <v>48474</v>
      </c>
      <c r="H103" s="37">
        <v>49922</v>
      </c>
      <c r="I103" s="37">
        <v>51696</v>
      </c>
      <c r="J103" s="38">
        <f>J93*I103/I93</f>
        <v>52714.39296600575</v>
      </c>
      <c r="K103" s="125" t="s">
        <v>127</v>
      </c>
    </row>
    <row r="104">
      <c r="A104" s="2"/>
      <c r="B104" s="47" t="s">
        <v>133</v>
      </c>
      <c r="C104" s="7"/>
      <c r="D104" s="7"/>
      <c r="E104" s="7"/>
      <c r="F104" s="7"/>
      <c r="G104" s="7"/>
      <c r="H104" s="40">
        <f>IF(OR(H103="",C103=""),"n.a.",IFERROR(IF(C103&lt;=0,"n.m.",IF(H103/C103&lt;=0,"n.m.",H103/C103-1)),"n.a."))</f>
        <v>0.020086229796276944</v>
      </c>
      <c r="I104" s="40">
        <f>IF(OR(I103="",D103=""),"n.a.",IFERROR(IF(D103&lt;=0,"n.m.",IF(I103/D103&lt;=0,"n.m.",I103/D103-1)),"n.a."))</f>
        <v>0.06816538215178625</v>
      </c>
      <c r="J104" s="45">
        <f>IF(OR(J103="",E103=""),"n.a.",IFERROR(IF(E103&lt;=0,"n.m.",IF(J103/E103&lt;=0,"n.m.",J103/E103-1)),"n.a."))</f>
        <v>0.09239043779023848</v>
      </c>
      <c r="K104" s="124"/>
    </row>
    <row r="105">
      <c r="A105" s="2"/>
      <c r="B105" s="47" t="s">
        <v>134</v>
      </c>
      <c r="C105" s="7"/>
      <c r="D105" s="41">
        <f>IF(OR(D103="",C103=""),"n.a.",IFERROR(D103-C103,"n.a."))</f>
        <v>-542</v>
      </c>
      <c r="E105" s="41">
        <f>IF(OR(E103="",D103=""),"n.a.",IFERROR(E103-D103,"n.a."))</f>
        <v>-141</v>
      </c>
      <c r="F105" s="41">
        <f>IF(OR(F103="",E103=""),"n.a.",IFERROR(F103-E103,"n.a."))</f>
        <v>57</v>
      </c>
      <c r="G105" s="7"/>
      <c r="H105" s="41">
        <f>IF(OR(H103="",F103=""),"n.a.",IFERROR(H103-F103,"n.a."))</f>
        <v>1609</v>
      </c>
      <c r="I105" s="41">
        <f>IF(OR(I103="",H103=""),"n.a.",IFERROR(I103-H103,"n.a."))</f>
        <v>1774</v>
      </c>
      <c r="J105" s="52">
        <f>IF(OR(J103="",I103=""),"n.a.",IFERROR(J103-I103,"n.a."))</f>
        <v>1018.3929660057474</v>
      </c>
      <c r="K105" s="124"/>
    </row>
    <row r="106">
      <c r="A106" s="2"/>
      <c r="B106" s="3" t="s">
        <v>289</v>
      </c>
      <c r="C106" s="37">
        <v>16135</v>
      </c>
      <c r="D106" s="37">
        <v>16364</v>
      </c>
      <c r="E106" s="37">
        <v>16282</v>
      </c>
      <c r="F106" s="37">
        <v>16752</v>
      </c>
      <c r="G106" s="37">
        <v>16384</v>
      </c>
      <c r="H106" s="37">
        <v>16555</v>
      </c>
      <c r="I106" s="37">
        <v>16094</v>
      </c>
      <c r="J106" s="38">
        <f>J93*I106/I93</f>
        <v>16411.046123392458</v>
      </c>
      <c r="K106" s="125" t="s">
        <v>127</v>
      </c>
    </row>
    <row r="107">
      <c r="A107" s="2"/>
      <c r="B107" s="47" t="s">
        <v>133</v>
      </c>
      <c r="C107" s="7"/>
      <c r="D107" s="7"/>
      <c r="E107" s="7"/>
      <c r="F107" s="7"/>
      <c r="G107" s="7"/>
      <c r="H107" s="40">
        <f>IF(OR(H106="",C106=""),"n.a.",IFERROR(IF(C106&lt;=0,"n.m.",IF(H106/C106&lt;=0,"n.m.",H106/C106-1)),"n.a."))</f>
        <v>0.026030368763557465</v>
      </c>
      <c r="I107" s="40">
        <f>IF(OR(I106="",D106=""),"n.a.",IFERROR(IF(D106&lt;=0,"n.m.",IF(I106/D106&lt;=0,"n.m.",I106/D106-1)),"n.a."))</f>
        <v>-0.0164996333414813</v>
      </c>
      <c r="J107" s="45">
        <f>IF(OR(J106="",E106=""),"n.a.",IFERROR(IF(E106&lt;=0,"n.m.",IF(J106/E106&lt;=0,"n.m.",J106/E106-1)),"n.a."))</f>
        <v>0.007925692383764726</v>
      </c>
      <c r="K107" s="124"/>
    </row>
    <row r="108">
      <c r="A108" s="2"/>
      <c r="B108" s="47" t="s">
        <v>134</v>
      </c>
      <c r="C108" s="7"/>
      <c r="D108" s="41">
        <f>IF(OR(D106="",C106=""),"n.a.",IFERROR(D106-C106,"n.a."))</f>
        <v>229</v>
      </c>
      <c r="E108" s="41">
        <f>IF(OR(E106="",D106=""),"n.a.",IFERROR(E106-D106,"n.a."))</f>
        <v>-82</v>
      </c>
      <c r="F108" s="41">
        <f>IF(OR(F106="",E106=""),"n.a.",IFERROR(F106-E106,"n.a."))</f>
        <v>470</v>
      </c>
      <c r="G108" s="7"/>
      <c r="H108" s="41">
        <f>IF(OR(H106="",F106=""),"n.a.",IFERROR(H106-F106,"n.a."))</f>
        <v>-197</v>
      </c>
      <c r="I108" s="41">
        <f>IF(OR(I106="",H106=""),"n.a.",IFERROR(I106-H106,"n.a."))</f>
        <v>-461</v>
      </c>
      <c r="J108" s="52">
        <f>IF(OR(J106="",I106=""),"n.a.",IFERROR(J106-I106,"n.a."))</f>
        <v>317.04612339245796</v>
      </c>
      <c r="K108" s="124"/>
    </row>
    <row r="109">
      <c r="A109" s="2"/>
      <c r="B109" s="3" t="s">
        <v>290</v>
      </c>
      <c r="C109" s="37">
        <v>0</v>
      </c>
      <c r="D109" s="37">
        <v>0</v>
      </c>
      <c r="E109" s="37">
        <v>2</v>
      </c>
      <c r="F109" s="37">
        <v>1</v>
      </c>
      <c r="G109" s="37">
        <v>1</v>
      </c>
      <c r="H109" s="37">
        <v>0</v>
      </c>
      <c r="I109" s="37">
        <v>0</v>
      </c>
      <c r="J109" s="38">
        <f>J93*I109/I93</f>
        <v>0</v>
      </c>
      <c r="K109" s="125" t="s">
        <v>127</v>
      </c>
    </row>
    <row r="110">
      <c r="A110" s="2"/>
      <c r="B110" s="47" t="s">
        <v>133</v>
      </c>
      <c r="C110" s="7"/>
      <c r="D110" s="7"/>
      <c r="E110" s="7"/>
      <c r="F110" s="7"/>
      <c r="G110" s="7"/>
      <c r="H110" s="40" t="str">
        <f>IF(OR(H109="",C109=""),"n.a.",IFERROR(IF(C109&lt;=0,"n.m.",IF(H109/C109&lt;=0,"n.m.",H109/C109-1)),"n.a."))</f>
        <v>n.m.</v>
      </c>
      <c r="I110" s="40" t="str">
        <f>IF(OR(I109="",D109=""),"n.a.",IFERROR(IF(D109&lt;=0,"n.m.",IF(I109/D109&lt;=0,"n.m.",I109/D109-1)),"n.a."))</f>
        <v>n.m.</v>
      </c>
      <c r="J110" s="45" t="str">
        <f>IF(OR(J109="",E109=""),"n.a.",IFERROR(IF(E109&lt;=0,"n.m.",IF(J109/E109&lt;=0,"n.m.",J109/E109-1)),"n.a."))</f>
        <v>n.m.</v>
      </c>
      <c r="K110" s="124"/>
    </row>
    <row r="111">
      <c r="A111" s="2"/>
      <c r="B111" s="47" t="s">
        <v>134</v>
      </c>
      <c r="C111" s="7"/>
      <c r="D111" s="41">
        <f>IF(OR(D109="",C109=""),"n.a.",IFERROR(D109-C109,"n.a."))</f>
        <v>0</v>
      </c>
      <c r="E111" s="41">
        <f>IF(OR(E109="",D109=""),"n.a.",IFERROR(E109-D109,"n.a."))</f>
        <v>2</v>
      </c>
      <c r="F111" s="41">
        <f>IF(OR(F109="",E109=""),"n.a.",IFERROR(F109-E109,"n.a."))</f>
        <v>-1</v>
      </c>
      <c r="G111" s="7"/>
      <c r="H111" s="41">
        <f>IF(OR(H109="",F109=""),"n.a.",IFERROR(H109-F109,"n.a."))</f>
        <v>-1</v>
      </c>
      <c r="I111" s="41">
        <f>IF(OR(I109="",H109=""),"n.a.",IFERROR(I109-H109,"n.a."))</f>
        <v>0</v>
      </c>
      <c r="J111" s="52">
        <f>IF(OR(J109="",I109=""),"n.a.",IFERROR(J109-I109,"n.a."))</f>
        <v>0</v>
      </c>
      <c r="K111" s="124"/>
    </row>
    <row r="112">
      <c r="A112" s="2"/>
      <c r="B112" s="61" t="s">
        <v>291</v>
      </c>
      <c r="C112" s="41">
        <f>C93-C96</f>
        <v>0</v>
      </c>
      <c r="D112" s="41">
        <f>D93-D96</f>
        <v>0</v>
      </c>
      <c r="E112" s="41">
        <f>E93-E96</f>
        <v>0</v>
      </c>
      <c r="F112" s="41">
        <f>F93-F96</f>
        <v>0</v>
      </c>
      <c r="G112" s="41">
        <f>G93-G96</f>
        <v>0</v>
      </c>
      <c r="H112" s="41">
        <f>H93-H96</f>
        <v>0</v>
      </c>
      <c r="I112" s="41">
        <f>I93-I96</f>
        <v>0</v>
      </c>
      <c r="J112" s="46"/>
      <c r="K112" s="124"/>
    </row>
    <row r="113">
      <c r="A113" s="2"/>
      <c r="B113" s="18" t="s">
        <v>292</v>
      </c>
      <c r="C113" s="7"/>
      <c r="D113" s="7"/>
      <c r="E113" s="7"/>
      <c r="F113" s="7"/>
      <c r="G113" s="7"/>
      <c r="H113" s="7"/>
      <c r="I113" s="7"/>
      <c r="J113" s="46"/>
      <c r="K113" s="124"/>
    </row>
    <row r="114">
      <c r="A114" s="2"/>
      <c r="B114" s="3" t="s">
        <v>293</v>
      </c>
      <c r="C114" s="37">
        <v>578159</v>
      </c>
      <c r="D114" s="43">
        <f>C118</f>
        <v>591619</v>
      </c>
      <c r="E114" s="43">
        <f>D118</f>
        <v>643529</v>
      </c>
      <c r="F114" s="43">
        <f>E118</f>
        <v>640801</v>
      </c>
      <c r="G114" s="43">
        <f>C114</f>
        <v>578159</v>
      </c>
      <c r="H114" s="43">
        <f>F118</f>
        <v>641211</v>
      </c>
      <c r="I114" s="43">
        <f>H118</f>
        <v>647018</v>
      </c>
      <c r="J114" s="38">
        <f>I118</f>
        <v>662867</v>
      </c>
      <c r="K114" s="125" t="s">
        <v>280</v>
      </c>
    </row>
    <row r="115">
      <c r="A115" s="2"/>
      <c r="B115" s="3" t="s">
        <v>294</v>
      </c>
      <c r="C115" s="43">
        <f>C118-C114</f>
        <v>13460</v>
      </c>
      <c r="D115" s="43">
        <f>D118-D114</f>
        <v>51910</v>
      </c>
      <c r="E115" s="43">
        <f>E118-E114</f>
        <v>-2728</v>
      </c>
      <c r="F115" s="43">
        <f>F118-F114</f>
        <v>410</v>
      </c>
      <c r="G115" s="43">
        <f>G118-G114</f>
        <v>63052</v>
      </c>
      <c r="H115" s="43">
        <f>H118-H114</f>
        <v>5807</v>
      </c>
      <c r="I115" s="43">
        <f>I118-I114</f>
        <v>15849</v>
      </c>
      <c r="J115" s="75">
        <v>-6000</v>
      </c>
      <c r="K115" s="124"/>
    </row>
    <row r="116">
      <c r="A116" s="2"/>
      <c r="B116" s="47" t="s">
        <v>133</v>
      </c>
      <c r="C116" s="7"/>
      <c r="D116" s="7"/>
      <c r="E116" s="7"/>
      <c r="F116" s="7"/>
      <c r="G116" s="7"/>
      <c r="H116" s="40">
        <f>IF(OR(H115="",C115=""),"n.a.",IFERROR(IF(C115&lt;=0,"n.m.",IF(H115/C115&lt;=0,"n.m.",H115/C115-1)),"n.a."))</f>
        <v>-0.5685735512630015</v>
      </c>
      <c r="I116" s="40">
        <f>IF(OR(I115="",D115=""),"n.a.",IFERROR(IF(D115&lt;=0,"n.m.",IF(I115/D115&lt;=0,"n.m.",I115/D115-1)),"n.a."))</f>
        <v>-0.6946831053746869</v>
      </c>
      <c r="J116" s="45" t="str">
        <f>IF(OR(J115="",E115=""),"n.a.",IFERROR(IF(E115&lt;=0,"n.m.",IF(J115/E115&lt;=0,"n.m.",J115/E115-1)),"n.a."))</f>
        <v>n.m.</v>
      </c>
      <c r="K116" s="124"/>
    </row>
    <row r="117">
      <c r="A117" s="2"/>
      <c r="B117" s="47" t="s">
        <v>134</v>
      </c>
      <c r="C117" s="7"/>
      <c r="D117" s="41">
        <f>IF(OR(D115="",C115=""),"n.a.",IFERROR(D115-C115,"n.a."))</f>
        <v>38450</v>
      </c>
      <c r="E117" s="41">
        <f>IF(OR(E115="",D115=""),"n.a.",IFERROR(E115-D115,"n.a."))</f>
        <v>-54638</v>
      </c>
      <c r="F117" s="41">
        <f>IF(OR(F115="",E115=""),"n.a.",IFERROR(F115-E115,"n.a."))</f>
        <v>3138</v>
      </c>
      <c r="G117" s="7"/>
      <c r="H117" s="41">
        <f>IF(OR(H115="",F115=""),"n.a.",IFERROR(H115-F115,"n.a."))</f>
        <v>5397</v>
      </c>
      <c r="I117" s="41">
        <f>IF(OR(I115="",H115=""),"n.a.",IFERROR(I115-H115,"n.a."))</f>
        <v>10042</v>
      </c>
      <c r="J117" s="52">
        <f>IF(OR(J115="",I115=""),"n.a.",IFERROR(J115-I115,"n.a."))</f>
        <v>-21849</v>
      </c>
      <c r="K117" s="124"/>
    </row>
    <row r="118">
      <c r="A118" s="2"/>
      <c r="B118" s="18" t="s">
        <v>295</v>
      </c>
      <c r="C118" s="68">
        <v>591619</v>
      </c>
      <c r="D118" s="68">
        <v>643529</v>
      </c>
      <c r="E118" s="68">
        <v>640801</v>
      </c>
      <c r="F118" s="68">
        <v>641211</v>
      </c>
      <c r="G118" s="39">
        <f>F118</f>
        <v>641211</v>
      </c>
      <c r="H118" s="68">
        <v>647018</v>
      </c>
      <c r="I118" s="68">
        <v>662867</v>
      </c>
      <c r="J118" s="50">
        <f>J114+J115</f>
        <v>656867</v>
      </c>
      <c r="K118" s="125" t="s">
        <v>127</v>
      </c>
    </row>
    <row r="119">
      <c r="A119" s="2"/>
      <c r="B119" s="47" t="s">
        <v>133</v>
      </c>
      <c r="C119" s="7"/>
      <c r="D119" s="7"/>
      <c r="E119" s="7"/>
      <c r="F119" s="7"/>
      <c r="G119" s="7"/>
      <c r="H119" s="40">
        <f>IF(OR(H118="",C118=""),"n.a.",IFERROR(IF(C118&lt;=0,"n.m.",IF(H118/C118&lt;=0,"n.m.",H118/C118-1)),"n.a."))</f>
        <v>0.09363965660332063</v>
      </c>
      <c r="I119" s="40">
        <f>IF(OR(I118="",D118=""),"n.a.",IFERROR(IF(D118&lt;=0,"n.m.",IF(I118/D118&lt;=0,"n.m.",I118/D118-1)),"n.a."))</f>
        <v>0.030049927819880695</v>
      </c>
      <c r="J119" s="45">
        <f>IF(OR(J118="",E118=""),"n.a.",IFERROR(IF(E118&lt;=0,"n.m.",IF(J118/E118&lt;=0,"n.m.",J118/E118-1)),"n.a."))</f>
        <v>0.025071746142718343</v>
      </c>
      <c r="K119" s="124"/>
    </row>
    <row r="120">
      <c r="A120" s="2"/>
      <c r="B120" s="47" t="s">
        <v>134</v>
      </c>
      <c r="C120" s="7"/>
      <c r="D120" s="41">
        <f>IF(OR(D118="",C118=""),"n.a.",IFERROR(D118-C118,"n.a."))</f>
        <v>51910</v>
      </c>
      <c r="E120" s="41">
        <f>IF(OR(E118="",D118=""),"n.a.",IFERROR(E118-D118,"n.a."))</f>
        <v>-2728</v>
      </c>
      <c r="F120" s="41">
        <f>IF(OR(F118="",E118=""),"n.a.",IFERROR(F118-E118,"n.a."))</f>
        <v>410</v>
      </c>
      <c r="G120" s="7"/>
      <c r="H120" s="41">
        <f>IF(OR(H118="",F118=""),"n.a.",IFERROR(H118-F118,"n.a."))</f>
        <v>5807</v>
      </c>
      <c r="I120" s="41">
        <f>IF(OR(I118="",H118=""),"n.a.",IFERROR(I118-H118,"n.a."))</f>
        <v>15849</v>
      </c>
      <c r="J120" s="52">
        <f>IF(OR(J118="",I118=""),"n.a.",IFERROR(J118-I118,"n.a."))</f>
        <v>-6000</v>
      </c>
      <c r="K120" s="124"/>
    </row>
    <row r="121">
      <c r="A121" s="2"/>
      <c r="B121" s="3" t="s">
        <v>296</v>
      </c>
      <c r="C121" s="43">
        <f>(C114+C118)/2</f>
        <v>584889</v>
      </c>
      <c r="D121" s="43">
        <f>(D114+D118)/2</f>
        <v>617574</v>
      </c>
      <c r="E121" s="43">
        <f>(E114+E118)/2</f>
        <v>642165</v>
      </c>
      <c r="F121" s="43">
        <f>(F114+F118)/2</f>
        <v>641006</v>
      </c>
      <c r="G121" s="7"/>
      <c r="H121" s="43">
        <f>(H114+H118)/2</f>
        <v>644114.5</v>
      </c>
      <c r="I121" s="43">
        <f>(I114+I118)/2</f>
        <v>654942.5</v>
      </c>
      <c r="J121" s="38">
        <f>(J114+J118)/2</f>
        <v>659867</v>
      </c>
      <c r="K121" s="124"/>
    </row>
    <row r="122">
      <c r="A122" s="2"/>
      <c r="B122" s="3" t="s">
        <v>284</v>
      </c>
      <c r="C122" s="43">
        <f>C123-C121</f>
        <v>-9704</v>
      </c>
      <c r="D122" s="43">
        <f>D123-D121</f>
        <v>-14164</v>
      </c>
      <c r="E122" s="43">
        <f>E123-E121</f>
        <v>-10605</v>
      </c>
      <c r="F122" s="43">
        <f>F123-F121</f>
        <v>15114</v>
      </c>
      <c r="G122" s="7"/>
      <c r="H122" s="43">
        <f>H123-H121</f>
        <v>3468.5</v>
      </c>
      <c r="I122" s="43">
        <f>I123-I121</f>
        <v>-3075.5</v>
      </c>
      <c r="J122" s="38">
        <f>AVERAGE(E122,F122,H122,I122)</f>
        <v>1225.5</v>
      </c>
      <c r="K122" s="124"/>
    </row>
    <row r="123">
      <c r="A123" s="2"/>
      <c r="B123" s="18" t="s">
        <v>254</v>
      </c>
      <c r="C123" s="39">
        <f>C126+C129</f>
        <v>575185</v>
      </c>
      <c r="D123" s="39">
        <f>D126+D129</f>
        <v>603410</v>
      </c>
      <c r="E123" s="39">
        <f>E126+E129</f>
        <v>631560</v>
      </c>
      <c r="F123" s="39">
        <f>F126+F129</f>
        <v>656120</v>
      </c>
      <c r="G123" s="39">
        <f>G126+G129</f>
        <v>616831</v>
      </c>
      <c r="H123" s="39">
        <f>H126+H129</f>
        <v>647583</v>
      </c>
      <c r="I123" s="39">
        <f>I126+I129</f>
        <v>651867</v>
      </c>
      <c r="J123" s="50">
        <f>J121+J122</f>
        <v>661092.5</v>
      </c>
      <c r="K123" s="124"/>
    </row>
    <row r="124">
      <c r="A124" s="2"/>
      <c r="B124" s="47" t="s">
        <v>133</v>
      </c>
      <c r="C124" s="7"/>
      <c r="D124" s="7"/>
      <c r="E124" s="7"/>
      <c r="F124" s="7"/>
      <c r="G124" s="7"/>
      <c r="H124" s="40">
        <f>IF(OR(H123="",C123=""),"n.a.",IFERROR(IF(C123&lt;=0,"n.m.",IF(H123/C123&lt;=0,"n.m.",H123/C123-1)),"n.a."))</f>
        <v>0.12586906821283583</v>
      </c>
      <c r="I124" s="40">
        <f>IF(OR(I123="",D123=""),"n.a.",IFERROR(IF(D123&lt;=0,"n.m.",IF(I123/D123&lt;=0,"n.m.",I123/D123-1)),"n.a."))</f>
        <v>0.08030526507681346</v>
      </c>
      <c r="J124" s="45">
        <f>IF(OR(J123="",E123=""),"n.a.",IFERROR(IF(E123&lt;=0,"n.m.",IF(J123/E123&lt;=0,"n.m.",J123/E123-1)),"n.a."))</f>
        <v>0.04676119450250171</v>
      </c>
      <c r="K124" s="124"/>
    </row>
    <row r="125">
      <c r="A125" s="2"/>
      <c r="B125" s="47" t="s">
        <v>134</v>
      </c>
      <c r="C125" s="7"/>
      <c r="D125" s="41">
        <f>IF(OR(D123="",C123=""),"n.a.",IFERROR(D123-C123,"n.a."))</f>
        <v>28225</v>
      </c>
      <c r="E125" s="41">
        <f>IF(OR(E123="",D123=""),"n.a.",IFERROR(E123-D123,"n.a."))</f>
        <v>28150</v>
      </c>
      <c r="F125" s="41">
        <f>IF(OR(F123="",E123=""),"n.a.",IFERROR(F123-E123,"n.a."))</f>
        <v>24560</v>
      </c>
      <c r="G125" s="7"/>
      <c r="H125" s="41">
        <f>IF(OR(H123="",F123=""),"n.a.",IFERROR(H123-F123,"n.a."))</f>
        <v>-8537</v>
      </c>
      <c r="I125" s="41">
        <f>IF(OR(I123="",H123=""),"n.a.",IFERROR(I123-H123,"n.a."))</f>
        <v>4284</v>
      </c>
      <c r="J125" s="52">
        <f>IF(OR(J123="",I123=""),"n.a.",IFERROR(J123-I123,"n.a."))</f>
        <v>9225.5</v>
      </c>
      <c r="K125" s="124"/>
    </row>
    <row r="126">
      <c r="A126" s="2"/>
      <c r="B126" s="3" t="s">
        <v>297</v>
      </c>
      <c r="C126" s="37">
        <v>422300</v>
      </c>
      <c r="D126" s="37">
        <v>453768</v>
      </c>
      <c r="E126" s="37">
        <v>483285</v>
      </c>
      <c r="F126" s="37">
        <v>502455</v>
      </c>
      <c r="G126" s="37">
        <v>465720</v>
      </c>
      <c r="H126" s="37">
        <v>493498</v>
      </c>
      <c r="I126" s="37">
        <v>498484</v>
      </c>
      <c r="J126" s="38">
        <f>J123*I126/I123</f>
        <v>505538.7583203322</v>
      </c>
      <c r="K126" s="125" t="s">
        <v>127</v>
      </c>
    </row>
    <row r="127">
      <c r="A127" s="2"/>
      <c r="B127" s="47" t="s">
        <v>133</v>
      </c>
      <c r="C127" s="7"/>
      <c r="D127" s="7"/>
      <c r="E127" s="7"/>
      <c r="F127" s="7"/>
      <c r="G127" s="7"/>
      <c r="H127" s="40">
        <f>IF(OR(H126="",C126=""),"n.a.",IFERROR(IF(C126&lt;=0,"n.m.",IF(H126/C126&lt;=0,"n.m.",H126/C126-1)),"n.a."))</f>
        <v>0.16859578498697614</v>
      </c>
      <c r="I127" s="40">
        <f>IF(OR(I126="",D126=""),"n.a.",IFERROR(IF(D126&lt;=0,"n.m.",IF(I126/D126&lt;=0,"n.m.",I126/D126-1)),"n.a."))</f>
        <v>0.0985437492286807</v>
      </c>
      <c r="J127" s="45">
        <f>IF(OR(J126="",E126=""),"n.a.",IFERROR(IF(E126&lt;=0,"n.m.",IF(J126/E126&lt;=0,"n.m.",J126/E126-1)),"n.a."))</f>
        <v>0.046046863280118755</v>
      </c>
      <c r="K127" s="124"/>
    </row>
    <row r="128">
      <c r="A128" s="2"/>
      <c r="B128" s="47" t="s">
        <v>134</v>
      </c>
      <c r="C128" s="7"/>
      <c r="D128" s="41">
        <f>IF(OR(D126="",C126=""),"n.a.",IFERROR(D126-C126,"n.a."))</f>
        <v>31468</v>
      </c>
      <c r="E128" s="41">
        <f>IF(OR(E126="",D126=""),"n.a.",IFERROR(E126-D126,"n.a."))</f>
        <v>29517</v>
      </c>
      <c r="F128" s="41">
        <f>IF(OR(F126="",E126=""),"n.a.",IFERROR(F126-E126,"n.a."))</f>
        <v>19170</v>
      </c>
      <c r="G128" s="7"/>
      <c r="H128" s="41">
        <f>IF(OR(H126="",F126=""),"n.a.",IFERROR(H126-F126,"n.a."))</f>
        <v>-8957</v>
      </c>
      <c r="I128" s="41">
        <f>IF(OR(I126="",H126=""),"n.a.",IFERROR(I126-H126,"n.a."))</f>
        <v>4986</v>
      </c>
      <c r="J128" s="52">
        <f>IF(OR(J126="",I126=""),"n.a.",IFERROR(J126-I126,"n.a."))</f>
        <v>7054.758320332214</v>
      </c>
      <c r="K128" s="124"/>
    </row>
    <row r="129">
      <c r="A129" s="2"/>
      <c r="B129" s="3" t="s">
        <v>298</v>
      </c>
      <c r="C129" s="37">
        <v>152885</v>
      </c>
      <c r="D129" s="37">
        <v>149642</v>
      </c>
      <c r="E129" s="37">
        <v>148275</v>
      </c>
      <c r="F129" s="37">
        <v>153665</v>
      </c>
      <c r="G129" s="37">
        <v>151111</v>
      </c>
      <c r="H129" s="37">
        <v>154085</v>
      </c>
      <c r="I129" s="37">
        <v>153383</v>
      </c>
      <c r="J129" s="38">
        <f>J123-J126</f>
        <v>155553.7416796678</v>
      </c>
      <c r="K129" s="125" t="s">
        <v>127</v>
      </c>
    </row>
    <row r="130">
      <c r="A130" s="2"/>
      <c r="B130" s="47" t="s">
        <v>133</v>
      </c>
      <c r="C130" s="7"/>
      <c r="D130" s="7"/>
      <c r="E130" s="7"/>
      <c r="F130" s="7"/>
      <c r="G130" s="7"/>
      <c r="H130" s="40">
        <f>IF(OR(H129="",C129=""),"n.a.",IFERROR(IF(C129&lt;=0,"n.m.",IF(H129/C129&lt;=0,"n.m.",H129/C129-1)),"n.a."))</f>
        <v>0.007849036857768832</v>
      </c>
      <c r="I130" s="40">
        <f>IF(OR(I129="",D129=""),"n.a.",IFERROR(IF(D129&lt;=0,"n.m.",IF(I129/D129&lt;=0,"n.m.",I129/D129-1)),"n.a."))</f>
        <v>0.024999665869207766</v>
      </c>
      <c r="J130" s="45">
        <f>IF(OR(J129="",E129=""),"n.a.",IFERROR(IF(E129&lt;=0,"n.m.",IF(J129/E129&lt;=0,"n.m.",J129/E129-1)),"n.a."))</f>
        <v>0.049089473476093604</v>
      </c>
      <c r="K130" s="124"/>
    </row>
    <row r="131">
      <c r="A131" s="2"/>
      <c r="B131" s="47" t="s">
        <v>134</v>
      </c>
      <c r="C131" s="7"/>
      <c r="D131" s="41">
        <f>IF(OR(D129="",C129=""),"n.a.",IFERROR(D129-C129,"n.a."))</f>
        <v>-3243</v>
      </c>
      <c r="E131" s="41">
        <f>IF(OR(E129="",D129=""),"n.a.",IFERROR(E129-D129,"n.a."))</f>
        <v>-1367</v>
      </c>
      <c r="F131" s="41">
        <f>IF(OR(F129="",E129=""),"n.a.",IFERROR(F129-E129,"n.a."))</f>
        <v>5390</v>
      </c>
      <c r="G131" s="7"/>
      <c r="H131" s="41">
        <f>IF(OR(H129="",F129=""),"n.a.",IFERROR(H129-F129,"n.a."))</f>
        <v>420</v>
      </c>
      <c r="I131" s="41">
        <f>IF(OR(I129="",H129=""),"n.a.",IFERROR(I129-H129,"n.a."))</f>
        <v>-702</v>
      </c>
      <c r="J131" s="52">
        <f>IF(OR(J129="",I129=""),"n.a.",IFERROR(J129-I129,"n.a."))</f>
        <v>2170.7416796677862</v>
      </c>
      <c r="K131" s="124"/>
    </row>
    <row r="132">
      <c r="A132" s="2"/>
      <c r="B132" s="61" t="s">
        <v>299</v>
      </c>
      <c r="C132" s="40">
        <f>C129/C123</f>
        <v>0.2658014377982736</v>
      </c>
      <c r="D132" s="40">
        <f>D129/D123</f>
        <v>0.24799390132745563</v>
      </c>
      <c r="E132" s="40">
        <f>E129/E123</f>
        <v>0.23477579327379822</v>
      </c>
      <c r="F132" s="40">
        <f>F129/F123</f>
        <v>0.23420258489300738</v>
      </c>
      <c r="G132" s="40">
        <f>G129/G123</f>
        <v>0.24497958111703205</v>
      </c>
      <c r="H132" s="40">
        <f>H129/H123</f>
        <v>0.23793861173007938</v>
      </c>
      <c r="I132" s="40">
        <f>I129/I123</f>
        <v>0.23529799790448053</v>
      </c>
      <c r="J132" s="45">
        <f>J129/J123</f>
        <v>0.23529799790448053</v>
      </c>
      <c r="K132" s="124"/>
    </row>
    <row r="133">
      <c r="A133" s="2"/>
      <c r="B133" s="47" t="s">
        <v>169</v>
      </c>
      <c r="C133" s="7"/>
      <c r="D133" s="42">
        <f>(D132-C132)*10000</f>
        <v>-178.07536470817954</v>
      </c>
      <c r="E133" s="42">
        <f>(E132-D132)*10000</f>
        <v>-132.18108053657417</v>
      </c>
      <c r="F133" s="42">
        <f>(F132-E132)*10000</f>
        <v>-5.73208380790835</v>
      </c>
      <c r="G133" s="7"/>
      <c r="H133" s="42">
        <f>(H132-F132)*10000</f>
        <v>37.360268370719986</v>
      </c>
      <c r="I133" s="42">
        <f>(I132-H132)*10000</f>
        <v>-26.40613825598853</v>
      </c>
      <c r="J133" s="56">
        <f>(J132-I132)*10000</f>
        <v>0</v>
      </c>
      <c r="K133" s="124"/>
    </row>
    <row r="134">
      <c r="A134" s="2"/>
      <c r="B134" s="47" t="s">
        <v>170</v>
      </c>
      <c r="C134" s="7"/>
      <c r="D134" s="7"/>
      <c r="E134" s="7"/>
      <c r="F134" s="7"/>
      <c r="G134" s="7"/>
      <c r="H134" s="42">
        <f>(H132-C132)*10000</f>
        <v>-278.6282606819421</v>
      </c>
      <c r="I134" s="42">
        <f>(I132-D132)*10000</f>
        <v>-126.95903422975108</v>
      </c>
      <c r="J134" s="56">
        <f>(J132-E132)*10000</f>
        <v>5.222046306823103</v>
      </c>
      <c r="K134" s="124"/>
    </row>
    <row r="135">
      <c r="A135" s="2"/>
      <c r="B135" s="2" t="s">
        <v>180</v>
      </c>
      <c r="C135" s="37">
        <v>608793</v>
      </c>
      <c r="D135" s="37">
        <v>638259</v>
      </c>
      <c r="E135" s="37">
        <v>665143</v>
      </c>
      <c r="F135" s="37">
        <v>690069</v>
      </c>
      <c r="G135" s="37">
        <v>650829</v>
      </c>
      <c r="H135" s="37">
        <v>685393</v>
      </c>
      <c r="I135" s="37">
        <v>689980</v>
      </c>
      <c r="J135" s="75">
        <v>700000</v>
      </c>
      <c r="K135" s="125" t="s">
        <v>127</v>
      </c>
    </row>
    <row r="136">
      <c r="A136" s="2"/>
      <c r="B136" s="47" t="s">
        <v>133</v>
      </c>
      <c r="C136" s="7"/>
      <c r="D136" s="7"/>
      <c r="E136" s="7"/>
      <c r="F136" s="7"/>
      <c r="G136" s="7"/>
      <c r="H136" s="40">
        <f>IF(OR(H135="",C135=""),"n.a.",IFERROR(IF(C135&lt;=0,"n.m.",IF(H135/C135&lt;=0,"n.m.",H135/C135-1)),"n.a."))</f>
        <v>0.12582273449267656</v>
      </c>
      <c r="I136" s="40">
        <f>IF(OR(I135="",D135=""),"n.a.",IFERROR(IF(D135&lt;=0,"n.m.",IF(I135/D135&lt;=0,"n.m.",I135/D135-1)),"n.a."))</f>
        <v>0.08103450166781823</v>
      </c>
      <c r="J136" s="45">
        <f>IF(OR(J135="",E135=""),"n.a.",IFERROR(IF(E135&lt;=0,"n.m.",IF(J135/E135&lt;=0,"n.m.",J135/E135-1)),"n.a."))</f>
        <v>0.0524052722497268</v>
      </c>
      <c r="K136" s="124"/>
    </row>
    <row r="137">
      <c r="A137" s="2"/>
      <c r="B137" s="47" t="s">
        <v>134</v>
      </c>
      <c r="C137" s="7"/>
      <c r="D137" s="41">
        <f>IF(OR(D135="",C135=""),"n.a.",IFERROR(D135-C135,"n.a."))</f>
        <v>29466</v>
      </c>
      <c r="E137" s="41">
        <f>IF(OR(E135="",D135=""),"n.a.",IFERROR(E135-D135,"n.a."))</f>
        <v>26884</v>
      </c>
      <c r="F137" s="41">
        <f>IF(OR(F135="",E135=""),"n.a.",IFERROR(F135-E135,"n.a."))</f>
        <v>24926</v>
      </c>
      <c r="G137" s="7"/>
      <c r="H137" s="41">
        <f>IF(OR(H135="",F135=""),"n.a.",IFERROR(H135-F135,"n.a."))</f>
        <v>-4676</v>
      </c>
      <c r="I137" s="41">
        <f>IF(OR(I135="",H135=""),"n.a.",IFERROR(I135-H135,"n.a."))</f>
        <v>4587</v>
      </c>
      <c r="J137" s="52">
        <f>IF(OR(J135="",I135=""),"n.a.",IFERROR(J135-I135,"n.a."))</f>
        <v>10020</v>
      </c>
      <c r="K137" s="124"/>
    </row>
    <row r="138">
      <c r="A138" s="2"/>
      <c r="B138" s="1" t="s">
        <v>181</v>
      </c>
      <c r="C138" s="87">
        <v>0.021</v>
      </c>
      <c r="D138" s="87">
        <v>0.0194</v>
      </c>
      <c r="E138" s="87">
        <v>0.0187</v>
      </c>
      <c r="F138" s="87">
        <v>0.0186</v>
      </c>
      <c r="G138" s="87">
        <v>0.0194</v>
      </c>
      <c r="H138" s="87">
        <v>0.0191</v>
      </c>
      <c r="I138" s="87">
        <v>0.0186</v>
      </c>
      <c r="J138" s="93">
        <v>0.0189</v>
      </c>
      <c r="K138" s="125" t="s">
        <v>127</v>
      </c>
    </row>
    <row r="139">
      <c r="A139" s="2"/>
      <c r="B139" s="47" t="s">
        <v>169</v>
      </c>
      <c r="C139" s="7"/>
      <c r="D139" s="42">
        <f>(D138-C138)*10000</f>
        <v>-16.000000000000007</v>
      </c>
      <c r="E139" s="42">
        <f>(E138-D138)*10000</f>
        <v>-6.999999999999992</v>
      </c>
      <c r="F139" s="42">
        <f>(F138-E138)*10000</f>
        <v>-1.0000000000000286</v>
      </c>
      <c r="G139" s="7"/>
      <c r="H139" s="42">
        <f>(H138-F138)*10000</f>
        <v>5.000000000000004</v>
      </c>
      <c r="I139" s="42">
        <f>(I138-H138)*10000</f>
        <v>-5.000000000000004</v>
      </c>
      <c r="J139" s="56">
        <f>(J138-I138)*10000</f>
        <v>3.0000000000000164</v>
      </c>
      <c r="K139" s="124"/>
    </row>
    <row r="140">
      <c r="A140" s="2"/>
      <c r="B140" s="47" t="s">
        <v>170</v>
      </c>
      <c r="C140" s="7"/>
      <c r="D140" s="7"/>
      <c r="E140" s="7"/>
      <c r="F140" s="7"/>
      <c r="G140" s="7"/>
      <c r="H140" s="42">
        <f>(H138-C138)*10000</f>
        <v>-19.000000000000025</v>
      </c>
      <c r="I140" s="42">
        <f>(I138-D138)*10000</f>
        <v>-8.000000000000021</v>
      </c>
      <c r="J140" s="56">
        <f>(J138-E138)*10000</f>
        <v>1.999999999999988</v>
      </c>
      <c r="K140" s="124"/>
    </row>
    <row r="141">
      <c r="A141" s="2"/>
      <c r="B141" s="18" t="s">
        <v>300</v>
      </c>
      <c r="C141" s="7"/>
      <c r="D141" s="7"/>
      <c r="E141" s="7"/>
      <c r="F141" s="7"/>
      <c r="G141" s="7"/>
      <c r="H141" s="7"/>
      <c r="I141" s="7"/>
      <c r="J141" s="46"/>
      <c r="K141" s="124"/>
    </row>
    <row r="142">
      <c r="A142" s="2"/>
      <c r="B142" s="3" t="s">
        <v>182</v>
      </c>
      <c r="C142" s="37">
        <v>3151</v>
      </c>
      <c r="D142" s="37">
        <v>3081</v>
      </c>
      <c r="E142" s="37">
        <v>3141</v>
      </c>
      <c r="F142" s="37">
        <v>3238</v>
      </c>
      <c r="G142" s="43">
        <f>SUM(C142:F142)</f>
        <v>12611</v>
      </c>
      <c r="H142" s="37">
        <v>3230</v>
      </c>
      <c r="I142" s="37">
        <v>3198</v>
      </c>
      <c r="J142" s="38">
        <f>J135*J138*J7/365</f>
        <v>3334.6849315068494</v>
      </c>
      <c r="K142" s="125" t="s">
        <v>127</v>
      </c>
    </row>
    <row r="143">
      <c r="A143" s="2"/>
      <c r="B143" s="47" t="s">
        <v>113</v>
      </c>
      <c r="C143" s="7"/>
      <c r="D143" s="7"/>
      <c r="E143" s="7"/>
      <c r="F143" s="7"/>
      <c r="G143" s="7"/>
      <c r="H143" s="40">
        <f>IF(OR(H142="",C142=""),"n.a.",IFERROR(IF(C142&lt;=0,"n.m.",IF(H142/C142&lt;=0,"n.m.",H142/C142-1)),"n.a."))</f>
        <v>0.025071405902888033</v>
      </c>
      <c r="I143" s="40">
        <f>IF(OR(I142="",D142=""),"n.a.",IFERROR(IF(D142&lt;=0,"n.m.",IF(I142/D142&lt;=0,"n.m.",I142/D142-1)),"n.a."))</f>
        <v>0.03797468354430378</v>
      </c>
      <c r="J143" s="45">
        <f>IF(OR(J142="",E142=""),"n.a.",IFERROR(IF(E142&lt;=0,"n.m.",IF(J142/E142&lt;=0,"n.m.",J142/E142-1)),"n.a."))</f>
        <v>0.06166346116104715</v>
      </c>
      <c r="K143" s="124"/>
    </row>
    <row r="144">
      <c r="A144" s="2"/>
      <c r="B144" s="47" t="s">
        <v>114</v>
      </c>
      <c r="C144" s="7"/>
      <c r="D144" s="40">
        <f>IF(OR(D142="",C142=""),"n.a.",IFERROR(IF(C142&lt;=0,"n.m.",IF(D142/C142&lt;=0,"n.m.",D142/C142-1)),"n.a."))</f>
        <v>-0.022215169787369038</v>
      </c>
      <c r="E144" s="40">
        <f>IF(OR(E142="",D142=""),"n.a.",IFERROR(IF(D142&lt;=0,"n.m.",IF(E142/D142&lt;=0,"n.m.",E142/D142-1)),"n.a."))</f>
        <v>0.019474196689386547</v>
      </c>
      <c r="F144" s="40">
        <f>IF(OR(F142="",E142=""),"n.a.",IFERROR(IF(E142&lt;=0,"n.m.",IF(F142/E142&lt;=0,"n.m.",F142/E142-1)),"n.a."))</f>
        <v>0.03088188475007958</v>
      </c>
      <c r="G144" s="7"/>
      <c r="H144" s="40">
        <f>IF(OR(H142="",F142=""),"n.a.",IFERROR(IF(F142&lt;=0,"n.m.",IF(H142/F142&lt;=0,"n.m.",H142/F142-1)),"n.a."))</f>
        <v>-0.002470660901791266</v>
      </c>
      <c r="I144" s="40">
        <f>IF(OR(I142="",H142=""),"n.a.",IFERROR(IF(H142&lt;=0,"n.m.",IF(I142/H142&lt;=0,"n.m.",I142/H142-1)),"n.a."))</f>
        <v>-0.009907120743034015</v>
      </c>
      <c r="J144" s="45">
        <f>IF(OR(J142="",I142=""),"n.a.",IFERROR(IF(I142&lt;=0,"n.m.",IF(J142/I142&lt;=0,"n.m.",J142/I142-1)),"n.a."))</f>
        <v>0.042740754067182474</v>
      </c>
      <c r="K144" s="124"/>
    </row>
    <row r="145">
      <c r="A145" s="2"/>
      <c r="B145" s="47" t="s">
        <v>115</v>
      </c>
      <c r="C145" s="7"/>
      <c r="D145" s="7"/>
      <c r="E145" s="7"/>
      <c r="F145" s="7"/>
      <c r="G145" s="7"/>
      <c r="H145" s="40" t="s">
        <v>116</v>
      </c>
      <c r="I145" s="40" t="s">
        <v>116</v>
      </c>
      <c r="J145" s="45" t="s">
        <v>116</v>
      </c>
      <c r="K145" s="124"/>
    </row>
    <row r="146">
      <c r="A146" s="2"/>
      <c r="B146" s="47" t="s">
        <v>117</v>
      </c>
      <c r="C146" s="7"/>
      <c r="D146" s="7"/>
      <c r="E146" s="7"/>
      <c r="F146" s="7"/>
      <c r="G146" s="7"/>
      <c r="H146" s="40" t="s">
        <v>116</v>
      </c>
      <c r="I146" s="40" t="s">
        <v>116</v>
      </c>
      <c r="J146" s="45" t="s">
        <v>116</v>
      </c>
      <c r="K146" s="124"/>
    </row>
    <row r="147">
      <c r="A147" s="2"/>
      <c r="B147" s="47" t="s">
        <v>118</v>
      </c>
      <c r="C147" s="7"/>
      <c r="D147" s="7"/>
      <c r="E147" s="7"/>
      <c r="F147" s="7"/>
      <c r="G147" s="7"/>
      <c r="H147" s="40" t="s">
        <v>116</v>
      </c>
      <c r="I147" s="40" t="s">
        <v>116</v>
      </c>
      <c r="J147" s="45" t="s">
        <v>116</v>
      </c>
      <c r="K147" s="124"/>
    </row>
    <row r="148">
      <c r="A148" s="2"/>
      <c r="B148" s="47" t="s">
        <v>119</v>
      </c>
      <c r="C148" s="40">
        <f>IFERROR(C142/C248,"n.a.")</f>
        <v>0.5258678237650201</v>
      </c>
      <c r="D148" s="40">
        <f>IFERROR(D142/D248,"n.a.")</f>
        <v>0.5415714536825452</v>
      </c>
      <c r="E148" s="40">
        <f>IFERROR(E142/E248,"n.a.")</f>
        <v>0.5075133301017936</v>
      </c>
      <c r="F148" s="40">
        <f>IFERROR(F142/F248,"n.a.")</f>
        <v>0.5190766271240782</v>
      </c>
      <c r="G148" s="40">
        <f>IFERROR(G142/G248,"n.a.")</f>
        <v>0.5231043636966982</v>
      </c>
      <c r="H148" s="40">
        <f>IFERROR(H142/H248,"n.a.")</f>
        <v>0.5137585493876252</v>
      </c>
      <c r="I148" s="40">
        <f>IFERROR(I142/I248,"n.a.")</f>
        <v>0.5128287363694676</v>
      </c>
      <c r="J148" s="45">
        <f>IFERROR(J142/J248,"n.a.")</f>
        <v>0.5297038817387281</v>
      </c>
      <c r="K148" s="124"/>
    </row>
    <row r="149">
      <c r="A149" s="2"/>
      <c r="B149" s="61" t="s">
        <v>215</v>
      </c>
      <c r="C149" s="90">
        <f>C152/C123*365/C7</f>
        <v>0.005824019904706987</v>
      </c>
      <c r="D149" s="90">
        <f>D152/D123*365/D7</f>
        <v>0.005743183748188637</v>
      </c>
      <c r="E149" s="90">
        <f>E152/E123*365/E7</f>
        <v>0.005421272239616463</v>
      </c>
      <c r="F149" s="90">
        <f>F152/F123*365/F7</f>
        <v>0.005351370640047287</v>
      </c>
      <c r="G149" s="7"/>
      <c r="H149" s="90">
        <f>H152/H123*365/H7</f>
        <v>0.005661393554528488</v>
      </c>
      <c r="I149" s="90">
        <f>I152/I123*365/I7</f>
        <v>0.005734669431405115</v>
      </c>
      <c r="J149" s="93">
        <v>0.005735</v>
      </c>
      <c r="K149" s="124"/>
    </row>
    <row r="150">
      <c r="A150" s="2"/>
      <c r="B150" s="47" t="s">
        <v>169</v>
      </c>
      <c r="C150" s="7"/>
      <c r="D150" s="42">
        <f>(D149-C149)*10000</f>
        <v>-0.8083615651835029</v>
      </c>
      <c r="E150" s="42">
        <f>(E149-D149)*10000</f>
        <v>-3.219115085721733</v>
      </c>
      <c r="F150" s="42">
        <f>(F149-E149)*10000</f>
        <v>-0.6990159956917624</v>
      </c>
      <c r="G150" s="7"/>
      <c r="H150" s="42">
        <f>(H149-F149)*10000</f>
        <v>3.100229144812009</v>
      </c>
      <c r="I150" s="42">
        <f>(I149-H149)*10000</f>
        <v>0.7327587687662711</v>
      </c>
      <c r="J150" s="56">
        <f>(J149-I149)*10000</f>
        <v>0.003305685948844922</v>
      </c>
      <c r="K150" s="124"/>
    </row>
    <row r="151">
      <c r="A151" s="2"/>
      <c r="B151" s="47" t="s">
        <v>170</v>
      </c>
      <c r="C151" s="7"/>
      <c r="D151" s="7"/>
      <c r="E151" s="7"/>
      <c r="F151" s="7"/>
      <c r="G151" s="7"/>
      <c r="H151" s="42">
        <f>(H149-C149)*10000</f>
        <v>-1.6262635017849896</v>
      </c>
      <c r="I151" s="42">
        <f>(I149-D149)*10000</f>
        <v>-0.08514316783521554</v>
      </c>
      <c r="J151" s="56">
        <f>(J149-E149)*10000</f>
        <v>3.1372776038353627</v>
      </c>
      <c r="K151" s="124"/>
    </row>
    <row r="152">
      <c r="A152" s="2"/>
      <c r="B152" s="3" t="s">
        <v>216</v>
      </c>
      <c r="C152" s="37">
        <v>826</v>
      </c>
      <c r="D152" s="37">
        <v>864</v>
      </c>
      <c r="E152" s="37">
        <v>863</v>
      </c>
      <c r="F152" s="37">
        <v>885</v>
      </c>
      <c r="G152" s="43">
        <f>SUM(C152:F152)</f>
        <v>3438</v>
      </c>
      <c r="H152" s="37">
        <v>904</v>
      </c>
      <c r="I152" s="37">
        <v>932</v>
      </c>
      <c r="J152" s="38">
        <f>J123*J149*J7/365</f>
        <v>955.6318489041095</v>
      </c>
      <c r="K152" s="125" t="s">
        <v>127</v>
      </c>
    </row>
    <row r="153">
      <c r="A153" s="2"/>
      <c r="B153" s="47" t="s">
        <v>113</v>
      </c>
      <c r="C153" s="7"/>
      <c r="D153" s="7"/>
      <c r="E153" s="7"/>
      <c r="F153" s="7"/>
      <c r="G153" s="7"/>
      <c r="H153" s="40">
        <f>IF(OR(H152="",C152=""),"n.a.",IFERROR(IF(C152&lt;=0,"n.m.",IF(H152/C152&lt;=0,"n.m.",H152/C152-1)),"n.a."))</f>
        <v>0.09443099273607758</v>
      </c>
      <c r="I153" s="40">
        <f>IF(OR(I152="",D152=""),"n.a.",IFERROR(IF(D152&lt;=0,"n.m.",IF(I152/D152&lt;=0,"n.m.",I152/D152-1)),"n.a."))</f>
        <v>0.07870370370370372</v>
      </c>
      <c r="J153" s="45">
        <f>IF(OR(J152="",E152=""),"n.a.",IFERROR(IF(E152&lt;=0,"n.m.",IF(J152/E152&lt;=0,"n.m.",J152/E152-1)),"n.a."))</f>
        <v>0.10733702074636087</v>
      </c>
      <c r="K153" s="124"/>
    </row>
    <row r="154">
      <c r="A154" s="2"/>
      <c r="B154" s="47" t="s">
        <v>114</v>
      </c>
      <c r="C154" s="7"/>
      <c r="D154" s="40">
        <f>IF(OR(D152="",C152=""),"n.a.",IFERROR(IF(C152&lt;=0,"n.m.",IF(D152/C152&lt;=0,"n.m.",D152/C152-1)),"n.a."))</f>
        <v>0.04600484261501214</v>
      </c>
      <c r="E154" s="40">
        <f>IF(OR(E152="",D152=""),"n.a.",IFERROR(IF(D152&lt;=0,"n.m.",IF(E152/D152&lt;=0,"n.m.",E152/D152-1)),"n.a."))</f>
        <v>-0.0011574074074074403</v>
      </c>
      <c r="F154" s="40">
        <f>IF(OR(F152="",E152=""),"n.a.",IFERROR(IF(E152&lt;=0,"n.m.",IF(F152/E152&lt;=0,"n.m.",F152/E152-1)),"n.a."))</f>
        <v>0.02549246813441486</v>
      </c>
      <c r="G154" s="7"/>
      <c r="H154" s="40">
        <f>IF(OR(H152="",F152=""),"n.a.",IFERROR(IF(F152&lt;=0,"n.m.",IF(H152/F152&lt;=0,"n.m.",H152/F152-1)),"n.a."))</f>
        <v>0.021468926553672274</v>
      </c>
      <c r="I154" s="40">
        <f>IF(OR(I152="",H152=""),"n.a.",IFERROR(IF(H152&lt;=0,"n.m.",IF(I152/H152&lt;=0,"n.m.",I152/H152-1)),"n.a."))</f>
        <v>0.030973451327433565</v>
      </c>
      <c r="J154" s="45">
        <f>IF(OR(J152="",I152=""),"n.a.",IFERROR(IF(I152&lt;=0,"n.m.",IF(J152/I152&lt;=0,"n.m.",J152/I152-1)),"n.a."))</f>
        <v>0.025356061055911372</v>
      </c>
      <c r="K154" s="124"/>
    </row>
    <row r="155">
      <c r="A155" s="2"/>
      <c r="B155" s="47" t="s">
        <v>115</v>
      </c>
      <c r="C155" s="7"/>
      <c r="D155" s="7"/>
      <c r="E155" s="7"/>
      <c r="F155" s="7"/>
      <c r="G155" s="7"/>
      <c r="H155" s="40" t="s">
        <v>116</v>
      </c>
      <c r="I155" s="40" t="s">
        <v>116</v>
      </c>
      <c r="J155" s="45" t="s">
        <v>116</v>
      </c>
      <c r="K155" s="124"/>
    </row>
    <row r="156">
      <c r="A156" s="2"/>
      <c r="B156" s="47" t="s">
        <v>117</v>
      </c>
      <c r="C156" s="7"/>
      <c r="D156" s="7"/>
      <c r="E156" s="7"/>
      <c r="F156" s="7"/>
      <c r="G156" s="7"/>
      <c r="H156" s="40" t="s">
        <v>116</v>
      </c>
      <c r="I156" s="40" t="s">
        <v>116</v>
      </c>
      <c r="J156" s="45" t="s">
        <v>116</v>
      </c>
      <c r="K156" s="124"/>
    </row>
    <row r="157">
      <c r="A157" s="2"/>
      <c r="B157" s="47" t="s">
        <v>118</v>
      </c>
      <c r="C157" s="7"/>
      <c r="D157" s="7"/>
      <c r="E157" s="7"/>
      <c r="F157" s="7"/>
      <c r="G157" s="7"/>
      <c r="H157" s="40" t="s">
        <v>116</v>
      </c>
      <c r="I157" s="40" t="s">
        <v>116</v>
      </c>
      <c r="J157" s="45" t="s">
        <v>116</v>
      </c>
      <c r="K157" s="124"/>
    </row>
    <row r="158">
      <c r="A158" s="2"/>
      <c r="B158" s="47" t="s">
        <v>119</v>
      </c>
      <c r="C158" s="40">
        <f>IFERROR(C152/C248,"n.a.")</f>
        <v>0.1378504672897196</v>
      </c>
      <c r="D158" s="40">
        <f>IFERROR(D152/D248,"n.a.")</f>
        <v>0.15187203374934083</v>
      </c>
      <c r="E158" s="40">
        <f>IFERROR(E152/E248,"n.a.")</f>
        <v>0.13944094360963</v>
      </c>
      <c r="F158" s="40">
        <f>IFERROR(F152/F248,"n.a.")</f>
        <v>0.14187239499839693</v>
      </c>
      <c r="G158" s="40">
        <f>IFERROR(G152/G248,"n.a.")</f>
        <v>0.14260826281732206</v>
      </c>
      <c r="H158" s="40">
        <f>IFERROR(H152/H248,"n.a.")</f>
        <v>0.1437887704787657</v>
      </c>
      <c r="I158" s="40">
        <f>IFERROR(I152/I248,"n.a.")</f>
        <v>0.14945477870429763</v>
      </c>
      <c r="J158" s="45">
        <f>IFERROR(J152/J248,"n.a.")</f>
        <v>0.15179901858042288</v>
      </c>
      <c r="K158" s="124"/>
    </row>
    <row r="159">
      <c r="A159" s="2"/>
      <c r="B159" s="3" t="s">
        <v>301</v>
      </c>
      <c r="C159" s="43">
        <f>C76</f>
        <v>847</v>
      </c>
      <c r="D159" s="43">
        <f>D76</f>
        <v>767</v>
      </c>
      <c r="E159" s="43">
        <f>E76</f>
        <v>1155</v>
      </c>
      <c r="F159" s="43">
        <f>F76</f>
        <v>973</v>
      </c>
      <c r="G159" s="43">
        <f>G76</f>
        <v>3742</v>
      </c>
      <c r="H159" s="43">
        <f>H76</f>
        <v>1047</v>
      </c>
      <c r="I159" s="43">
        <f>I76</f>
        <v>1154</v>
      </c>
      <c r="J159" s="38">
        <f>J76</f>
        <v>1017</v>
      </c>
      <c r="K159" s="124"/>
    </row>
    <row r="160">
      <c r="A160" s="2"/>
      <c r="B160" s="47" t="s">
        <v>113</v>
      </c>
      <c r="C160" s="7"/>
      <c r="D160" s="7"/>
      <c r="E160" s="7"/>
      <c r="F160" s="7"/>
      <c r="G160" s="7"/>
      <c r="H160" s="40">
        <f>IF(OR(H159="",C159=""),"n.a.",IFERROR(IF(C159&lt;=0,"n.m.",IF(H159/C159&lt;=0,"n.m.",H159/C159-1)),"n.a."))</f>
        <v>0.23612750885478162</v>
      </c>
      <c r="I160" s="40">
        <f>IF(OR(I159="",D159=""),"n.a.",IFERROR(IF(D159&lt;=0,"n.m.",IF(I159/D159&lt;=0,"n.m.",I159/D159-1)),"n.a."))</f>
        <v>0.5045632333767927</v>
      </c>
      <c r="J160" s="45">
        <f>IF(OR(J159="",E159=""),"n.a.",IFERROR(IF(E159&lt;=0,"n.m.",IF(J159/E159&lt;=0,"n.m.",J159/E159-1)),"n.a."))</f>
        <v>-0.11948051948051952</v>
      </c>
      <c r="K160" s="124"/>
    </row>
    <row r="161">
      <c r="A161" s="2"/>
      <c r="B161" s="47" t="s">
        <v>114</v>
      </c>
      <c r="C161" s="7"/>
      <c r="D161" s="40">
        <f>IF(OR(D159="",C159=""),"n.a.",IFERROR(IF(C159&lt;=0,"n.m.",IF(D159/C159&lt;=0,"n.m.",D159/C159-1)),"n.a."))</f>
        <v>-0.0944510035419126</v>
      </c>
      <c r="E161" s="40">
        <f>IF(OR(E159="",D159=""),"n.a.",IFERROR(IF(D159&lt;=0,"n.m.",IF(E159/D159&lt;=0,"n.m.",E159/D159-1)),"n.a."))</f>
        <v>0.5058670143415906</v>
      </c>
      <c r="F161" s="40">
        <f>IF(OR(F159="",E159=""),"n.a.",IFERROR(IF(E159&lt;=0,"n.m.",IF(F159/E159&lt;=0,"n.m.",F159/E159-1)),"n.a."))</f>
        <v>-0.1575757575757576</v>
      </c>
      <c r="G161" s="7"/>
      <c r="H161" s="40">
        <f>IF(OR(H159="",F159=""),"n.a.",IFERROR(IF(F159&lt;=0,"n.m.",IF(H159/F159&lt;=0,"n.m.",H159/F159-1)),"n.a."))</f>
        <v>0.07605344295991778</v>
      </c>
      <c r="I161" s="40">
        <f>IF(OR(I159="",H159=""),"n.a.",IFERROR(IF(H159&lt;=0,"n.m.",IF(I159/H159&lt;=0,"n.m.",I159/H159-1)),"n.a."))</f>
        <v>0.10219675262655215</v>
      </c>
      <c r="J161" s="45">
        <f>IF(OR(J159="",I159=""),"n.a.",IFERROR(IF(I159&lt;=0,"n.m.",IF(J159/I159&lt;=0,"n.m.",J159/I159-1)),"n.a."))</f>
        <v>-0.11871750433275563</v>
      </c>
      <c r="K161" s="124"/>
    </row>
    <row r="162">
      <c r="A162" s="2"/>
      <c r="B162" s="47" t="s">
        <v>115</v>
      </c>
      <c r="C162" s="7"/>
      <c r="D162" s="7"/>
      <c r="E162" s="7"/>
      <c r="F162" s="7"/>
      <c r="G162" s="7"/>
      <c r="H162" s="40" t="s">
        <v>116</v>
      </c>
      <c r="I162" s="40" t="s">
        <v>116</v>
      </c>
      <c r="J162" s="45" t="s">
        <v>116</v>
      </c>
      <c r="K162" s="124"/>
    </row>
    <row r="163">
      <c r="A163" s="2"/>
      <c r="B163" s="47" t="s">
        <v>117</v>
      </c>
      <c r="C163" s="7"/>
      <c r="D163" s="7"/>
      <c r="E163" s="7"/>
      <c r="F163" s="7"/>
      <c r="G163" s="7"/>
      <c r="H163" s="40" t="s">
        <v>116</v>
      </c>
      <c r="I163" s="40" t="s">
        <v>116</v>
      </c>
      <c r="J163" s="45" t="s">
        <v>116</v>
      </c>
      <c r="K163" s="124"/>
    </row>
    <row r="164">
      <c r="A164" s="2"/>
      <c r="B164" s="47" t="s">
        <v>118</v>
      </c>
      <c r="C164" s="7"/>
      <c r="D164" s="7"/>
      <c r="E164" s="7"/>
      <c r="F164" s="7"/>
      <c r="G164" s="7"/>
      <c r="H164" s="40" t="s">
        <v>116</v>
      </c>
      <c r="I164" s="40" t="s">
        <v>116</v>
      </c>
      <c r="J164" s="45" t="s">
        <v>116</v>
      </c>
      <c r="K164" s="124"/>
    </row>
    <row r="165">
      <c r="A165" s="2"/>
      <c r="B165" s="47" t="s">
        <v>119</v>
      </c>
      <c r="C165" s="40">
        <f>IFERROR(C159/C248,"n.a.")</f>
        <v>0.1413551401869159</v>
      </c>
      <c r="D165" s="40">
        <f>IFERROR(D159/D248,"n.a.")</f>
        <v>0.1348215855159079</v>
      </c>
      <c r="E165" s="40">
        <f>IFERROR(E159/E248,"n.a.")</f>
        <v>0.18662142510906446</v>
      </c>
      <c r="F165" s="40">
        <f>IFERROR(F159/F248,"n.a.")</f>
        <v>0.1559794806027573</v>
      </c>
      <c r="G165" s="40">
        <f>IFERROR(G159/G248,"n.a.")</f>
        <v>0.15521818483490957</v>
      </c>
      <c r="H165" s="40">
        <f>IFERROR(H159/H248,"n.a.")</f>
        <v>0.16653411802131382</v>
      </c>
      <c r="I165" s="40">
        <f>IFERROR(I159/I248,"n.a.")</f>
        <v>0.18505452212957024</v>
      </c>
      <c r="J165" s="45">
        <f>IFERROR(J159/J248,"n.a.")</f>
        <v>0.16154715026851404</v>
      </c>
      <c r="K165" s="124"/>
    </row>
    <row r="166">
      <c r="A166" s="2"/>
      <c r="B166" s="61" t="s">
        <v>302</v>
      </c>
      <c r="C166" s="90">
        <f>C169/C93*365/C7</f>
        <v>0.012507198709615714</v>
      </c>
      <c r="D166" s="90">
        <f>D169/D93*365/D7</f>
        <v>0.0101033771211978</v>
      </c>
      <c r="E166" s="90">
        <f>E169/E93*365/E7</f>
        <v>0.010518925055673778</v>
      </c>
      <c r="F166" s="90">
        <f>F169/F93*365/F7</f>
        <v>0.011728030124237268</v>
      </c>
      <c r="G166" s="7"/>
      <c r="H166" s="90">
        <f>H169/H93*365/H7</f>
        <v>0.0112986902486837</v>
      </c>
      <c r="I166" s="90">
        <f>I169/I93*365/I7</f>
        <v>0.009237528034520517</v>
      </c>
      <c r="J166" s="93">
        <v>0.0093</v>
      </c>
      <c r="K166" s="124"/>
    </row>
    <row r="167">
      <c r="A167" s="2"/>
      <c r="B167" s="47" t="s">
        <v>169</v>
      </c>
      <c r="C167" s="7"/>
      <c r="D167" s="42">
        <f>(D166-C166)*10000</f>
        <v>-24.038215884179138</v>
      </c>
      <c r="E167" s="42">
        <f>(E166-D166)*10000</f>
        <v>4.1554793447597795</v>
      </c>
      <c r="F167" s="42">
        <f>(F166-E166)*10000</f>
        <v>12.091050685634903</v>
      </c>
      <c r="G167" s="7"/>
      <c r="H167" s="42">
        <f>(H166-F166)*10000</f>
        <v>-4.293398755535679</v>
      </c>
      <c r="I167" s="42">
        <f>(I166-H166)*10000</f>
        <v>-20.611622141631837</v>
      </c>
      <c r="J167" s="56">
        <f>(J166-I166)*10000</f>
        <v>0.6247196547948253</v>
      </c>
      <c r="K167" s="124"/>
    </row>
    <row r="168">
      <c r="A168" s="2"/>
      <c r="B168" s="47" t="s">
        <v>170</v>
      </c>
      <c r="C168" s="7"/>
      <c r="D168" s="7"/>
      <c r="E168" s="7"/>
      <c r="F168" s="7"/>
      <c r="G168" s="7"/>
      <c r="H168" s="42">
        <f>(H166-C166)*10000</f>
        <v>-12.085084609320136</v>
      </c>
      <c r="I168" s="42">
        <f>(I166-D166)*10000</f>
        <v>-8.658490866772835</v>
      </c>
      <c r="J168" s="56">
        <f>(J166-E166)*10000</f>
        <v>-12.18925055673779</v>
      </c>
      <c r="K168" s="124"/>
    </row>
    <row r="169">
      <c r="A169" s="2"/>
      <c r="B169" s="3" t="s">
        <v>217</v>
      </c>
      <c r="C169" s="37">
        <v>1168</v>
      </c>
      <c r="D169" s="37">
        <v>977</v>
      </c>
      <c r="E169" s="37">
        <v>1030</v>
      </c>
      <c r="F169" s="37">
        <v>1142</v>
      </c>
      <c r="G169" s="43">
        <f>SUM(C169:F169)</f>
        <v>4317</v>
      </c>
      <c r="H169" s="37">
        <v>1106</v>
      </c>
      <c r="I169" s="37">
        <v>952</v>
      </c>
      <c r="J169" s="38">
        <f>J93*J166*J7/365</f>
        <v>988.0588935616437</v>
      </c>
      <c r="K169" s="125" t="s">
        <v>127</v>
      </c>
    </row>
    <row r="170">
      <c r="A170" s="2"/>
      <c r="B170" s="47" t="s">
        <v>113</v>
      </c>
      <c r="C170" s="7"/>
      <c r="D170" s="7"/>
      <c r="E170" s="7"/>
      <c r="F170" s="7"/>
      <c r="G170" s="7"/>
      <c r="H170" s="40">
        <f>IF(OR(H169="",C169=""),"n.a.",IFERROR(IF(C169&lt;=0,"n.m.",IF(H169/C169&lt;=0,"n.m.",H169/C169-1)),"n.a."))</f>
        <v>-0.05308219178082196</v>
      </c>
      <c r="I170" s="40">
        <f>IF(OR(I169="",D169=""),"n.a.",IFERROR(IF(D169&lt;=0,"n.m.",IF(I169/D169&lt;=0,"n.m.",I169/D169-1)),"n.a."))</f>
        <v>-0.025588536335721557</v>
      </c>
      <c r="J170" s="45">
        <f>IF(OR(J169="",E169=""),"n.a.",IFERROR(IF(E169&lt;=0,"n.m.",IF(J169/E169&lt;=0,"n.m.",J169/E169-1)),"n.a."))</f>
        <v>-0.04071952081393815</v>
      </c>
      <c r="K170" s="124"/>
    </row>
    <row r="171">
      <c r="A171" s="2"/>
      <c r="B171" s="47" t="s">
        <v>114</v>
      </c>
      <c r="C171" s="7"/>
      <c r="D171" s="40">
        <f>IF(OR(D169="",C169=""),"n.a.",IFERROR(IF(C169&lt;=0,"n.m.",IF(D169/C169&lt;=0,"n.m.",D169/C169-1)),"n.a."))</f>
        <v>-0.163527397260274</v>
      </c>
      <c r="E171" s="40">
        <f>IF(OR(E169="",D169=""),"n.a.",IFERROR(IF(D169&lt;=0,"n.m.",IF(E169/D169&lt;=0,"n.m.",E169/D169-1)),"n.a."))</f>
        <v>0.054247697031729825</v>
      </c>
      <c r="F171" s="40">
        <f>IF(OR(F169="",E169=""),"n.a.",IFERROR(IF(E169&lt;=0,"n.m.",IF(F169/E169&lt;=0,"n.m.",F169/E169-1)),"n.a."))</f>
        <v>0.10873786407766994</v>
      </c>
      <c r="G171" s="7"/>
      <c r="H171" s="40">
        <f>IF(OR(H169="",F169=""),"n.a.",IFERROR(IF(F169&lt;=0,"n.m.",IF(H169/F169&lt;=0,"n.m.",H169/F169-1)),"n.a."))</f>
        <v>-0.031523642732048995</v>
      </c>
      <c r="I171" s="40">
        <f>IF(OR(I169="",H169=""),"n.a.",IFERROR(IF(H169&lt;=0,"n.m.",IF(I169/H169&lt;=0,"n.m.",I169/H169-1)),"n.a."))</f>
        <v>-0.1392405063291139</v>
      </c>
      <c r="J171" s="45">
        <f>IF(OR(J169="",I169=""),"n.a.",IFERROR(IF(I169&lt;=0,"n.m.",IF(J169/I169&lt;=0,"n.m.",J169/I169-1)),"n.a."))</f>
        <v>0.03787698903534009</v>
      </c>
      <c r="K171" s="124"/>
    </row>
    <row r="172">
      <c r="A172" s="2"/>
      <c r="B172" s="47" t="s">
        <v>115</v>
      </c>
      <c r="C172" s="7"/>
      <c r="D172" s="7"/>
      <c r="E172" s="7"/>
      <c r="F172" s="7"/>
      <c r="G172" s="7"/>
      <c r="H172" s="40" t="s">
        <v>116</v>
      </c>
      <c r="I172" s="40" t="s">
        <v>116</v>
      </c>
      <c r="J172" s="45" t="s">
        <v>116</v>
      </c>
      <c r="K172" s="124"/>
    </row>
    <row r="173">
      <c r="A173" s="2"/>
      <c r="B173" s="47" t="s">
        <v>117</v>
      </c>
      <c r="C173" s="7"/>
      <c r="D173" s="7"/>
      <c r="E173" s="7"/>
      <c r="F173" s="7"/>
      <c r="G173" s="7"/>
      <c r="H173" s="40" t="s">
        <v>116</v>
      </c>
      <c r="I173" s="40" t="s">
        <v>116</v>
      </c>
      <c r="J173" s="45" t="s">
        <v>116</v>
      </c>
      <c r="K173" s="124"/>
    </row>
    <row r="174">
      <c r="A174" s="2"/>
      <c r="B174" s="47" t="s">
        <v>118</v>
      </c>
      <c r="C174" s="7"/>
      <c r="D174" s="7"/>
      <c r="E174" s="7"/>
      <c r="F174" s="7"/>
      <c r="G174" s="7"/>
      <c r="H174" s="40" t="s">
        <v>116</v>
      </c>
      <c r="I174" s="40" t="s">
        <v>116</v>
      </c>
      <c r="J174" s="45" t="s">
        <v>116</v>
      </c>
      <c r="K174" s="124"/>
    </row>
    <row r="175">
      <c r="A175" s="2"/>
      <c r="B175" s="47" t="s">
        <v>119</v>
      </c>
      <c r="C175" s="40">
        <f>IFERROR(C169/C248,"n.a.")</f>
        <v>0.19492656875834447</v>
      </c>
      <c r="D175" s="40">
        <f>IFERROR(D169/D248,"n.a.")</f>
        <v>0.171734927052206</v>
      </c>
      <c r="E175" s="40">
        <f>IFERROR(E169/E248,"n.a.")</f>
        <v>0.16642430117951204</v>
      </c>
      <c r="F175" s="40">
        <f>IFERROR(F169/F248,"n.a.")</f>
        <v>0.18307149727476754</v>
      </c>
      <c r="G175" s="40">
        <f>IFERROR(G169/G248,"n.a.")</f>
        <v>0.1790691886510702</v>
      </c>
      <c r="H175" s="40">
        <f>IFERROR(H169/H248,"n.a.")</f>
        <v>0.1759185621122952</v>
      </c>
      <c r="I175" s="40">
        <f>IFERROR(I169/I248,"n.a.")</f>
        <v>0.15266196279666452</v>
      </c>
      <c r="J175" s="45">
        <f>IFERROR(J169/J248,"n.a.")</f>
        <v>0.1569499494123349</v>
      </c>
      <c r="K175" s="124"/>
    </row>
    <row r="176">
      <c r="A176" s="2"/>
      <c r="B176" s="18" t="s">
        <v>218</v>
      </c>
      <c r="C176" s="39">
        <f>C152+C159+C169</f>
        <v>2841</v>
      </c>
      <c r="D176" s="39">
        <f>D152+D159+D169</f>
        <v>2608</v>
      </c>
      <c r="E176" s="39">
        <f>E152+E159+E169</f>
        <v>3048</v>
      </c>
      <c r="F176" s="39">
        <f>F152+F159+F169</f>
        <v>3000</v>
      </c>
      <c r="G176" s="39">
        <f>G152+G159+G169</f>
        <v>11497</v>
      </c>
      <c r="H176" s="39">
        <f>H152+H159+H169</f>
        <v>3057</v>
      </c>
      <c r="I176" s="39">
        <f>I152+I159+I169</f>
        <v>3038</v>
      </c>
      <c r="J176" s="50">
        <f>J152+J159+J169</f>
        <v>2960.6907424657534</v>
      </c>
      <c r="K176" s="124"/>
    </row>
    <row r="177">
      <c r="A177" s="2"/>
      <c r="B177" s="47" t="s">
        <v>113</v>
      </c>
      <c r="C177" s="7"/>
      <c r="D177" s="7"/>
      <c r="E177" s="7"/>
      <c r="F177" s="7"/>
      <c r="G177" s="7"/>
      <c r="H177" s="40">
        <f>IF(OR(H176="",C176=""),"n.a.",IFERROR(IF(C176&lt;=0,"n.m.",IF(H176/C176&lt;=0,"n.m.",H176/C176-1)),"n.a."))</f>
        <v>0.07602956705385422</v>
      </c>
      <c r="I177" s="40">
        <f>IF(OR(I176="",D176=""),"n.a.",IFERROR(IF(D176&lt;=0,"n.m.",IF(I176/D176&lt;=0,"n.m.",I176/D176-1)),"n.a."))</f>
        <v>0.16487730061349692</v>
      </c>
      <c r="J177" s="45">
        <f>IF(OR(J176="",E176=""),"n.a.",IFERROR(IF(E176&lt;=0,"n.m.",IF(J176/E176&lt;=0,"n.m.",J176/E176-1)),"n.a."))</f>
        <v>-0.02864476953223316</v>
      </c>
      <c r="K177" s="124"/>
    </row>
    <row r="178">
      <c r="A178" s="2"/>
      <c r="B178" s="47" t="s">
        <v>114</v>
      </c>
      <c r="C178" s="7"/>
      <c r="D178" s="40">
        <f>IF(OR(D176="",C176=""),"n.a.",IFERROR(IF(C176&lt;=0,"n.m.",IF(D176/C176&lt;=0,"n.m.",D176/C176-1)),"n.a."))</f>
        <v>-0.08201337557198174</v>
      </c>
      <c r="E178" s="40">
        <f>IF(OR(E176="",D176=""),"n.a.",IFERROR(IF(D176&lt;=0,"n.m.",IF(E176/D176&lt;=0,"n.m.",E176/D176-1)),"n.a."))</f>
        <v>0.1687116564417177</v>
      </c>
      <c r="F178" s="40">
        <f>IF(OR(F176="",E176=""),"n.a.",IFERROR(IF(E176&lt;=0,"n.m.",IF(F176/E176&lt;=0,"n.m.",F176/E176-1)),"n.a."))</f>
        <v>-0.015748031496062964</v>
      </c>
      <c r="G178" s="7"/>
      <c r="H178" s="40">
        <f>IF(OR(H176="",F176=""),"n.a.",IFERROR(IF(F176&lt;=0,"n.m.",IF(H176/F176&lt;=0,"n.m.",H176/F176-1)),"n.a."))</f>
        <v>0.018999999999999906</v>
      </c>
      <c r="I178" s="40">
        <f>IF(OR(I176="",H176=""),"n.a.",IFERROR(IF(H176&lt;=0,"n.m.",IF(I176/H176&lt;=0,"n.m.",I176/H176-1)),"n.a."))</f>
        <v>-0.006215243702976769</v>
      </c>
      <c r="J178" s="45">
        <f>IF(OR(J176="",I176=""),"n.a.",IFERROR(IF(I176&lt;=0,"n.m.",IF(J176/I176&lt;=0,"n.m.",J176/I176-1)),"n.a."))</f>
        <v>-0.02544741854320165</v>
      </c>
      <c r="K178" s="124"/>
    </row>
    <row r="179">
      <c r="A179" s="2"/>
      <c r="B179" s="47" t="s">
        <v>115</v>
      </c>
      <c r="C179" s="7"/>
      <c r="D179" s="7"/>
      <c r="E179" s="7"/>
      <c r="F179" s="7"/>
      <c r="G179" s="7"/>
      <c r="H179" s="40" t="s">
        <v>116</v>
      </c>
      <c r="I179" s="40" t="s">
        <v>116</v>
      </c>
      <c r="J179" s="45" t="s">
        <v>116</v>
      </c>
      <c r="K179" s="124"/>
    </row>
    <row r="180">
      <c r="A180" s="2"/>
      <c r="B180" s="47" t="s">
        <v>117</v>
      </c>
      <c r="C180" s="7"/>
      <c r="D180" s="7"/>
      <c r="E180" s="7"/>
      <c r="F180" s="7"/>
      <c r="G180" s="7"/>
      <c r="H180" s="40" t="s">
        <v>116</v>
      </c>
      <c r="I180" s="40" t="s">
        <v>116</v>
      </c>
      <c r="J180" s="45" t="s">
        <v>116</v>
      </c>
      <c r="K180" s="124"/>
    </row>
    <row r="181">
      <c r="A181" s="2"/>
      <c r="B181" s="47" t="s">
        <v>118</v>
      </c>
      <c r="C181" s="7"/>
      <c r="D181" s="7"/>
      <c r="E181" s="7"/>
      <c r="F181" s="7"/>
      <c r="G181" s="7"/>
      <c r="H181" s="40" t="s">
        <v>116</v>
      </c>
      <c r="I181" s="40" t="s">
        <v>116</v>
      </c>
      <c r="J181" s="45" t="s">
        <v>116</v>
      </c>
      <c r="K181" s="124"/>
    </row>
    <row r="182">
      <c r="A182" s="2"/>
      <c r="B182" s="47" t="s">
        <v>119</v>
      </c>
      <c r="C182" s="40">
        <f>IFERROR(C176/C248,"n.a.")</f>
        <v>0.47413217623498</v>
      </c>
      <c r="D182" s="40">
        <f>IFERROR(D176/D248,"n.a.")</f>
        <v>0.4584285463174547</v>
      </c>
      <c r="E182" s="40">
        <f>IFERROR(E176/E248,"n.a.")</f>
        <v>0.4924866698982065</v>
      </c>
      <c r="F182" s="40">
        <f>IFERROR(F176/F248,"n.a.")</f>
        <v>0.4809233728759218</v>
      </c>
      <c r="G182" s="40">
        <f>IFERROR(G176/G248,"n.a.")</f>
        <v>0.4768956363033018</v>
      </c>
      <c r="H182" s="40">
        <f>IFERROR(H176/H248,"n.a.")</f>
        <v>0.4862414506123747</v>
      </c>
      <c r="I182" s="40">
        <f>IFERROR(I176/I248,"n.a.")</f>
        <v>0.48717126363053237</v>
      </c>
      <c r="J182" s="45">
        <f>IFERROR(J176/J248,"n.a.")</f>
        <v>0.4702961182612719</v>
      </c>
      <c r="K182" s="124"/>
    </row>
    <row r="183">
      <c r="A183" s="2"/>
      <c r="B183" s="18" t="s">
        <v>303</v>
      </c>
      <c r="C183" s="39">
        <f>C142+C176</f>
        <v>5992</v>
      </c>
      <c r="D183" s="39">
        <f>D142+D176</f>
        <v>5689</v>
      </c>
      <c r="E183" s="39">
        <f>E142+E176</f>
        <v>6189</v>
      </c>
      <c r="F183" s="39">
        <f>F142+F176</f>
        <v>6238</v>
      </c>
      <c r="G183" s="39">
        <f>G142+G176</f>
        <v>24108</v>
      </c>
      <c r="H183" s="39">
        <f>H142+H176</f>
        <v>6287</v>
      </c>
      <c r="I183" s="39">
        <f>I142+I176</f>
        <v>6236</v>
      </c>
      <c r="J183" s="50">
        <f>J142+J176</f>
        <v>6295.375673972603</v>
      </c>
      <c r="K183" s="124"/>
    </row>
    <row r="184">
      <c r="A184" s="2"/>
      <c r="B184" s="18" t="s">
        <v>304</v>
      </c>
      <c r="C184" s="7"/>
      <c r="D184" s="7"/>
      <c r="E184" s="7"/>
      <c r="F184" s="7"/>
      <c r="G184" s="7"/>
      <c r="H184" s="7"/>
      <c r="I184" s="7"/>
      <c r="J184" s="46"/>
      <c r="K184" s="124"/>
    </row>
    <row r="185">
      <c r="A185" s="2"/>
      <c r="B185" s="3" t="s">
        <v>305</v>
      </c>
      <c r="C185" s="43">
        <f>C254-C192-C220-C76</f>
        <v>353</v>
      </c>
      <c r="D185" s="43">
        <f>D254-D192-D220-D76</f>
        <v>71</v>
      </c>
      <c r="E185" s="43">
        <f>E254-E192-E220-E76</f>
        <v>59</v>
      </c>
      <c r="F185" s="43">
        <f>F254-F192-F220-F76</f>
        <v>59</v>
      </c>
      <c r="G185" s="43">
        <f>G254-G192-G220-G76</f>
        <v>542</v>
      </c>
      <c r="H185" s="43">
        <f>H254-H192-H220-H76</f>
        <v>78</v>
      </c>
      <c r="I185" s="43">
        <f>I254-I192-I220-I76</f>
        <v>101</v>
      </c>
      <c r="J185" s="75">
        <v>80</v>
      </c>
      <c r="K185" s="129" t="s">
        <v>306</v>
      </c>
    </row>
    <row r="186">
      <c r="A186" s="2"/>
      <c r="B186" s="47" t="s">
        <v>113</v>
      </c>
      <c r="C186" s="7"/>
      <c r="D186" s="7"/>
      <c r="E186" s="7"/>
      <c r="F186" s="7"/>
      <c r="G186" s="7"/>
      <c r="H186" s="40">
        <f>IF(OR(H185="",C185=""),"n.a.",IFERROR(IF(C185&lt;=0,"n.m.",IF(H185/C185&lt;=0,"n.m.",H185/C185-1)),"n.a."))</f>
        <v>-0.7790368271954674</v>
      </c>
      <c r="I186" s="40">
        <f>IF(OR(I185="",D185=""),"n.a.",IFERROR(IF(D185&lt;=0,"n.m.",IF(I185/D185&lt;=0,"n.m.",I185/D185-1)),"n.a."))</f>
        <v>0.42253521126760574</v>
      </c>
      <c r="J186" s="45">
        <f>IF(OR(J185="",E185=""),"n.a.",IFERROR(IF(E185&lt;=0,"n.m.",IF(J185/E185&lt;=0,"n.m.",J185/E185-1)),"n.a."))</f>
        <v>0.35593220338983045</v>
      </c>
      <c r="K186" s="124"/>
    </row>
    <row r="187">
      <c r="A187" s="2"/>
      <c r="B187" s="47" t="s">
        <v>114</v>
      </c>
      <c r="C187" s="7"/>
      <c r="D187" s="40">
        <f>IF(OR(D185="",C185=""),"n.a.",IFERROR(IF(C185&lt;=0,"n.m.",IF(D185/C185&lt;=0,"n.m.",D185/C185-1)),"n.a."))</f>
        <v>-0.7988668555240793</v>
      </c>
      <c r="E187" s="40">
        <f>IF(OR(E185="",D185=""),"n.a.",IFERROR(IF(D185&lt;=0,"n.m.",IF(E185/D185&lt;=0,"n.m.",E185/D185-1)),"n.a."))</f>
        <v>-0.16901408450704225</v>
      </c>
      <c r="F187" s="40">
        <f>IF(OR(F185="",E185=""),"n.a.",IFERROR(IF(E185&lt;=0,"n.m.",IF(F185/E185&lt;=0,"n.m.",F185/E185-1)),"n.a."))</f>
        <v>0</v>
      </c>
      <c r="G187" s="7"/>
      <c r="H187" s="40">
        <f>IF(OR(H185="",F185=""),"n.a.",IFERROR(IF(F185&lt;=0,"n.m.",IF(H185/F185&lt;=0,"n.m.",H185/F185-1)),"n.a."))</f>
        <v>0.3220338983050848</v>
      </c>
      <c r="I187" s="40">
        <f>IF(OR(I185="",H185=""),"n.a.",IFERROR(IF(H185&lt;=0,"n.m.",IF(I185/H185&lt;=0,"n.m.",I185/H185-1)),"n.a."))</f>
        <v>0.29487179487179493</v>
      </c>
      <c r="J187" s="45">
        <f>IF(OR(J185="",I185=""),"n.a.",IFERROR(IF(I185&lt;=0,"n.m.",IF(J185/I185&lt;=0,"n.m.",J185/I185-1)),"n.a."))</f>
        <v>-0.20792079207920788</v>
      </c>
      <c r="K187" s="124"/>
    </row>
    <row r="188">
      <c r="A188" s="2"/>
      <c r="B188" s="47" t="s">
        <v>115</v>
      </c>
      <c r="C188" s="7"/>
      <c r="D188" s="7"/>
      <c r="E188" s="7"/>
      <c r="F188" s="7"/>
      <c r="G188" s="7"/>
      <c r="H188" s="40" t="s">
        <v>116</v>
      </c>
      <c r="I188" s="40" t="s">
        <v>116</v>
      </c>
      <c r="J188" s="45" t="s">
        <v>116</v>
      </c>
      <c r="K188" s="124"/>
    </row>
    <row r="189">
      <c r="A189" s="2"/>
      <c r="B189" s="47" t="s">
        <v>117</v>
      </c>
      <c r="C189" s="7"/>
      <c r="D189" s="7"/>
      <c r="E189" s="7"/>
      <c r="F189" s="7"/>
      <c r="G189" s="7"/>
      <c r="H189" s="40" t="s">
        <v>116</v>
      </c>
      <c r="I189" s="40" t="s">
        <v>116</v>
      </c>
      <c r="J189" s="45" t="s">
        <v>116</v>
      </c>
      <c r="K189" s="124"/>
    </row>
    <row r="190">
      <c r="A190" s="2"/>
      <c r="B190" s="47" t="s">
        <v>118</v>
      </c>
      <c r="C190" s="7"/>
      <c r="D190" s="7"/>
      <c r="E190" s="7"/>
      <c r="F190" s="7"/>
      <c r="G190" s="7"/>
      <c r="H190" s="40" t="s">
        <v>116</v>
      </c>
      <c r="I190" s="40" t="s">
        <v>116</v>
      </c>
      <c r="J190" s="45" t="s">
        <v>116</v>
      </c>
      <c r="K190" s="124"/>
    </row>
    <row r="191">
      <c r="A191" s="2"/>
      <c r="B191" s="47" t="s">
        <v>119</v>
      </c>
      <c r="C191" s="40">
        <f>IFERROR(C185/C248,"n.a.")</f>
        <v>0.05891188251001335</v>
      </c>
      <c r="D191" s="40">
        <f>IFERROR(D185/D248,"n.a.")</f>
        <v>0.012480224995605554</v>
      </c>
      <c r="E191" s="40">
        <f>IFERROR(E185/E248,"n.a.")</f>
        <v>0.009533042494748747</v>
      </c>
      <c r="F191" s="40">
        <f>IFERROR(F185/F248,"n.a.")</f>
        <v>0.009458159666559794</v>
      </c>
      <c r="G191" s="40">
        <f>IFERROR(G185/G248,"n.a.")</f>
        <v>0.022482163597146176</v>
      </c>
      <c r="H191" s="40">
        <f>IFERROR(H185/H248,"n.a.")</f>
        <v>0.012406553205026245</v>
      </c>
      <c r="I191" s="40">
        <f>IFERROR(I185/I248,"n.a.")</f>
        <v>0.016196279666452856</v>
      </c>
      <c r="J191" s="45">
        <f>IFERROR(J185/J248,"n.a.")</f>
        <v>0.0127077404341014</v>
      </c>
      <c r="K191" s="124"/>
    </row>
    <row r="192">
      <c r="A192" s="2"/>
      <c r="B192" s="18" t="s">
        <v>307</v>
      </c>
      <c r="C192" s="39">
        <f>C199+C206+C213</f>
        <v>2112</v>
      </c>
      <c r="D192" s="39">
        <f>D199+D206+D213</f>
        <v>2202</v>
      </c>
      <c r="E192" s="39">
        <f>E199+E206+E213</f>
        <v>2236</v>
      </c>
      <c r="F192" s="39">
        <f>F199+F206+F213</f>
        <v>2263</v>
      </c>
      <c r="G192" s="39">
        <f>G199+G206+G213</f>
        <v>8813</v>
      </c>
      <c r="H192" s="39">
        <f>H199+H206+H213</f>
        <v>2277</v>
      </c>
      <c r="I192" s="39">
        <f>I199+I206+I213</f>
        <v>2061</v>
      </c>
      <c r="J192" s="50">
        <f>(J183-J76-J185)*I192/(I192+I220)</f>
        <v>2150.944040164131</v>
      </c>
      <c r="K192" s="124"/>
    </row>
    <row r="193">
      <c r="A193" s="2"/>
      <c r="B193" s="47" t="s">
        <v>113</v>
      </c>
      <c r="C193" s="7"/>
      <c r="D193" s="7"/>
      <c r="E193" s="7"/>
      <c r="F193" s="7"/>
      <c r="G193" s="7"/>
      <c r="H193" s="40">
        <f>IF(OR(H192="",C192=""),"n.a.",IFERROR(IF(C192&lt;=0,"n.m.",IF(H192/C192&lt;=0,"n.m.",H192/C192-1)),"n.a."))</f>
        <v>0.078125</v>
      </c>
      <c r="I193" s="40">
        <f>IF(OR(I192="",D192=""),"n.a.",IFERROR(IF(D192&lt;=0,"n.m.",IF(I192/D192&lt;=0,"n.m.",I192/D192-1)),"n.a."))</f>
        <v>-0.06403269754768393</v>
      </c>
      <c r="J193" s="45">
        <f>IF(OR(J192="",E192=""),"n.a.",IFERROR(IF(E192&lt;=0,"n.m.",IF(J192/E192&lt;=0,"n.m.",J192/E192-1)),"n.a."))</f>
        <v>-0.038039338030352865</v>
      </c>
      <c r="K193" s="124"/>
    </row>
    <row r="194">
      <c r="A194" s="2"/>
      <c r="B194" s="47" t="s">
        <v>114</v>
      </c>
      <c r="C194" s="7"/>
      <c r="D194" s="40">
        <f>IF(OR(D192="",C192=""),"n.a.",IFERROR(IF(C192&lt;=0,"n.m.",IF(D192/C192&lt;=0,"n.m.",D192/C192-1)),"n.a."))</f>
        <v>0.042613636363636465</v>
      </c>
      <c r="E194" s="40">
        <f>IF(OR(E192="",D192=""),"n.a.",IFERROR(IF(D192&lt;=0,"n.m.",IF(E192/D192&lt;=0,"n.m.",E192/D192-1)),"n.a."))</f>
        <v>0.015440508628519423</v>
      </c>
      <c r="F194" s="40">
        <f>IF(OR(F192="",E192=""),"n.a.",IFERROR(IF(E192&lt;=0,"n.m.",IF(F192/E192&lt;=0,"n.m.",F192/E192-1)),"n.a."))</f>
        <v>0.01207513416815753</v>
      </c>
      <c r="G194" s="7"/>
      <c r="H194" s="40">
        <f>IF(OR(H192="",F192=""),"n.a.",IFERROR(IF(F192&lt;=0,"n.m.",IF(H192/F192&lt;=0,"n.m.",H192/F192-1)),"n.a."))</f>
        <v>0.0061864781263809565</v>
      </c>
      <c r="I194" s="40">
        <f>IF(OR(I192="",H192=""),"n.a.",IFERROR(IF(H192&lt;=0,"n.m.",IF(I192/H192&lt;=0,"n.m.",I192/H192-1)),"n.a."))</f>
        <v>-0.09486166007905139</v>
      </c>
      <c r="J194" s="45">
        <f>IF(OR(J192="",I192=""),"n.a.",IFERROR(IF(I192&lt;=0,"n.m.",IF(J192/I192&lt;=0,"n.m.",J192/I192-1)),"n.a."))</f>
        <v>0.043640970482353714</v>
      </c>
      <c r="K194" s="124"/>
    </row>
    <row r="195">
      <c r="A195" s="2"/>
      <c r="B195" s="47" t="s">
        <v>115</v>
      </c>
      <c r="C195" s="7"/>
      <c r="D195" s="7"/>
      <c r="E195" s="7"/>
      <c r="F195" s="7"/>
      <c r="G195" s="7"/>
      <c r="H195" s="40" t="s">
        <v>116</v>
      </c>
      <c r="I195" s="40" t="s">
        <v>116</v>
      </c>
      <c r="J195" s="45" t="s">
        <v>116</v>
      </c>
      <c r="K195" s="124"/>
    </row>
    <row r="196">
      <c r="A196" s="2"/>
      <c r="B196" s="47" t="s">
        <v>117</v>
      </c>
      <c r="C196" s="7"/>
      <c r="D196" s="7"/>
      <c r="E196" s="7"/>
      <c r="F196" s="7"/>
      <c r="G196" s="7"/>
      <c r="H196" s="40" t="s">
        <v>116</v>
      </c>
      <c r="I196" s="40" t="s">
        <v>116</v>
      </c>
      <c r="J196" s="45" t="s">
        <v>116</v>
      </c>
      <c r="K196" s="124"/>
    </row>
    <row r="197">
      <c r="A197" s="2"/>
      <c r="B197" s="47" t="s">
        <v>118</v>
      </c>
      <c r="C197" s="7"/>
      <c r="D197" s="7"/>
      <c r="E197" s="7"/>
      <c r="F197" s="7"/>
      <c r="G197" s="7"/>
      <c r="H197" s="40" t="s">
        <v>116</v>
      </c>
      <c r="I197" s="40" t="s">
        <v>116</v>
      </c>
      <c r="J197" s="45" t="s">
        <v>116</v>
      </c>
      <c r="K197" s="124"/>
    </row>
    <row r="198">
      <c r="A198" s="2"/>
      <c r="B198" s="47" t="s">
        <v>119</v>
      </c>
      <c r="C198" s="40">
        <f>IFERROR(C192/C248,"n.a.")</f>
        <v>0.35246995994659547</v>
      </c>
      <c r="D198" s="40">
        <f>IFERROR(D192/D248,"n.a.")</f>
        <v>0.3870627526806117</v>
      </c>
      <c r="E198" s="40">
        <f>IFERROR(E192/E248,"n.a.")</f>
        <v>0.3612861528518339</v>
      </c>
      <c r="F198" s="40">
        <f>IFERROR(F192/F248,"n.a.")</f>
        <v>0.36277653093940365</v>
      </c>
      <c r="G198" s="40">
        <f>IFERROR(G192/G248,"n.a.")</f>
        <v>0.36556329849012775</v>
      </c>
      <c r="H198" s="40">
        <f>IFERROR(H192/H248,"n.a.")</f>
        <v>0.3621759185621123</v>
      </c>
      <c r="I198" s="40">
        <f>IFERROR(I192/I248,"n.a.")</f>
        <v>0.33050032071840924</v>
      </c>
      <c r="J198" s="45">
        <f>IFERROR(J192/J248,"n.a.")</f>
        <v>0.3416704818835394</v>
      </c>
      <c r="K198" s="124"/>
    </row>
    <row r="199">
      <c r="A199" s="2"/>
      <c r="B199" s="3" t="s">
        <v>308</v>
      </c>
      <c r="C199" s="37">
        <v>949</v>
      </c>
      <c r="D199" s="37">
        <v>1006</v>
      </c>
      <c r="E199" s="37">
        <v>1045</v>
      </c>
      <c r="F199" s="37">
        <v>1031</v>
      </c>
      <c r="G199" s="43">
        <f>SUM(C199:F199)</f>
        <v>4031</v>
      </c>
      <c r="H199" s="37">
        <v>1092</v>
      </c>
      <c r="I199" s="37">
        <v>893</v>
      </c>
      <c r="J199" s="38">
        <f>J192*I199/I192</f>
        <v>931.9713866407418</v>
      </c>
      <c r="K199" s="125" t="s">
        <v>127</v>
      </c>
    </row>
    <row r="200">
      <c r="A200" s="2"/>
      <c r="B200" s="47" t="s">
        <v>113</v>
      </c>
      <c r="C200" s="7"/>
      <c r="D200" s="7"/>
      <c r="E200" s="7"/>
      <c r="F200" s="7"/>
      <c r="G200" s="7"/>
      <c r="H200" s="40">
        <f>IF(OR(H199="",C199=""),"n.a.",IFERROR(IF(C199&lt;=0,"n.m.",IF(H199/C199&lt;=0,"n.m.",H199/C199-1)),"n.a."))</f>
        <v>0.15068493150684925</v>
      </c>
      <c r="I200" s="40">
        <f>IF(OR(I199="",D199=""),"n.a.",IFERROR(IF(D199&lt;=0,"n.m.",IF(I199/D199&lt;=0,"n.m.",I199/D199-1)),"n.a."))</f>
        <v>-0.1123260437375746</v>
      </c>
      <c r="J200" s="45">
        <f>IF(OR(J199="",E199=""),"n.a.",IFERROR(IF(E199&lt;=0,"n.m.",IF(J199/E199&lt;=0,"n.m.",J199/E199-1)),"n.a."))</f>
        <v>-0.10816135249689784</v>
      </c>
      <c r="K200" s="124"/>
    </row>
    <row r="201">
      <c r="A201" s="2"/>
      <c r="B201" s="47" t="s">
        <v>114</v>
      </c>
      <c r="C201" s="7"/>
      <c r="D201" s="40">
        <f>IF(OR(D199="",C199=""),"n.a.",IFERROR(IF(C199&lt;=0,"n.m.",IF(D199/C199&lt;=0,"n.m.",D199/C199-1)),"n.a."))</f>
        <v>0.06006322444678602</v>
      </c>
      <c r="E201" s="40">
        <f>IF(OR(E199="",D199=""),"n.a.",IFERROR(IF(D199&lt;=0,"n.m.",IF(E199/D199&lt;=0,"n.m.",E199/D199-1)),"n.a."))</f>
        <v>0.03876739562624265</v>
      </c>
      <c r="F201" s="40">
        <f>IF(OR(F199="",E199=""),"n.a.",IFERROR(IF(E199&lt;=0,"n.m.",IF(F199/E199&lt;=0,"n.m.",F199/E199-1)),"n.a."))</f>
        <v>-0.013397129186602852</v>
      </c>
      <c r="G201" s="7"/>
      <c r="H201" s="40">
        <f>IF(OR(H199="",F199=""),"n.a.",IFERROR(IF(F199&lt;=0,"n.m.",IF(H199/F199&lt;=0,"n.m.",H199/F199-1)),"n.a."))</f>
        <v>0.05916585838991262</v>
      </c>
      <c r="I201" s="40">
        <f>IF(OR(I199="",H199=""),"n.a.",IFERROR(IF(H199&lt;=0,"n.m.",IF(I199/H199&lt;=0,"n.m.",I199/H199-1)),"n.a."))</f>
        <v>-0.18223443223443225</v>
      </c>
      <c r="J201" s="45">
        <f>IF(OR(J199="",I199=""),"n.a.",IFERROR(IF(I199&lt;=0,"n.m.",IF(J199/I199&lt;=0,"n.m.",J199/I199-1)),"n.a."))</f>
        <v>0.043640970482353714</v>
      </c>
      <c r="K201" s="124"/>
    </row>
    <row r="202">
      <c r="A202" s="2"/>
      <c r="B202" s="47" t="s">
        <v>115</v>
      </c>
      <c r="C202" s="7"/>
      <c r="D202" s="7"/>
      <c r="E202" s="7"/>
      <c r="F202" s="7"/>
      <c r="G202" s="7"/>
      <c r="H202" s="40" t="s">
        <v>116</v>
      </c>
      <c r="I202" s="40" t="s">
        <v>116</v>
      </c>
      <c r="J202" s="45" t="s">
        <v>116</v>
      </c>
      <c r="K202" s="124"/>
    </row>
    <row r="203">
      <c r="A203" s="2"/>
      <c r="B203" s="47" t="s">
        <v>117</v>
      </c>
      <c r="C203" s="7"/>
      <c r="D203" s="7"/>
      <c r="E203" s="7"/>
      <c r="F203" s="7"/>
      <c r="G203" s="7"/>
      <c r="H203" s="40" t="s">
        <v>116</v>
      </c>
      <c r="I203" s="40" t="s">
        <v>116</v>
      </c>
      <c r="J203" s="45" t="s">
        <v>116</v>
      </c>
      <c r="K203" s="124"/>
    </row>
    <row r="204">
      <c r="A204" s="2"/>
      <c r="B204" s="47" t="s">
        <v>118</v>
      </c>
      <c r="C204" s="7"/>
      <c r="D204" s="7"/>
      <c r="E204" s="7"/>
      <c r="F204" s="7"/>
      <c r="G204" s="7"/>
      <c r="H204" s="40" t="s">
        <v>116</v>
      </c>
      <c r="I204" s="40" t="s">
        <v>116</v>
      </c>
      <c r="J204" s="45" t="s">
        <v>116</v>
      </c>
      <c r="K204" s="124"/>
    </row>
    <row r="205">
      <c r="A205" s="2"/>
      <c r="B205" s="47" t="s">
        <v>119</v>
      </c>
      <c r="C205" s="40">
        <f>IFERROR(C199/C248,"n.a.")</f>
        <v>0.15837783711615488</v>
      </c>
      <c r="D205" s="40">
        <f>IFERROR(D199/D248,"n.a.")</f>
        <v>0.17683248374055194</v>
      </c>
      <c r="E205" s="40">
        <f>IFERROR(E199/E248,"n.a.")</f>
        <v>0.16884795605105832</v>
      </c>
      <c r="F205" s="40">
        <f>IFERROR(F199/F248,"n.a.")</f>
        <v>0.16527733247835844</v>
      </c>
      <c r="G205" s="40">
        <f>IFERROR(G199/G248,"n.a.")</f>
        <v>0.16720590675294508</v>
      </c>
      <c r="H205" s="40">
        <f>IFERROR(H199/H248,"n.a.")</f>
        <v>0.17369174487036743</v>
      </c>
      <c r="I205" s="40">
        <f>IFERROR(I199/I248,"n.a.")</f>
        <v>0.14320076972418216</v>
      </c>
      <c r="J205" s="45">
        <f>IFERROR(J199/J248,"n.a.")</f>
        <v>0.1480406309180013</v>
      </c>
      <c r="K205" s="124"/>
    </row>
    <row r="206">
      <c r="A206" s="2"/>
      <c r="B206" s="3" t="s">
        <v>309</v>
      </c>
      <c r="C206" s="37">
        <v>1109</v>
      </c>
      <c r="D206" s="37">
        <v>1141</v>
      </c>
      <c r="E206" s="37">
        <v>1135</v>
      </c>
      <c r="F206" s="37">
        <v>1181</v>
      </c>
      <c r="G206" s="43">
        <f>SUM(C206:F206)</f>
        <v>4566</v>
      </c>
      <c r="H206" s="37">
        <v>1137</v>
      </c>
      <c r="I206" s="37">
        <v>1118</v>
      </c>
      <c r="J206" s="38">
        <f>J192*I206/I192</f>
        <v>1166.7906049992712</v>
      </c>
      <c r="K206" s="125" t="s">
        <v>127</v>
      </c>
    </row>
    <row r="207">
      <c r="A207" s="2"/>
      <c r="B207" s="47" t="s">
        <v>113</v>
      </c>
      <c r="C207" s="7"/>
      <c r="D207" s="7"/>
      <c r="E207" s="7"/>
      <c r="F207" s="7"/>
      <c r="G207" s="7"/>
      <c r="H207" s="40">
        <f>IF(OR(H206="",C206=""),"n.a.",IFERROR(IF(C206&lt;=0,"n.m.",IF(H206/C206&lt;=0,"n.m.",H206/C206-1)),"n.a."))</f>
        <v>0.02524797114517585</v>
      </c>
      <c r="I207" s="40">
        <f>IF(OR(I206="",D206=""),"n.a.",IFERROR(IF(D206&lt;=0,"n.m.",IF(I206/D206&lt;=0,"n.m.",I206/D206-1)),"n.a."))</f>
        <v>-0.02015775635407535</v>
      </c>
      <c r="J207" s="45">
        <f>IF(OR(J206="",E206=""),"n.a.",IFERROR(IF(E206&lt;=0,"n.m.",IF(J206/E206&lt;=0,"n.m.",J206/E206-1)),"n.a."))</f>
        <v>0.028009343611692605</v>
      </c>
      <c r="K207" s="124"/>
    </row>
    <row r="208">
      <c r="A208" s="2"/>
      <c r="B208" s="47" t="s">
        <v>114</v>
      </c>
      <c r="C208" s="7"/>
      <c r="D208" s="40">
        <f>IF(OR(D206="",C206=""),"n.a.",IFERROR(IF(C206&lt;=0,"n.m.",IF(D206/C206&lt;=0,"n.m.",D206/C206-1)),"n.a."))</f>
        <v>0.028854824165915227</v>
      </c>
      <c r="E208" s="40">
        <f>IF(OR(E206="",D206=""),"n.a.",IFERROR(IF(D206&lt;=0,"n.m.",IF(E206/D206&lt;=0,"n.m.",E206/D206-1)),"n.a."))</f>
        <v>-0.005258545135845782</v>
      </c>
      <c r="F208" s="40">
        <f>IF(OR(F206="",E206=""),"n.a.",IFERROR(IF(E206&lt;=0,"n.m.",IF(F206/E206&lt;=0,"n.m.",F206/E206-1)),"n.a."))</f>
        <v>0.04052863436123344</v>
      </c>
      <c r="G208" s="7"/>
      <c r="H208" s="40">
        <f>IF(OR(H206="",F206=""),"n.a.",IFERROR(IF(F206&lt;=0,"n.m.",IF(H206/F206&lt;=0,"n.m.",H206/F206-1)),"n.a."))</f>
        <v>-0.03725656223539375</v>
      </c>
      <c r="I208" s="40">
        <f>IF(OR(I206="",H206=""),"n.a.",IFERROR(IF(H206&lt;=0,"n.m.",IF(I206/H206&lt;=0,"n.m.",I206/H206-1)),"n.a."))</f>
        <v>-0.016710642040457357</v>
      </c>
      <c r="J208" s="45">
        <f>IF(OR(J206="",I206=""),"n.a.",IFERROR(IF(I206&lt;=0,"n.m.",IF(J206/I206&lt;=0,"n.m.",J206/I206-1)),"n.a."))</f>
        <v>0.04364097048235349</v>
      </c>
      <c r="K208" s="124"/>
    </row>
    <row r="209">
      <c r="A209" s="2"/>
      <c r="B209" s="47" t="s">
        <v>115</v>
      </c>
      <c r="C209" s="7"/>
      <c r="D209" s="7"/>
      <c r="E209" s="7"/>
      <c r="F209" s="7"/>
      <c r="G209" s="7"/>
      <c r="H209" s="40" t="s">
        <v>116</v>
      </c>
      <c r="I209" s="40" t="s">
        <v>116</v>
      </c>
      <c r="J209" s="45" t="s">
        <v>116</v>
      </c>
      <c r="K209" s="124"/>
    </row>
    <row r="210">
      <c r="A210" s="2"/>
      <c r="B210" s="47" t="s">
        <v>117</v>
      </c>
      <c r="C210" s="7"/>
      <c r="D210" s="7"/>
      <c r="E210" s="7"/>
      <c r="F210" s="7"/>
      <c r="G210" s="7"/>
      <c r="H210" s="40" t="s">
        <v>116</v>
      </c>
      <c r="I210" s="40" t="s">
        <v>116</v>
      </c>
      <c r="J210" s="45" t="s">
        <v>116</v>
      </c>
      <c r="K210" s="124"/>
    </row>
    <row r="211">
      <c r="A211" s="2"/>
      <c r="B211" s="47" t="s">
        <v>118</v>
      </c>
      <c r="C211" s="7"/>
      <c r="D211" s="7"/>
      <c r="E211" s="7"/>
      <c r="F211" s="7"/>
      <c r="G211" s="7"/>
      <c r="H211" s="40" t="s">
        <v>116</v>
      </c>
      <c r="I211" s="40" t="s">
        <v>116</v>
      </c>
      <c r="J211" s="45" t="s">
        <v>116</v>
      </c>
      <c r="K211" s="124"/>
    </row>
    <row r="212">
      <c r="A212" s="2"/>
      <c r="B212" s="47" t="s">
        <v>119</v>
      </c>
      <c r="C212" s="40">
        <f>IFERROR(C206/C248,"n.a.")</f>
        <v>0.18508010680907877</v>
      </c>
      <c r="D212" s="40">
        <f>IFERROR(D206/D248,"n.a.")</f>
        <v>0.20056248901388646</v>
      </c>
      <c r="E212" s="40">
        <f>IFERROR(E206/E248,"n.a.")</f>
        <v>0.1833898852803361</v>
      </c>
      <c r="F212" s="40">
        <f>IFERROR(F206/F248,"n.a.")</f>
        <v>0.18932350112215454</v>
      </c>
      <c r="G212" s="40">
        <f>IFERROR(G206/G248,"n.a.")</f>
        <v>0.18939771030363364</v>
      </c>
      <c r="H212" s="40">
        <f>IFERROR(H206/H248,"n.a.")</f>
        <v>0.18084937171942103</v>
      </c>
      <c r="I212" s="40">
        <f>IFERROR(I206/I248,"n.a.")</f>
        <v>0.17928159076330982</v>
      </c>
      <c r="J212" s="45">
        <f>IFERROR(J206/J248,"n.a.")</f>
        <v>0.18534090186598592</v>
      </c>
      <c r="K212" s="124"/>
    </row>
    <row r="213">
      <c r="A213" s="2"/>
      <c r="B213" s="3" t="s">
        <v>310</v>
      </c>
      <c r="C213" s="37">
        <v>54</v>
      </c>
      <c r="D213" s="37">
        <v>55</v>
      </c>
      <c r="E213" s="37">
        <v>56</v>
      </c>
      <c r="F213" s="37">
        <v>51</v>
      </c>
      <c r="G213" s="43">
        <f>SUM(C213:F213)</f>
        <v>216</v>
      </c>
      <c r="H213" s="37">
        <v>48</v>
      </c>
      <c r="I213" s="37">
        <v>50</v>
      </c>
      <c r="J213" s="38">
        <f>J192*I213/I192</f>
        <v>52.18204852411768</v>
      </c>
      <c r="K213" s="125" t="s">
        <v>127</v>
      </c>
    </row>
    <row r="214">
      <c r="A214" s="2"/>
      <c r="B214" s="47" t="s">
        <v>113</v>
      </c>
      <c r="C214" s="7"/>
      <c r="D214" s="7"/>
      <c r="E214" s="7"/>
      <c r="F214" s="7"/>
      <c r="G214" s="7"/>
      <c r="H214" s="40">
        <f>IF(OR(H213="",C213=""),"n.a.",IFERROR(IF(C213&lt;=0,"n.m.",IF(H213/C213&lt;=0,"n.m.",H213/C213-1)),"n.a."))</f>
        <v>-0.11111111111111116</v>
      </c>
      <c r="I214" s="40">
        <f>IF(OR(I213="",D213=""),"n.a.",IFERROR(IF(D213&lt;=0,"n.m.",IF(I213/D213&lt;=0,"n.m.",I213/D213-1)),"n.a."))</f>
        <v>-0.09090909090909094</v>
      </c>
      <c r="J214" s="45">
        <f>IF(OR(J213="",E213=""),"n.a.",IFERROR(IF(E213&lt;=0,"n.m.",IF(J213/E213&lt;=0,"n.m.",J213/E213-1)),"n.a."))</f>
        <v>-0.0681777049264699</v>
      </c>
      <c r="K214" s="124"/>
    </row>
    <row r="215">
      <c r="A215" s="2"/>
      <c r="B215" s="47" t="s">
        <v>114</v>
      </c>
      <c r="C215" s="7"/>
      <c r="D215" s="40">
        <f>IF(OR(D213="",C213=""),"n.a.",IFERROR(IF(C213&lt;=0,"n.m.",IF(D213/C213&lt;=0,"n.m.",D213/C213-1)),"n.a."))</f>
        <v>0.0185185185185186</v>
      </c>
      <c r="E215" s="40">
        <f>IF(OR(E213="",D213=""),"n.a.",IFERROR(IF(D213&lt;=0,"n.m.",IF(E213/D213&lt;=0,"n.m.",E213/D213-1)),"n.a."))</f>
        <v>0.018181818181818077</v>
      </c>
      <c r="F215" s="40">
        <f>IF(OR(F213="",E213=""),"n.a.",IFERROR(IF(E213&lt;=0,"n.m.",IF(F213/E213&lt;=0,"n.m.",F213/E213-1)),"n.a."))</f>
        <v>-0.0892857142857143</v>
      </c>
      <c r="G215" s="7"/>
      <c r="H215" s="40">
        <f>IF(OR(H213="",F213=""),"n.a.",IFERROR(IF(F213&lt;=0,"n.m.",IF(H213/F213&lt;=0,"n.m.",H213/F213-1)),"n.a."))</f>
        <v>-0.05882352941176472</v>
      </c>
      <c r="I215" s="40">
        <f>IF(OR(I213="",H213=""),"n.a.",IFERROR(IF(H213&lt;=0,"n.m.",IF(I213/H213&lt;=0,"n.m.",I213/H213-1)),"n.a."))</f>
        <v>0.04166666666666674</v>
      </c>
      <c r="J215" s="45">
        <f>IF(OR(J213="",I213=""),"n.a.",IFERROR(IF(I213&lt;=0,"n.m.",IF(J213/I213&lt;=0,"n.m.",J213/I213-1)),"n.a."))</f>
        <v>0.043640970482353714</v>
      </c>
      <c r="K215" s="124"/>
    </row>
    <row r="216">
      <c r="A216" s="2"/>
      <c r="B216" s="47" t="s">
        <v>115</v>
      </c>
      <c r="C216" s="7"/>
      <c r="D216" s="7"/>
      <c r="E216" s="7"/>
      <c r="F216" s="7"/>
      <c r="G216" s="7"/>
      <c r="H216" s="40" t="s">
        <v>116</v>
      </c>
      <c r="I216" s="40" t="s">
        <v>116</v>
      </c>
      <c r="J216" s="45" t="s">
        <v>116</v>
      </c>
      <c r="K216" s="124"/>
    </row>
    <row r="217">
      <c r="A217" s="2"/>
      <c r="B217" s="47" t="s">
        <v>117</v>
      </c>
      <c r="C217" s="7"/>
      <c r="D217" s="7"/>
      <c r="E217" s="7"/>
      <c r="F217" s="7"/>
      <c r="G217" s="7"/>
      <c r="H217" s="40" t="s">
        <v>116</v>
      </c>
      <c r="I217" s="40" t="s">
        <v>116</v>
      </c>
      <c r="J217" s="45" t="s">
        <v>116</v>
      </c>
      <c r="K217" s="124"/>
    </row>
    <row r="218">
      <c r="A218" s="2"/>
      <c r="B218" s="47" t="s">
        <v>118</v>
      </c>
      <c r="C218" s="7"/>
      <c r="D218" s="7"/>
      <c r="E218" s="7"/>
      <c r="F218" s="7"/>
      <c r="G218" s="7"/>
      <c r="H218" s="40" t="s">
        <v>116</v>
      </c>
      <c r="I218" s="40" t="s">
        <v>116</v>
      </c>
      <c r="J218" s="45" t="s">
        <v>116</v>
      </c>
      <c r="K218" s="124"/>
    </row>
    <row r="219">
      <c r="A219" s="2"/>
      <c r="B219" s="47" t="s">
        <v>119</v>
      </c>
      <c r="C219" s="40">
        <f>IFERROR(C213/C248,"n.a.")</f>
        <v>0.009012016021361816</v>
      </c>
      <c r="D219" s="40">
        <f>IFERROR(D213/D248,"n.a.")</f>
        <v>0.009667779926173316</v>
      </c>
      <c r="E219" s="40">
        <f>IFERROR(E213/E248,"n.a.")</f>
        <v>0.00904831152043949</v>
      </c>
      <c r="F219" s="40">
        <f>IFERROR(F213/F248,"n.a.")</f>
        <v>0.00817569733889067</v>
      </c>
      <c r="G219" s="40">
        <f>IFERROR(G213/G248,"n.a.")</f>
        <v>0.008959681433549029</v>
      </c>
      <c r="H219" s="40">
        <f>IFERROR(H213/H248,"n.a.")</f>
        <v>0.007634801972323843</v>
      </c>
      <c r="I219" s="40">
        <f>IFERROR(I213/I248,"n.a.")</f>
        <v>0.008017960230917255</v>
      </c>
      <c r="J219" s="45">
        <f>IFERROR(J213/J248,"n.a.")</f>
        <v>0.008288949099552145</v>
      </c>
      <c r="K219" s="124"/>
    </row>
    <row r="220">
      <c r="A220" s="2"/>
      <c r="B220" s="18" t="s">
        <v>311</v>
      </c>
      <c r="C220" s="39">
        <f>C227+C234+C241</f>
        <v>2680</v>
      </c>
      <c r="D220" s="39">
        <f>D227+D234+D241</f>
        <v>2649</v>
      </c>
      <c r="E220" s="39">
        <f>E227+E234+E241</f>
        <v>2739</v>
      </c>
      <c r="F220" s="39">
        <f>F227+F234+F241</f>
        <v>2943</v>
      </c>
      <c r="G220" s="39">
        <f>G227+G234+G241</f>
        <v>11011</v>
      </c>
      <c r="H220" s="39">
        <f>H227+H234+H241</f>
        <v>2885</v>
      </c>
      <c r="I220" s="39">
        <f>I227+I234+I241</f>
        <v>2920</v>
      </c>
      <c r="J220" s="50">
        <f>J183-J76-J185-J192</f>
        <v>3047.4316338084723</v>
      </c>
      <c r="K220" s="124"/>
    </row>
    <row r="221">
      <c r="A221" s="2"/>
      <c r="B221" s="47" t="s">
        <v>113</v>
      </c>
      <c r="C221" s="7"/>
      <c r="D221" s="7"/>
      <c r="E221" s="7"/>
      <c r="F221" s="7"/>
      <c r="G221" s="7"/>
      <c r="H221" s="40">
        <f>IF(OR(H220="",C220=""),"n.a.",IFERROR(IF(C220&lt;=0,"n.m.",IF(H220/C220&lt;=0,"n.m.",H220/C220-1)),"n.a."))</f>
        <v>0.07649253731343286</v>
      </c>
      <c r="I221" s="40">
        <f>IF(OR(I220="",D220=""),"n.a.",IFERROR(IF(D220&lt;=0,"n.m.",IF(I220/D220&lt;=0,"n.m.",I220/D220-1)),"n.a."))</f>
        <v>0.10230275575688941</v>
      </c>
      <c r="J221" s="45">
        <f>IF(OR(J220="",E220=""),"n.a.",IFERROR(IF(E220&lt;=0,"n.m.",IF(J220/E220&lt;=0,"n.m.",J220/E220-1)),"n.a."))</f>
        <v>0.11260738729772624</v>
      </c>
      <c r="K221" s="124"/>
    </row>
    <row r="222">
      <c r="A222" s="2"/>
      <c r="B222" s="47" t="s">
        <v>114</v>
      </c>
      <c r="C222" s="7"/>
      <c r="D222" s="40">
        <f>IF(OR(D220="",C220=""),"n.a.",IFERROR(IF(C220&lt;=0,"n.m.",IF(D220/C220&lt;=0,"n.m.",D220/C220-1)),"n.a."))</f>
        <v>-0.011567164179104528</v>
      </c>
      <c r="E222" s="40">
        <f>IF(OR(E220="",D220=""),"n.a.",IFERROR(IF(D220&lt;=0,"n.m.",IF(E220/D220&lt;=0,"n.m.",E220/D220-1)),"n.a."))</f>
        <v>0.033975084937712285</v>
      </c>
      <c r="F222" s="40">
        <f>IF(OR(F220="",E220=""),"n.a.",IFERROR(IF(E220&lt;=0,"n.m.",IF(F220/E220&lt;=0,"n.m.",F220/E220-1)),"n.a."))</f>
        <v>0.07447973713033962</v>
      </c>
      <c r="G222" s="7"/>
      <c r="H222" s="40">
        <f>IF(OR(H220="",F220=""),"n.a.",IFERROR(IF(F220&lt;=0,"n.m.",IF(H220/F220&lt;=0,"n.m.",H220/F220-1)),"n.a."))</f>
        <v>-0.01970778117567107</v>
      </c>
      <c r="I222" s="40">
        <f>IF(OR(I220="",H220=""),"n.a.",IFERROR(IF(H220&lt;=0,"n.m.",IF(I220/H220&lt;=0,"n.m.",I220/H220-1)),"n.a."))</f>
        <v>0.0121317157712304</v>
      </c>
      <c r="J222" s="45">
        <f>IF(OR(J220="",I220=""),"n.a.",IFERROR(IF(I220&lt;=0,"n.m.",IF(J220/I220&lt;=0,"n.m.",J220/I220-1)),"n.a."))</f>
        <v>0.04364097048235349</v>
      </c>
      <c r="K222" s="124"/>
    </row>
    <row r="223">
      <c r="A223" s="2"/>
      <c r="B223" s="47" t="s">
        <v>115</v>
      </c>
      <c r="C223" s="7"/>
      <c r="D223" s="7"/>
      <c r="E223" s="7"/>
      <c r="F223" s="7"/>
      <c r="G223" s="7"/>
      <c r="H223" s="40" t="s">
        <v>116</v>
      </c>
      <c r="I223" s="40" t="s">
        <v>116</v>
      </c>
      <c r="J223" s="45" t="s">
        <v>116</v>
      </c>
      <c r="K223" s="124"/>
    </row>
    <row r="224">
      <c r="A224" s="2"/>
      <c r="B224" s="47" t="s">
        <v>117</v>
      </c>
      <c r="C224" s="7"/>
      <c r="D224" s="7"/>
      <c r="E224" s="7"/>
      <c r="F224" s="7"/>
      <c r="G224" s="7"/>
      <c r="H224" s="40" t="s">
        <v>116</v>
      </c>
      <c r="I224" s="40" t="s">
        <v>116</v>
      </c>
      <c r="J224" s="45" t="s">
        <v>116</v>
      </c>
      <c r="K224" s="124"/>
    </row>
    <row r="225">
      <c r="A225" s="2"/>
      <c r="B225" s="47" t="s">
        <v>118</v>
      </c>
      <c r="C225" s="7"/>
      <c r="D225" s="7"/>
      <c r="E225" s="7"/>
      <c r="F225" s="7"/>
      <c r="G225" s="7"/>
      <c r="H225" s="40" t="s">
        <v>116</v>
      </c>
      <c r="I225" s="40" t="s">
        <v>116</v>
      </c>
      <c r="J225" s="45" t="s">
        <v>116</v>
      </c>
      <c r="K225" s="124"/>
    </row>
    <row r="226">
      <c r="A226" s="2"/>
      <c r="B226" s="47" t="s">
        <v>119</v>
      </c>
      <c r="C226" s="40">
        <f>IFERROR(C220/C248,"n.a.")</f>
        <v>0.4472630173564753</v>
      </c>
      <c r="D226" s="40">
        <f>IFERROR(D220/D248,"n.a.")</f>
        <v>0.46563543680787484</v>
      </c>
      <c r="E226" s="40">
        <f>IFERROR(E220/E248,"n.a.")</f>
        <v>0.44255937954435287</v>
      </c>
      <c r="F226" s="40">
        <f>IFERROR(F220/F248,"n.a.")</f>
        <v>0.4717858287912793</v>
      </c>
      <c r="G226" s="40">
        <f>IFERROR(G220/G248,"n.a.")</f>
        <v>0.4567363530778165</v>
      </c>
      <c r="H226" s="40">
        <f>IFERROR(H220/H248,"n.a.")</f>
        <v>0.45888341021154766</v>
      </c>
      <c r="I226" s="40">
        <f>IFERROR(I220/I248,"n.a.")</f>
        <v>0.46824887748556765</v>
      </c>
      <c r="J226" s="45">
        <f>IFERROR(J220/J248,"n.a.")</f>
        <v>0.48407462741384516</v>
      </c>
      <c r="K226" s="124"/>
    </row>
    <row r="227">
      <c r="A227" s="2"/>
      <c r="B227" s="3" t="s">
        <v>312</v>
      </c>
      <c r="C227" s="37">
        <v>1288</v>
      </c>
      <c r="D227" s="37">
        <v>1270</v>
      </c>
      <c r="E227" s="37">
        <v>1326</v>
      </c>
      <c r="F227" s="37">
        <v>1415</v>
      </c>
      <c r="G227" s="43">
        <f>SUM(C227:F227)</f>
        <v>5299</v>
      </c>
      <c r="H227" s="37">
        <v>1406</v>
      </c>
      <c r="I227" s="37">
        <v>1399</v>
      </c>
      <c r="J227" s="38">
        <f>J220*I227/I220</f>
        <v>1460.0537177048127</v>
      </c>
      <c r="K227" s="125" t="s">
        <v>127</v>
      </c>
    </row>
    <row r="228">
      <c r="A228" s="2"/>
      <c r="B228" s="47" t="s">
        <v>113</v>
      </c>
      <c r="C228" s="7"/>
      <c r="D228" s="7"/>
      <c r="E228" s="7"/>
      <c r="F228" s="7"/>
      <c r="G228" s="7"/>
      <c r="H228" s="40">
        <f>IF(OR(H227="",C227=""),"n.a.",IFERROR(IF(C227&lt;=0,"n.m.",IF(H227/C227&lt;=0,"n.m.",H227/C227-1)),"n.a."))</f>
        <v>0.09161490683229823</v>
      </c>
      <c r="I228" s="40">
        <f>IF(OR(I227="",D227=""),"n.a.",IFERROR(IF(D227&lt;=0,"n.m.",IF(I227/D227&lt;=0,"n.m.",I227/D227-1)),"n.a."))</f>
        <v>0.10157480314960621</v>
      </c>
      <c r="J228" s="45">
        <f>IF(OR(J227="",E227=""),"n.a.",IFERROR(IF(E227&lt;=0,"n.m.",IF(J227/E227&lt;=0,"n.m.",J227/E227-1)),"n.a."))</f>
        <v>0.1010963180277622</v>
      </c>
      <c r="K228" s="124"/>
    </row>
    <row r="229">
      <c r="A229" s="2"/>
      <c r="B229" s="47" t="s">
        <v>114</v>
      </c>
      <c r="C229" s="7"/>
      <c r="D229" s="40">
        <f>IF(OR(D227="",C227=""),"n.a.",IFERROR(IF(C227&lt;=0,"n.m.",IF(D227/C227&lt;=0,"n.m.",D227/C227-1)),"n.a."))</f>
        <v>-0.013975155279503104</v>
      </c>
      <c r="E229" s="40">
        <f>IF(OR(E227="",D227=""),"n.a.",IFERROR(IF(D227&lt;=0,"n.m.",IF(E227/D227&lt;=0,"n.m.",E227/D227-1)),"n.a."))</f>
        <v>0.04409448818897643</v>
      </c>
      <c r="F229" s="40">
        <f>IF(OR(F227="",E227=""),"n.a.",IFERROR(IF(E227&lt;=0,"n.m.",IF(F227/E227&lt;=0,"n.m.",F227/E227-1)),"n.a."))</f>
        <v>0.06711915535444946</v>
      </c>
      <c r="G229" s="7"/>
      <c r="H229" s="40">
        <f>IF(OR(H227="",F227=""),"n.a.",IFERROR(IF(F227&lt;=0,"n.m.",IF(H227/F227&lt;=0,"n.m.",H227/F227-1)),"n.a."))</f>
        <v>-0.00636042402826853</v>
      </c>
      <c r="I229" s="40">
        <f>IF(OR(I227="",H227=""),"n.a.",IFERROR(IF(H227&lt;=0,"n.m.",IF(I227/H227&lt;=0,"n.m.",I227/H227-1)),"n.a."))</f>
        <v>-0.004978662873399764</v>
      </c>
      <c r="J229" s="45">
        <f>IF(OR(J227="",I227=""),"n.a.",IFERROR(IF(I227&lt;=0,"n.m.",IF(J227/I227&lt;=0,"n.m.",J227/I227-1)),"n.a."))</f>
        <v>0.043640970482353714</v>
      </c>
      <c r="K229" s="124"/>
    </row>
    <row r="230">
      <c r="A230" s="2"/>
      <c r="B230" s="47" t="s">
        <v>115</v>
      </c>
      <c r="C230" s="7"/>
      <c r="D230" s="7"/>
      <c r="E230" s="7"/>
      <c r="F230" s="7"/>
      <c r="G230" s="7"/>
      <c r="H230" s="40" t="s">
        <v>116</v>
      </c>
      <c r="I230" s="40" t="s">
        <v>116</v>
      </c>
      <c r="J230" s="45" t="s">
        <v>116</v>
      </c>
      <c r="K230" s="124"/>
    </row>
    <row r="231">
      <c r="A231" s="2"/>
      <c r="B231" s="47" t="s">
        <v>117</v>
      </c>
      <c r="C231" s="7"/>
      <c r="D231" s="7"/>
      <c r="E231" s="7"/>
      <c r="F231" s="7"/>
      <c r="G231" s="7"/>
      <c r="H231" s="40" t="s">
        <v>116</v>
      </c>
      <c r="I231" s="40" t="s">
        <v>116</v>
      </c>
      <c r="J231" s="45" t="s">
        <v>116</v>
      </c>
      <c r="K231" s="124"/>
    </row>
    <row r="232">
      <c r="A232" s="2"/>
      <c r="B232" s="47" t="s">
        <v>118</v>
      </c>
      <c r="C232" s="7"/>
      <c r="D232" s="7"/>
      <c r="E232" s="7"/>
      <c r="F232" s="7"/>
      <c r="G232" s="7"/>
      <c r="H232" s="40" t="s">
        <v>116</v>
      </c>
      <c r="I232" s="40" t="s">
        <v>116</v>
      </c>
      <c r="J232" s="45" t="s">
        <v>116</v>
      </c>
      <c r="K232" s="124"/>
    </row>
    <row r="233">
      <c r="A233" s="2"/>
      <c r="B233" s="47" t="s">
        <v>119</v>
      </c>
      <c r="C233" s="40">
        <f>IFERROR(C227/C248,"n.a.")</f>
        <v>0.21495327102803738</v>
      </c>
      <c r="D233" s="40">
        <f>IFERROR(D227/D248,"n.a.")</f>
        <v>0.22323782738618386</v>
      </c>
      <c r="E233" s="40">
        <f>IFERROR(E227/E248,"n.a.")</f>
        <v>0.2142510906446922</v>
      </c>
      <c r="F233" s="40">
        <f>IFERROR(F227/F248,"n.a.")</f>
        <v>0.22683552420647643</v>
      </c>
      <c r="G233" s="40">
        <f>IFERROR(G227/G248,"n.a.")</f>
        <v>0.21980255516840883</v>
      </c>
      <c r="H233" s="40">
        <f>IFERROR(H227/H248,"n.a.")</f>
        <v>0.22363607443931924</v>
      </c>
      <c r="I233" s="40">
        <f>IFERROR(I227/I248,"n.a.")</f>
        <v>0.2243425272610648</v>
      </c>
      <c r="J233" s="45">
        <f>IFERROR(J227/J248,"n.a.")</f>
        <v>0.231924795805469</v>
      </c>
      <c r="K233" s="124"/>
    </row>
    <row r="234">
      <c r="A234" s="2"/>
      <c r="B234" s="3" t="s">
        <v>313</v>
      </c>
      <c r="C234" s="37">
        <v>1032</v>
      </c>
      <c r="D234" s="37">
        <v>1018</v>
      </c>
      <c r="E234" s="37">
        <v>1043</v>
      </c>
      <c r="F234" s="37">
        <v>1131</v>
      </c>
      <c r="G234" s="43">
        <f>SUM(C234:F234)</f>
        <v>4224</v>
      </c>
      <c r="H234" s="37">
        <v>1095</v>
      </c>
      <c r="I234" s="37">
        <v>1118</v>
      </c>
      <c r="J234" s="38">
        <f>J220*I234/I220</f>
        <v>1166.7906049992712</v>
      </c>
      <c r="K234" s="125" t="s">
        <v>127</v>
      </c>
    </row>
    <row r="235">
      <c r="A235" s="2"/>
      <c r="B235" s="47" t="s">
        <v>113</v>
      </c>
      <c r="C235" s="7"/>
      <c r="D235" s="7"/>
      <c r="E235" s="7"/>
      <c r="F235" s="7"/>
      <c r="G235" s="7"/>
      <c r="H235" s="40">
        <f>IF(OR(H234="",C234=""),"n.a.",IFERROR(IF(C234&lt;=0,"n.m.",IF(H234/C234&lt;=0,"n.m.",H234/C234-1)),"n.a."))</f>
        <v>0.061046511627907085</v>
      </c>
      <c r="I235" s="40">
        <f>IF(OR(I234="",D234=""),"n.a.",IFERROR(IF(D234&lt;=0,"n.m.",IF(I234/D234&lt;=0,"n.m.",I234/D234-1)),"n.a."))</f>
        <v>0.0982318271119842</v>
      </c>
      <c r="J235" s="45">
        <f>IF(OR(J234="",E234=""),"n.a.",IFERROR(IF(E234&lt;=0,"n.m.",IF(J234/E234&lt;=0,"n.m.",J234/E234-1)),"n.a."))</f>
        <v>0.11868706136075846</v>
      </c>
      <c r="K235" s="124"/>
    </row>
    <row r="236">
      <c r="A236" s="2"/>
      <c r="B236" s="47" t="s">
        <v>114</v>
      </c>
      <c r="C236" s="7"/>
      <c r="D236" s="40">
        <f>IF(OR(D234="",C234=""),"n.a.",IFERROR(IF(C234&lt;=0,"n.m.",IF(D234/C234&lt;=0,"n.m.",D234/C234-1)),"n.a."))</f>
        <v>-0.013565891472868241</v>
      </c>
      <c r="E236" s="40">
        <f>IF(OR(E234="",D234=""),"n.a.",IFERROR(IF(D234&lt;=0,"n.m.",IF(E234/D234&lt;=0,"n.m.",E234/D234-1)),"n.a."))</f>
        <v>0.024557956777996104</v>
      </c>
      <c r="F236" s="40">
        <f>IF(OR(F234="",E234=""),"n.a.",IFERROR(IF(E234&lt;=0,"n.m.",IF(F234/E234&lt;=0,"n.m.",F234/E234-1)),"n.a."))</f>
        <v>0.08437200383509103</v>
      </c>
      <c r="G236" s="7"/>
      <c r="H236" s="40">
        <f>IF(OR(H234="",F234=""),"n.a.",IFERROR(IF(F234&lt;=0,"n.m.",IF(H234/F234&lt;=0,"n.m.",H234/F234-1)),"n.a."))</f>
        <v>-0.03183023872679047</v>
      </c>
      <c r="I236" s="40">
        <f>IF(OR(I234="",H234=""),"n.a.",IFERROR(IF(H234&lt;=0,"n.m.",IF(I234/H234&lt;=0,"n.m.",I234/H234-1)),"n.a."))</f>
        <v>0.02100456621004576</v>
      </c>
      <c r="J236" s="45">
        <f>IF(OR(J234="",I234=""),"n.a.",IFERROR(IF(I234&lt;=0,"n.m.",IF(J234/I234&lt;=0,"n.m.",J234/I234-1)),"n.a."))</f>
        <v>0.04364097048235349</v>
      </c>
      <c r="K236" s="124"/>
    </row>
    <row r="237">
      <c r="A237" s="2"/>
      <c r="B237" s="47" t="s">
        <v>115</v>
      </c>
      <c r="C237" s="7"/>
      <c r="D237" s="7"/>
      <c r="E237" s="7"/>
      <c r="F237" s="7"/>
      <c r="G237" s="7"/>
      <c r="H237" s="40" t="s">
        <v>116</v>
      </c>
      <c r="I237" s="40" t="s">
        <v>116</v>
      </c>
      <c r="J237" s="45" t="s">
        <v>116</v>
      </c>
      <c r="K237" s="124"/>
    </row>
    <row r="238">
      <c r="A238" s="2"/>
      <c r="B238" s="47" t="s">
        <v>117</v>
      </c>
      <c r="C238" s="7"/>
      <c r="D238" s="7"/>
      <c r="E238" s="7"/>
      <c r="F238" s="7"/>
      <c r="G238" s="7"/>
      <c r="H238" s="40" t="s">
        <v>116</v>
      </c>
      <c r="I238" s="40" t="s">
        <v>116</v>
      </c>
      <c r="J238" s="45" t="s">
        <v>116</v>
      </c>
      <c r="K238" s="124"/>
    </row>
    <row r="239">
      <c r="A239" s="2"/>
      <c r="B239" s="47" t="s">
        <v>118</v>
      </c>
      <c r="C239" s="7"/>
      <c r="D239" s="7"/>
      <c r="E239" s="7"/>
      <c r="F239" s="7"/>
      <c r="G239" s="7"/>
      <c r="H239" s="40" t="s">
        <v>116</v>
      </c>
      <c r="I239" s="40" t="s">
        <v>116</v>
      </c>
      <c r="J239" s="45" t="s">
        <v>116</v>
      </c>
      <c r="K239" s="124"/>
    </row>
    <row r="240">
      <c r="A240" s="2"/>
      <c r="B240" s="47" t="s">
        <v>119</v>
      </c>
      <c r="C240" s="40">
        <f>IFERROR(C234/C248,"n.a.")</f>
        <v>0.17222963951935916</v>
      </c>
      <c r="D240" s="40">
        <f>IFERROR(D234/D248,"n.a.")</f>
        <v>0.1789418175426261</v>
      </c>
      <c r="E240" s="40">
        <f>IFERROR(E234/E248,"n.a.")</f>
        <v>0.1685248020681855</v>
      </c>
      <c r="F240" s="40">
        <f>IFERROR(F234/F248,"n.a.")</f>
        <v>0.1813081115742225</v>
      </c>
      <c r="G240" s="40">
        <f>IFERROR(G234/G248,"n.a.")</f>
        <v>0.1752115480338477</v>
      </c>
      <c r="H240" s="40">
        <f>IFERROR(H234/H248,"n.a.")</f>
        <v>0.17416891999363768</v>
      </c>
      <c r="I240" s="40">
        <f>IFERROR(I234/I248,"n.a.")</f>
        <v>0.17928159076330982</v>
      </c>
      <c r="J240" s="45">
        <f>IFERROR(J234/J248,"n.a.")</f>
        <v>0.18534090186598592</v>
      </c>
      <c r="K240" s="124"/>
    </row>
    <row r="241">
      <c r="A241" s="2"/>
      <c r="B241" s="3" t="s">
        <v>314</v>
      </c>
      <c r="C241" s="37">
        <v>360</v>
      </c>
      <c r="D241" s="37">
        <v>361</v>
      </c>
      <c r="E241" s="37">
        <v>370</v>
      </c>
      <c r="F241" s="37">
        <v>397</v>
      </c>
      <c r="G241" s="43">
        <f>SUM(C241:F241)</f>
        <v>1488</v>
      </c>
      <c r="H241" s="37">
        <v>384</v>
      </c>
      <c r="I241" s="37">
        <v>403</v>
      </c>
      <c r="J241" s="38">
        <f>J220*I241/I220</f>
        <v>420.58731110438845</v>
      </c>
      <c r="K241" s="125" t="s">
        <v>127</v>
      </c>
    </row>
    <row r="242">
      <c r="A242" s="2"/>
      <c r="B242" s="47" t="s">
        <v>113</v>
      </c>
      <c r="C242" s="7"/>
      <c r="D242" s="7"/>
      <c r="E242" s="7"/>
      <c r="F242" s="7"/>
      <c r="G242" s="7"/>
      <c r="H242" s="40">
        <f>IF(OR(H241="",C241=""),"n.a.",IFERROR(IF(C241&lt;=0,"n.m.",IF(H241/C241&lt;=0,"n.m.",H241/C241-1)),"n.a."))</f>
        <v>0.06666666666666665</v>
      </c>
      <c r="I242" s="40">
        <f>IF(OR(I241="",D241=""),"n.a.",IFERROR(IF(D241&lt;=0,"n.m.",IF(I241/D241&lt;=0,"n.m.",I241/D241-1)),"n.a."))</f>
        <v>0.11634349030470914</v>
      </c>
      <c r="J242" s="45">
        <f>IF(OR(J241="",E241=""),"n.a.",IFERROR(IF(E241&lt;=0,"n.m.",IF(J241/E241&lt;=0,"n.m.",J241/E241-1)),"n.a."))</f>
        <v>0.1367224624442931</v>
      </c>
      <c r="K242" s="124"/>
    </row>
    <row r="243">
      <c r="A243" s="2"/>
      <c r="B243" s="47" t="s">
        <v>114</v>
      </c>
      <c r="C243" s="7"/>
      <c r="D243" s="40">
        <f>IF(OR(D241="",C241=""),"n.a.",IFERROR(IF(C241&lt;=0,"n.m.",IF(D241/C241&lt;=0,"n.m.",D241/C241-1)),"n.a."))</f>
        <v>0.002777777777777768</v>
      </c>
      <c r="E243" s="40">
        <f>IF(OR(E241="",D241=""),"n.a.",IFERROR(IF(D241&lt;=0,"n.m.",IF(E241/D241&lt;=0,"n.m.",E241/D241-1)),"n.a."))</f>
        <v>0.024930747922437657</v>
      </c>
      <c r="F243" s="40">
        <f>IF(OR(F241="",E241=""),"n.a.",IFERROR(IF(E241&lt;=0,"n.m.",IF(F241/E241&lt;=0,"n.m.",F241/E241-1)),"n.a."))</f>
        <v>0.0729729729729729</v>
      </c>
      <c r="G243" s="7"/>
      <c r="H243" s="40">
        <f>IF(OR(H241="",F241=""),"n.a.",IFERROR(IF(F241&lt;=0,"n.m.",IF(H241/F241&lt;=0,"n.m.",H241/F241-1)),"n.a."))</f>
        <v>-0.032745591939546626</v>
      </c>
      <c r="I243" s="40">
        <f>IF(OR(I241="",H241=""),"n.a.",IFERROR(IF(H241&lt;=0,"n.m.",IF(I241/H241&lt;=0,"n.m.",I241/H241-1)),"n.a."))</f>
        <v>0.04947916666666674</v>
      </c>
      <c r="J243" s="45">
        <f>IF(OR(J241="",I241=""),"n.a.",IFERROR(IF(I241&lt;=0,"n.m.",IF(J241/I241&lt;=0,"n.m.",J241/I241-1)),"n.a."))</f>
        <v>0.04364097048235349</v>
      </c>
      <c r="K243" s="124"/>
    </row>
    <row r="244">
      <c r="A244" s="2"/>
      <c r="B244" s="47" t="s">
        <v>115</v>
      </c>
      <c r="C244" s="7"/>
      <c r="D244" s="7"/>
      <c r="E244" s="7"/>
      <c r="F244" s="7"/>
      <c r="G244" s="7"/>
      <c r="H244" s="40" t="s">
        <v>116</v>
      </c>
      <c r="I244" s="40" t="s">
        <v>116</v>
      </c>
      <c r="J244" s="45" t="s">
        <v>116</v>
      </c>
      <c r="K244" s="124"/>
    </row>
    <row r="245">
      <c r="A245" s="2"/>
      <c r="B245" s="47" t="s">
        <v>117</v>
      </c>
      <c r="C245" s="7"/>
      <c r="D245" s="7"/>
      <c r="E245" s="7"/>
      <c r="F245" s="7"/>
      <c r="G245" s="7"/>
      <c r="H245" s="40" t="s">
        <v>116</v>
      </c>
      <c r="I245" s="40" t="s">
        <v>116</v>
      </c>
      <c r="J245" s="45" t="s">
        <v>116</v>
      </c>
      <c r="K245" s="124"/>
    </row>
    <row r="246">
      <c r="A246" s="2"/>
      <c r="B246" s="47" t="s">
        <v>118</v>
      </c>
      <c r="C246" s="7"/>
      <c r="D246" s="7"/>
      <c r="E246" s="7"/>
      <c r="F246" s="7"/>
      <c r="G246" s="7"/>
      <c r="H246" s="40" t="s">
        <v>116</v>
      </c>
      <c r="I246" s="40" t="s">
        <v>116</v>
      </c>
      <c r="J246" s="45" t="s">
        <v>116</v>
      </c>
      <c r="K246" s="124"/>
    </row>
    <row r="247">
      <c r="A247" s="2"/>
      <c r="B247" s="47" t="s">
        <v>119</v>
      </c>
      <c r="C247" s="40">
        <f>IFERROR(C241/C248,"n.a.")</f>
        <v>0.06008010680907877</v>
      </c>
      <c r="D247" s="40">
        <f>IFERROR(D241/D248,"n.a.")</f>
        <v>0.06345579187906486</v>
      </c>
      <c r="E247" s="40">
        <f>IFERROR(E241/E248,"n.a.")</f>
        <v>0.0597834868314752</v>
      </c>
      <c r="F247" s="40">
        <f>IFERROR(F241/F248,"n.a.")</f>
        <v>0.06364219301058031</v>
      </c>
      <c r="G247" s="40">
        <f>IFERROR(G241/G248,"n.a.")</f>
        <v>0.06172224987555998</v>
      </c>
      <c r="H247" s="40">
        <f>IFERROR(H241/H248,"n.a.")</f>
        <v>0.061078415778590744</v>
      </c>
      <c r="I247" s="40">
        <f>IFERROR(I241/I248,"n.a.")</f>
        <v>0.06462475946119307</v>
      </c>
      <c r="J247" s="45">
        <f>IFERROR(J241/J248,"n.a.")</f>
        <v>0.06680892974239028</v>
      </c>
      <c r="K247" s="124"/>
    </row>
    <row r="248">
      <c r="A248" s="2"/>
      <c r="B248" s="18" t="s">
        <v>128</v>
      </c>
      <c r="C248" s="39">
        <f>C192+C220+C76+C185</f>
        <v>5992</v>
      </c>
      <c r="D248" s="39">
        <f>D192+D220+D76+D185</f>
        <v>5689</v>
      </c>
      <c r="E248" s="39">
        <f>E192+E220+E76+E185</f>
        <v>6189</v>
      </c>
      <c r="F248" s="39">
        <f>F192+F220+F76+F185</f>
        <v>6238</v>
      </c>
      <c r="G248" s="39">
        <f>G192+G220+G76+G185</f>
        <v>24108</v>
      </c>
      <c r="H248" s="39">
        <f>H192+H220+H76+H185</f>
        <v>6287</v>
      </c>
      <c r="I248" s="39">
        <f>I192+I220+I76+I185</f>
        <v>6236</v>
      </c>
      <c r="J248" s="50">
        <f>J183</f>
        <v>6295.375673972603</v>
      </c>
      <c r="K248" s="124"/>
    </row>
    <row r="249">
      <c r="A249" s="2"/>
      <c r="B249" s="47" t="s">
        <v>113</v>
      </c>
      <c r="C249" s="7"/>
      <c r="D249" s="7"/>
      <c r="E249" s="7"/>
      <c r="F249" s="7"/>
      <c r="G249" s="7"/>
      <c r="H249" s="40">
        <f>IF(OR(H248="",C248=""),"n.a.",IFERROR(IF(C248&lt;=0,"n.m.",IF(H248/C248&lt;=0,"n.m.",H248/C248-1)),"n.a."))</f>
        <v>0.04923230974632853</v>
      </c>
      <c r="I249" s="40">
        <f>IF(OR(I248="",D248=""),"n.a.",IFERROR(IF(D248&lt;=0,"n.m.",IF(I248/D248&lt;=0,"n.m.",I248/D248-1)),"n.a."))</f>
        <v>0.09615046581121467</v>
      </c>
      <c r="J249" s="45">
        <f>IF(OR(J248="",E248=""),"n.a.",IFERROR(IF(E248&lt;=0,"n.m.",IF(J248/E248&lt;=0,"n.m.",J248/E248-1)),"n.a."))</f>
        <v>0.01718786136251471</v>
      </c>
      <c r="K249" s="124"/>
    </row>
    <row r="250">
      <c r="A250" s="2"/>
      <c r="B250" s="47" t="s">
        <v>114</v>
      </c>
      <c r="C250" s="7"/>
      <c r="D250" s="40">
        <f>IF(OR(D248="",C248=""),"n.a.",IFERROR(IF(C248&lt;=0,"n.m.",IF(D248/C248&lt;=0,"n.m.",D248/C248-1)),"n.a."))</f>
        <v>-0.05056742323097463</v>
      </c>
      <c r="E250" s="40">
        <f>IF(OR(E248="",D248=""),"n.a.",IFERROR(IF(D248&lt;=0,"n.m.",IF(E248/D248&lt;=0,"n.m.",E248/D248-1)),"n.a."))</f>
        <v>0.08788890841975738</v>
      </c>
      <c r="F250" s="40">
        <f>IF(OR(F248="",E248=""),"n.a.",IFERROR(IF(E248&lt;=0,"n.m.",IF(F248/E248&lt;=0,"n.m.",F248/E248-1)),"n.a."))</f>
        <v>0.00791727258038466</v>
      </c>
      <c r="G250" s="7"/>
      <c r="H250" s="40">
        <f>IF(OR(H248="",F248=""),"n.a.",IFERROR(IF(F248&lt;=0,"n.m.",IF(H248/F248&lt;=0,"n.m.",H248/F248-1)),"n.a."))</f>
        <v>0.007855081756973359</v>
      </c>
      <c r="I250" s="40">
        <f>IF(OR(I248="",H248=""),"n.a.",IFERROR(IF(H248&lt;=0,"n.m.",IF(I248/H248&lt;=0,"n.m.",I248/H248-1)),"n.a."))</f>
        <v>-0.00811197709559408</v>
      </c>
      <c r="J250" s="45">
        <f>IF(OR(J248="",I248=""),"n.a.",IFERROR(IF(I248&lt;=0,"n.m.",IF(J248/I248&lt;=0,"n.m.",J248/I248-1)),"n.a."))</f>
        <v>0.009521435851924887</v>
      </c>
      <c r="K250" s="124"/>
    </row>
    <row r="251">
      <c r="A251" s="2"/>
      <c r="B251" s="47" t="s">
        <v>115</v>
      </c>
      <c r="C251" s="7"/>
      <c r="D251" s="7"/>
      <c r="E251" s="7"/>
      <c r="F251" s="7"/>
      <c r="G251" s="7"/>
      <c r="H251" s="40" t="s">
        <v>116</v>
      </c>
      <c r="I251" s="40" t="s">
        <v>116</v>
      </c>
      <c r="J251" s="45" t="s">
        <v>116</v>
      </c>
      <c r="K251" s="124"/>
    </row>
    <row r="252">
      <c r="A252" s="2"/>
      <c r="B252" s="47" t="s">
        <v>117</v>
      </c>
      <c r="C252" s="7"/>
      <c r="D252" s="7"/>
      <c r="E252" s="7"/>
      <c r="F252" s="7"/>
      <c r="G252" s="7"/>
      <c r="H252" s="40" t="s">
        <v>116</v>
      </c>
      <c r="I252" s="40" t="s">
        <v>116</v>
      </c>
      <c r="J252" s="45" t="s">
        <v>116</v>
      </c>
      <c r="K252" s="124"/>
    </row>
    <row r="253">
      <c r="A253" s="2"/>
      <c r="B253" s="47" t="s">
        <v>118</v>
      </c>
      <c r="C253" s="7"/>
      <c r="D253" s="7"/>
      <c r="E253" s="7"/>
      <c r="F253" s="7"/>
      <c r="G253" s="7"/>
      <c r="H253" s="40" t="s">
        <v>116</v>
      </c>
      <c r="I253" s="40" t="s">
        <v>116</v>
      </c>
      <c r="J253" s="45" t="s">
        <v>116</v>
      </c>
      <c r="K253" s="124"/>
    </row>
    <row r="254">
      <c r="A254" s="2"/>
      <c r="B254" s="3" t="s">
        <v>219</v>
      </c>
      <c r="C254" s="37">
        <v>5992</v>
      </c>
      <c r="D254" s="37">
        <v>5689</v>
      </c>
      <c r="E254" s="37">
        <v>6189</v>
      </c>
      <c r="F254" s="37">
        <v>6238</v>
      </c>
      <c r="G254" s="43">
        <f>SUM(C254:F254)</f>
        <v>24108</v>
      </c>
      <c r="H254" s="37">
        <v>6287</v>
      </c>
      <c r="I254" s="37">
        <v>6236</v>
      </c>
      <c r="J254" s="46"/>
      <c r="K254" s="125" t="s">
        <v>130</v>
      </c>
    </row>
    <row r="255">
      <c r="A255" s="2"/>
      <c r="B255" s="61" t="s">
        <v>315</v>
      </c>
      <c r="C255" s="41">
        <f>C248-C254</f>
        <v>0</v>
      </c>
      <c r="D255" s="41">
        <f>D248-D254</f>
        <v>0</v>
      </c>
      <c r="E255" s="41">
        <f>E248-E254</f>
        <v>0</v>
      </c>
      <c r="F255" s="41">
        <f>F248-F254</f>
        <v>0</v>
      </c>
      <c r="G255" s="41">
        <f>G248-G254</f>
        <v>0</v>
      </c>
      <c r="H255" s="41">
        <f>H248-H254</f>
        <v>0</v>
      </c>
      <c r="I255" s="41">
        <f>I248-I254</f>
        <v>0</v>
      </c>
      <c r="J255" s="46"/>
      <c r="K255" s="124"/>
    </row>
    <row r="256">
      <c r="A256" s="2"/>
      <c r="B256" s="61" t="s">
        <v>316</v>
      </c>
      <c r="C256" s="41">
        <f>C183-(C192+C220+C76+C185)</f>
        <v>0</v>
      </c>
      <c r="D256" s="41">
        <f>D183-(D192+D220+D76+D185)</f>
        <v>0</v>
      </c>
      <c r="E256" s="41">
        <f>E183-(E192+E220+E76+E185)</f>
        <v>0</v>
      </c>
      <c r="F256" s="41">
        <f>F183-(F192+F220+F76+F185)</f>
        <v>0</v>
      </c>
      <c r="G256" s="41">
        <f>G183-(G192+G220+G76+G185)</f>
        <v>0</v>
      </c>
      <c r="H256" s="41">
        <f>H183-(H192+H220+H76+H185)</f>
        <v>0</v>
      </c>
      <c r="I256" s="41">
        <f>I183-(I192+I220+I76+I185)</f>
        <v>0</v>
      </c>
      <c r="J256" s="52">
        <f>J183-(J192+J220+J76+J185)</f>
        <v>0</v>
      </c>
      <c r="K256" s="124"/>
    </row>
    <row r="257">
      <c r="A257" s="2"/>
      <c r="B257" s="18" t="s">
        <v>220</v>
      </c>
      <c r="C257" s="7"/>
      <c r="D257" s="7"/>
      <c r="E257" s="7"/>
      <c r="F257" s="7"/>
      <c r="G257" s="7"/>
      <c r="H257" s="7"/>
      <c r="I257" s="7"/>
      <c r="J257" s="46"/>
      <c r="K257" s="124"/>
    </row>
    <row r="258">
      <c r="A258" s="2"/>
      <c r="B258" s="3" t="s">
        <v>221</v>
      </c>
      <c r="C258" s="37">
        <v>154</v>
      </c>
      <c r="D258" s="37">
        <v>277</v>
      </c>
      <c r="E258" s="37">
        <v>269</v>
      </c>
      <c r="F258" s="37">
        <v>243</v>
      </c>
      <c r="G258" s="43">
        <f>SUM(C258:F258)</f>
        <v>943</v>
      </c>
      <c r="H258" s="37">
        <v>185</v>
      </c>
      <c r="I258" s="37">
        <v>215</v>
      </c>
      <c r="J258" s="75">
        <v>230</v>
      </c>
      <c r="K258" s="125" t="s">
        <v>127</v>
      </c>
    </row>
    <row r="259">
      <c r="A259" s="2"/>
      <c r="B259" s="47" t="s">
        <v>133</v>
      </c>
      <c r="C259" s="7"/>
      <c r="D259" s="7"/>
      <c r="E259" s="7"/>
      <c r="F259" s="7"/>
      <c r="G259" s="7"/>
      <c r="H259" s="40">
        <f>IF(OR(H258="",C258=""),"n.a.",IFERROR(IF(C258&lt;=0,"n.m.",IF(H258/C258&lt;=0,"n.m.",H258/C258-1)),"n.a."))</f>
        <v>0.2012987012987013</v>
      </c>
      <c r="I259" s="40">
        <f>IF(OR(I258="",D258=""),"n.a.",IFERROR(IF(D258&lt;=0,"n.m.",IF(I258/D258&lt;=0,"n.m.",I258/D258-1)),"n.a."))</f>
        <v>-0.223826714801444</v>
      </c>
      <c r="J259" s="45">
        <f>IF(OR(J258="",E258=""),"n.a.",IFERROR(IF(E258&lt;=0,"n.m.",IF(J258/E258&lt;=0,"n.m.",J258/E258-1)),"n.a."))</f>
        <v>-0.14498141263940523</v>
      </c>
      <c r="K259" s="124"/>
    </row>
    <row r="260">
      <c r="A260" s="2"/>
      <c r="B260" s="47" t="s">
        <v>134</v>
      </c>
      <c r="C260" s="7"/>
      <c r="D260" s="41">
        <f>IF(OR(D258="",C258=""),"n.a.",IFERROR(D258-C258,"n.a."))</f>
        <v>123</v>
      </c>
      <c r="E260" s="41">
        <f>IF(OR(E258="",D258=""),"n.a.",IFERROR(E258-D258,"n.a."))</f>
        <v>-8</v>
      </c>
      <c r="F260" s="41">
        <f>IF(OR(F258="",E258=""),"n.a.",IFERROR(F258-E258,"n.a."))</f>
        <v>-26</v>
      </c>
      <c r="G260" s="7"/>
      <c r="H260" s="41">
        <f>IF(OR(H258="",F258=""),"n.a.",IFERROR(H258-F258,"n.a."))</f>
        <v>-58</v>
      </c>
      <c r="I260" s="41">
        <f>IF(OR(I258="",H258=""),"n.a.",IFERROR(I258-H258,"n.a."))</f>
        <v>30</v>
      </c>
      <c r="J260" s="52">
        <f>IF(OR(J258="",I258=""),"n.a.",IFERROR(J258-I258,"n.a."))</f>
        <v>15</v>
      </c>
      <c r="K260" s="124"/>
    </row>
    <row r="261">
      <c r="A261" s="2"/>
      <c r="B261" s="3" t="s">
        <v>222</v>
      </c>
      <c r="C261" s="37">
        <v>3184</v>
      </c>
      <c r="D261" s="37">
        <v>3070</v>
      </c>
      <c r="E261" s="37">
        <v>3044</v>
      </c>
      <c r="F261" s="37">
        <v>3118</v>
      </c>
      <c r="G261" s="43">
        <f>SUM(C261:F261)</f>
        <v>12416</v>
      </c>
      <c r="H261" s="37">
        <v>3223</v>
      </c>
      <c r="I261" s="37">
        <v>3199</v>
      </c>
      <c r="J261" s="75">
        <v>3150</v>
      </c>
      <c r="K261" s="125" t="s">
        <v>127</v>
      </c>
    </row>
    <row r="262">
      <c r="A262" s="2"/>
      <c r="B262" s="47" t="s">
        <v>133</v>
      </c>
      <c r="C262" s="7"/>
      <c r="D262" s="7"/>
      <c r="E262" s="7"/>
      <c r="F262" s="7"/>
      <c r="G262" s="7"/>
      <c r="H262" s="40">
        <f>IF(OR(H261="",C261=""),"n.a.",IFERROR(IF(C261&lt;=0,"n.m.",IF(H261/C261&lt;=0,"n.m.",H261/C261-1)),"n.a."))</f>
        <v>0.01224874371859297</v>
      </c>
      <c r="I262" s="40">
        <f>IF(OR(I261="",D261=""),"n.a.",IFERROR(IF(D261&lt;=0,"n.m.",IF(I261/D261&lt;=0,"n.m.",I261/D261-1)),"n.a."))</f>
        <v>0.042019543973941476</v>
      </c>
      <c r="J262" s="45">
        <f>IF(OR(J261="",E261=""),"n.a.",IFERROR(IF(E261&lt;=0,"n.m.",IF(J261/E261&lt;=0,"n.m.",J261/E261-1)),"n.a."))</f>
        <v>0.034822601839684664</v>
      </c>
      <c r="K262" s="124"/>
    </row>
    <row r="263">
      <c r="A263" s="2"/>
      <c r="B263" s="47" t="s">
        <v>134</v>
      </c>
      <c r="C263" s="7"/>
      <c r="D263" s="41">
        <f>IF(OR(D261="",C261=""),"n.a.",IFERROR(D261-C261,"n.a."))</f>
        <v>-114</v>
      </c>
      <c r="E263" s="41">
        <f>IF(OR(E261="",D261=""),"n.a.",IFERROR(E261-D261,"n.a."))</f>
        <v>-26</v>
      </c>
      <c r="F263" s="41">
        <f>IF(OR(F261="",E261=""),"n.a.",IFERROR(F261-E261,"n.a."))</f>
        <v>74</v>
      </c>
      <c r="G263" s="7"/>
      <c r="H263" s="41">
        <f>IF(OR(H261="",F261=""),"n.a.",IFERROR(H261-F261,"n.a."))</f>
        <v>105</v>
      </c>
      <c r="I263" s="41">
        <f>IF(OR(I261="",H261=""),"n.a.",IFERROR(I261-H261,"n.a."))</f>
        <v>-24</v>
      </c>
      <c r="J263" s="52">
        <f>IF(OR(J261="",I261=""),"n.a.",IFERROR(J261-I261,"n.a."))</f>
        <v>-49</v>
      </c>
      <c r="K263" s="124"/>
    </row>
    <row r="264">
      <c r="A264" s="2"/>
      <c r="B264" s="18" t="s">
        <v>223</v>
      </c>
      <c r="C264" s="39">
        <f>C248-C258-C261</f>
        <v>2654</v>
      </c>
      <c r="D264" s="39">
        <f>D248-D258-D261</f>
        <v>2342</v>
      </c>
      <c r="E264" s="39">
        <f>E248-E258-E261</f>
        <v>2876</v>
      </c>
      <c r="F264" s="39">
        <f>F248-F258-F261</f>
        <v>2877</v>
      </c>
      <c r="G264" s="39">
        <f>G248-G258-G261</f>
        <v>10749</v>
      </c>
      <c r="H264" s="39">
        <f>H248-H258-H261</f>
        <v>2879</v>
      </c>
      <c r="I264" s="39">
        <f>I248-I258-I261</f>
        <v>2822</v>
      </c>
      <c r="J264" s="50">
        <f>J248-J258-J261</f>
        <v>2915.375673972603</v>
      </c>
      <c r="K264" s="124"/>
    </row>
    <row r="265">
      <c r="A265" s="2"/>
      <c r="B265" s="47" t="s">
        <v>133</v>
      </c>
      <c r="C265" s="7"/>
      <c r="D265" s="7"/>
      <c r="E265" s="7"/>
      <c r="F265" s="7"/>
      <c r="G265" s="7"/>
      <c r="H265" s="40">
        <f>IF(OR(H264="",C264=""),"n.a.",IFERROR(IF(C264&lt;=0,"n.m.",IF(H264/C264&lt;=0,"n.m.",H264/C264-1)),"n.a."))</f>
        <v>0.08477769404672197</v>
      </c>
      <c r="I265" s="40">
        <f>IF(OR(I264="",D264=""),"n.a.",IFERROR(IF(D264&lt;=0,"n.m.",IF(I264/D264&lt;=0,"n.m.",I264/D264-1)),"n.a."))</f>
        <v>0.20495303159692568</v>
      </c>
      <c r="J265" s="45">
        <f>IF(OR(J264="",E264=""),"n.a.",IFERROR(IF(E264&lt;=0,"n.m.",IF(J264/E264&lt;=0,"n.m.",J264/E264-1)),"n.a."))</f>
        <v>0.013691124468916183</v>
      </c>
      <c r="K265" s="124"/>
    </row>
    <row r="266">
      <c r="A266" s="2"/>
      <c r="B266" s="47" t="s">
        <v>134</v>
      </c>
      <c r="C266" s="7"/>
      <c r="D266" s="41">
        <f>IF(OR(D264="",C264=""),"n.a.",IFERROR(D264-C264,"n.a."))</f>
        <v>-312</v>
      </c>
      <c r="E266" s="41">
        <f>IF(OR(E264="",D264=""),"n.a.",IFERROR(E264-D264,"n.a."))</f>
        <v>534</v>
      </c>
      <c r="F266" s="41">
        <f>IF(OR(F264="",E264=""),"n.a.",IFERROR(F264-E264,"n.a."))</f>
        <v>1</v>
      </c>
      <c r="G266" s="7"/>
      <c r="H266" s="41">
        <f>IF(OR(H264="",F264=""),"n.a.",IFERROR(H264-F264,"n.a."))</f>
        <v>2</v>
      </c>
      <c r="I266" s="41">
        <f>IF(OR(I264="",H264=""),"n.a.",IFERROR(I264-H264,"n.a."))</f>
        <v>-57</v>
      </c>
      <c r="J266" s="52">
        <f>IF(OR(J264="",I264=""),"n.a.",IFERROR(J264-I264,"n.a."))</f>
        <v>93.37567397260318</v>
      </c>
      <c r="K266" s="124"/>
    </row>
    <row r="267">
      <c r="A267" s="2"/>
      <c r="B267" s="61" t="s">
        <v>224</v>
      </c>
      <c r="C267" s="40">
        <f>C270/C264</f>
        <v>0.2750565184626978</v>
      </c>
      <c r="D267" s="40">
        <f>D270/D264</f>
        <v>0.2749786507258753</v>
      </c>
      <c r="E267" s="40">
        <f>E270/E264</f>
        <v>0.2750347705146036</v>
      </c>
      <c r="F267" s="40">
        <f>F270/F264</f>
        <v>0.2749391727493917</v>
      </c>
      <c r="G267" s="40">
        <f>G270/G264</f>
        <v>0.27500232579774864</v>
      </c>
      <c r="H267" s="40">
        <f>H270/H264</f>
        <v>0.2750955192775269</v>
      </c>
      <c r="I267" s="40">
        <f>I270/I264</f>
        <v>0.2749822820694543</v>
      </c>
      <c r="J267" s="92">
        <v>0.275</v>
      </c>
      <c r="K267" s="124"/>
    </row>
    <row r="268">
      <c r="A268" s="2"/>
      <c r="B268" s="47" t="s">
        <v>169</v>
      </c>
      <c r="C268" s="7"/>
      <c r="D268" s="42">
        <f>(D267-C267)*10000</f>
        <v>-0.7786773682250114</v>
      </c>
      <c r="E268" s="42">
        <f>(E267-D267)*10000</f>
        <v>0.5611978872832601</v>
      </c>
      <c r="F268" s="42">
        <f>(F267-E267)*10000</f>
        <v>-0.9559776521189667</v>
      </c>
      <c r="G268" s="7"/>
      <c r="H268" s="42">
        <f>(H267-F267)*10000</f>
        <v>1.5634652813517613</v>
      </c>
      <c r="I268" s="42">
        <f>(I267-H267)*10000</f>
        <v>-1.1323720807260296</v>
      </c>
      <c r="J268" s="56">
        <f>(J267-I267)*10000</f>
        <v>0.17717930545724236</v>
      </c>
      <c r="K268" s="124"/>
    </row>
    <row r="269">
      <c r="A269" s="2"/>
      <c r="B269" s="47" t="s">
        <v>170</v>
      </c>
      <c r="C269" s="7"/>
      <c r="D269" s="7"/>
      <c r="E269" s="7"/>
      <c r="F269" s="7"/>
      <c r="G269" s="7"/>
      <c r="H269" s="42">
        <f>(H267-C267)*10000</f>
        <v>0.39000814829104336</v>
      </c>
      <c r="I269" s="42">
        <f>(I267-D267)*10000</f>
        <v>0.03631343579002522</v>
      </c>
      <c r="J269" s="56">
        <f>(J267-E267)*10000</f>
        <v>-0.34770514603599256</v>
      </c>
      <c r="K269" s="124"/>
    </row>
    <row r="270">
      <c r="A270" s="2"/>
      <c r="B270" s="3" t="s">
        <v>225</v>
      </c>
      <c r="C270" s="37">
        <v>730</v>
      </c>
      <c r="D270" s="37">
        <v>644</v>
      </c>
      <c r="E270" s="37">
        <v>791</v>
      </c>
      <c r="F270" s="37">
        <v>791</v>
      </c>
      <c r="G270" s="43">
        <f>SUM(C270:F270)</f>
        <v>2956</v>
      </c>
      <c r="H270" s="37">
        <v>792</v>
      </c>
      <c r="I270" s="37">
        <v>776</v>
      </c>
      <c r="J270" s="38">
        <f>J264*J267</f>
        <v>801.728310342466</v>
      </c>
      <c r="K270" s="125" t="s">
        <v>127</v>
      </c>
    </row>
    <row r="271">
      <c r="A271" s="2"/>
      <c r="B271" s="18" t="s">
        <v>226</v>
      </c>
      <c r="C271" s="39">
        <f>C264-C270</f>
        <v>1924</v>
      </c>
      <c r="D271" s="39">
        <f>D264-D270</f>
        <v>1698</v>
      </c>
      <c r="E271" s="39">
        <f>E264-E270</f>
        <v>2085</v>
      </c>
      <c r="F271" s="39">
        <f>F264-F270</f>
        <v>2086</v>
      </c>
      <c r="G271" s="39">
        <f>G264-G270</f>
        <v>7793</v>
      </c>
      <c r="H271" s="39">
        <f>H264-H270</f>
        <v>2087</v>
      </c>
      <c r="I271" s="39">
        <f>I264-I270</f>
        <v>2046</v>
      </c>
      <c r="J271" s="50">
        <f>J264-J270</f>
        <v>2113.647363630137</v>
      </c>
      <c r="K271" s="124"/>
    </row>
    <row r="272">
      <c r="A272" s="2"/>
      <c r="B272" s="47" t="s">
        <v>133</v>
      </c>
      <c r="C272" s="7"/>
      <c r="D272" s="7"/>
      <c r="E272" s="7"/>
      <c r="F272" s="7"/>
      <c r="G272" s="7"/>
      <c r="H272" s="40">
        <f>IF(OR(H271="",C271=""),"n.a.",IFERROR(IF(C271&lt;=0,"n.m.",IF(H271/C271&lt;=0,"n.m.",H271/C271-1)),"n.a."))</f>
        <v>0.08471933471933468</v>
      </c>
      <c r="I272" s="40">
        <f>IF(OR(I271="",D271=""),"n.a.",IFERROR(IF(D271&lt;=0,"n.m.",IF(I271/D271&lt;=0,"n.m.",I271/D271-1)),"n.a."))</f>
        <v>0.204946996466431</v>
      </c>
      <c r="J272" s="45">
        <f>IF(OR(J271="",E271=""),"n.a.",IFERROR(IF(E271&lt;=0,"n.m.",IF(J271/E271&lt;=0,"n.m.",J271/E271-1)),"n.a."))</f>
        <v>0.01373974274826728</v>
      </c>
      <c r="K272" s="124"/>
    </row>
    <row r="273">
      <c r="A273" s="2"/>
      <c r="B273" s="47" t="s">
        <v>134</v>
      </c>
      <c r="C273" s="7"/>
      <c r="D273" s="41">
        <f>IF(OR(D271="",C271=""),"n.a.",IFERROR(D271-C271,"n.a."))</f>
        <v>-226</v>
      </c>
      <c r="E273" s="41">
        <f>IF(OR(E271="",D271=""),"n.a.",IFERROR(E271-D271,"n.a."))</f>
        <v>387</v>
      </c>
      <c r="F273" s="41">
        <f>IF(OR(F271="",E271=""),"n.a.",IFERROR(F271-E271,"n.a."))</f>
        <v>1</v>
      </c>
      <c r="G273" s="7"/>
      <c r="H273" s="41">
        <f>IF(OR(H271="",F271=""),"n.a.",IFERROR(H271-F271,"n.a."))</f>
        <v>1</v>
      </c>
      <c r="I273" s="41">
        <f>IF(OR(I271="",H271=""),"n.a.",IFERROR(I271-H271,"n.a."))</f>
        <v>-41</v>
      </c>
      <c r="J273" s="52">
        <f>IF(OR(J271="",I271=""),"n.a.",IFERROR(J271-I271,"n.a."))</f>
        <v>67.64736363013708</v>
      </c>
      <c r="K273" s="124"/>
    </row>
    <row r="274">
      <c r="A274" s="2"/>
      <c r="B274" s="1" t="s">
        <v>227</v>
      </c>
      <c r="C274" s="40">
        <f>C261/C248</f>
        <v>0.5313751668891856</v>
      </c>
      <c r="D274" s="40">
        <f>D261/D248</f>
        <v>0.5396378976973106</v>
      </c>
      <c r="E274" s="40">
        <f>E261/E248</f>
        <v>0.49184036193246083</v>
      </c>
      <c r="F274" s="40">
        <f>F261/F248</f>
        <v>0.49983969220904134</v>
      </c>
      <c r="G274" s="40">
        <f>G261/G248</f>
        <v>0.515015762402522</v>
      </c>
      <c r="H274" s="40">
        <f>H261/H248</f>
        <v>0.5126451407666613</v>
      </c>
      <c r="I274" s="40">
        <f>I261/I248</f>
        <v>0.512989095574086</v>
      </c>
      <c r="J274" s="45">
        <f>J261/J248</f>
        <v>0.5003672795927426</v>
      </c>
      <c r="K274" s="124"/>
    </row>
    <row r="275">
      <c r="A275" s="2"/>
      <c r="B275" s="47" t="s">
        <v>169</v>
      </c>
      <c r="C275" s="7"/>
      <c r="D275" s="42">
        <f>(D274-C274)*10000</f>
        <v>82.62730808125008</v>
      </c>
      <c r="E275" s="42">
        <f>(E274-D274)*10000</f>
        <v>-477.97535764849795</v>
      </c>
      <c r="F275" s="42">
        <f>(F274-E274)*10000</f>
        <v>79.99330276580507</v>
      </c>
      <c r="G275" s="7"/>
      <c r="H275" s="42">
        <f>(H274-F274)*10000</f>
        <v>128.05448557620002</v>
      </c>
      <c r="I275" s="42">
        <f>(I274-H274)*10000</f>
        <v>3.4395480742466233</v>
      </c>
      <c r="J275" s="56">
        <f>(J274-I274)*10000</f>
        <v>-126.21815981343376</v>
      </c>
      <c r="K275" s="124"/>
    </row>
    <row r="276">
      <c r="A276" s="2"/>
      <c r="B276" s="47" t="s">
        <v>170</v>
      </c>
      <c r="C276" s="7"/>
      <c r="D276" s="7"/>
      <c r="E276" s="7"/>
      <c r="F276" s="7"/>
      <c r="G276" s="7"/>
      <c r="H276" s="42">
        <f>(H274-C274)*10000</f>
        <v>-187.3002612252428</v>
      </c>
      <c r="I276" s="42">
        <f>(I274-D274)*10000</f>
        <v>-266.48802123224624</v>
      </c>
      <c r="J276" s="56">
        <f>(J274-E274)*10000</f>
        <v>85.26917660281796</v>
      </c>
      <c r="K276" s="124"/>
    </row>
    <row r="277">
      <c r="A277" s="2"/>
      <c r="B277" s="1" t="s">
        <v>228</v>
      </c>
      <c r="C277" s="40">
        <f>C264/C248</f>
        <v>0.44292389853137515</v>
      </c>
      <c r="D277" s="40">
        <f>D264/D248</f>
        <v>0.4116716470381438</v>
      </c>
      <c r="E277" s="40">
        <f>E264/E248</f>
        <v>0.46469542737114233</v>
      </c>
      <c r="F277" s="40">
        <f>F264/F248</f>
        <v>0.46120551458800896</v>
      </c>
      <c r="G277" s="40">
        <f>G264/G248</f>
        <v>0.4458685913389746</v>
      </c>
      <c r="H277" s="40">
        <f>H264/H248</f>
        <v>0.45792905996500716</v>
      </c>
      <c r="I277" s="40">
        <f>I264/I248</f>
        <v>0.45253367543296985</v>
      </c>
      <c r="J277" s="45">
        <f>J264/J248</f>
        <v>0.4630979666592159</v>
      </c>
      <c r="K277" s="124"/>
    </row>
    <row r="278">
      <c r="A278" s="2"/>
      <c r="B278" s="47" t="s">
        <v>169</v>
      </c>
      <c r="C278" s="7"/>
      <c r="D278" s="42">
        <f>(D277-C277)*10000</f>
        <v>-312.5225149323135</v>
      </c>
      <c r="E278" s="42">
        <f>(E277-D277)*10000</f>
        <v>530.2378033299854</v>
      </c>
      <c r="F278" s="42">
        <f>(F277-E277)*10000</f>
        <v>-34.89912783133376</v>
      </c>
      <c r="G278" s="7"/>
      <c r="H278" s="42">
        <f>(H277-F277)*10000</f>
        <v>-32.76454623001801</v>
      </c>
      <c r="I278" s="42">
        <f>(I277-H277)*10000</f>
        <v>-53.95384532037306</v>
      </c>
      <c r="J278" s="56">
        <f>(J277-I277)*10000</f>
        <v>105.64291226246026</v>
      </c>
      <c r="K278" s="124"/>
    </row>
    <row r="279">
      <c r="A279" s="2"/>
      <c r="B279" s="47" t="s">
        <v>170</v>
      </c>
      <c r="C279" s="7"/>
      <c r="D279" s="7"/>
      <c r="E279" s="7"/>
      <c r="F279" s="7"/>
      <c r="G279" s="7"/>
      <c r="H279" s="42">
        <f>(H277-C277)*10000</f>
        <v>150.05161433632009</v>
      </c>
      <c r="I279" s="42">
        <f>(I277-D277)*10000</f>
        <v>408.6202839482606</v>
      </c>
      <c r="J279" s="56">
        <f>(J277-E277)*10000</f>
        <v>-15.974607119264572</v>
      </c>
      <c r="K279" s="124"/>
    </row>
    <row r="280">
      <c r="A280" s="2"/>
      <c r="B280" s="2"/>
      <c r="C280" s="2"/>
      <c r="D280" s="2"/>
      <c r="E280" s="2"/>
      <c r="F280" s="2"/>
      <c r="G280" s="2"/>
      <c r="H280" s="2"/>
      <c r="I280" s="2"/>
      <c r="J280" s="2"/>
      <c r="K280" s="2"/>
    </row>
    <row r="281">
      <c r="A281" s="2"/>
      <c r="B281" s="138" t="s">
        <v>73</v>
      </c>
      <c r="C281" s="137"/>
      <c r="D281" s="137"/>
      <c r="E281" s="137"/>
      <c r="F281" s="137"/>
      <c r="G281" s="137"/>
      <c r="H281" s="137"/>
      <c r="I281" s="137"/>
      <c r="J281" s="137"/>
      <c r="K281" s="137"/>
    </row>
    <row r="282">
      <c r="B282" s="128" t="s">
        <v>74</v>
      </c>
      <c r="C282" s="130" t="s">
        <v>317</v>
      </c>
      <c r="D282" s="127"/>
      <c r="E282" s="127"/>
      <c r="F282" s="127"/>
      <c r="G282" s="127"/>
      <c r="H282" s="127"/>
      <c r="I282" s="127"/>
      <c r="J282" s="127"/>
      <c r="K282" s="127"/>
    </row>
    <row r="283">
      <c r="B283" s="128"/>
      <c r="C283" s="130" t="s">
        <v>318</v>
      </c>
      <c r="D283" s="127"/>
      <c r="E283" s="127"/>
      <c r="F283" s="127"/>
      <c r="G283" s="127"/>
      <c r="H283" s="127"/>
      <c r="I283" s="127"/>
      <c r="J283" s="127"/>
      <c r="K283" s="127"/>
    </row>
    <row r="284">
      <c r="B284" s="128"/>
      <c r="C284" s="130" t="s">
        <v>319</v>
      </c>
      <c r="D284" s="127"/>
      <c r="E284" s="127"/>
      <c r="F284" s="127"/>
      <c r="G284" s="127"/>
      <c r="H284" s="127"/>
      <c r="I284" s="127"/>
      <c r="J284" s="127"/>
      <c r="K284" s="127"/>
    </row>
  </sheetData>
  <legacyDrawing r:id="rId2"/>
</worksheet>
</file>

<file path=xl/worksheets/sheet6.xml><?xml version="1.0" encoding="utf-8"?>
<worksheet xmlns="http://schemas.openxmlformats.org/spreadsheetml/2006/main" xmlns:r="http://schemas.openxmlformats.org/officeDocument/2006/relationships">
  <dimension ref="A1:K204"/>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320</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321</v>
      </c>
      <c r="C9" s="7"/>
      <c r="D9" s="7"/>
      <c r="E9" s="7"/>
      <c r="F9" s="7"/>
      <c r="G9" s="7"/>
      <c r="H9" s="7"/>
      <c r="I9" s="7"/>
      <c r="J9" s="46"/>
      <c r="K9" s="124"/>
    </row>
    <row r="10">
      <c r="A10" s="2"/>
      <c r="B10" s="3" t="s">
        <v>322</v>
      </c>
      <c r="C10" s="37">
        <v>3464</v>
      </c>
      <c r="D10" s="37">
        <v>3249</v>
      </c>
      <c r="E10" s="37">
        <v>3078</v>
      </c>
      <c r="F10" s="37">
        <v>2517</v>
      </c>
      <c r="G10" s="43">
        <f>SUM(C10:F10)</f>
        <v>12308</v>
      </c>
      <c r="H10" s="37">
        <v>3496</v>
      </c>
      <c r="I10" s="37">
        <v>3536</v>
      </c>
      <c r="J10" s="75">
        <v>3080</v>
      </c>
      <c r="K10" s="125" t="s">
        <v>127</v>
      </c>
    </row>
    <row r="11">
      <c r="A11" s="2"/>
      <c r="B11" s="47" t="s">
        <v>113</v>
      </c>
      <c r="C11" s="7"/>
      <c r="D11" s="7"/>
      <c r="E11" s="7"/>
      <c r="F11" s="7"/>
      <c r="G11" s="7"/>
      <c r="H11" s="40">
        <f>IF(OR(H10="",C10=""),"n.a.",IFERROR(IF(C10&lt;=0,"n.m.",IF(H10/C10&lt;=0,"n.m.",H10/C10-1)),"n.a."))</f>
        <v>0.009237875288683695</v>
      </c>
      <c r="I11" s="40">
        <f>IF(OR(I10="",D10=""),"n.a.",IFERROR(IF(D10&lt;=0,"n.m.",IF(I10/D10&lt;=0,"n.m.",I10/D10-1)),"n.a."))</f>
        <v>0.08833487226839032</v>
      </c>
      <c r="J11" s="45">
        <f>IF(OR(J10="",E10=""),"n.a.",IFERROR(IF(E10&lt;=0,"n.m.",IF(J10/E10&lt;=0,"n.m.",J10/E10-1)),"n.a."))</f>
        <v>0.0006497725795970855</v>
      </c>
      <c r="K11" s="124"/>
    </row>
    <row r="12">
      <c r="A12" s="2"/>
      <c r="B12" s="47" t="s">
        <v>114</v>
      </c>
      <c r="C12" s="7"/>
      <c r="D12" s="40">
        <f>IF(OR(D10="",C10=""),"n.a.",IFERROR(IF(C10&lt;=0,"n.m.",IF(D10/C10&lt;=0,"n.m.",D10/C10-1)),"n.a."))</f>
        <v>-0.06206697459584298</v>
      </c>
      <c r="E12" s="40">
        <f>IF(OR(E10="",D10=""),"n.a.",IFERROR(IF(D10&lt;=0,"n.m.",IF(E10/D10&lt;=0,"n.m.",E10/D10-1)),"n.a."))</f>
        <v>-0.052631578947368474</v>
      </c>
      <c r="F12" s="40">
        <f>IF(OR(F10="",E10=""),"n.a.",IFERROR(IF(E10&lt;=0,"n.m.",IF(F10/E10&lt;=0,"n.m.",F10/E10-1)),"n.a."))</f>
        <v>-0.182261208576998</v>
      </c>
      <c r="G12" s="7"/>
      <c r="H12" s="40">
        <f>IF(OR(H10="",F10=""),"n.a.",IFERROR(IF(F10&lt;=0,"n.m.",IF(H10/F10&lt;=0,"n.m.",H10/F10-1)),"n.a."))</f>
        <v>0.3889551052840683</v>
      </c>
      <c r="I12" s="40">
        <f>IF(OR(I10="",H10=""),"n.a.",IFERROR(IF(H10&lt;=0,"n.m.",IF(I10/H10&lt;=0,"n.m.",I10/H10-1)),"n.a."))</f>
        <v>0.011441647597254079</v>
      </c>
      <c r="J12" s="45">
        <f>IF(OR(J10="",I10=""),"n.a.",IFERROR(IF(I10&lt;=0,"n.m.",IF(J10/I10&lt;=0,"n.m.",J10/I10-1)),"n.a."))</f>
        <v>-0.12895927601809953</v>
      </c>
      <c r="K12" s="124"/>
    </row>
    <row r="13">
      <c r="A13" s="2"/>
      <c r="B13" s="47" t="s">
        <v>115</v>
      </c>
      <c r="C13" s="7"/>
      <c r="D13" s="7"/>
      <c r="E13" s="7"/>
      <c r="F13" s="7"/>
      <c r="G13" s="7"/>
      <c r="H13" s="40" t="s">
        <v>116</v>
      </c>
      <c r="I13" s="40" t="s">
        <v>116</v>
      </c>
      <c r="J13" s="45" t="s">
        <v>116</v>
      </c>
      <c r="K13" s="124"/>
    </row>
    <row r="14">
      <c r="A14" s="2"/>
      <c r="B14" s="47" t="s">
        <v>117</v>
      </c>
      <c r="C14" s="7"/>
      <c r="D14" s="7"/>
      <c r="E14" s="7"/>
      <c r="F14" s="7"/>
      <c r="G14" s="7"/>
      <c r="H14" s="40" t="s">
        <v>116</v>
      </c>
      <c r="I14" s="40" t="s">
        <v>116</v>
      </c>
      <c r="J14" s="45" t="s">
        <v>116</v>
      </c>
      <c r="K14" s="124"/>
    </row>
    <row r="15">
      <c r="A15" s="2"/>
      <c r="B15" s="47" t="s">
        <v>118</v>
      </c>
      <c r="C15" s="7"/>
      <c r="D15" s="7"/>
      <c r="E15" s="7"/>
      <c r="F15" s="7"/>
      <c r="G15" s="7"/>
      <c r="H15" s="40" t="s">
        <v>116</v>
      </c>
      <c r="I15" s="40" t="s">
        <v>116</v>
      </c>
      <c r="J15" s="45" t="s">
        <v>116</v>
      </c>
      <c r="K15" s="124"/>
    </row>
    <row r="16">
      <c r="A16" s="2"/>
      <c r="B16" s="3" t="s">
        <v>323</v>
      </c>
      <c r="C16" s="37">
        <v>2182</v>
      </c>
      <c r="D16" s="37">
        <v>2130</v>
      </c>
      <c r="E16" s="37">
        <v>2270</v>
      </c>
      <c r="F16" s="37">
        <v>2016</v>
      </c>
      <c r="G16" s="43">
        <f>SUM(C16:F16)</f>
        <v>8598</v>
      </c>
      <c r="H16" s="37">
        <v>2828</v>
      </c>
      <c r="I16" s="37">
        <v>3619</v>
      </c>
      <c r="J16" s="75">
        <v>2470</v>
      </c>
      <c r="K16" s="125" t="s">
        <v>127</v>
      </c>
    </row>
    <row r="17">
      <c r="A17" s="2"/>
      <c r="B17" s="47" t="s">
        <v>113</v>
      </c>
      <c r="C17" s="7"/>
      <c r="D17" s="7"/>
      <c r="E17" s="7"/>
      <c r="F17" s="7"/>
      <c r="G17" s="7"/>
      <c r="H17" s="40">
        <f>IF(OR(H16="",C16=""),"n.a.",IFERROR(IF(C16&lt;=0,"n.m.",IF(H16/C16&lt;=0,"n.m.",H16/C16-1)),"n.a."))</f>
        <v>0.2960586617781851</v>
      </c>
      <c r="I17" s="40">
        <f>IF(OR(I16="",D16=""),"n.a.",IFERROR(IF(D16&lt;=0,"n.m.",IF(I16/D16&lt;=0,"n.m.",I16/D16-1)),"n.a."))</f>
        <v>0.6990610328638498</v>
      </c>
      <c r="J17" s="45">
        <f>IF(OR(J16="",E16=""),"n.a.",IFERROR(IF(E16&lt;=0,"n.m.",IF(J16/E16&lt;=0,"n.m.",J16/E16-1)),"n.a."))</f>
        <v>0.08810572687224671</v>
      </c>
      <c r="K17" s="124"/>
    </row>
    <row r="18">
      <c r="A18" s="2"/>
      <c r="B18" s="47" t="s">
        <v>114</v>
      </c>
      <c r="C18" s="7"/>
      <c r="D18" s="40">
        <f>IF(OR(D16="",C16=""),"n.a.",IFERROR(IF(C16&lt;=0,"n.m.",IF(D16/C16&lt;=0,"n.m.",D16/C16-1)),"n.a."))</f>
        <v>-0.02383134738771764</v>
      </c>
      <c r="E18" s="40">
        <f>IF(OR(E16="",D16=""),"n.a.",IFERROR(IF(D16&lt;=0,"n.m.",IF(E16/D16&lt;=0,"n.m.",E16/D16-1)),"n.a."))</f>
        <v>0.06572769953051649</v>
      </c>
      <c r="F18" s="40">
        <f>IF(OR(F16="",E16=""),"n.a.",IFERROR(IF(E16&lt;=0,"n.m.",IF(F16/E16&lt;=0,"n.m.",F16/E16-1)),"n.a."))</f>
        <v>-0.11189427312775335</v>
      </c>
      <c r="G18" s="7"/>
      <c r="H18" s="40">
        <f>IF(OR(H16="",F16=""),"n.a.",IFERROR(IF(F16&lt;=0,"n.m.",IF(H16/F16&lt;=0,"n.m.",H16/F16-1)),"n.a."))</f>
        <v>0.4027777777777777</v>
      </c>
      <c r="I18" s="40">
        <f>IF(OR(I16="",H16=""),"n.a.",IFERROR(IF(H16&lt;=0,"n.m.",IF(I16/H16&lt;=0,"n.m.",I16/H16-1)),"n.a."))</f>
        <v>0.27970297029702973</v>
      </c>
      <c r="J18" s="45">
        <f>IF(OR(J16="",I16=""),"n.a.",IFERROR(IF(I16&lt;=0,"n.m.",IF(J16/I16&lt;=0,"n.m.",J16/I16-1)),"n.a."))</f>
        <v>-0.3174910196186792</v>
      </c>
      <c r="K18" s="124"/>
    </row>
    <row r="19">
      <c r="A19" s="2"/>
      <c r="B19" s="47" t="s">
        <v>115</v>
      </c>
      <c r="C19" s="7"/>
      <c r="D19" s="7"/>
      <c r="E19" s="7"/>
      <c r="F19" s="7"/>
      <c r="G19" s="7"/>
      <c r="H19" s="40" t="s">
        <v>116</v>
      </c>
      <c r="I19" s="40" t="s">
        <v>116</v>
      </c>
      <c r="J19" s="45" t="s">
        <v>116</v>
      </c>
      <c r="K19" s="124"/>
    </row>
    <row r="20">
      <c r="A20" s="2"/>
      <c r="B20" s="47" t="s">
        <v>117</v>
      </c>
      <c r="C20" s="7"/>
      <c r="D20" s="7"/>
      <c r="E20" s="7"/>
      <c r="F20" s="7"/>
      <c r="G20" s="7"/>
      <c r="H20" s="40" t="s">
        <v>116</v>
      </c>
      <c r="I20" s="40" t="s">
        <v>116</v>
      </c>
      <c r="J20" s="45" t="s">
        <v>116</v>
      </c>
      <c r="K20" s="124"/>
    </row>
    <row r="21">
      <c r="A21" s="2"/>
      <c r="B21" s="47" t="s">
        <v>118</v>
      </c>
      <c r="C21" s="7"/>
      <c r="D21" s="7"/>
      <c r="E21" s="7"/>
      <c r="F21" s="7"/>
      <c r="G21" s="7"/>
      <c r="H21" s="40" t="s">
        <v>116</v>
      </c>
      <c r="I21" s="40" t="s">
        <v>116</v>
      </c>
      <c r="J21" s="45" t="s">
        <v>116</v>
      </c>
      <c r="K21" s="124"/>
    </row>
    <row r="22">
      <c r="A22" s="2"/>
      <c r="B22" s="18" t="s">
        <v>324</v>
      </c>
      <c r="C22" s="39">
        <f>C10+C16</f>
        <v>5646</v>
      </c>
      <c r="D22" s="39">
        <f>D10+D16</f>
        <v>5379</v>
      </c>
      <c r="E22" s="39">
        <f>E10+E16</f>
        <v>5348</v>
      </c>
      <c r="F22" s="39">
        <f>F10+F16</f>
        <v>4533</v>
      </c>
      <c r="G22" s="39">
        <f>G10+G16</f>
        <v>20906</v>
      </c>
      <c r="H22" s="39">
        <f>H10+H16</f>
        <v>6324</v>
      </c>
      <c r="I22" s="39">
        <f>I10+I16</f>
        <v>7155</v>
      </c>
      <c r="J22" s="50">
        <f>J10+J16</f>
        <v>5550</v>
      </c>
      <c r="K22" s="124"/>
    </row>
    <row r="23">
      <c r="A23" s="2"/>
      <c r="B23" s="47" t="s">
        <v>113</v>
      </c>
      <c r="C23" s="7"/>
      <c r="D23" s="7"/>
      <c r="E23" s="7"/>
      <c r="F23" s="7"/>
      <c r="G23" s="7"/>
      <c r="H23" s="40">
        <f>IF(OR(H22="",C22=""),"n.a.",IFERROR(IF(C22&lt;=0,"n.m.",IF(H22/C22&lt;=0,"n.m.",H22/C22-1)),"n.a."))</f>
        <v>0.12008501594048893</v>
      </c>
      <c r="I23" s="40">
        <f>IF(OR(I22="",D22=""),"n.a.",IFERROR(IF(D22&lt;=0,"n.m.",IF(I22/D22&lt;=0,"n.m.",I22/D22-1)),"n.a."))</f>
        <v>0.3301728945900726</v>
      </c>
      <c r="J23" s="45">
        <f>IF(OR(J22="",E22=""),"n.a.",IFERROR(IF(E22&lt;=0,"n.m.",IF(J22/E22&lt;=0,"n.m.",J22/E22-1)),"n.a."))</f>
        <v>0.03777112939416605</v>
      </c>
      <c r="K23" s="124"/>
    </row>
    <row r="24">
      <c r="A24" s="2"/>
      <c r="B24" s="47" t="s">
        <v>114</v>
      </c>
      <c r="C24" s="7"/>
      <c r="D24" s="40">
        <f>IF(OR(D22="",C22=""),"n.a.",IFERROR(IF(C22&lt;=0,"n.m.",IF(D22/C22&lt;=0,"n.m.",D22/C22-1)),"n.a."))</f>
        <v>-0.0472901168969182</v>
      </c>
      <c r="E24" s="40">
        <f>IF(OR(E22="",D22=""),"n.a.",IFERROR(IF(D22&lt;=0,"n.m.",IF(E22/D22&lt;=0,"n.m.",E22/D22-1)),"n.a."))</f>
        <v>-0.00576315300241681</v>
      </c>
      <c r="F24" s="40">
        <f>IF(OR(F22="",E22=""),"n.a.",IFERROR(IF(E22&lt;=0,"n.m.",IF(F22/E22&lt;=0,"n.m.",F22/E22-1)),"n.a."))</f>
        <v>-0.15239341810022433</v>
      </c>
      <c r="G24" s="7"/>
      <c r="H24" s="40">
        <f>IF(OR(H22="",F22=""),"n.a.",IFERROR(IF(F22&lt;=0,"n.m.",IF(H22/F22&lt;=0,"n.m.",H22/F22-1)),"n.a."))</f>
        <v>0.3951025810721376</v>
      </c>
      <c r="I24" s="40">
        <f>IF(OR(I22="",H22=""),"n.a.",IFERROR(IF(H22&lt;=0,"n.m.",IF(I22/H22&lt;=0,"n.m.",I22/H22-1)),"n.a."))</f>
        <v>0.13140417457305498</v>
      </c>
      <c r="J24" s="45">
        <f>IF(OR(J22="",I22=""),"n.a.",IFERROR(IF(I22&lt;=0,"n.m.",IF(J22/I22&lt;=0,"n.m.",J22/I22-1)),"n.a."))</f>
        <v>-0.22431865828092246</v>
      </c>
      <c r="K24" s="124"/>
    </row>
    <row r="25">
      <c r="A25" s="2"/>
      <c r="B25" s="47" t="s">
        <v>115</v>
      </c>
      <c r="C25" s="7"/>
      <c r="D25" s="7"/>
      <c r="E25" s="7"/>
      <c r="F25" s="7"/>
      <c r="G25" s="7"/>
      <c r="H25" s="40" t="s">
        <v>116</v>
      </c>
      <c r="I25" s="40" t="s">
        <v>116</v>
      </c>
      <c r="J25" s="45" t="s">
        <v>116</v>
      </c>
      <c r="K25" s="124"/>
    </row>
    <row r="26">
      <c r="A26" s="2"/>
      <c r="B26" s="47" t="s">
        <v>117</v>
      </c>
      <c r="C26" s="7"/>
      <c r="D26" s="7"/>
      <c r="E26" s="7"/>
      <c r="F26" s="7"/>
      <c r="G26" s="7"/>
      <c r="H26" s="40" t="s">
        <v>116</v>
      </c>
      <c r="I26" s="40" t="s">
        <v>116</v>
      </c>
      <c r="J26" s="45" t="s">
        <v>116</v>
      </c>
      <c r="K26" s="124"/>
    </row>
    <row r="27">
      <c r="A27" s="2"/>
      <c r="B27" s="47" t="s">
        <v>118</v>
      </c>
      <c r="C27" s="7"/>
      <c r="D27" s="7"/>
      <c r="E27" s="7"/>
      <c r="F27" s="7"/>
      <c r="G27" s="7"/>
      <c r="H27" s="40" t="s">
        <v>116</v>
      </c>
      <c r="I27" s="40" t="s">
        <v>116</v>
      </c>
      <c r="J27" s="45" t="s">
        <v>116</v>
      </c>
      <c r="K27" s="124"/>
    </row>
    <row r="28">
      <c r="A28" s="2"/>
      <c r="B28" s="3" t="s">
        <v>325</v>
      </c>
      <c r="C28" s="37">
        <v>5646</v>
      </c>
      <c r="D28" s="37">
        <v>5379</v>
      </c>
      <c r="E28" s="37">
        <v>5348</v>
      </c>
      <c r="F28" s="37">
        <v>4533</v>
      </c>
      <c r="G28" s="43">
        <f>SUM(C28:F28)</f>
        <v>20906</v>
      </c>
      <c r="H28" s="37">
        <v>6324</v>
      </c>
      <c r="I28" s="37">
        <v>7155</v>
      </c>
      <c r="J28" s="46"/>
      <c r="K28" s="125" t="s">
        <v>130</v>
      </c>
    </row>
    <row r="29">
      <c r="A29" s="2"/>
      <c r="B29" s="61" t="s">
        <v>167</v>
      </c>
      <c r="C29" s="41">
        <f>C22-C28</f>
        <v>0</v>
      </c>
      <c r="D29" s="41">
        <f>D22-D28</f>
        <v>0</v>
      </c>
      <c r="E29" s="41">
        <f>E22-E28</f>
        <v>0</v>
      </c>
      <c r="F29" s="41">
        <f>F22-F28</f>
        <v>0</v>
      </c>
      <c r="G29" s="41">
        <f>G22-G28</f>
        <v>0</v>
      </c>
      <c r="H29" s="41">
        <f>H22-H28</f>
        <v>0</v>
      </c>
      <c r="I29" s="41">
        <f>I22-I28</f>
        <v>0</v>
      </c>
      <c r="J29" s="46"/>
      <c r="K29" s="124"/>
    </row>
    <row r="30">
      <c r="A30" s="2"/>
      <c r="B30" s="18" t="s">
        <v>326</v>
      </c>
      <c r="C30" s="7"/>
      <c r="D30" s="7"/>
      <c r="E30" s="7"/>
      <c r="F30" s="7"/>
      <c r="G30" s="7"/>
      <c r="H30" s="7"/>
      <c r="I30" s="7"/>
      <c r="J30" s="46"/>
      <c r="K30" s="124"/>
    </row>
    <row r="31">
      <c r="A31" s="2"/>
      <c r="B31" s="3" t="s">
        <v>327</v>
      </c>
      <c r="C31" s="43">
        <f>C43-C10</f>
        <v>15</v>
      </c>
      <c r="D31" s="43">
        <f>D43-D10</f>
        <v>-54</v>
      </c>
      <c r="E31" s="43">
        <f>E43-E10</f>
        <v>14</v>
      </c>
      <c r="F31" s="43">
        <f>F43-F10</f>
        <v>-16</v>
      </c>
      <c r="G31" s="43">
        <f>G43-G10</f>
        <v>-41</v>
      </c>
      <c r="H31" s="43">
        <f>H43-H10</f>
        <v>49</v>
      </c>
      <c r="I31" s="43">
        <f>I43-I10</f>
        <v>-60</v>
      </c>
      <c r="J31" s="75">
        <v>0</v>
      </c>
      <c r="K31" s="124" t="s">
        <v>328</v>
      </c>
    </row>
    <row r="32">
      <c r="A32" s="2"/>
      <c r="B32" s="47" t="s">
        <v>113</v>
      </c>
      <c r="C32" s="7"/>
      <c r="D32" s="7"/>
      <c r="E32" s="7"/>
      <c r="F32" s="7"/>
      <c r="G32" s="7"/>
      <c r="H32" s="40">
        <f>IF(OR(H31="",C31=""),"n.a.",IFERROR(IF(C31&lt;=0,"n.m.",IF(H31/C31&lt;=0,"n.m.",H31/C31-1)),"n.a."))</f>
        <v>2.2666666666666666</v>
      </c>
      <c r="I32" s="40" t="str">
        <f>IF(OR(I31="",D31=""),"n.a.",IFERROR(IF(D31&lt;=0,"n.m.",IF(I31/D31&lt;=0,"n.m.",I31/D31-1)),"n.a."))</f>
        <v>n.m.</v>
      </c>
      <c r="J32" s="45" t="s">
        <v>194</v>
      </c>
      <c r="K32" s="124"/>
    </row>
    <row r="33">
      <c r="A33" s="2"/>
      <c r="B33" s="47" t="s">
        <v>114</v>
      </c>
      <c r="C33" s="7"/>
      <c r="D33" s="40" t="str">
        <f>IF(OR(D31="",C31=""),"n.a.",IFERROR(IF(C31&lt;=0,"n.m.",IF(D31/C31&lt;=0,"n.m.",D31/C31-1)),"n.a."))</f>
        <v>n.m.</v>
      </c>
      <c r="E33" s="40" t="str">
        <f>IF(OR(E31="",D31=""),"n.a.",IFERROR(IF(D31&lt;=0,"n.m.",IF(E31/D31&lt;=0,"n.m.",E31/D31-1)),"n.a."))</f>
        <v>n.m.</v>
      </c>
      <c r="F33" s="40" t="str">
        <f>IF(OR(F31="",E31=""),"n.a.",IFERROR(IF(E31&lt;=0,"n.m.",IF(F31/E31&lt;=0,"n.m.",F31/E31-1)),"n.a."))</f>
        <v>n.m.</v>
      </c>
      <c r="G33" s="7"/>
      <c r="H33" s="40" t="str">
        <f>IF(OR(H31="",F31=""),"n.a.",IFERROR(IF(F31&lt;=0,"n.m.",IF(H31/F31&lt;=0,"n.m.",H31/F31-1)),"n.a."))</f>
        <v>n.m.</v>
      </c>
      <c r="I33" s="40" t="str">
        <f>IF(OR(I31="",H31=""),"n.a.",IFERROR(IF(H31&lt;=0,"n.m.",IF(I31/H31&lt;=0,"n.m.",I31/H31-1)),"n.a."))</f>
        <v>n.m.</v>
      </c>
      <c r="J33" s="45" t="s">
        <v>194</v>
      </c>
      <c r="K33" s="124"/>
    </row>
    <row r="34">
      <c r="A34" s="2"/>
      <c r="B34" s="47" t="s">
        <v>115</v>
      </c>
      <c r="C34" s="7"/>
      <c r="D34" s="7"/>
      <c r="E34" s="7"/>
      <c r="F34" s="7"/>
      <c r="G34" s="7"/>
      <c r="H34" s="40" t="s">
        <v>116</v>
      </c>
      <c r="I34" s="40" t="s">
        <v>116</v>
      </c>
      <c r="J34" s="45" t="s">
        <v>116</v>
      </c>
      <c r="K34" s="124"/>
    </row>
    <row r="35">
      <c r="A35" s="2"/>
      <c r="B35" s="47" t="s">
        <v>117</v>
      </c>
      <c r="C35" s="7"/>
      <c r="D35" s="7"/>
      <c r="E35" s="7"/>
      <c r="F35" s="7"/>
      <c r="G35" s="7"/>
      <c r="H35" s="40" t="s">
        <v>116</v>
      </c>
      <c r="I35" s="40" t="s">
        <v>116</v>
      </c>
      <c r="J35" s="45" t="s">
        <v>116</v>
      </c>
      <c r="K35" s="124"/>
    </row>
    <row r="36">
      <c r="A36" s="2"/>
      <c r="B36" s="47" t="s">
        <v>118</v>
      </c>
      <c r="C36" s="7"/>
      <c r="D36" s="7"/>
      <c r="E36" s="7"/>
      <c r="F36" s="7"/>
      <c r="G36" s="7"/>
      <c r="H36" s="40" t="s">
        <v>116</v>
      </c>
      <c r="I36" s="40" t="s">
        <v>116</v>
      </c>
      <c r="J36" s="45" t="s">
        <v>116</v>
      </c>
      <c r="K36" s="124"/>
    </row>
    <row r="37">
      <c r="A37" s="2"/>
      <c r="B37" s="3" t="s">
        <v>329</v>
      </c>
      <c r="C37" s="43">
        <f>C49-C16</f>
        <v>4</v>
      </c>
      <c r="D37" s="43">
        <f>D49-D16</f>
        <v>3</v>
      </c>
      <c r="E37" s="43">
        <f>E49-E16</f>
        <v>0</v>
      </c>
      <c r="F37" s="43">
        <f>F49-F16</f>
        <v>-1</v>
      </c>
      <c r="G37" s="43">
        <f>G49-G16</f>
        <v>6</v>
      </c>
      <c r="H37" s="43">
        <f>H49-H16</f>
        <v>14</v>
      </c>
      <c r="I37" s="43">
        <f>I49-I16</f>
        <v>3</v>
      </c>
      <c r="J37" s="75">
        <v>0</v>
      </c>
      <c r="K37" s="124" t="s">
        <v>328</v>
      </c>
    </row>
    <row r="38">
      <c r="A38" s="2"/>
      <c r="B38" s="47" t="s">
        <v>113</v>
      </c>
      <c r="C38" s="7"/>
      <c r="D38" s="7"/>
      <c r="E38" s="7"/>
      <c r="F38" s="7"/>
      <c r="G38" s="7"/>
      <c r="H38" s="40">
        <f>IF(OR(H37="",C37=""),"n.a.",IFERROR(IF(C37&lt;=0,"n.m.",IF(H37/C37&lt;=0,"n.m.",H37/C37-1)),"n.a."))</f>
        <v>2.5</v>
      </c>
      <c r="I38" s="40">
        <f>IF(OR(I37="",D37=""),"n.a.",IFERROR(IF(D37&lt;=0,"n.m.",IF(I37/D37&lt;=0,"n.m.",I37/D37-1)),"n.a."))</f>
        <v>0</v>
      </c>
      <c r="J38" s="45" t="s">
        <v>194</v>
      </c>
      <c r="K38" s="124"/>
    </row>
    <row r="39">
      <c r="A39" s="2"/>
      <c r="B39" s="47" t="s">
        <v>114</v>
      </c>
      <c r="C39" s="7"/>
      <c r="D39" s="40">
        <f>IF(OR(D37="",C37=""),"n.a.",IFERROR(IF(C37&lt;=0,"n.m.",IF(D37/C37&lt;=0,"n.m.",D37/C37-1)),"n.a."))</f>
        <v>-0.25</v>
      </c>
      <c r="E39" s="40" t="str">
        <f>IF(OR(E37="",D37=""),"n.a.",IFERROR(IF(D37&lt;=0,"n.m.",IF(E37/D37&lt;=0,"n.m.",E37/D37-1)),"n.a."))</f>
        <v>n.m.</v>
      </c>
      <c r="F39" s="40" t="str">
        <f>IF(OR(F37="",E37=""),"n.a.",IFERROR(IF(E37&lt;=0,"n.m.",IF(F37/E37&lt;=0,"n.m.",F37/E37-1)),"n.a."))</f>
        <v>n.m.</v>
      </c>
      <c r="G39" s="7"/>
      <c r="H39" s="40" t="str">
        <f>IF(OR(H37="",F37=""),"n.a.",IFERROR(IF(F37&lt;=0,"n.m.",IF(H37/F37&lt;=0,"n.m.",H37/F37-1)),"n.a."))</f>
        <v>n.m.</v>
      </c>
      <c r="I39" s="40">
        <f>IF(OR(I37="",H37=""),"n.a.",IFERROR(IF(H37&lt;=0,"n.m.",IF(I37/H37&lt;=0,"n.m.",I37/H37-1)),"n.a."))</f>
        <v>-0.7857142857142857</v>
      </c>
      <c r="J39" s="45" t="s">
        <v>194</v>
      </c>
      <c r="K39" s="124"/>
    </row>
    <row r="40">
      <c r="A40" s="2"/>
      <c r="B40" s="47" t="s">
        <v>115</v>
      </c>
      <c r="C40" s="7"/>
      <c r="D40" s="7"/>
      <c r="E40" s="7"/>
      <c r="F40" s="7"/>
      <c r="G40" s="7"/>
      <c r="H40" s="40" t="s">
        <v>116</v>
      </c>
      <c r="I40" s="40" t="s">
        <v>116</v>
      </c>
      <c r="J40" s="45" t="s">
        <v>116</v>
      </c>
      <c r="K40" s="124"/>
    </row>
    <row r="41">
      <c r="A41" s="2"/>
      <c r="B41" s="47" t="s">
        <v>117</v>
      </c>
      <c r="C41" s="7"/>
      <c r="D41" s="7"/>
      <c r="E41" s="7"/>
      <c r="F41" s="7"/>
      <c r="G41" s="7"/>
      <c r="H41" s="40" t="s">
        <v>116</v>
      </c>
      <c r="I41" s="40" t="s">
        <v>116</v>
      </c>
      <c r="J41" s="45" t="s">
        <v>116</v>
      </c>
      <c r="K41" s="124"/>
    </row>
    <row r="42">
      <c r="A42" s="2"/>
      <c r="B42" s="47" t="s">
        <v>118</v>
      </c>
      <c r="C42" s="7"/>
      <c r="D42" s="7"/>
      <c r="E42" s="7"/>
      <c r="F42" s="7"/>
      <c r="G42" s="7"/>
      <c r="H42" s="40" t="s">
        <v>116</v>
      </c>
      <c r="I42" s="40" t="s">
        <v>116</v>
      </c>
      <c r="J42" s="45" t="s">
        <v>116</v>
      </c>
      <c r="K42" s="124"/>
    </row>
    <row r="43">
      <c r="A43" s="2"/>
      <c r="B43" s="3" t="s">
        <v>330</v>
      </c>
      <c r="C43" s="37">
        <v>3479</v>
      </c>
      <c r="D43" s="37">
        <v>3195</v>
      </c>
      <c r="E43" s="37">
        <v>3092</v>
      </c>
      <c r="F43" s="37">
        <v>2501</v>
      </c>
      <c r="G43" s="43">
        <f>SUM(C43:F43)</f>
        <v>12267</v>
      </c>
      <c r="H43" s="37">
        <v>3545</v>
      </c>
      <c r="I43" s="37">
        <v>3476</v>
      </c>
      <c r="J43" s="38">
        <f>J10+J31</f>
        <v>3080</v>
      </c>
      <c r="K43" s="125" t="s">
        <v>127</v>
      </c>
    </row>
    <row r="44">
      <c r="A44" s="2"/>
      <c r="B44" s="47" t="s">
        <v>113</v>
      </c>
      <c r="C44" s="7"/>
      <c r="D44" s="7"/>
      <c r="E44" s="7"/>
      <c r="F44" s="7"/>
      <c r="G44" s="7"/>
      <c r="H44" s="40">
        <f>IF(OR(H43="",C43=""),"n.a.",IFERROR(IF(C43&lt;=0,"n.m.",IF(H43/C43&lt;=0,"n.m.",H43/C43-1)),"n.a."))</f>
        <v>0.018970968669157706</v>
      </c>
      <c r="I44" s="40">
        <f>IF(OR(I43="",D43=""),"n.a.",IFERROR(IF(D43&lt;=0,"n.m.",IF(I43/D43&lt;=0,"n.m.",I43/D43-1)),"n.a."))</f>
        <v>0.08794992175273864</v>
      </c>
      <c r="J44" s="45">
        <f>IF(OR(J43="",E43=""),"n.a.",IFERROR(IF(E43&lt;=0,"n.m.",IF(J43/E43&lt;=0,"n.m.",J43/E43-1)),"n.a."))</f>
        <v>-0.0038809831824062613</v>
      </c>
      <c r="K44" s="124"/>
    </row>
    <row r="45">
      <c r="A45" s="2"/>
      <c r="B45" s="47" t="s">
        <v>114</v>
      </c>
      <c r="C45" s="7"/>
      <c r="D45" s="40">
        <f>IF(OR(D43="",C43=""),"n.a.",IFERROR(IF(C43&lt;=0,"n.m.",IF(D43/C43&lt;=0,"n.m.",D43/C43-1)),"n.a."))</f>
        <v>-0.08163265306122447</v>
      </c>
      <c r="E45" s="40">
        <f>IF(OR(E43="",D43=""),"n.a.",IFERROR(IF(D43&lt;=0,"n.m.",IF(E43/D43&lt;=0,"n.m.",E43/D43-1)),"n.a."))</f>
        <v>-0.032237871674491436</v>
      </c>
      <c r="F45" s="40">
        <f>IF(OR(F43="",E43=""),"n.a.",IFERROR(IF(E43&lt;=0,"n.m.",IF(F43/E43&lt;=0,"n.m.",F43/E43-1)),"n.a."))</f>
        <v>-0.19113842173350581</v>
      </c>
      <c r="G45" s="7"/>
      <c r="H45" s="40">
        <f>IF(OR(H43="",F43=""),"n.a.",IFERROR(IF(F43&lt;=0,"n.m.",IF(H43/F43&lt;=0,"n.m.",H43/F43-1)),"n.a."))</f>
        <v>0.4174330267892843</v>
      </c>
      <c r="I45" s="40">
        <f>IF(OR(I43="",H43=""),"n.a.",IFERROR(IF(H43&lt;=0,"n.m.",IF(I43/H43&lt;=0,"n.m.",I43/H43-1)),"n.a."))</f>
        <v>-0.019464033850493667</v>
      </c>
      <c r="J45" s="45">
        <f>IF(OR(J43="",I43=""),"n.a.",IFERROR(IF(I43&lt;=0,"n.m.",IF(J43/I43&lt;=0,"n.m.",J43/I43-1)),"n.a."))</f>
        <v>-0.11392405063291144</v>
      </c>
      <c r="K45" s="124"/>
    </row>
    <row r="46">
      <c r="A46" s="2"/>
      <c r="B46" s="47" t="s">
        <v>115</v>
      </c>
      <c r="C46" s="7"/>
      <c r="D46" s="7"/>
      <c r="E46" s="7"/>
      <c r="F46" s="7"/>
      <c r="G46" s="7"/>
      <c r="H46" s="40" t="s">
        <v>116</v>
      </c>
      <c r="I46" s="40" t="s">
        <v>116</v>
      </c>
      <c r="J46" s="45" t="s">
        <v>116</v>
      </c>
      <c r="K46" s="124"/>
    </row>
    <row r="47">
      <c r="A47" s="2"/>
      <c r="B47" s="47" t="s">
        <v>117</v>
      </c>
      <c r="C47" s="7"/>
      <c r="D47" s="7"/>
      <c r="E47" s="7"/>
      <c r="F47" s="7"/>
      <c r="G47" s="7"/>
      <c r="H47" s="40" t="s">
        <v>116</v>
      </c>
      <c r="I47" s="40" t="s">
        <v>116</v>
      </c>
      <c r="J47" s="45" t="s">
        <v>116</v>
      </c>
      <c r="K47" s="124"/>
    </row>
    <row r="48">
      <c r="A48" s="2"/>
      <c r="B48" s="47" t="s">
        <v>118</v>
      </c>
      <c r="C48" s="7"/>
      <c r="D48" s="7"/>
      <c r="E48" s="7"/>
      <c r="F48" s="7"/>
      <c r="G48" s="7"/>
      <c r="H48" s="40" t="s">
        <v>116</v>
      </c>
      <c r="I48" s="40" t="s">
        <v>116</v>
      </c>
      <c r="J48" s="45" t="s">
        <v>116</v>
      </c>
      <c r="K48" s="124"/>
    </row>
    <row r="49">
      <c r="A49" s="2"/>
      <c r="B49" s="3" t="s">
        <v>331</v>
      </c>
      <c r="C49" s="37">
        <v>2186</v>
      </c>
      <c r="D49" s="37">
        <v>2133</v>
      </c>
      <c r="E49" s="37">
        <v>2270</v>
      </c>
      <c r="F49" s="37">
        <v>2015</v>
      </c>
      <c r="G49" s="43">
        <f>SUM(C49:F49)</f>
        <v>8604</v>
      </c>
      <c r="H49" s="37">
        <v>2842</v>
      </c>
      <c r="I49" s="37">
        <v>3622</v>
      </c>
      <c r="J49" s="38">
        <f>J16+J37</f>
        <v>2470</v>
      </c>
      <c r="K49" s="125" t="s">
        <v>127</v>
      </c>
    </row>
    <row r="50">
      <c r="A50" s="2"/>
      <c r="B50" s="47" t="s">
        <v>113</v>
      </c>
      <c r="C50" s="7"/>
      <c r="D50" s="7"/>
      <c r="E50" s="7"/>
      <c r="F50" s="7"/>
      <c r="G50" s="7"/>
      <c r="H50" s="40">
        <f>IF(OR(H49="",C49=""),"n.a.",IFERROR(IF(C49&lt;=0,"n.m.",IF(H49/C49&lt;=0,"n.m.",H49/C49-1)),"n.a."))</f>
        <v>0.3000914913083257</v>
      </c>
      <c r="I50" s="40">
        <f>IF(OR(I49="",D49=""),"n.a.",IFERROR(IF(D49&lt;=0,"n.m.",IF(I49/D49&lt;=0,"n.m.",I49/D49-1)),"n.a."))</f>
        <v>0.6980778246601032</v>
      </c>
      <c r="J50" s="45">
        <f>IF(OR(J49="",E49=""),"n.a.",IFERROR(IF(E49&lt;=0,"n.m.",IF(J49/E49&lt;=0,"n.m.",J49/E49-1)),"n.a."))</f>
        <v>0.08810572687224671</v>
      </c>
      <c r="K50" s="124"/>
    </row>
    <row r="51">
      <c r="A51" s="2"/>
      <c r="B51" s="47" t="s">
        <v>114</v>
      </c>
      <c r="C51" s="7"/>
      <c r="D51" s="40">
        <f>IF(OR(D49="",C49=""),"n.a.",IFERROR(IF(C49&lt;=0,"n.m.",IF(D49/C49&lt;=0,"n.m.",D49/C49-1)),"n.a."))</f>
        <v>-0.024245196706312866</v>
      </c>
      <c r="E51" s="40">
        <f>IF(OR(E49="",D49=""),"n.a.",IFERROR(IF(D49&lt;=0,"n.m.",IF(E49/D49&lt;=0,"n.m.",E49/D49-1)),"n.a."))</f>
        <v>0.06422878574777302</v>
      </c>
      <c r="F51" s="40">
        <f>IF(OR(F49="",E49=""),"n.a.",IFERROR(IF(E49&lt;=0,"n.m.",IF(F49/E49&lt;=0,"n.m.",F49/E49-1)),"n.a."))</f>
        <v>-0.11233480176211452</v>
      </c>
      <c r="G51" s="7"/>
      <c r="H51" s="40">
        <f>IF(OR(H49="",F49=""),"n.a.",IFERROR(IF(F49&lt;=0,"n.m.",IF(H49/F49&lt;=0,"n.m.",H49/F49-1)),"n.a."))</f>
        <v>0.4104218362282879</v>
      </c>
      <c r="I51" s="40">
        <f>IF(OR(I49="",H49=""),"n.a.",IFERROR(IF(H49&lt;=0,"n.m.",IF(I49/H49&lt;=0,"n.m.",I49/H49-1)),"n.a."))</f>
        <v>0.2744546094299789</v>
      </c>
      <c r="J51" s="45">
        <f>IF(OR(J49="",I49=""),"n.a.",IFERROR(IF(I49&lt;=0,"n.m.",IF(J49/I49&lt;=0,"n.m.",J49/I49-1)),"n.a."))</f>
        <v>-0.31805632247377136</v>
      </c>
      <c r="K51" s="124"/>
    </row>
    <row r="52">
      <c r="A52" s="2"/>
      <c r="B52" s="47" t="s">
        <v>115</v>
      </c>
      <c r="C52" s="7"/>
      <c r="D52" s="7"/>
      <c r="E52" s="7"/>
      <c r="F52" s="7"/>
      <c r="G52" s="7"/>
      <c r="H52" s="40" t="s">
        <v>116</v>
      </c>
      <c r="I52" s="40" t="s">
        <v>116</v>
      </c>
      <c r="J52" s="45" t="s">
        <v>116</v>
      </c>
      <c r="K52" s="124"/>
    </row>
    <row r="53">
      <c r="A53" s="2"/>
      <c r="B53" s="47" t="s">
        <v>117</v>
      </c>
      <c r="C53" s="7"/>
      <c r="D53" s="7"/>
      <c r="E53" s="7"/>
      <c r="F53" s="7"/>
      <c r="G53" s="7"/>
      <c r="H53" s="40" t="s">
        <v>116</v>
      </c>
      <c r="I53" s="40" t="s">
        <v>116</v>
      </c>
      <c r="J53" s="45" t="s">
        <v>116</v>
      </c>
      <c r="K53" s="124"/>
    </row>
    <row r="54">
      <c r="A54" s="2"/>
      <c r="B54" s="47" t="s">
        <v>118</v>
      </c>
      <c r="C54" s="7"/>
      <c r="D54" s="7"/>
      <c r="E54" s="7"/>
      <c r="F54" s="7"/>
      <c r="G54" s="7"/>
      <c r="H54" s="40" t="s">
        <v>116</v>
      </c>
      <c r="I54" s="40" t="s">
        <v>116</v>
      </c>
      <c r="J54" s="45" t="s">
        <v>116</v>
      </c>
      <c r="K54" s="124"/>
    </row>
    <row r="55">
      <c r="A55" s="2"/>
      <c r="B55" s="18" t="s">
        <v>332</v>
      </c>
      <c r="C55" s="39">
        <f>C43+C49</f>
        <v>5665</v>
      </c>
      <c r="D55" s="39">
        <f>D43+D49</f>
        <v>5328</v>
      </c>
      <c r="E55" s="39">
        <f>E43+E49</f>
        <v>5362</v>
      </c>
      <c r="F55" s="39">
        <f>F43+F49</f>
        <v>4516</v>
      </c>
      <c r="G55" s="39">
        <f>G43+G49</f>
        <v>20871</v>
      </c>
      <c r="H55" s="39">
        <f>H43+H49</f>
        <v>6387</v>
      </c>
      <c r="I55" s="39">
        <f>I43+I49</f>
        <v>7098</v>
      </c>
      <c r="J55" s="50">
        <f>J43+J49</f>
        <v>5550</v>
      </c>
      <c r="K55" s="124"/>
    </row>
    <row r="56">
      <c r="A56" s="2"/>
      <c r="B56" s="47" t="s">
        <v>113</v>
      </c>
      <c r="C56" s="7"/>
      <c r="D56" s="7"/>
      <c r="E56" s="7"/>
      <c r="F56" s="7"/>
      <c r="G56" s="7"/>
      <c r="H56" s="40">
        <f>IF(OR(H55="",C55=""),"n.a.",IFERROR(IF(C55&lt;=0,"n.m.",IF(H55/C55&lt;=0,"n.m.",H55/C55-1)),"n.a."))</f>
        <v>0.1274492497793469</v>
      </c>
      <c r="I56" s="40">
        <f>IF(OR(I55="",D55=""),"n.a.",IFERROR(IF(D55&lt;=0,"n.m.",IF(I55/D55&lt;=0,"n.m.",I55/D55-1)),"n.a."))</f>
        <v>0.3322072072072073</v>
      </c>
      <c r="J56" s="45">
        <f>IF(OR(J55="",E55=""),"n.a.",IFERROR(IF(E55&lt;=0,"n.m.",IF(J55/E55&lt;=0,"n.m.",J55/E55-1)),"n.a."))</f>
        <v>0.035061544199925354</v>
      </c>
      <c r="K56" s="124"/>
    </row>
    <row r="57">
      <c r="A57" s="2"/>
      <c r="B57" s="47" t="s">
        <v>114</v>
      </c>
      <c r="C57" s="7"/>
      <c r="D57" s="40">
        <f>IF(OR(D55="",C55=""),"n.a.",IFERROR(IF(C55&lt;=0,"n.m.",IF(D55/C55&lt;=0,"n.m.",D55/C55-1)),"n.a."))</f>
        <v>-0.05948808473080314</v>
      </c>
      <c r="E57" s="40">
        <f>IF(OR(E55="",D55=""),"n.a.",IFERROR(IF(D55&lt;=0,"n.m.",IF(E55/D55&lt;=0,"n.m.",E55/D55-1)),"n.a."))</f>
        <v>0.006381381381381335</v>
      </c>
      <c r="F57" s="40">
        <f>IF(OR(F55="",E55=""),"n.a.",IFERROR(IF(E55&lt;=0,"n.m.",IF(F55/E55&lt;=0,"n.m.",F55/E55-1)),"n.a."))</f>
        <v>-0.15777694889966432</v>
      </c>
      <c r="G57" s="7"/>
      <c r="H57" s="40">
        <f>IF(OR(H55="",F55=""),"n.a.",IFERROR(IF(F55&lt;=0,"n.m.",IF(H55/F55&lt;=0,"n.m.",H55/F55-1)),"n.a."))</f>
        <v>0.4143046944198405</v>
      </c>
      <c r="I57" s="40">
        <f>IF(OR(I55="",H55=""),"n.a.",IFERROR(IF(H55&lt;=0,"n.m.",IF(I55/H55&lt;=0,"n.m.",I55/H55-1)),"n.a."))</f>
        <v>0.1113198684828558</v>
      </c>
      <c r="J57" s="45">
        <f>IF(OR(J55="",I55=""),"n.a.",IFERROR(IF(I55&lt;=0,"n.m.",IF(J55/I55&lt;=0,"n.m.",J55/I55-1)),"n.a."))</f>
        <v>-0.21808960270498734</v>
      </c>
      <c r="K57" s="124"/>
    </row>
    <row r="58">
      <c r="A58" s="2"/>
      <c r="B58" s="47" t="s">
        <v>115</v>
      </c>
      <c r="C58" s="7"/>
      <c r="D58" s="7"/>
      <c r="E58" s="7"/>
      <c r="F58" s="7"/>
      <c r="G58" s="7"/>
      <c r="H58" s="40" t="s">
        <v>116</v>
      </c>
      <c r="I58" s="40" t="s">
        <v>116</v>
      </c>
      <c r="J58" s="45" t="s">
        <v>116</v>
      </c>
      <c r="K58" s="124"/>
    </row>
    <row r="59">
      <c r="A59" s="2"/>
      <c r="B59" s="47" t="s">
        <v>117</v>
      </c>
      <c r="C59" s="7"/>
      <c r="D59" s="7"/>
      <c r="E59" s="7"/>
      <c r="F59" s="7"/>
      <c r="G59" s="7"/>
      <c r="H59" s="40" t="s">
        <v>116</v>
      </c>
      <c r="I59" s="40" t="s">
        <v>116</v>
      </c>
      <c r="J59" s="45" t="s">
        <v>116</v>
      </c>
      <c r="K59" s="124"/>
    </row>
    <row r="60">
      <c r="A60" s="2"/>
      <c r="B60" s="47" t="s">
        <v>118</v>
      </c>
      <c r="C60" s="7"/>
      <c r="D60" s="7"/>
      <c r="E60" s="7"/>
      <c r="F60" s="7"/>
      <c r="G60" s="7"/>
      <c r="H60" s="40" t="s">
        <v>116</v>
      </c>
      <c r="I60" s="40" t="s">
        <v>116</v>
      </c>
      <c r="J60" s="45" t="s">
        <v>116</v>
      </c>
      <c r="K60" s="124"/>
    </row>
    <row r="61">
      <c r="A61" s="2"/>
      <c r="B61" s="18" t="s">
        <v>333</v>
      </c>
      <c r="C61" s="7"/>
      <c r="D61" s="7"/>
      <c r="E61" s="7"/>
      <c r="F61" s="7"/>
      <c r="G61" s="7"/>
      <c r="H61" s="7"/>
      <c r="I61" s="7"/>
      <c r="J61" s="46"/>
      <c r="K61" s="124"/>
    </row>
    <row r="62">
      <c r="A62" s="2"/>
      <c r="B62" s="3" t="s">
        <v>334</v>
      </c>
      <c r="C62" s="37">
        <v>1034</v>
      </c>
      <c r="D62" s="37">
        <v>1119</v>
      </c>
      <c r="E62" s="37">
        <v>1340</v>
      </c>
      <c r="F62" s="37">
        <v>1612</v>
      </c>
      <c r="G62" s="43">
        <f>SUM(C62:F62)</f>
        <v>5105</v>
      </c>
      <c r="H62" s="37">
        <v>1692</v>
      </c>
      <c r="I62" s="37">
        <v>1765</v>
      </c>
      <c r="J62" s="75">
        <v>1750</v>
      </c>
      <c r="K62" s="125" t="s">
        <v>127</v>
      </c>
    </row>
    <row r="63">
      <c r="A63" s="2"/>
      <c r="B63" s="47" t="s">
        <v>113</v>
      </c>
      <c r="C63" s="7"/>
      <c r="D63" s="7"/>
      <c r="E63" s="7"/>
      <c r="F63" s="7"/>
      <c r="G63" s="7"/>
      <c r="H63" s="40">
        <f>IF(OR(H62="",C62=""),"n.a.",IFERROR(IF(C62&lt;=0,"n.m.",IF(H62/C62&lt;=0,"n.m.",H62/C62-1)),"n.a."))</f>
        <v>0.6363636363636365</v>
      </c>
      <c r="I63" s="40">
        <f>IF(OR(I62="",D62=""),"n.a.",IFERROR(IF(D62&lt;=0,"n.m.",IF(I62/D62&lt;=0,"n.m.",I62/D62-1)),"n.a."))</f>
        <v>0.577301161751564</v>
      </c>
      <c r="J63" s="45">
        <f>IF(OR(J62="",E62=""),"n.a.",IFERROR(IF(E62&lt;=0,"n.m.",IF(J62/E62&lt;=0,"n.m.",J62/E62-1)),"n.a."))</f>
        <v>0.30597014925373145</v>
      </c>
      <c r="K63" s="124"/>
    </row>
    <row r="64">
      <c r="A64" s="2"/>
      <c r="B64" s="47" t="s">
        <v>114</v>
      </c>
      <c r="C64" s="7"/>
      <c r="D64" s="40">
        <f>IF(OR(D62="",C62=""),"n.a.",IFERROR(IF(C62&lt;=0,"n.m.",IF(D62/C62&lt;=0,"n.m.",D62/C62-1)),"n.a."))</f>
        <v>0.08220502901353965</v>
      </c>
      <c r="E64" s="40">
        <f>IF(OR(E62="",D62=""),"n.a.",IFERROR(IF(D62&lt;=0,"n.m.",IF(E62/D62&lt;=0,"n.m.",E62/D62-1)),"n.a."))</f>
        <v>0.1974977658623771</v>
      </c>
      <c r="F64" s="40">
        <f>IF(OR(F62="",E62=""),"n.a.",IFERROR(IF(E62&lt;=0,"n.m.",IF(F62/E62&lt;=0,"n.m.",F62/E62-1)),"n.a."))</f>
        <v>0.20298507462686577</v>
      </c>
      <c r="G64" s="7"/>
      <c r="H64" s="40">
        <f>IF(OR(H62="",F62=""),"n.a.",IFERROR(IF(F62&lt;=0,"n.m.",IF(H62/F62&lt;=0,"n.m.",H62/F62-1)),"n.a."))</f>
        <v>0.04962779156327546</v>
      </c>
      <c r="I64" s="40">
        <f>IF(OR(I62="",H62=""),"n.a.",IFERROR(IF(H62&lt;=0,"n.m.",IF(I62/H62&lt;=0,"n.m.",I62/H62-1)),"n.a."))</f>
        <v>0.04314420803782504</v>
      </c>
      <c r="J64" s="45">
        <f>IF(OR(J62="",I62=""),"n.a.",IFERROR(IF(I62&lt;=0,"n.m.",IF(J62/I62&lt;=0,"n.m.",J62/I62-1)),"n.a."))</f>
        <v>-0.008498583569405138</v>
      </c>
      <c r="K64" s="124"/>
    </row>
    <row r="65">
      <c r="A65" s="2"/>
      <c r="B65" s="47" t="s">
        <v>115</v>
      </c>
      <c r="C65" s="7"/>
      <c r="D65" s="7"/>
      <c r="E65" s="7"/>
      <c r="F65" s="7"/>
      <c r="G65" s="7"/>
      <c r="H65" s="40" t="s">
        <v>116</v>
      </c>
      <c r="I65" s="40" t="s">
        <v>116</v>
      </c>
      <c r="J65" s="45" t="s">
        <v>116</v>
      </c>
      <c r="K65" s="124"/>
    </row>
    <row r="66">
      <c r="A66" s="2"/>
      <c r="B66" s="47" t="s">
        <v>117</v>
      </c>
      <c r="C66" s="7"/>
      <c r="D66" s="7"/>
      <c r="E66" s="7"/>
      <c r="F66" s="7"/>
      <c r="G66" s="7"/>
      <c r="H66" s="40" t="s">
        <v>116</v>
      </c>
      <c r="I66" s="40" t="s">
        <v>116</v>
      </c>
      <c r="J66" s="45" t="s">
        <v>116</v>
      </c>
      <c r="K66" s="124"/>
    </row>
    <row r="67">
      <c r="A67" s="2"/>
      <c r="B67" s="47" t="s">
        <v>118</v>
      </c>
      <c r="C67" s="7"/>
      <c r="D67" s="7"/>
      <c r="E67" s="7"/>
      <c r="F67" s="7"/>
      <c r="G67" s="7"/>
      <c r="H67" s="40" t="s">
        <v>116</v>
      </c>
      <c r="I67" s="40" t="s">
        <v>116</v>
      </c>
      <c r="J67" s="45" t="s">
        <v>116</v>
      </c>
      <c r="K67" s="124"/>
    </row>
    <row r="68">
      <c r="A68" s="2"/>
      <c r="B68" s="47" t="s">
        <v>335</v>
      </c>
      <c r="C68" s="40">
        <f>IFERROR(C62/C55,"n.a.")</f>
        <v>0.1825242718446602</v>
      </c>
      <c r="D68" s="40">
        <f>IFERROR(D62/D55,"n.a.")</f>
        <v>0.21002252252252251</v>
      </c>
      <c r="E68" s="40">
        <f>IFERROR(E62/E55,"n.a.")</f>
        <v>0.24990675121223424</v>
      </c>
      <c r="F68" s="40">
        <f>IFERROR(F62/F55,"n.a.")</f>
        <v>0.3569530558015943</v>
      </c>
      <c r="G68" s="40">
        <f>IFERROR(G62/G55,"n.a.")</f>
        <v>0.2445977672368358</v>
      </c>
      <c r="H68" s="40">
        <f>IFERROR(H62/H55,"n.a.")</f>
        <v>0.26491310474401125</v>
      </c>
      <c r="I68" s="40">
        <f>IFERROR(I62/I55,"n.a.")</f>
        <v>0.24866159481544098</v>
      </c>
      <c r="J68" s="45">
        <f>IFERROR(J62/J55,"n.a.")</f>
        <v>0.3153153153153153</v>
      </c>
      <c r="K68" s="124"/>
    </row>
    <row r="69">
      <c r="A69" s="2"/>
      <c r="B69" s="3" t="s">
        <v>336</v>
      </c>
      <c r="C69" s="37">
        <v>626</v>
      </c>
      <c r="D69" s="37">
        <v>642</v>
      </c>
      <c r="E69" s="37">
        <v>614</v>
      </c>
      <c r="F69" s="37">
        <v>628</v>
      </c>
      <c r="G69" s="43">
        <f>SUM(C69:F69)</f>
        <v>2510</v>
      </c>
      <c r="H69" s="37">
        <v>760</v>
      </c>
      <c r="I69" s="37">
        <v>728</v>
      </c>
      <c r="J69" s="75">
        <v>650</v>
      </c>
      <c r="K69" s="125" t="s">
        <v>127</v>
      </c>
    </row>
    <row r="70">
      <c r="A70" s="2"/>
      <c r="B70" s="47" t="s">
        <v>113</v>
      </c>
      <c r="C70" s="7"/>
      <c r="D70" s="7"/>
      <c r="E70" s="7"/>
      <c r="F70" s="7"/>
      <c r="G70" s="7"/>
      <c r="H70" s="40">
        <f>IF(OR(H69="",C69=""),"n.a.",IFERROR(IF(C69&lt;=0,"n.m.",IF(H69/C69&lt;=0,"n.m.",H69/C69-1)),"n.a."))</f>
        <v>0.21405750798722045</v>
      </c>
      <c r="I70" s="40">
        <f>IF(OR(I69="",D69=""),"n.a.",IFERROR(IF(D69&lt;=0,"n.m.",IF(I69/D69&lt;=0,"n.m.",I69/D69-1)),"n.a."))</f>
        <v>0.1339563862928348</v>
      </c>
      <c r="J70" s="45">
        <f>IF(OR(J69="",E69=""),"n.a.",IFERROR(IF(E69&lt;=0,"n.m.",IF(J69/E69&lt;=0,"n.m.",J69/E69-1)),"n.a."))</f>
        <v>0.05863192182410426</v>
      </c>
      <c r="K70" s="124"/>
    </row>
    <row r="71">
      <c r="A71" s="2"/>
      <c r="B71" s="47" t="s">
        <v>114</v>
      </c>
      <c r="C71" s="7"/>
      <c r="D71" s="40">
        <f>IF(OR(D69="",C69=""),"n.a.",IFERROR(IF(C69&lt;=0,"n.m.",IF(D69/C69&lt;=0,"n.m.",D69/C69-1)),"n.a."))</f>
        <v>0.025559105431310014</v>
      </c>
      <c r="E71" s="40">
        <f>IF(OR(E69="",D69=""),"n.a.",IFERROR(IF(D69&lt;=0,"n.m.",IF(E69/D69&lt;=0,"n.m.",E69/D69-1)),"n.a."))</f>
        <v>-0.04361370716510904</v>
      </c>
      <c r="F71" s="40">
        <f>IF(OR(F69="",E69=""),"n.a.",IFERROR(IF(E69&lt;=0,"n.m.",IF(F69/E69&lt;=0,"n.m.",F69/E69-1)),"n.a."))</f>
        <v>0.0228013029315961</v>
      </c>
      <c r="G71" s="7"/>
      <c r="H71" s="40">
        <f>IF(OR(H69="",F69=""),"n.a.",IFERROR(IF(F69&lt;=0,"n.m.",IF(H69/F69&lt;=0,"n.m.",H69/F69-1)),"n.a."))</f>
        <v>0.21019108280254772</v>
      </c>
      <c r="I71" s="40">
        <f>IF(OR(I69="",H69=""),"n.a.",IFERROR(IF(H69&lt;=0,"n.m.",IF(I69/H69&lt;=0,"n.m.",I69/H69-1)),"n.a."))</f>
        <v>-0.04210526315789476</v>
      </c>
      <c r="J71" s="45">
        <f>IF(OR(J69="",I69=""),"n.a.",IFERROR(IF(I69&lt;=0,"n.m.",IF(J69/I69&lt;=0,"n.m.",J69/I69-1)),"n.a."))</f>
        <v>-0.1071428571428571</v>
      </c>
      <c r="K71" s="124"/>
    </row>
    <row r="72">
      <c r="A72" s="2"/>
      <c r="B72" s="47" t="s">
        <v>115</v>
      </c>
      <c r="C72" s="7"/>
      <c r="D72" s="7"/>
      <c r="E72" s="7"/>
      <c r="F72" s="7"/>
      <c r="G72" s="7"/>
      <c r="H72" s="40" t="s">
        <v>116</v>
      </c>
      <c r="I72" s="40" t="s">
        <v>116</v>
      </c>
      <c r="J72" s="45" t="s">
        <v>116</v>
      </c>
      <c r="K72" s="124"/>
    </row>
    <row r="73">
      <c r="A73" s="2"/>
      <c r="B73" s="47" t="s">
        <v>117</v>
      </c>
      <c r="C73" s="7"/>
      <c r="D73" s="7"/>
      <c r="E73" s="7"/>
      <c r="F73" s="7"/>
      <c r="G73" s="7"/>
      <c r="H73" s="40" t="s">
        <v>116</v>
      </c>
      <c r="I73" s="40" t="s">
        <v>116</v>
      </c>
      <c r="J73" s="45" t="s">
        <v>116</v>
      </c>
      <c r="K73" s="124"/>
    </row>
    <row r="74">
      <c r="A74" s="2"/>
      <c r="B74" s="47" t="s">
        <v>118</v>
      </c>
      <c r="C74" s="7"/>
      <c r="D74" s="7"/>
      <c r="E74" s="7"/>
      <c r="F74" s="7"/>
      <c r="G74" s="7"/>
      <c r="H74" s="40" t="s">
        <v>116</v>
      </c>
      <c r="I74" s="40" t="s">
        <v>116</v>
      </c>
      <c r="J74" s="45" t="s">
        <v>116</v>
      </c>
      <c r="K74" s="124"/>
    </row>
    <row r="75">
      <c r="A75" s="2"/>
      <c r="B75" s="47" t="s">
        <v>335</v>
      </c>
      <c r="C75" s="40">
        <f>IFERROR(C69/C55,"n.a.")</f>
        <v>0.11050308914386585</v>
      </c>
      <c r="D75" s="40">
        <f>IFERROR(D69/D55,"n.a.")</f>
        <v>0.1204954954954955</v>
      </c>
      <c r="E75" s="40">
        <f>IFERROR(E69/E55,"n.a.")</f>
        <v>0.11450951137635211</v>
      </c>
      <c r="F75" s="40">
        <f>IFERROR(F69/F55,"n.a.")</f>
        <v>0.13906111603188662</v>
      </c>
      <c r="G75" s="40">
        <f>IFERROR(G69/G55,"n.a.")</f>
        <v>0.1202625652819702</v>
      </c>
      <c r="H75" s="40">
        <f>IFERROR(H69/H55,"n.a.")</f>
        <v>0.11899170189447315</v>
      </c>
      <c r="I75" s="40">
        <f>IFERROR(I69/I55,"n.a.")</f>
        <v>0.10256410256410256</v>
      </c>
      <c r="J75" s="45">
        <f>IFERROR(J69/J55,"n.a.")</f>
        <v>0.11711711711711711</v>
      </c>
      <c r="K75" s="124"/>
    </row>
    <row r="76">
      <c r="A76" s="2"/>
      <c r="B76" s="3" t="s">
        <v>337</v>
      </c>
      <c r="C76" s="37">
        <v>383</v>
      </c>
      <c r="D76" s="37">
        <v>268</v>
      </c>
      <c r="E76" s="37">
        <v>268</v>
      </c>
      <c r="F76" s="37">
        <v>275</v>
      </c>
      <c r="G76" s="43">
        <f>SUM(C76:F76)</f>
        <v>1194</v>
      </c>
      <c r="H76" s="37">
        <v>214</v>
      </c>
      <c r="I76" s="37">
        <v>184</v>
      </c>
      <c r="J76" s="75">
        <v>240</v>
      </c>
      <c r="K76" s="125" t="s">
        <v>127</v>
      </c>
    </row>
    <row r="77">
      <c r="A77" s="2"/>
      <c r="B77" s="47" t="s">
        <v>113</v>
      </c>
      <c r="C77" s="7"/>
      <c r="D77" s="7"/>
      <c r="E77" s="7"/>
      <c r="F77" s="7"/>
      <c r="G77" s="7"/>
      <c r="H77" s="40">
        <f>IF(OR(H76="",C76=""),"n.a.",IFERROR(IF(C76&lt;=0,"n.m.",IF(H76/C76&lt;=0,"n.m.",H76/C76-1)),"n.a."))</f>
        <v>-0.4412532637075718</v>
      </c>
      <c r="I77" s="40">
        <f>IF(OR(I76="",D76=""),"n.a.",IFERROR(IF(D76&lt;=0,"n.m.",IF(I76/D76&lt;=0,"n.m.",I76/D76-1)),"n.a."))</f>
        <v>-0.31343283582089554</v>
      </c>
      <c r="J77" s="45">
        <f>IF(OR(J76="",E76=""),"n.a.",IFERROR(IF(E76&lt;=0,"n.m.",IF(J76/E76&lt;=0,"n.m.",J76/E76-1)),"n.a."))</f>
        <v>-0.10447761194029848</v>
      </c>
      <c r="K77" s="124"/>
    </row>
    <row r="78">
      <c r="A78" s="2"/>
      <c r="B78" s="47" t="s">
        <v>114</v>
      </c>
      <c r="C78" s="7"/>
      <c r="D78" s="40">
        <f>IF(OR(D76="",C76=""),"n.a.",IFERROR(IF(C76&lt;=0,"n.m.",IF(D76/C76&lt;=0,"n.m.",D76/C76-1)),"n.a."))</f>
        <v>-0.30026109660574407</v>
      </c>
      <c r="E78" s="40">
        <f>IF(OR(E76="",D76=""),"n.a.",IFERROR(IF(D76&lt;=0,"n.m.",IF(E76/D76&lt;=0,"n.m.",E76/D76-1)),"n.a."))</f>
        <v>0</v>
      </c>
      <c r="F78" s="40">
        <f>IF(OR(F76="",E76=""),"n.a.",IFERROR(IF(E76&lt;=0,"n.m.",IF(F76/E76&lt;=0,"n.m.",F76/E76-1)),"n.a."))</f>
        <v>0.026119402985074647</v>
      </c>
      <c r="G78" s="7"/>
      <c r="H78" s="40">
        <f>IF(OR(H76="",F76=""),"n.a.",IFERROR(IF(F76&lt;=0,"n.m.",IF(H76/F76&lt;=0,"n.m.",H76/F76-1)),"n.a."))</f>
        <v>-0.2218181818181818</v>
      </c>
      <c r="I78" s="40">
        <f>IF(OR(I76="",H76=""),"n.a.",IFERROR(IF(H76&lt;=0,"n.m.",IF(I76/H76&lt;=0,"n.m.",I76/H76-1)),"n.a."))</f>
        <v>-0.14018691588785048</v>
      </c>
      <c r="J78" s="45">
        <f>IF(OR(J76="",I76=""),"n.a.",IFERROR(IF(I76&lt;=0,"n.m.",IF(J76/I76&lt;=0,"n.m.",J76/I76-1)),"n.a."))</f>
        <v>0.30434782608695654</v>
      </c>
      <c r="K78" s="124"/>
    </row>
    <row r="79">
      <c r="A79" s="2"/>
      <c r="B79" s="47" t="s">
        <v>115</v>
      </c>
      <c r="C79" s="7"/>
      <c r="D79" s="7"/>
      <c r="E79" s="7"/>
      <c r="F79" s="7"/>
      <c r="G79" s="7"/>
      <c r="H79" s="40" t="s">
        <v>116</v>
      </c>
      <c r="I79" s="40" t="s">
        <v>116</v>
      </c>
      <c r="J79" s="45" t="s">
        <v>116</v>
      </c>
      <c r="K79" s="124"/>
    </row>
    <row r="80">
      <c r="A80" s="2"/>
      <c r="B80" s="47" t="s">
        <v>117</v>
      </c>
      <c r="C80" s="7"/>
      <c r="D80" s="7"/>
      <c r="E80" s="7"/>
      <c r="F80" s="7"/>
      <c r="G80" s="7"/>
      <c r="H80" s="40" t="s">
        <v>116</v>
      </c>
      <c r="I80" s="40" t="s">
        <v>116</v>
      </c>
      <c r="J80" s="45" t="s">
        <v>116</v>
      </c>
      <c r="K80" s="124"/>
    </row>
    <row r="81">
      <c r="A81" s="2"/>
      <c r="B81" s="47" t="s">
        <v>118</v>
      </c>
      <c r="C81" s="7"/>
      <c r="D81" s="7"/>
      <c r="E81" s="7"/>
      <c r="F81" s="7"/>
      <c r="G81" s="7"/>
      <c r="H81" s="40" t="s">
        <v>116</v>
      </c>
      <c r="I81" s="40" t="s">
        <v>116</v>
      </c>
      <c r="J81" s="45" t="s">
        <v>116</v>
      </c>
      <c r="K81" s="124"/>
    </row>
    <row r="82">
      <c r="A82" s="2"/>
      <c r="B82" s="47" t="s">
        <v>335</v>
      </c>
      <c r="C82" s="40">
        <f>IFERROR(C76/C55,"n.a.")</f>
        <v>0.0676081200353045</v>
      </c>
      <c r="D82" s="40">
        <f>IFERROR(D76/D55,"n.a.")</f>
        <v>0.0503003003003003</v>
      </c>
      <c r="E82" s="40">
        <f>IFERROR(E76/E55,"n.a.")</f>
        <v>0.04998135024244685</v>
      </c>
      <c r="F82" s="40">
        <f>IFERROR(F76/F55,"n.a.")</f>
        <v>0.060894596988485386</v>
      </c>
      <c r="G82" s="40">
        <f>IFERROR(G76/G55,"n.a.")</f>
        <v>0.05720856691102487</v>
      </c>
      <c r="H82" s="40">
        <f>IFERROR(H76/H55,"n.a.")</f>
        <v>0.0335055581650227</v>
      </c>
      <c r="I82" s="40">
        <f>IFERROR(I76/I55,"n.a.")</f>
        <v>0.025922795153564385</v>
      </c>
      <c r="J82" s="45">
        <f>IFERROR(J76/J55,"n.a.")</f>
        <v>0.043243243243243246</v>
      </c>
      <c r="K82" s="124"/>
    </row>
    <row r="83">
      <c r="A83" s="2"/>
      <c r="B83" s="3" t="s">
        <v>338</v>
      </c>
      <c r="C83" s="37">
        <v>3622</v>
      </c>
      <c r="D83" s="37">
        <v>3299</v>
      </c>
      <c r="E83" s="37">
        <v>3140</v>
      </c>
      <c r="F83" s="37">
        <v>2001</v>
      </c>
      <c r="G83" s="43">
        <f>SUM(C83:F83)</f>
        <v>12062</v>
      </c>
      <c r="H83" s="37">
        <v>3721</v>
      </c>
      <c r="I83" s="37">
        <v>4421</v>
      </c>
      <c r="J83" s="38">
        <f>J55-J62-J69-J76</f>
        <v>2910</v>
      </c>
      <c r="K83" s="125" t="s">
        <v>127</v>
      </c>
    </row>
    <row r="84">
      <c r="A84" s="2"/>
      <c r="B84" s="47" t="s">
        <v>113</v>
      </c>
      <c r="C84" s="7"/>
      <c r="D84" s="7"/>
      <c r="E84" s="7"/>
      <c r="F84" s="7"/>
      <c r="G84" s="7"/>
      <c r="H84" s="40">
        <f>IF(OR(H83="",C83=""),"n.a.",IFERROR(IF(C83&lt;=0,"n.m.",IF(H83/C83&lt;=0,"n.m.",H83/C83-1)),"n.a."))</f>
        <v>0.027332965212589766</v>
      </c>
      <c r="I84" s="40">
        <f>IF(OR(I83="",D83=""),"n.a.",IFERROR(IF(D83&lt;=0,"n.m.",IF(I83/D83&lt;=0,"n.m.",I83/D83-1)),"n.a."))</f>
        <v>0.3401030615337981</v>
      </c>
      <c r="J84" s="45">
        <f>IF(OR(J83="",E83=""),"n.a.",IFERROR(IF(E83&lt;=0,"n.m.",IF(J83/E83&lt;=0,"n.m.",J83/E83-1)),"n.a."))</f>
        <v>-0.07324840764331209</v>
      </c>
      <c r="K84" s="124"/>
    </row>
    <row r="85">
      <c r="A85" s="2"/>
      <c r="B85" s="47" t="s">
        <v>114</v>
      </c>
      <c r="C85" s="7"/>
      <c r="D85" s="40">
        <f>IF(OR(D83="",C83=""),"n.a.",IFERROR(IF(C83&lt;=0,"n.m.",IF(D83/C83&lt;=0,"n.m.",D83/C83-1)),"n.a."))</f>
        <v>-0.08917725013804523</v>
      </c>
      <c r="E85" s="40">
        <f>IF(OR(E83="",D83=""),"n.a.",IFERROR(IF(D83&lt;=0,"n.m.",IF(E83/D83&lt;=0,"n.m.",E83/D83-1)),"n.a."))</f>
        <v>-0.0481964231585329</v>
      </c>
      <c r="F85" s="40">
        <f>IF(OR(F83="",E83=""),"n.a.",IFERROR(IF(E83&lt;=0,"n.m.",IF(F83/E83&lt;=0,"n.m.",F83/E83-1)),"n.a."))</f>
        <v>-0.3627388535031847</v>
      </c>
      <c r="G85" s="7"/>
      <c r="H85" s="40">
        <f>IF(OR(H83="",F83=""),"n.a.",IFERROR(IF(F83&lt;=0,"n.m.",IF(H83/F83&lt;=0,"n.m.",H83/F83-1)),"n.a."))</f>
        <v>0.8595702148925537</v>
      </c>
      <c r="I85" s="40">
        <f>IF(OR(I83="",H83=""),"n.a.",IFERROR(IF(H83&lt;=0,"n.m.",IF(I83/H83&lt;=0,"n.m.",I83/H83-1)),"n.a."))</f>
        <v>0.18812147272238655</v>
      </c>
      <c r="J85" s="45">
        <f>IF(OR(J83="",I83=""),"n.a.",IFERROR(IF(I83&lt;=0,"n.m.",IF(J83/I83&lt;=0,"n.m.",J83/I83-1)),"n.a."))</f>
        <v>-0.34177787830807504</v>
      </c>
      <c r="K85" s="124"/>
    </row>
    <row r="86">
      <c r="A86" s="2"/>
      <c r="B86" s="47" t="s">
        <v>115</v>
      </c>
      <c r="C86" s="7"/>
      <c r="D86" s="7"/>
      <c r="E86" s="7"/>
      <c r="F86" s="7"/>
      <c r="G86" s="7"/>
      <c r="H86" s="40" t="s">
        <v>116</v>
      </c>
      <c r="I86" s="40" t="s">
        <v>116</v>
      </c>
      <c r="J86" s="45" t="s">
        <v>116</v>
      </c>
      <c r="K86" s="124"/>
    </row>
    <row r="87">
      <c r="A87" s="2"/>
      <c r="B87" s="47" t="s">
        <v>117</v>
      </c>
      <c r="C87" s="7"/>
      <c r="D87" s="7"/>
      <c r="E87" s="7"/>
      <c r="F87" s="7"/>
      <c r="G87" s="7"/>
      <c r="H87" s="40" t="s">
        <v>116</v>
      </c>
      <c r="I87" s="40" t="s">
        <v>116</v>
      </c>
      <c r="J87" s="45" t="s">
        <v>116</v>
      </c>
      <c r="K87" s="124"/>
    </row>
    <row r="88">
      <c r="A88" s="2"/>
      <c r="B88" s="47" t="s">
        <v>118</v>
      </c>
      <c r="C88" s="7"/>
      <c r="D88" s="7"/>
      <c r="E88" s="7"/>
      <c r="F88" s="7"/>
      <c r="G88" s="7"/>
      <c r="H88" s="40" t="s">
        <v>116</v>
      </c>
      <c r="I88" s="40" t="s">
        <v>116</v>
      </c>
      <c r="J88" s="45" t="s">
        <v>116</v>
      </c>
      <c r="K88" s="124"/>
    </row>
    <row r="89">
      <c r="A89" s="2"/>
      <c r="B89" s="47" t="s">
        <v>335</v>
      </c>
      <c r="C89" s="40">
        <f>IFERROR(C83/C55,"n.a.")</f>
        <v>0.6393645189761694</v>
      </c>
      <c r="D89" s="40">
        <f>IFERROR(D83/D55,"n.a.")</f>
        <v>0.6191816816816816</v>
      </c>
      <c r="E89" s="40">
        <f>IFERROR(E83/E55,"n.a.")</f>
        <v>0.5856023871689668</v>
      </c>
      <c r="F89" s="40">
        <f>IFERROR(F83/F55,"n.a.")</f>
        <v>0.4430912311780337</v>
      </c>
      <c r="G89" s="40">
        <f>IFERROR(G83/G55,"n.a.")</f>
        <v>0.5779311005701692</v>
      </c>
      <c r="H89" s="40">
        <f>IFERROR(H83/H55,"n.a.")</f>
        <v>0.5825896351964929</v>
      </c>
      <c r="I89" s="40">
        <f>IFERROR(I83/I55,"n.a.")</f>
        <v>0.6228515074668921</v>
      </c>
      <c r="J89" s="45">
        <f>IFERROR(J83/J55,"n.a.")</f>
        <v>0.5243243243243243</v>
      </c>
      <c r="K89" s="124"/>
    </row>
    <row r="90">
      <c r="A90" s="2"/>
      <c r="B90" s="18" t="s">
        <v>339</v>
      </c>
      <c r="C90" s="39">
        <f>C62+C69+C76+C83</f>
        <v>5665</v>
      </c>
      <c r="D90" s="39">
        <f>D62+D69+D76+D83</f>
        <v>5328</v>
      </c>
      <c r="E90" s="39">
        <f>E62+E69+E76+E83</f>
        <v>5362</v>
      </c>
      <c r="F90" s="39">
        <f>F62+F69+F76+F83</f>
        <v>4516</v>
      </c>
      <c r="G90" s="39">
        <f>G62+G69+G76+G83</f>
        <v>20871</v>
      </c>
      <c r="H90" s="39">
        <f>H62+H69+H76+H83</f>
        <v>6387</v>
      </c>
      <c r="I90" s="39">
        <f>I62+I69+I76+I83</f>
        <v>7098</v>
      </c>
      <c r="J90" s="50">
        <f>J62+J69+J76+J83</f>
        <v>5550</v>
      </c>
      <c r="K90" s="124"/>
    </row>
    <row r="91">
      <c r="A91" s="2"/>
      <c r="B91" s="61" t="s">
        <v>340</v>
      </c>
      <c r="C91" s="41">
        <f>C90-C55</f>
        <v>0</v>
      </c>
      <c r="D91" s="41">
        <f>D90-D55</f>
        <v>0</v>
      </c>
      <c r="E91" s="41">
        <f>E90-E55</f>
        <v>0</v>
      </c>
      <c r="F91" s="41">
        <f>F90-F55</f>
        <v>0</v>
      </c>
      <c r="G91" s="41">
        <f>G90-G55</f>
        <v>0</v>
      </c>
      <c r="H91" s="41">
        <f>H90-H55</f>
        <v>0</v>
      </c>
      <c r="I91" s="41">
        <f>I90-I55</f>
        <v>0</v>
      </c>
      <c r="J91" s="52">
        <f>J90-J55</f>
        <v>0</v>
      </c>
      <c r="K91" s="124"/>
    </row>
    <row r="92">
      <c r="A92" s="2"/>
      <c r="B92" s="18" t="s">
        <v>341</v>
      </c>
      <c r="C92" s="7"/>
      <c r="D92" s="7"/>
      <c r="E92" s="7"/>
      <c r="F92" s="7"/>
      <c r="G92" s="7"/>
      <c r="H92" s="7"/>
      <c r="I92" s="7"/>
      <c r="J92" s="46"/>
      <c r="K92" s="124"/>
    </row>
    <row r="93">
      <c r="A93" s="2"/>
      <c r="B93" s="61" t="s">
        <v>342</v>
      </c>
      <c r="C93" s="90">
        <f>C96/C177*365/C7</f>
        <v>0.006282055513287731</v>
      </c>
      <c r="D93" s="90">
        <f>D96/D177*365/D7</f>
        <v>0.006153678491373067</v>
      </c>
      <c r="E93" s="90">
        <f>E96/E177*365/E7</f>
        <v>0.007240076753421587</v>
      </c>
      <c r="F93" s="90">
        <f>F96/F177*365/F7</f>
        <v>0.008463649463637169</v>
      </c>
      <c r="G93" s="7"/>
      <c r="H93" s="90">
        <f>H96/H177*365/H7</f>
        <v>0.00863278951455373</v>
      </c>
      <c r="I93" s="90">
        <f>I96/I177*365/I7</f>
        <v>0.008652081353269054</v>
      </c>
      <c r="J93" s="93">
        <v>0.0085</v>
      </c>
      <c r="K93" s="124"/>
    </row>
    <row r="94">
      <c r="A94" s="2"/>
      <c r="B94" s="47" t="s">
        <v>169</v>
      </c>
      <c r="C94" s="7"/>
      <c r="D94" s="42">
        <f>(D93-C93)*10000</f>
        <v>-1.283770219146635</v>
      </c>
      <c r="E94" s="42">
        <f>(E93-D93)*10000</f>
        <v>10.863982620485197</v>
      </c>
      <c r="F94" s="42">
        <f>(F93-E93)*10000</f>
        <v>12.235727102155817</v>
      </c>
      <c r="G94" s="7"/>
      <c r="H94" s="42">
        <f>(H93-F93)*10000</f>
        <v>1.6914005091656081</v>
      </c>
      <c r="I94" s="42">
        <f>(I93-H93)*10000</f>
        <v>0.19291838715324028</v>
      </c>
      <c r="J94" s="56">
        <f>(J93-I93)*10000</f>
        <v>-1.5208135326905299</v>
      </c>
      <c r="K94" s="124"/>
    </row>
    <row r="95">
      <c r="A95" s="2"/>
      <c r="B95" s="47" t="s">
        <v>170</v>
      </c>
      <c r="C95" s="7"/>
      <c r="D95" s="7"/>
      <c r="E95" s="7"/>
      <c r="F95" s="7"/>
      <c r="G95" s="7"/>
      <c r="H95" s="42">
        <f>(H93-C93)*10000</f>
        <v>23.507340012659988</v>
      </c>
      <c r="I95" s="42">
        <f>(I93-D93)*10000</f>
        <v>24.98402861895986</v>
      </c>
      <c r="J95" s="56">
        <f>(J93-E93)*10000</f>
        <v>12.599232465784135</v>
      </c>
      <c r="K95" s="124"/>
    </row>
    <row r="96">
      <c r="A96" s="2"/>
      <c r="B96" s="3" t="s">
        <v>182</v>
      </c>
      <c r="C96" s="37">
        <v>1189</v>
      </c>
      <c r="D96" s="37">
        <v>1267</v>
      </c>
      <c r="E96" s="37">
        <v>1484</v>
      </c>
      <c r="F96" s="37">
        <v>1750</v>
      </c>
      <c r="G96" s="43">
        <f>SUM(C96:F96)</f>
        <v>5690</v>
      </c>
      <c r="H96" s="37">
        <v>1861</v>
      </c>
      <c r="I96" s="37">
        <v>1911</v>
      </c>
      <c r="J96" s="38">
        <f>J177*J93*J7/365</f>
        <v>1906.7945205479455</v>
      </c>
      <c r="K96" s="125" t="s">
        <v>127</v>
      </c>
    </row>
    <row r="97">
      <c r="A97" s="2"/>
      <c r="B97" s="47" t="s">
        <v>113</v>
      </c>
      <c r="C97" s="7"/>
      <c r="D97" s="7"/>
      <c r="E97" s="7"/>
      <c r="F97" s="7"/>
      <c r="G97" s="7"/>
      <c r="H97" s="40">
        <f>IF(OR(H96="",C96=""),"n.a.",IFERROR(IF(C96&lt;=0,"n.m.",IF(H96/C96&lt;=0,"n.m.",H96/C96-1)),"n.a."))</f>
        <v>0.5651808242220353</v>
      </c>
      <c r="I97" s="40">
        <f>IF(OR(I96="",D96=""),"n.a.",IFERROR(IF(D96&lt;=0,"n.m.",IF(I96/D96&lt;=0,"n.m.",I96/D96-1)),"n.a."))</f>
        <v>0.5082872928176796</v>
      </c>
      <c r="J97" s="45">
        <f>IF(OR(J96="",E96=""),"n.a.",IFERROR(IF(E96&lt;=0,"n.m.",IF(J96/E96&lt;=0,"n.m.",J96/E96-1)),"n.a."))</f>
        <v>0.28490196802422196</v>
      </c>
      <c r="K97" s="124"/>
    </row>
    <row r="98">
      <c r="A98" s="2"/>
      <c r="B98" s="47" t="s">
        <v>114</v>
      </c>
      <c r="C98" s="7"/>
      <c r="D98" s="40">
        <f>IF(OR(D96="",C96=""),"n.a.",IFERROR(IF(C96&lt;=0,"n.m.",IF(D96/C96&lt;=0,"n.m.",D96/C96-1)),"n.a."))</f>
        <v>0.06560134566862907</v>
      </c>
      <c r="E98" s="40">
        <f>IF(OR(E96="",D96=""),"n.a.",IFERROR(IF(D96&lt;=0,"n.m.",IF(E96/D96&lt;=0,"n.m.",E96/D96-1)),"n.a."))</f>
        <v>0.1712707182320441</v>
      </c>
      <c r="F98" s="40">
        <f>IF(OR(F96="",E96=""),"n.a.",IFERROR(IF(E96&lt;=0,"n.m.",IF(F96/E96&lt;=0,"n.m.",F96/E96-1)),"n.a."))</f>
        <v>0.179245283018868</v>
      </c>
      <c r="G98" s="7"/>
      <c r="H98" s="40">
        <f>IF(OR(H96="",F96=""),"n.a.",IFERROR(IF(F96&lt;=0,"n.m.",IF(H96/F96&lt;=0,"n.m.",H96/F96-1)),"n.a."))</f>
        <v>0.06342857142857139</v>
      </c>
      <c r="I98" s="40">
        <f>IF(OR(I96="",H96=""),"n.a.",IFERROR(IF(H96&lt;=0,"n.m.",IF(I96/H96&lt;=0,"n.m.",I96/H96-1)),"n.a."))</f>
        <v>0.026867275658248202</v>
      </c>
      <c r="J98" s="45">
        <f>IF(OR(J96="",I96=""),"n.a.",IFERROR(IF(I96&lt;=0,"n.m.",IF(J96/I96&lt;=0,"n.m.",J96/I96-1)),"n.a."))</f>
        <v>-0.00220066951965181</v>
      </c>
      <c r="K98" s="124"/>
    </row>
    <row r="99">
      <c r="A99" s="2"/>
      <c r="B99" s="47" t="s">
        <v>115</v>
      </c>
      <c r="C99" s="7"/>
      <c r="D99" s="7"/>
      <c r="E99" s="7"/>
      <c r="F99" s="7"/>
      <c r="G99" s="7"/>
      <c r="H99" s="40" t="s">
        <v>116</v>
      </c>
      <c r="I99" s="40" t="s">
        <v>116</v>
      </c>
      <c r="J99" s="45" t="s">
        <v>116</v>
      </c>
      <c r="K99" s="124"/>
    </row>
    <row r="100">
      <c r="A100" s="2"/>
      <c r="B100" s="47" t="s">
        <v>117</v>
      </c>
      <c r="C100" s="7"/>
      <c r="D100" s="7"/>
      <c r="E100" s="7"/>
      <c r="F100" s="7"/>
      <c r="G100" s="7"/>
      <c r="H100" s="40" t="s">
        <v>116</v>
      </c>
      <c r="I100" s="40" t="s">
        <v>116</v>
      </c>
      <c r="J100" s="45" t="s">
        <v>116</v>
      </c>
      <c r="K100" s="124"/>
    </row>
    <row r="101">
      <c r="A101" s="2"/>
      <c r="B101" s="47" t="s">
        <v>118</v>
      </c>
      <c r="C101" s="7"/>
      <c r="D101" s="7"/>
      <c r="E101" s="7"/>
      <c r="F101" s="7"/>
      <c r="G101" s="7"/>
      <c r="H101" s="40" t="s">
        <v>116</v>
      </c>
      <c r="I101" s="40" t="s">
        <v>116</v>
      </c>
      <c r="J101" s="45" t="s">
        <v>116</v>
      </c>
      <c r="K101" s="124"/>
    </row>
    <row r="102">
      <c r="A102" s="2"/>
      <c r="B102" s="47" t="s">
        <v>119</v>
      </c>
      <c r="C102" s="40">
        <f>IFERROR(C96/C144,"n.a.")</f>
        <v>0.18056188306757784</v>
      </c>
      <c r="D102" s="40">
        <f>IFERROR(D96/D144,"n.a.")</f>
        <v>0.21180207288532263</v>
      </c>
      <c r="E102" s="40">
        <f>IFERROR(E96/E144,"n.a.")</f>
        <v>0.23839357429718874</v>
      </c>
      <c r="F102" s="40">
        <f>IFERROR(F96/F144,"n.a.")</f>
        <v>0.3299396681749623</v>
      </c>
      <c r="G102" s="40">
        <f>IFERROR(G96/G144,"n.a.")</f>
        <v>0.23613877822045154</v>
      </c>
      <c r="H102" s="40">
        <f>IFERROR(H96/H144,"n.a.")</f>
        <v>0.26178084118722744</v>
      </c>
      <c r="I102" s="40">
        <f>IFERROR(I96/I144,"n.a.")</f>
        <v>0.23821989528795812</v>
      </c>
      <c r="J102" s="45">
        <f>IFERROR(J96/J144,"n.a.")</f>
        <v>0.3068153764768119</v>
      </c>
      <c r="K102" s="124"/>
    </row>
    <row r="103">
      <c r="A103" s="2"/>
      <c r="B103" s="3" t="s">
        <v>256</v>
      </c>
      <c r="C103" s="37">
        <v>627</v>
      </c>
      <c r="D103" s="37">
        <v>642</v>
      </c>
      <c r="E103" s="37">
        <v>614</v>
      </c>
      <c r="F103" s="37">
        <v>628</v>
      </c>
      <c r="G103" s="43">
        <f>SUM(C103:F103)</f>
        <v>2511</v>
      </c>
      <c r="H103" s="37">
        <v>760</v>
      </c>
      <c r="I103" s="37">
        <v>729</v>
      </c>
      <c r="J103" s="38">
        <f>J69</f>
        <v>650</v>
      </c>
      <c r="K103" s="125" t="s">
        <v>127</v>
      </c>
    </row>
    <row r="104">
      <c r="A104" s="2"/>
      <c r="B104" s="47" t="s">
        <v>113</v>
      </c>
      <c r="C104" s="7"/>
      <c r="D104" s="7"/>
      <c r="E104" s="7"/>
      <c r="F104" s="7"/>
      <c r="G104" s="7"/>
      <c r="H104" s="40">
        <f>IF(OR(H103="",C103=""),"n.a.",IFERROR(IF(C103&lt;=0,"n.m.",IF(H103/C103&lt;=0,"n.m.",H103/C103-1)),"n.a."))</f>
        <v>0.21212121212121215</v>
      </c>
      <c r="I104" s="40">
        <f>IF(OR(I103="",D103=""),"n.a.",IFERROR(IF(D103&lt;=0,"n.m.",IF(I103/D103&lt;=0,"n.m.",I103/D103-1)),"n.a."))</f>
        <v>0.13551401869158886</v>
      </c>
      <c r="J104" s="45">
        <f>IF(OR(J103="",E103=""),"n.a.",IFERROR(IF(E103&lt;=0,"n.m.",IF(J103/E103&lt;=0,"n.m.",J103/E103-1)),"n.a."))</f>
        <v>0.05863192182410426</v>
      </c>
      <c r="K104" s="124"/>
    </row>
    <row r="105">
      <c r="A105" s="2"/>
      <c r="B105" s="47" t="s">
        <v>114</v>
      </c>
      <c r="C105" s="7"/>
      <c r="D105" s="40">
        <f>IF(OR(D103="",C103=""),"n.a.",IFERROR(IF(C103&lt;=0,"n.m.",IF(D103/C103&lt;=0,"n.m.",D103/C103-1)),"n.a."))</f>
        <v>0.02392344497607657</v>
      </c>
      <c r="E105" s="40">
        <f>IF(OR(E103="",D103=""),"n.a.",IFERROR(IF(D103&lt;=0,"n.m.",IF(E103/D103&lt;=0,"n.m.",E103/D103-1)),"n.a."))</f>
        <v>-0.04361370716510904</v>
      </c>
      <c r="F105" s="40">
        <f>IF(OR(F103="",E103=""),"n.a.",IFERROR(IF(E103&lt;=0,"n.m.",IF(F103/E103&lt;=0,"n.m.",F103/E103-1)),"n.a."))</f>
        <v>0.0228013029315961</v>
      </c>
      <c r="G105" s="7"/>
      <c r="H105" s="40">
        <f>IF(OR(H103="",F103=""),"n.a.",IFERROR(IF(F103&lt;=0,"n.m.",IF(H103/F103&lt;=0,"n.m.",H103/F103-1)),"n.a."))</f>
        <v>0.21019108280254772</v>
      </c>
      <c r="I105" s="40">
        <f>IF(OR(I103="",H103=""),"n.a.",IFERROR(IF(H103&lt;=0,"n.m.",IF(I103/H103&lt;=0,"n.m.",I103/H103-1)),"n.a."))</f>
        <v>-0.04078947368421049</v>
      </c>
      <c r="J105" s="45">
        <f>IF(OR(J103="",I103=""),"n.a.",IFERROR(IF(I103&lt;=0,"n.m.",IF(J103/I103&lt;=0,"n.m.",J103/I103-1)),"n.a."))</f>
        <v>-0.10836762688614543</v>
      </c>
      <c r="K105" s="124"/>
    </row>
    <row r="106">
      <c r="A106" s="2"/>
      <c r="B106" s="47" t="s">
        <v>115</v>
      </c>
      <c r="C106" s="7"/>
      <c r="D106" s="7"/>
      <c r="E106" s="7"/>
      <c r="F106" s="7"/>
      <c r="G106" s="7"/>
      <c r="H106" s="40" t="s">
        <v>116</v>
      </c>
      <c r="I106" s="40" t="s">
        <v>116</v>
      </c>
      <c r="J106" s="45" t="s">
        <v>116</v>
      </c>
      <c r="K106" s="124"/>
    </row>
    <row r="107">
      <c r="A107" s="2"/>
      <c r="B107" s="47" t="s">
        <v>117</v>
      </c>
      <c r="C107" s="7"/>
      <c r="D107" s="7"/>
      <c r="E107" s="7"/>
      <c r="F107" s="7"/>
      <c r="G107" s="7"/>
      <c r="H107" s="40" t="s">
        <v>116</v>
      </c>
      <c r="I107" s="40" t="s">
        <v>116</v>
      </c>
      <c r="J107" s="45" t="s">
        <v>116</v>
      </c>
      <c r="K107" s="124"/>
    </row>
    <row r="108">
      <c r="A108" s="2"/>
      <c r="B108" s="47" t="s">
        <v>118</v>
      </c>
      <c r="C108" s="7"/>
      <c r="D108" s="7"/>
      <c r="E108" s="7"/>
      <c r="F108" s="7"/>
      <c r="G108" s="7"/>
      <c r="H108" s="40" t="s">
        <v>116</v>
      </c>
      <c r="I108" s="40" t="s">
        <v>116</v>
      </c>
      <c r="J108" s="45" t="s">
        <v>116</v>
      </c>
      <c r="K108" s="124"/>
    </row>
    <row r="109">
      <c r="A109" s="2"/>
      <c r="B109" s="47" t="s">
        <v>119</v>
      </c>
      <c r="C109" s="40">
        <f>IFERROR(C103/C144,"n.a.")</f>
        <v>0.09521640091116174</v>
      </c>
      <c r="D109" s="40">
        <f>IFERROR(D103/D144,"n.a.")</f>
        <v>0.10732196589769308</v>
      </c>
      <c r="E109" s="40">
        <f>IFERROR(E103/E144,"n.a.")</f>
        <v>0.09863453815261045</v>
      </c>
      <c r="F109" s="40">
        <f>IFERROR(F103/F144,"n.a.")</f>
        <v>0.11840120663650075</v>
      </c>
      <c r="G109" s="40">
        <f>IFERROR(G103/G144,"n.a.")</f>
        <v>0.1042081673306773</v>
      </c>
      <c r="H109" s="40">
        <f>IFERROR(H103/H144,"n.a.")</f>
        <v>0.10690673793782529</v>
      </c>
      <c r="I109" s="40">
        <f>IFERROR(I103/I144,"n.a.")</f>
        <v>0.09087509349289453</v>
      </c>
      <c r="J109" s="45">
        <f>IFERROR(J103/J144,"n.a.")</f>
        <v>0.10458913771821547</v>
      </c>
      <c r="K109" s="124"/>
    </row>
    <row r="110">
      <c r="A110" s="2"/>
      <c r="B110" s="3" t="s">
        <v>343</v>
      </c>
      <c r="C110" s="58">
        <f>'Segment - Global Banking'!C28-'Segment - Global Banking'!C76-C113</f>
        <v>70</v>
      </c>
      <c r="D110" s="58">
        <f>'Segment - Global Banking'!D28-'Segment - Global Banking'!D76-D113</f>
        <v>65</v>
      </c>
      <c r="E110" s="58">
        <f>'Segment - Global Banking'!E28-'Segment - Global Banking'!E76-E113</f>
        <v>65</v>
      </c>
      <c r="F110" s="58">
        <f>'Segment - Global Banking'!F28-'Segment - Global Banking'!F76-F113</f>
        <v>68</v>
      </c>
      <c r="G110" s="58">
        <f>'Segment - Global Banking'!G28-'Segment - Global Banking'!G76-G113</f>
        <v>268</v>
      </c>
      <c r="H110" s="58">
        <f>'Segment - Global Banking'!H28-'Segment - Global Banking'!H76-H113</f>
        <v>83</v>
      </c>
      <c r="I110" s="58">
        <f>'Segment - Global Banking'!I28-'Segment - Global Banking'!I76-I113</f>
        <v>87</v>
      </c>
      <c r="J110" s="75">
        <v>85</v>
      </c>
      <c r="K110" s="124"/>
    </row>
    <row r="111">
      <c r="A111" s="2"/>
      <c r="B111" s="47" t="s">
        <v>133</v>
      </c>
      <c r="C111" s="7"/>
      <c r="D111" s="7"/>
      <c r="E111" s="7"/>
      <c r="F111" s="7"/>
      <c r="G111" s="7"/>
      <c r="H111" s="40">
        <f>IF(OR(H110="",C110=""),"n.a.",IFERROR(IF(C110&lt;=0,"n.m.",IF(H110/C110&lt;=0,"n.m.",H110/C110-1)),"n.a."))</f>
        <v>0.18571428571428572</v>
      </c>
      <c r="I111" s="40">
        <f>IF(OR(I110="",D110=""),"n.a.",IFERROR(IF(D110&lt;=0,"n.m.",IF(I110/D110&lt;=0,"n.m.",I110/D110-1)),"n.a."))</f>
        <v>0.33846153846153837</v>
      </c>
      <c r="J111" s="45">
        <f>IF(OR(J110="",E110=""),"n.a.",IFERROR(IF(E110&lt;=0,"n.m.",IF(J110/E110&lt;=0,"n.m.",J110/E110-1)),"n.a."))</f>
        <v>0.3076923076923077</v>
      </c>
      <c r="K111" s="124"/>
    </row>
    <row r="112">
      <c r="A112" s="2"/>
      <c r="B112" s="47" t="s">
        <v>134</v>
      </c>
      <c r="C112" s="7"/>
      <c r="D112" s="41">
        <f>IF(OR(D110="",C110=""),"n.a.",IFERROR(D110-C110,"n.a."))</f>
        <v>-5</v>
      </c>
      <c r="E112" s="41">
        <f>IF(OR(E110="",D110=""),"n.a.",IFERROR(E110-D110,"n.a."))</f>
        <v>0</v>
      </c>
      <c r="F112" s="41">
        <f>IF(OR(F110="",E110=""),"n.a.",IFERROR(F110-E110,"n.a."))</f>
        <v>3</v>
      </c>
      <c r="G112" s="7"/>
      <c r="H112" s="41">
        <f>IF(OR(H110="",F110=""),"n.a.",IFERROR(H110-F110,"n.a."))</f>
        <v>15</v>
      </c>
      <c r="I112" s="41">
        <f>IF(OR(I110="",H110=""),"n.a.",IFERROR(I110-H110,"n.a."))</f>
        <v>4</v>
      </c>
      <c r="J112" s="52">
        <f>IF(OR(J110="",I110=""),"n.a.",IFERROR(J110-I110,"n.a."))</f>
        <v>-2</v>
      </c>
      <c r="K112" s="124"/>
    </row>
    <row r="113">
      <c r="A113" s="2"/>
      <c r="B113" s="3" t="s">
        <v>301</v>
      </c>
      <c r="C113" s="37">
        <v>681</v>
      </c>
      <c r="D113" s="37">
        <v>666</v>
      </c>
      <c r="E113" s="37">
        <v>834</v>
      </c>
      <c r="F113" s="37">
        <v>656</v>
      </c>
      <c r="G113" s="43">
        <f>SUM(C113:F113)</f>
        <v>2837</v>
      </c>
      <c r="H113" s="37">
        <v>762</v>
      </c>
      <c r="I113" s="37">
        <v>965</v>
      </c>
      <c r="J113" s="48">
        <f>'Segment - Global Banking'!J28-'Segment - Global Banking'!J76-J110</f>
        <v>748</v>
      </c>
      <c r="K113" s="125" t="s">
        <v>127</v>
      </c>
    </row>
    <row r="114">
      <c r="A114" s="2"/>
      <c r="B114" s="47" t="s">
        <v>113</v>
      </c>
      <c r="C114" s="7"/>
      <c r="D114" s="7"/>
      <c r="E114" s="7"/>
      <c r="F114" s="7"/>
      <c r="G114" s="7"/>
      <c r="H114" s="40">
        <f>IF(OR(H113="",C113=""),"n.a.",IFERROR(IF(C113&lt;=0,"n.m.",IF(H113/C113&lt;=0,"n.m.",H113/C113-1)),"n.a."))</f>
        <v>0.11894273127753308</v>
      </c>
      <c r="I114" s="40">
        <f>IF(OR(I113="",D113=""),"n.a.",IFERROR(IF(D113&lt;=0,"n.m.",IF(I113/D113&lt;=0,"n.m.",I113/D113-1)),"n.a."))</f>
        <v>0.4489489489489489</v>
      </c>
      <c r="J114" s="45">
        <f>IF(OR(J113="",E113=""),"n.a.",IFERROR(IF(E113&lt;=0,"n.m.",IF(J113/E113&lt;=0,"n.m.",J113/E113-1)),"n.a."))</f>
        <v>-0.10311750599520386</v>
      </c>
      <c r="K114" s="124"/>
    </row>
    <row r="115">
      <c r="A115" s="2"/>
      <c r="B115" s="47" t="s">
        <v>114</v>
      </c>
      <c r="C115" s="7"/>
      <c r="D115" s="40">
        <f>IF(OR(D113="",C113=""),"n.a.",IFERROR(IF(C113&lt;=0,"n.m.",IF(D113/C113&lt;=0,"n.m.",D113/C113-1)),"n.a."))</f>
        <v>-0.022026431718061623</v>
      </c>
      <c r="E115" s="40">
        <f>IF(OR(E113="",D113=""),"n.a.",IFERROR(IF(D113&lt;=0,"n.m.",IF(E113/D113&lt;=0,"n.m.",E113/D113-1)),"n.a."))</f>
        <v>0.25225225225225234</v>
      </c>
      <c r="F115" s="40">
        <f>IF(OR(F113="",E113=""),"n.a.",IFERROR(IF(E113&lt;=0,"n.m.",IF(F113/E113&lt;=0,"n.m.",F113/E113-1)),"n.a."))</f>
        <v>-0.21342925659472423</v>
      </c>
      <c r="G115" s="7"/>
      <c r="H115" s="40">
        <f>IF(OR(H113="",F113=""),"n.a.",IFERROR(IF(F113&lt;=0,"n.m.",IF(H113/F113&lt;=0,"n.m.",H113/F113-1)),"n.a."))</f>
        <v>0.16158536585365857</v>
      </c>
      <c r="I115" s="40">
        <f>IF(OR(I113="",H113=""),"n.a.",IFERROR(IF(H113&lt;=0,"n.m.",IF(I113/H113&lt;=0,"n.m.",I113/H113-1)),"n.a."))</f>
        <v>0.26640419947506566</v>
      </c>
      <c r="J115" s="45">
        <f>IF(OR(J113="",I113=""),"n.a.",IFERROR(IF(I113&lt;=0,"n.m.",IF(J113/I113&lt;=0,"n.m.",J113/I113-1)),"n.a."))</f>
        <v>-0.22487046632124352</v>
      </c>
      <c r="K115" s="124"/>
    </row>
    <row r="116">
      <c r="A116" s="2"/>
      <c r="B116" s="47" t="s">
        <v>115</v>
      </c>
      <c r="C116" s="7"/>
      <c r="D116" s="7"/>
      <c r="E116" s="7"/>
      <c r="F116" s="7"/>
      <c r="G116" s="7"/>
      <c r="H116" s="40" t="s">
        <v>116</v>
      </c>
      <c r="I116" s="40" t="s">
        <v>116</v>
      </c>
      <c r="J116" s="45" t="s">
        <v>116</v>
      </c>
      <c r="K116" s="124"/>
    </row>
    <row r="117">
      <c r="A117" s="2"/>
      <c r="B117" s="47" t="s">
        <v>117</v>
      </c>
      <c r="C117" s="7"/>
      <c r="D117" s="7"/>
      <c r="E117" s="7"/>
      <c r="F117" s="7"/>
      <c r="G117" s="7"/>
      <c r="H117" s="40" t="s">
        <v>116</v>
      </c>
      <c r="I117" s="40" t="s">
        <v>116</v>
      </c>
      <c r="J117" s="45" t="s">
        <v>116</v>
      </c>
      <c r="K117" s="124"/>
    </row>
    <row r="118">
      <c r="A118" s="2"/>
      <c r="B118" s="47" t="s">
        <v>118</v>
      </c>
      <c r="C118" s="7"/>
      <c r="D118" s="7"/>
      <c r="E118" s="7"/>
      <c r="F118" s="7"/>
      <c r="G118" s="7"/>
      <c r="H118" s="40" t="s">
        <v>116</v>
      </c>
      <c r="I118" s="40" t="s">
        <v>116</v>
      </c>
      <c r="J118" s="45" t="s">
        <v>116</v>
      </c>
      <c r="K118" s="124"/>
    </row>
    <row r="119">
      <c r="A119" s="2"/>
      <c r="B119" s="47" t="s">
        <v>119</v>
      </c>
      <c r="C119" s="40">
        <f>IFERROR(C113/C144,"n.a.")</f>
        <v>0.10341685649202734</v>
      </c>
      <c r="D119" s="40">
        <f>IFERROR(D113/D144,"n.a.")</f>
        <v>0.11133400200601805</v>
      </c>
      <c r="E119" s="40">
        <f>IFERROR(E113/E144,"n.a.")</f>
        <v>0.13397590361445783</v>
      </c>
      <c r="F119" s="40">
        <f>IFERROR(F113/F144,"n.a.")</f>
        <v>0.12368024132730016</v>
      </c>
      <c r="G119" s="40">
        <f>IFERROR(G113/G144,"n.a.")</f>
        <v>0.11773738379814078</v>
      </c>
      <c r="H119" s="40">
        <f>IFERROR(H113/H144,"n.a.")</f>
        <v>0.10718807145871431</v>
      </c>
      <c r="I119" s="40">
        <f>IFERROR(I113/I144,"n.a.")</f>
        <v>0.12029419097481925</v>
      </c>
      <c r="J119" s="45">
        <f>IFERROR(J113/J144,"n.a.")</f>
        <v>0.12035796155880797</v>
      </c>
      <c r="K119" s="124"/>
    </row>
    <row r="120">
      <c r="A120" s="2"/>
      <c r="B120" s="61" t="s">
        <v>344</v>
      </c>
      <c r="C120" s="41">
        <f>C123-C83</f>
        <v>0</v>
      </c>
      <c r="D120" s="41">
        <f>D123-D83</f>
        <v>1</v>
      </c>
      <c r="E120" s="41">
        <f>E123-E83</f>
        <v>1</v>
      </c>
      <c r="F120" s="41">
        <f>F123-F83</f>
        <v>0</v>
      </c>
      <c r="G120" s="41">
        <f>G123-G83</f>
        <v>2</v>
      </c>
      <c r="H120" s="41">
        <f>H123-H83</f>
        <v>0</v>
      </c>
      <c r="I120" s="41">
        <f>I123-I83</f>
        <v>1</v>
      </c>
      <c r="J120" s="71">
        <v>0</v>
      </c>
      <c r="K120" s="124" t="s">
        <v>345</v>
      </c>
    </row>
    <row r="121">
      <c r="A121" s="2"/>
      <c r="B121" s="47" t="s">
        <v>133</v>
      </c>
      <c r="C121" s="7"/>
      <c r="D121" s="7"/>
      <c r="E121" s="7"/>
      <c r="F121" s="7"/>
      <c r="G121" s="7"/>
      <c r="H121" s="40" t="str">
        <f>IF(OR(H120="",C120=""),"n.a.",IFERROR(IF(C120&lt;=0,"n.m.",IF(H120/C120&lt;=0,"n.m.",H120/C120-1)),"n.a."))</f>
        <v>n.m.</v>
      </c>
      <c r="I121" s="40">
        <f>IF(OR(I120="",D120=""),"n.a.",IFERROR(IF(D120&lt;=0,"n.m.",IF(I120/D120&lt;=0,"n.m.",I120/D120-1)),"n.a."))</f>
        <v>0</v>
      </c>
      <c r="J121" s="45" t="s">
        <v>194</v>
      </c>
      <c r="K121" s="124"/>
    </row>
    <row r="122">
      <c r="A122" s="2"/>
      <c r="B122" s="47" t="s">
        <v>134</v>
      </c>
      <c r="C122" s="7"/>
      <c r="D122" s="41">
        <f>IF(OR(D120="",C120=""),"n.a.",IFERROR(D120-C120,"n.a."))</f>
        <v>1</v>
      </c>
      <c r="E122" s="41">
        <f>IF(OR(E120="",D120=""),"n.a.",IFERROR(E120-D120,"n.a."))</f>
        <v>0</v>
      </c>
      <c r="F122" s="41">
        <f>IF(OR(F120="",E120=""),"n.a.",IFERROR(F120-E120,"n.a."))</f>
        <v>-1</v>
      </c>
      <c r="G122" s="7"/>
      <c r="H122" s="41">
        <f>IF(OR(H120="",F120=""),"n.a.",IFERROR(H120-F120,"n.a."))</f>
        <v>0</v>
      </c>
      <c r="I122" s="41">
        <f>IF(OR(I120="",H120=""),"n.a.",IFERROR(I120-H120,"n.a."))</f>
        <v>1</v>
      </c>
      <c r="J122" s="52" t="s">
        <v>194</v>
      </c>
      <c r="K122" s="124"/>
    </row>
    <row r="123">
      <c r="A123" s="2"/>
      <c r="B123" s="3" t="s">
        <v>346</v>
      </c>
      <c r="C123" s="37">
        <v>3622</v>
      </c>
      <c r="D123" s="37">
        <v>3300</v>
      </c>
      <c r="E123" s="37">
        <v>3141</v>
      </c>
      <c r="F123" s="37">
        <v>2001</v>
      </c>
      <c r="G123" s="43">
        <f>SUM(C123:F123)</f>
        <v>12064</v>
      </c>
      <c r="H123" s="37">
        <v>3721</v>
      </c>
      <c r="I123" s="37">
        <v>4422</v>
      </c>
      <c r="J123" s="38">
        <f>J83+J120</f>
        <v>2910</v>
      </c>
      <c r="K123" s="125" t="s">
        <v>127</v>
      </c>
    </row>
    <row r="124">
      <c r="A124" s="2"/>
      <c r="B124" s="47" t="s">
        <v>113</v>
      </c>
      <c r="C124" s="7"/>
      <c r="D124" s="7"/>
      <c r="E124" s="7"/>
      <c r="F124" s="7"/>
      <c r="G124" s="7"/>
      <c r="H124" s="40">
        <f>IF(OR(H123="",C123=""),"n.a.",IFERROR(IF(C123&lt;=0,"n.m.",IF(H123/C123&lt;=0,"n.m.",H123/C123-1)),"n.a."))</f>
        <v>0.027332965212589766</v>
      </c>
      <c r="I124" s="40">
        <f>IF(OR(I123="",D123=""),"n.a.",IFERROR(IF(D123&lt;=0,"n.m.",IF(I123/D123&lt;=0,"n.m.",I123/D123-1)),"n.a."))</f>
        <v>0.3400000000000001</v>
      </c>
      <c r="J124" s="45">
        <f>IF(OR(J123="",E123=""),"n.a.",IFERROR(IF(E123&lt;=0,"n.m.",IF(J123/E123&lt;=0,"n.m.",J123/E123-1)),"n.a."))</f>
        <v>-0.07354345749761226</v>
      </c>
      <c r="K124" s="124"/>
    </row>
    <row r="125">
      <c r="A125" s="2"/>
      <c r="B125" s="47" t="s">
        <v>114</v>
      </c>
      <c r="C125" s="7"/>
      <c r="D125" s="40">
        <f>IF(OR(D123="",C123=""),"n.a.",IFERROR(IF(C123&lt;=0,"n.m.",IF(D123/C123&lt;=0,"n.m.",D123/C123-1)),"n.a."))</f>
        <v>-0.08890115958034239</v>
      </c>
      <c r="E125" s="40">
        <f>IF(OR(E123="",D123=""),"n.a.",IFERROR(IF(D123&lt;=0,"n.m.",IF(E123/D123&lt;=0,"n.m.",E123/D123-1)),"n.a."))</f>
        <v>-0.048181818181818215</v>
      </c>
      <c r="F125" s="40">
        <f>IF(OR(F123="",E123=""),"n.a.",IFERROR(IF(E123&lt;=0,"n.m.",IF(F123/E123&lt;=0,"n.m.",F123/E123-1)),"n.a."))</f>
        <v>-0.3629417382999045</v>
      </c>
      <c r="G125" s="7"/>
      <c r="H125" s="40">
        <f>IF(OR(H123="",F123=""),"n.a.",IFERROR(IF(F123&lt;=0,"n.m.",IF(H123/F123&lt;=0,"n.m.",H123/F123-1)),"n.a."))</f>
        <v>0.8595702148925537</v>
      </c>
      <c r="I125" s="40">
        <f>IF(OR(I123="",H123=""),"n.a.",IFERROR(IF(H123&lt;=0,"n.m.",IF(I123/H123&lt;=0,"n.m.",I123/H123-1)),"n.a."))</f>
        <v>0.18839021768341846</v>
      </c>
      <c r="J125" s="45">
        <f>IF(OR(J123="",I123=""),"n.a.",IFERROR(IF(I123&lt;=0,"n.m.",IF(J123/I123&lt;=0,"n.m.",J123/I123-1)),"n.a."))</f>
        <v>-0.3419267299864315</v>
      </c>
      <c r="K125" s="124"/>
    </row>
    <row r="126">
      <c r="A126" s="2"/>
      <c r="B126" s="47" t="s">
        <v>115</v>
      </c>
      <c r="C126" s="7"/>
      <c r="D126" s="7"/>
      <c r="E126" s="7"/>
      <c r="F126" s="7"/>
      <c r="G126" s="7"/>
      <c r="H126" s="40" t="s">
        <v>116</v>
      </c>
      <c r="I126" s="40" t="s">
        <v>116</v>
      </c>
      <c r="J126" s="45" t="s">
        <v>116</v>
      </c>
      <c r="K126" s="124"/>
    </row>
    <row r="127">
      <c r="A127" s="2"/>
      <c r="B127" s="47" t="s">
        <v>117</v>
      </c>
      <c r="C127" s="7"/>
      <c r="D127" s="7"/>
      <c r="E127" s="7"/>
      <c r="F127" s="7"/>
      <c r="G127" s="7"/>
      <c r="H127" s="40" t="s">
        <v>116</v>
      </c>
      <c r="I127" s="40" t="s">
        <v>116</v>
      </c>
      <c r="J127" s="45" t="s">
        <v>116</v>
      </c>
      <c r="K127" s="124"/>
    </row>
    <row r="128">
      <c r="A128" s="2"/>
      <c r="B128" s="47" t="s">
        <v>118</v>
      </c>
      <c r="C128" s="7"/>
      <c r="D128" s="7"/>
      <c r="E128" s="7"/>
      <c r="F128" s="7"/>
      <c r="G128" s="7"/>
      <c r="H128" s="40" t="s">
        <v>116</v>
      </c>
      <c r="I128" s="40" t="s">
        <v>116</v>
      </c>
      <c r="J128" s="45" t="s">
        <v>116</v>
      </c>
      <c r="K128" s="124"/>
    </row>
    <row r="129">
      <c r="A129" s="2"/>
      <c r="B129" s="47" t="s">
        <v>119</v>
      </c>
      <c r="C129" s="40">
        <f>IFERROR(C123/C144,"n.a.")</f>
        <v>0.5500379650721336</v>
      </c>
      <c r="D129" s="40">
        <f>IFERROR(D123/D144,"n.a.")</f>
        <v>0.551654964894684</v>
      </c>
      <c r="E129" s="40">
        <f>IFERROR(E123/E144,"n.a.")</f>
        <v>0.5045783132530121</v>
      </c>
      <c r="F129" s="40">
        <f>IFERROR(F123/F144,"n.a.")</f>
        <v>0.377262443438914</v>
      </c>
      <c r="G129" s="40">
        <f>IFERROR(G123/G144,"n.a.")</f>
        <v>0.50066401062417</v>
      </c>
      <c r="H129" s="40">
        <f>IFERROR(H123/H144,"n.a.")</f>
        <v>0.5234210156140104</v>
      </c>
      <c r="I129" s="40">
        <f>IFERROR(I123/I144,"n.a.")</f>
        <v>0.5512341062079282</v>
      </c>
      <c r="J129" s="45">
        <f>IFERROR(J123/J144,"n.a.")</f>
        <v>0.46823752424616466</v>
      </c>
      <c r="K129" s="124"/>
    </row>
    <row r="130">
      <c r="A130" s="2"/>
      <c r="B130" s="3" t="s">
        <v>217</v>
      </c>
      <c r="C130" s="37">
        <v>466</v>
      </c>
      <c r="D130" s="37">
        <v>107</v>
      </c>
      <c r="E130" s="37">
        <v>152</v>
      </c>
      <c r="F130" s="37">
        <v>269</v>
      </c>
      <c r="G130" s="43">
        <f>SUM(C130:F130)</f>
        <v>994</v>
      </c>
      <c r="H130" s="37">
        <v>5</v>
      </c>
      <c r="I130" s="37">
        <v>-5</v>
      </c>
      <c r="J130" s="75">
        <v>0</v>
      </c>
      <c r="K130" s="125" t="s">
        <v>347</v>
      </c>
    </row>
    <row r="131">
      <c r="A131" s="2"/>
      <c r="B131" s="47" t="s">
        <v>113</v>
      </c>
      <c r="C131" s="7"/>
      <c r="D131" s="7"/>
      <c r="E131" s="7"/>
      <c r="F131" s="7"/>
      <c r="G131" s="7"/>
      <c r="H131" s="40">
        <f>IF(OR(H130="",C130=""),"n.a.",IFERROR(IF(C130&lt;=0,"n.m.",IF(H130/C130&lt;=0,"n.m.",H130/C130-1)),"n.a."))</f>
        <v>-0.9892703862660944</v>
      </c>
      <c r="I131" s="40" t="str">
        <f>IF(OR(I130="",D130=""),"n.a.",IFERROR(IF(D130&lt;=0,"n.m.",IF(I130/D130&lt;=0,"n.m.",I130/D130-1)),"n.a."))</f>
        <v>n.m.</v>
      </c>
      <c r="J131" s="45" t="s">
        <v>194</v>
      </c>
      <c r="K131" s="124"/>
    </row>
    <row r="132">
      <c r="A132" s="2"/>
      <c r="B132" s="47" t="s">
        <v>114</v>
      </c>
      <c r="C132" s="7"/>
      <c r="D132" s="40">
        <f>IF(OR(D130="",C130=""),"n.a.",IFERROR(IF(C130&lt;=0,"n.m.",IF(D130/C130&lt;=0,"n.m.",D130/C130-1)),"n.a."))</f>
        <v>-0.7703862660944206</v>
      </c>
      <c r="E132" s="40">
        <f>IF(OR(E130="",D130=""),"n.a.",IFERROR(IF(D130&lt;=0,"n.m.",IF(E130/D130&lt;=0,"n.m.",E130/D130-1)),"n.a."))</f>
        <v>0.42056074766355134</v>
      </c>
      <c r="F132" s="40">
        <f>IF(OR(F130="",E130=""),"n.a.",IFERROR(IF(E130&lt;=0,"n.m.",IF(F130/E130&lt;=0,"n.m.",F130/E130-1)),"n.a."))</f>
        <v>0.769736842105263</v>
      </c>
      <c r="G132" s="7"/>
      <c r="H132" s="40">
        <f>IF(OR(H130="",F130=""),"n.a.",IFERROR(IF(F130&lt;=0,"n.m.",IF(H130/F130&lt;=0,"n.m.",H130/F130-1)),"n.a."))</f>
        <v>-0.9814126394052045</v>
      </c>
      <c r="I132" s="40" t="str">
        <f>IF(OR(I130="",H130=""),"n.a.",IFERROR(IF(H130&lt;=0,"n.m.",IF(I130/H130&lt;=0,"n.m.",I130/H130-1)),"n.a."))</f>
        <v>n.m.</v>
      </c>
      <c r="J132" s="45" t="s">
        <v>194</v>
      </c>
      <c r="K132" s="124"/>
    </row>
    <row r="133">
      <c r="A133" s="2"/>
      <c r="B133" s="47" t="s">
        <v>115</v>
      </c>
      <c r="C133" s="7"/>
      <c r="D133" s="7"/>
      <c r="E133" s="7"/>
      <c r="F133" s="7"/>
      <c r="G133" s="7"/>
      <c r="H133" s="40" t="s">
        <v>116</v>
      </c>
      <c r="I133" s="40" t="s">
        <v>116</v>
      </c>
      <c r="J133" s="45" t="s">
        <v>116</v>
      </c>
      <c r="K133" s="124"/>
    </row>
    <row r="134">
      <c r="A134" s="2"/>
      <c r="B134" s="47" t="s">
        <v>117</v>
      </c>
      <c r="C134" s="7"/>
      <c r="D134" s="7"/>
      <c r="E134" s="7"/>
      <c r="F134" s="7"/>
      <c r="G134" s="7"/>
      <c r="H134" s="40" t="s">
        <v>116</v>
      </c>
      <c r="I134" s="40" t="s">
        <v>116</v>
      </c>
      <c r="J134" s="45" t="s">
        <v>116</v>
      </c>
      <c r="K134" s="124"/>
    </row>
    <row r="135">
      <c r="A135" s="2"/>
      <c r="B135" s="47" t="s">
        <v>118</v>
      </c>
      <c r="C135" s="7"/>
      <c r="D135" s="7"/>
      <c r="E135" s="7"/>
      <c r="F135" s="7"/>
      <c r="G135" s="7"/>
      <c r="H135" s="40" t="s">
        <v>116</v>
      </c>
      <c r="I135" s="40" t="s">
        <v>116</v>
      </c>
      <c r="J135" s="45" t="s">
        <v>116</v>
      </c>
      <c r="K135" s="124"/>
    </row>
    <row r="136">
      <c r="A136" s="2"/>
      <c r="B136" s="47" t="s">
        <v>119</v>
      </c>
      <c r="C136" s="40">
        <f>IFERROR(C130/C144,"n.a.")</f>
        <v>0.07076689445709947</v>
      </c>
      <c r="D136" s="40">
        <f>IFERROR(D130/D144,"n.a.")</f>
        <v>0.01788699431628218</v>
      </c>
      <c r="E136" s="40">
        <f>IFERROR(E130/E144,"n.a.")</f>
        <v>0.024417670682730923</v>
      </c>
      <c r="F136" s="40">
        <f>IFERROR(F130/F144,"n.a.")</f>
        <v>0.050716440422322775</v>
      </c>
      <c r="G136" s="40">
        <f>IFERROR(G130/G144,"n.a.")</f>
        <v>0.04125166002656042</v>
      </c>
      <c r="H136" s="40">
        <f>IFERROR(H130/H144,"n.a.")</f>
        <v>0.0007033338022225348</v>
      </c>
      <c r="I136" s="40">
        <f>IFERROR(I130/I144,"n.a.")</f>
        <v>-0.0006232859636000997</v>
      </c>
      <c r="J136" s="45">
        <f>IFERROR(J130/J144,"n.a.")</f>
        <v>0</v>
      </c>
      <c r="K136" s="124"/>
    </row>
    <row r="137">
      <c r="A137" s="2"/>
      <c r="B137" s="18" t="s">
        <v>218</v>
      </c>
      <c r="C137" s="39">
        <f>C103+C113+C123+C130</f>
        <v>5396</v>
      </c>
      <c r="D137" s="39">
        <f>D103+D113+D123+D130</f>
        <v>4715</v>
      </c>
      <c r="E137" s="39">
        <f>E103+E113+E123+E130</f>
        <v>4741</v>
      </c>
      <c r="F137" s="39">
        <f>F103+F113+F123+F130</f>
        <v>3554</v>
      </c>
      <c r="G137" s="39">
        <f>G103+G113+G123+G130</f>
        <v>18406</v>
      </c>
      <c r="H137" s="39">
        <f>H103+H113+H123+H130</f>
        <v>5248</v>
      </c>
      <c r="I137" s="39">
        <f>I103+I113+I123+I130</f>
        <v>6111</v>
      </c>
      <c r="J137" s="50">
        <f>J103+J113+J123+J130</f>
        <v>4308</v>
      </c>
      <c r="K137" s="124"/>
    </row>
    <row r="138">
      <c r="A138" s="2"/>
      <c r="B138" s="47" t="s">
        <v>113</v>
      </c>
      <c r="C138" s="7"/>
      <c r="D138" s="7"/>
      <c r="E138" s="7"/>
      <c r="F138" s="7"/>
      <c r="G138" s="7"/>
      <c r="H138" s="40">
        <f>IF(OR(H137="",C137=""),"n.a.",IFERROR(IF(C137&lt;=0,"n.m.",IF(H137/C137&lt;=0,"n.m.",H137/C137-1)),"n.a."))</f>
        <v>-0.02742772424017792</v>
      </c>
      <c r="I138" s="40">
        <f>IF(OR(I137="",D137=""),"n.a.",IFERROR(IF(D137&lt;=0,"n.m.",IF(I137/D137&lt;=0,"n.m.",I137/D137-1)),"n.a."))</f>
        <v>0.2960763520678684</v>
      </c>
      <c r="J138" s="45">
        <f>IF(OR(J137="",E137=""),"n.a.",IFERROR(IF(E137&lt;=0,"n.m.",IF(J137/E137&lt;=0,"n.m.",J137/E137-1)),"n.a."))</f>
        <v>-0.09133094283906351</v>
      </c>
      <c r="K138" s="124"/>
    </row>
    <row r="139">
      <c r="A139" s="2"/>
      <c r="B139" s="47" t="s">
        <v>114</v>
      </c>
      <c r="C139" s="7"/>
      <c r="D139" s="40">
        <f>IF(OR(D137="",C137=""),"n.a.",IFERROR(IF(C137&lt;=0,"n.m.",IF(D137/C137&lt;=0,"n.m.",D137/C137-1)),"n.a."))</f>
        <v>-0.12620459599703482</v>
      </c>
      <c r="E139" s="40">
        <f>IF(OR(E137="",D137=""),"n.a.",IFERROR(IF(D137&lt;=0,"n.m.",IF(E137/D137&lt;=0,"n.m.",E137/D137-1)),"n.a."))</f>
        <v>0.00551431601272534</v>
      </c>
      <c r="F139" s="40">
        <f>IF(OR(F137="",E137=""),"n.a.",IFERROR(IF(E137&lt;=0,"n.m.",IF(F137/E137&lt;=0,"n.m.",F137/E137-1)),"n.a."))</f>
        <v>-0.25036912043872606</v>
      </c>
      <c r="G139" s="7"/>
      <c r="H139" s="40">
        <f>IF(OR(H137="",F137=""),"n.a.",IFERROR(IF(F137&lt;=0,"n.m.",IF(H137/F137&lt;=0,"n.m.",H137/F137-1)),"n.a."))</f>
        <v>0.4766460326392796</v>
      </c>
      <c r="I139" s="40">
        <f>IF(OR(I137="",H137=""),"n.a.",IFERROR(IF(H137&lt;=0,"n.m.",IF(I137/H137&lt;=0,"n.m.",I137/H137-1)),"n.a."))</f>
        <v>0.1644435975609757</v>
      </c>
      <c r="J139" s="45">
        <f>IF(OR(J137="",I137=""),"n.a.",IFERROR(IF(I137&lt;=0,"n.m.",IF(J137/I137&lt;=0,"n.m.",J137/I137-1)),"n.a."))</f>
        <v>-0.2950417280314187</v>
      </c>
      <c r="K139" s="124"/>
    </row>
    <row r="140">
      <c r="A140" s="2"/>
      <c r="B140" s="47" t="s">
        <v>115</v>
      </c>
      <c r="C140" s="7"/>
      <c r="D140" s="7"/>
      <c r="E140" s="7"/>
      <c r="F140" s="7"/>
      <c r="G140" s="7"/>
      <c r="H140" s="40" t="s">
        <v>116</v>
      </c>
      <c r="I140" s="40" t="s">
        <v>116</v>
      </c>
      <c r="J140" s="45" t="s">
        <v>116</v>
      </c>
      <c r="K140" s="124"/>
    </row>
    <row r="141">
      <c r="A141" s="2"/>
      <c r="B141" s="47" t="s">
        <v>117</v>
      </c>
      <c r="C141" s="7"/>
      <c r="D141" s="7"/>
      <c r="E141" s="7"/>
      <c r="F141" s="7"/>
      <c r="G141" s="7"/>
      <c r="H141" s="40" t="s">
        <v>116</v>
      </c>
      <c r="I141" s="40" t="s">
        <v>116</v>
      </c>
      <c r="J141" s="45" t="s">
        <v>116</v>
      </c>
      <c r="K141" s="124"/>
    </row>
    <row r="142">
      <c r="A142" s="2"/>
      <c r="B142" s="47" t="s">
        <v>118</v>
      </c>
      <c r="C142" s="7"/>
      <c r="D142" s="7"/>
      <c r="E142" s="7"/>
      <c r="F142" s="7"/>
      <c r="G142" s="7"/>
      <c r="H142" s="40" t="s">
        <v>116</v>
      </c>
      <c r="I142" s="40" t="s">
        <v>116</v>
      </c>
      <c r="J142" s="45" t="s">
        <v>116</v>
      </c>
      <c r="K142" s="124"/>
    </row>
    <row r="143">
      <c r="A143" s="2"/>
      <c r="B143" s="47" t="s">
        <v>119</v>
      </c>
      <c r="C143" s="40">
        <f>IFERROR(C137/C144,"n.a.")</f>
        <v>0.8194381169324222</v>
      </c>
      <c r="D143" s="40">
        <f>IFERROR(D137/D144,"n.a.")</f>
        <v>0.7881979271146774</v>
      </c>
      <c r="E143" s="40">
        <f>IFERROR(E137/E144,"n.a.")</f>
        <v>0.7616064257028112</v>
      </c>
      <c r="F143" s="40">
        <f>IFERROR(F137/F144,"n.a.")</f>
        <v>0.6700603318250377</v>
      </c>
      <c r="G143" s="40">
        <f>IFERROR(G137/G144,"n.a.")</f>
        <v>0.7638612217795485</v>
      </c>
      <c r="H143" s="40">
        <f>IFERROR(H137/H144,"n.a.")</f>
        <v>0.7382191588127726</v>
      </c>
      <c r="I143" s="40">
        <f>IFERROR(I137/I144,"n.a.")</f>
        <v>0.7617801047120419</v>
      </c>
      <c r="J143" s="45">
        <f>IFERROR(J137/J144,"n.a.")</f>
        <v>0.6931846235231881</v>
      </c>
      <c r="K143" s="124"/>
    </row>
    <row r="144">
      <c r="A144" s="2"/>
      <c r="B144" s="18" t="s">
        <v>128</v>
      </c>
      <c r="C144" s="39">
        <f>C96+C137</f>
        <v>6585</v>
      </c>
      <c r="D144" s="39">
        <f>D96+D137</f>
        <v>5982</v>
      </c>
      <c r="E144" s="39">
        <f>E96+E137</f>
        <v>6225</v>
      </c>
      <c r="F144" s="39">
        <f>F96+F137</f>
        <v>5304</v>
      </c>
      <c r="G144" s="39">
        <f>G96+G137</f>
        <v>24096</v>
      </c>
      <c r="H144" s="39">
        <f>H96+H137</f>
        <v>7109</v>
      </c>
      <c r="I144" s="39">
        <f>I96+I137</f>
        <v>8022</v>
      </c>
      <c r="J144" s="50">
        <f>J96+J137</f>
        <v>6214.7945205479455</v>
      </c>
      <c r="K144" s="124"/>
    </row>
    <row r="145">
      <c r="A145" s="2"/>
      <c r="B145" s="47" t="s">
        <v>113</v>
      </c>
      <c r="C145" s="7"/>
      <c r="D145" s="7"/>
      <c r="E145" s="7"/>
      <c r="F145" s="7"/>
      <c r="G145" s="7"/>
      <c r="H145" s="40">
        <f>IF(OR(H144="",C144=""),"n.a.",IFERROR(IF(C144&lt;=0,"n.m.",IF(H144/C144&lt;=0,"n.m.",H144/C144-1)),"n.a."))</f>
        <v>0.0795747911921032</v>
      </c>
      <c r="I145" s="40">
        <f>IF(OR(I144="",D144=""),"n.a.",IFERROR(IF(D144&lt;=0,"n.m.",IF(I144/D144&lt;=0,"n.m.",I144/D144-1)),"n.a."))</f>
        <v>0.3410230692076228</v>
      </c>
      <c r="J145" s="45">
        <f>IF(OR(J144="",E144=""),"n.a.",IFERROR(IF(E144&lt;=0,"n.m.",IF(J144/E144&lt;=0,"n.m.",J144/E144-1)),"n.a."))</f>
        <v>-0.0016394344501292624</v>
      </c>
      <c r="K145" s="124"/>
    </row>
    <row r="146">
      <c r="A146" s="2"/>
      <c r="B146" s="47" t="s">
        <v>114</v>
      </c>
      <c r="C146" s="7"/>
      <c r="D146" s="40">
        <f>IF(OR(D144="",C144=""),"n.a.",IFERROR(IF(C144&lt;=0,"n.m.",IF(D144/C144&lt;=0,"n.m.",D144/C144-1)),"n.a."))</f>
        <v>-0.09157175398633255</v>
      </c>
      <c r="E146" s="40">
        <f>IF(OR(E144="",D144=""),"n.a.",IFERROR(IF(D144&lt;=0,"n.m.",IF(E144/D144&lt;=0,"n.m.",E144/D144-1)),"n.a."))</f>
        <v>0.04062186559679026</v>
      </c>
      <c r="F146" s="40">
        <f>IF(OR(F144="",E144=""),"n.a.",IFERROR(IF(E144&lt;=0,"n.m.",IF(F144/E144&lt;=0,"n.m.",F144/E144-1)),"n.a."))</f>
        <v>-0.14795180722891565</v>
      </c>
      <c r="G146" s="7"/>
      <c r="H146" s="40">
        <f>IF(OR(H144="",F144=""),"n.a.",IFERROR(IF(F144&lt;=0,"n.m.",IF(H144/F144&lt;=0,"n.m.",H144/F144-1)),"n.a."))</f>
        <v>0.34030920060331815</v>
      </c>
      <c r="I146" s="40">
        <f>IF(OR(I144="",H144=""),"n.a.",IFERROR(IF(H144&lt;=0,"n.m.",IF(I144/H144&lt;=0,"n.m.",I144/H144-1)),"n.a."))</f>
        <v>0.12842875228583495</v>
      </c>
      <c r="J146" s="45">
        <f>IF(OR(J144="",I144=""),"n.a.",IFERROR(IF(I144&lt;=0,"n.m.",IF(J144/I144&lt;=0,"n.m.",J144/I144-1)),"n.a."))</f>
        <v>-0.22528116173673085</v>
      </c>
      <c r="K146" s="124"/>
    </row>
    <row r="147">
      <c r="A147" s="2"/>
      <c r="B147" s="47" t="s">
        <v>115</v>
      </c>
      <c r="C147" s="7"/>
      <c r="D147" s="7"/>
      <c r="E147" s="7"/>
      <c r="F147" s="7"/>
      <c r="G147" s="7"/>
      <c r="H147" s="40" t="s">
        <v>116</v>
      </c>
      <c r="I147" s="40" t="s">
        <v>116</v>
      </c>
      <c r="J147" s="45" t="s">
        <v>116</v>
      </c>
      <c r="K147" s="124"/>
    </row>
    <row r="148">
      <c r="A148" s="2"/>
      <c r="B148" s="47" t="s">
        <v>117</v>
      </c>
      <c r="C148" s="7"/>
      <c r="D148" s="7"/>
      <c r="E148" s="7"/>
      <c r="F148" s="7"/>
      <c r="G148" s="7"/>
      <c r="H148" s="40" t="s">
        <v>116</v>
      </c>
      <c r="I148" s="40" t="s">
        <v>116</v>
      </c>
      <c r="J148" s="45" t="s">
        <v>116</v>
      </c>
      <c r="K148" s="124"/>
    </row>
    <row r="149">
      <c r="A149" s="2"/>
      <c r="B149" s="47" t="s">
        <v>118</v>
      </c>
      <c r="C149" s="7"/>
      <c r="D149" s="7"/>
      <c r="E149" s="7"/>
      <c r="F149" s="7"/>
      <c r="G149" s="7"/>
      <c r="H149" s="40" t="s">
        <v>116</v>
      </c>
      <c r="I149" s="40" t="s">
        <v>116</v>
      </c>
      <c r="J149" s="45" t="s">
        <v>116</v>
      </c>
      <c r="K149" s="124"/>
    </row>
    <row r="150">
      <c r="A150" s="2"/>
      <c r="B150" s="3" t="s">
        <v>219</v>
      </c>
      <c r="C150" s="37">
        <v>6585</v>
      </c>
      <c r="D150" s="37">
        <v>5982</v>
      </c>
      <c r="E150" s="37">
        <v>6225</v>
      </c>
      <c r="F150" s="37">
        <v>5304</v>
      </c>
      <c r="G150" s="43">
        <f>SUM(C150:F150)</f>
        <v>24096</v>
      </c>
      <c r="H150" s="37">
        <v>7109</v>
      </c>
      <c r="I150" s="37">
        <v>8022</v>
      </c>
      <c r="J150" s="46"/>
      <c r="K150" s="125" t="s">
        <v>130</v>
      </c>
    </row>
    <row r="151">
      <c r="A151" s="2"/>
      <c r="B151" s="61" t="s">
        <v>167</v>
      </c>
      <c r="C151" s="41">
        <f>C144-C150</f>
        <v>0</v>
      </c>
      <c r="D151" s="41">
        <f>D144-D150</f>
        <v>0</v>
      </c>
      <c r="E151" s="41">
        <f>E144-E150</f>
        <v>0</v>
      </c>
      <c r="F151" s="41">
        <f>F144-F150</f>
        <v>0</v>
      </c>
      <c r="G151" s="41">
        <f>G144-G150</f>
        <v>0</v>
      </c>
      <c r="H151" s="41">
        <f>H144-H150</f>
        <v>0</v>
      </c>
      <c r="I151" s="41">
        <f>I144-I150</f>
        <v>0</v>
      </c>
      <c r="J151" s="46"/>
      <c r="K151" s="124"/>
    </row>
    <row r="152">
      <c r="A152" s="2"/>
      <c r="B152" s="18" t="s">
        <v>348</v>
      </c>
      <c r="C152" s="7"/>
      <c r="D152" s="7"/>
      <c r="E152" s="7"/>
      <c r="F152" s="7"/>
      <c r="G152" s="7"/>
      <c r="H152" s="7"/>
      <c r="I152" s="7"/>
      <c r="J152" s="46"/>
      <c r="K152" s="124"/>
    </row>
    <row r="153">
      <c r="A153" s="2"/>
      <c r="B153" s="3" t="s">
        <v>279</v>
      </c>
      <c r="C153" s="37">
        <v>157450</v>
      </c>
      <c r="D153" s="43">
        <f>C157</f>
        <v>166348</v>
      </c>
      <c r="E153" s="43">
        <f>D157</f>
        <v>187357</v>
      </c>
      <c r="F153" s="43">
        <f>E157</f>
        <v>196759</v>
      </c>
      <c r="G153" s="43">
        <f>C153</f>
        <v>157450</v>
      </c>
      <c r="H153" s="43">
        <f>F157</f>
        <v>202733</v>
      </c>
      <c r="I153" s="43">
        <f>H157</f>
        <v>205941</v>
      </c>
      <c r="J153" s="38">
        <f>I157</f>
        <v>198678</v>
      </c>
      <c r="K153" s="125" t="s">
        <v>349</v>
      </c>
    </row>
    <row r="154">
      <c r="A154" s="2"/>
      <c r="B154" s="3" t="s">
        <v>281</v>
      </c>
      <c r="C154" s="43">
        <f>C157-C153</f>
        <v>8898</v>
      </c>
      <c r="D154" s="43">
        <f>D157-D153</f>
        <v>21009</v>
      </c>
      <c r="E154" s="43">
        <f>E157-E153</f>
        <v>9402</v>
      </c>
      <c r="F154" s="43">
        <f>F157-F153</f>
        <v>5974</v>
      </c>
      <c r="G154" s="43">
        <f>G157-G153</f>
        <v>45283</v>
      </c>
      <c r="H154" s="43">
        <f>H157-H153</f>
        <v>3208</v>
      </c>
      <c r="I154" s="43">
        <f>I157-I153</f>
        <v>-7263</v>
      </c>
      <c r="J154" s="75">
        <v>4000</v>
      </c>
      <c r="K154" s="124"/>
    </row>
    <row r="155">
      <c r="A155" s="2"/>
      <c r="B155" s="47" t="s">
        <v>133</v>
      </c>
      <c r="C155" s="7"/>
      <c r="D155" s="7"/>
      <c r="E155" s="7"/>
      <c r="F155" s="7"/>
      <c r="G155" s="7"/>
      <c r="H155" s="40">
        <f>IF(OR(H154="",C154=""),"n.a.",IFERROR(IF(C154&lt;=0,"n.m.",IF(H154/C154&lt;=0,"n.m.",H154/C154-1)),"n.a."))</f>
        <v>-0.6394695437176894</v>
      </c>
      <c r="I155" s="40" t="str">
        <f>IF(OR(I154="",D154=""),"n.a.",IFERROR(IF(D154&lt;=0,"n.m.",IF(I154/D154&lt;=0,"n.m.",I154/D154-1)),"n.a."))</f>
        <v>n.m.</v>
      </c>
      <c r="J155" s="45">
        <f>IF(OR(J154="",E154=""),"n.a.",IFERROR(IF(E154&lt;=0,"n.m.",IF(J154/E154&lt;=0,"n.m.",J154/E154-1)),"n.a."))</f>
        <v>-0.5745586045522229</v>
      </c>
      <c r="K155" s="124"/>
    </row>
    <row r="156">
      <c r="A156" s="2"/>
      <c r="B156" s="47" t="s">
        <v>134</v>
      </c>
      <c r="C156" s="7"/>
      <c r="D156" s="41">
        <f>IF(OR(D154="",C154=""),"n.a.",IFERROR(D154-C154,"n.a."))</f>
        <v>12111</v>
      </c>
      <c r="E156" s="41">
        <f>IF(OR(E154="",D154=""),"n.a.",IFERROR(E154-D154,"n.a."))</f>
        <v>-11607</v>
      </c>
      <c r="F156" s="41">
        <f>IF(OR(F154="",E154=""),"n.a.",IFERROR(F154-E154,"n.a."))</f>
        <v>-3428</v>
      </c>
      <c r="G156" s="7"/>
      <c r="H156" s="41">
        <f>IF(OR(H154="",F154=""),"n.a.",IFERROR(H154-F154,"n.a."))</f>
        <v>-2766</v>
      </c>
      <c r="I156" s="41">
        <f>IF(OR(I154="",H154=""),"n.a.",IFERROR(I154-H154,"n.a."))</f>
        <v>-10471</v>
      </c>
      <c r="J156" s="52">
        <f>IF(OR(J154="",I154=""),"n.a.",IFERROR(J154-I154,"n.a."))</f>
        <v>11263</v>
      </c>
      <c r="K156" s="124"/>
    </row>
    <row r="157">
      <c r="A157" s="2"/>
      <c r="B157" s="18" t="s">
        <v>282</v>
      </c>
      <c r="C157" s="68">
        <v>166348</v>
      </c>
      <c r="D157" s="68">
        <v>187357</v>
      </c>
      <c r="E157" s="68">
        <v>196759</v>
      </c>
      <c r="F157" s="68">
        <v>202733</v>
      </c>
      <c r="G157" s="39">
        <f>F157</f>
        <v>202733</v>
      </c>
      <c r="H157" s="68">
        <v>205941</v>
      </c>
      <c r="I157" s="68">
        <v>198678</v>
      </c>
      <c r="J157" s="50">
        <f>J153+J154</f>
        <v>202678</v>
      </c>
      <c r="K157" s="125" t="s">
        <v>127</v>
      </c>
    </row>
    <row r="158">
      <c r="A158" s="2"/>
      <c r="B158" s="47" t="s">
        <v>133</v>
      </c>
      <c r="C158" s="7"/>
      <c r="D158" s="7"/>
      <c r="E158" s="7"/>
      <c r="F158" s="7"/>
      <c r="G158" s="7"/>
      <c r="H158" s="40">
        <f>IF(OR(H157="",C157=""),"n.a.",IFERROR(IF(C157&lt;=0,"n.m.",IF(H157/C157&lt;=0,"n.m.",H157/C157-1)),"n.a."))</f>
        <v>0.2380130810108929</v>
      </c>
      <c r="I158" s="40">
        <f>IF(OR(I157="",D157=""),"n.a.",IFERROR(IF(D157&lt;=0,"n.m.",IF(I157/D157&lt;=0,"n.m.",I157/D157-1)),"n.a."))</f>
        <v>0.06042475060979835</v>
      </c>
      <c r="J158" s="45">
        <f>IF(OR(J157="",E157=""),"n.a.",IFERROR(IF(E157&lt;=0,"n.m.",IF(J157/E157&lt;=0,"n.m.",J157/E157-1)),"n.a."))</f>
        <v>0.030082486696923594</v>
      </c>
      <c r="K158" s="124"/>
    </row>
    <row r="159">
      <c r="A159" s="2"/>
      <c r="B159" s="47" t="s">
        <v>134</v>
      </c>
      <c r="C159" s="7"/>
      <c r="D159" s="41">
        <f>IF(OR(D157="",C157=""),"n.a.",IFERROR(D157-C157,"n.a."))</f>
        <v>21009</v>
      </c>
      <c r="E159" s="41">
        <f>IF(OR(E157="",D157=""),"n.a.",IFERROR(E157-D157,"n.a."))</f>
        <v>9402</v>
      </c>
      <c r="F159" s="41">
        <f>IF(OR(F157="",E157=""),"n.a.",IFERROR(F157-E157,"n.a."))</f>
        <v>5974</v>
      </c>
      <c r="G159" s="7"/>
      <c r="H159" s="41">
        <f>IF(OR(H157="",F157=""),"n.a.",IFERROR(H157-F157,"n.a."))</f>
        <v>3208</v>
      </c>
      <c r="I159" s="41">
        <f>IF(OR(I157="",H157=""),"n.a.",IFERROR(I157-H157,"n.a."))</f>
        <v>-7263</v>
      </c>
      <c r="J159" s="52">
        <f>IF(OR(J157="",I157=""),"n.a.",IFERROR(J157-I157,"n.a."))</f>
        <v>4000</v>
      </c>
      <c r="K159" s="124"/>
    </row>
    <row r="160">
      <c r="A160" s="2"/>
      <c r="B160" s="3" t="s">
        <v>283</v>
      </c>
      <c r="C160" s="43">
        <f>(C153+C157)/2</f>
        <v>161899</v>
      </c>
      <c r="D160" s="43">
        <f>(D153+D157)/2</f>
        <v>176852.5</v>
      </c>
      <c r="E160" s="43">
        <f>(E153+E157)/2</f>
        <v>192058</v>
      </c>
      <c r="F160" s="43">
        <f>(F153+F157)/2</f>
        <v>199746</v>
      </c>
      <c r="G160" s="7"/>
      <c r="H160" s="43">
        <f>(H153+H157)/2</f>
        <v>204337</v>
      </c>
      <c r="I160" s="43">
        <f>(I153+I157)/2</f>
        <v>202309.5</v>
      </c>
      <c r="J160" s="38">
        <f>(J153+J157)/2</f>
        <v>200678</v>
      </c>
      <c r="K160" s="124"/>
    </row>
    <row r="161">
      <c r="A161" s="2"/>
      <c r="B161" s="3" t="s">
        <v>284</v>
      </c>
      <c r="C161" s="43">
        <f>C162-C160</f>
        <v>-2274</v>
      </c>
      <c r="D161" s="43">
        <f>D162-D160</f>
        <v>-484.5</v>
      </c>
      <c r="E161" s="43">
        <f>E162-E160</f>
        <v>-1064</v>
      </c>
      <c r="F161" s="43">
        <f>F162-F160</f>
        <v>-1924</v>
      </c>
      <c r="G161" s="7"/>
      <c r="H161" s="43">
        <f>H162-H160</f>
        <v>-3100</v>
      </c>
      <c r="I161" s="43">
        <f>I162-I160</f>
        <v>2684.5</v>
      </c>
      <c r="J161" s="38">
        <f>AVERAGE(E161,F161,H161,I161)</f>
        <v>-850.875</v>
      </c>
      <c r="K161" s="124"/>
    </row>
    <row r="162">
      <c r="A162" s="2"/>
      <c r="B162" s="18" t="s">
        <v>212</v>
      </c>
      <c r="C162" s="81">
        <v>159625</v>
      </c>
      <c r="D162" s="81">
        <v>176368</v>
      </c>
      <c r="E162" s="81">
        <v>190994</v>
      </c>
      <c r="F162" s="81">
        <v>197822</v>
      </c>
      <c r="G162" s="81">
        <v>181334</v>
      </c>
      <c r="H162" s="81">
        <v>201237</v>
      </c>
      <c r="I162" s="81">
        <v>204994</v>
      </c>
      <c r="J162" s="97">
        <f>J160+J161</f>
        <v>199827.125</v>
      </c>
      <c r="K162" s="125" t="s">
        <v>127</v>
      </c>
    </row>
    <row r="163">
      <c r="A163" s="2"/>
      <c r="B163" s="47" t="s">
        <v>133</v>
      </c>
      <c r="C163" s="7"/>
      <c r="D163" s="7"/>
      <c r="E163" s="7"/>
      <c r="F163" s="7"/>
      <c r="G163" s="7"/>
      <c r="H163" s="40">
        <f>IF(OR(H162="",C162=""),"n.a.",IFERROR(IF(C162&lt;=0,"n.m.",IF(H162/C162&lt;=0,"n.m.",H162/C162-1)),"n.a."))</f>
        <v>0.2606859827721222</v>
      </c>
      <c r="I163" s="40">
        <f>IF(OR(I162="",D162=""),"n.a.",IFERROR(IF(D162&lt;=0,"n.m.",IF(I162/D162&lt;=0,"n.m.",I162/D162-1)),"n.a."))</f>
        <v>0.16230835525718956</v>
      </c>
      <c r="J163" s="45">
        <f>IF(OR(J162="",E162=""),"n.a.",IFERROR(IF(E162&lt;=0,"n.m.",IF(J162/E162&lt;=0,"n.m.",J162/E162-1)),"n.a."))</f>
        <v>0.04624818057111746</v>
      </c>
      <c r="K163" s="124"/>
    </row>
    <row r="164">
      <c r="A164" s="2"/>
      <c r="B164" s="47" t="s">
        <v>134</v>
      </c>
      <c r="C164" s="7"/>
      <c r="D164" s="41">
        <f>IF(OR(D162="",C162=""),"n.a.",IFERROR(D162-C162,"n.a."))</f>
        <v>16743</v>
      </c>
      <c r="E164" s="41">
        <f>IF(OR(E162="",D162=""),"n.a.",IFERROR(E162-D162,"n.a."))</f>
        <v>14626</v>
      </c>
      <c r="F164" s="41">
        <f>IF(OR(F162="",E162=""),"n.a.",IFERROR(F162-E162,"n.a."))</f>
        <v>6828</v>
      </c>
      <c r="G164" s="7"/>
      <c r="H164" s="41">
        <f>IF(OR(H162="",F162=""),"n.a.",IFERROR(H162-F162,"n.a."))</f>
        <v>3415</v>
      </c>
      <c r="I164" s="41">
        <f>IF(OR(I162="",H162=""),"n.a.",IFERROR(I162-H162,"n.a."))</f>
        <v>3757</v>
      </c>
      <c r="J164" s="52">
        <f>IF(OR(J162="",I162=""),"n.a.",IFERROR(J162-I162,"n.a."))</f>
        <v>-5166.875</v>
      </c>
      <c r="K164" s="124"/>
    </row>
    <row r="165">
      <c r="A165" s="2"/>
      <c r="B165" s="3" t="s">
        <v>293</v>
      </c>
      <c r="C165" s="37">
        <v>38848</v>
      </c>
      <c r="D165" s="43">
        <f>C169</f>
        <v>38268</v>
      </c>
      <c r="E165" s="43">
        <f>D169</f>
        <v>38232</v>
      </c>
      <c r="F165" s="43">
        <f>E169</f>
        <v>36883</v>
      </c>
      <c r="G165" s="43">
        <f>C165</f>
        <v>38848</v>
      </c>
      <c r="H165" s="43">
        <f>F169</f>
        <v>40614</v>
      </c>
      <c r="I165" s="43">
        <f>H169</f>
        <v>38012</v>
      </c>
      <c r="J165" s="38">
        <f>I169</f>
        <v>38146</v>
      </c>
      <c r="K165" s="125" t="s">
        <v>349</v>
      </c>
    </row>
    <row r="166">
      <c r="A166" s="2"/>
      <c r="B166" s="3" t="s">
        <v>294</v>
      </c>
      <c r="C166" s="43">
        <f>C169-C165</f>
        <v>-580</v>
      </c>
      <c r="D166" s="43">
        <f>D169-D165</f>
        <v>-36</v>
      </c>
      <c r="E166" s="43">
        <f>E169-E165</f>
        <v>-1349</v>
      </c>
      <c r="F166" s="43">
        <f>F169-F165</f>
        <v>3731</v>
      </c>
      <c r="G166" s="43">
        <f>G169-G165</f>
        <v>1766</v>
      </c>
      <c r="H166" s="43">
        <f>H169-H165</f>
        <v>-2602</v>
      </c>
      <c r="I166" s="43">
        <f>I169-I165</f>
        <v>134</v>
      </c>
      <c r="J166" s="75">
        <v>0</v>
      </c>
      <c r="K166" s="124"/>
    </row>
    <row r="167">
      <c r="A167" s="2"/>
      <c r="B167" s="47" t="s">
        <v>133</v>
      </c>
      <c r="C167" s="7"/>
      <c r="D167" s="7"/>
      <c r="E167" s="7"/>
      <c r="F167" s="7"/>
      <c r="G167" s="7"/>
      <c r="H167" s="40" t="str">
        <f>IF(OR(H166="",C166=""),"n.a.",IFERROR(IF(C166&lt;=0,"n.m.",IF(H166/C166&lt;=0,"n.m.",H166/C166-1)),"n.a."))</f>
        <v>n.m.</v>
      </c>
      <c r="I167" s="40" t="str">
        <f>IF(OR(I166="",D166=""),"n.a.",IFERROR(IF(D166&lt;=0,"n.m.",IF(I166/D166&lt;=0,"n.m.",I166/D166-1)),"n.a."))</f>
        <v>n.m.</v>
      </c>
      <c r="J167" s="45" t="str">
        <f>IF(OR(J166="",E166=""),"n.a.",IFERROR(IF(E166&lt;=0,"n.m.",IF(J166/E166&lt;=0,"n.m.",J166/E166-1)),"n.a."))</f>
        <v>n.m.</v>
      </c>
      <c r="K167" s="124"/>
    </row>
    <row r="168">
      <c r="A168" s="2"/>
      <c r="B168" s="47" t="s">
        <v>134</v>
      </c>
      <c r="C168" s="7"/>
      <c r="D168" s="41">
        <f>IF(OR(D166="",C166=""),"n.a.",IFERROR(D166-C166,"n.a."))</f>
        <v>544</v>
      </c>
      <c r="E168" s="41">
        <f>IF(OR(E166="",D166=""),"n.a.",IFERROR(E166-D166,"n.a."))</f>
        <v>-1313</v>
      </c>
      <c r="F168" s="41">
        <f>IF(OR(F166="",E166=""),"n.a.",IFERROR(F166-E166,"n.a."))</f>
        <v>5080</v>
      </c>
      <c r="G168" s="7"/>
      <c r="H168" s="41">
        <f>IF(OR(H166="",F166=""),"n.a.",IFERROR(H166-F166,"n.a."))</f>
        <v>-6333</v>
      </c>
      <c r="I168" s="41">
        <f>IF(OR(I166="",H166=""),"n.a.",IFERROR(I166-H166,"n.a."))</f>
        <v>2736</v>
      </c>
      <c r="J168" s="52">
        <f>IF(OR(J166="",I166=""),"n.a.",IFERROR(J166-I166,"n.a."))</f>
        <v>-134</v>
      </c>
      <c r="K168" s="124"/>
    </row>
    <row r="169">
      <c r="A169" s="2"/>
      <c r="B169" s="18" t="s">
        <v>295</v>
      </c>
      <c r="C169" s="68">
        <v>38268</v>
      </c>
      <c r="D169" s="68">
        <v>38232</v>
      </c>
      <c r="E169" s="68">
        <v>36883</v>
      </c>
      <c r="F169" s="68">
        <v>40614</v>
      </c>
      <c r="G169" s="39">
        <f>F169</f>
        <v>40614</v>
      </c>
      <c r="H169" s="68">
        <v>38012</v>
      </c>
      <c r="I169" s="68">
        <v>38146</v>
      </c>
      <c r="J169" s="50">
        <f>J165+J166</f>
        <v>38146</v>
      </c>
      <c r="K169" s="125" t="s">
        <v>127</v>
      </c>
    </row>
    <row r="170">
      <c r="A170" s="2"/>
      <c r="B170" s="47" t="s">
        <v>133</v>
      </c>
      <c r="C170" s="7"/>
      <c r="D170" s="7"/>
      <c r="E170" s="7"/>
      <c r="F170" s="7"/>
      <c r="G170" s="7"/>
      <c r="H170" s="40">
        <f>IF(OR(H169="",C169=""),"n.a.",IFERROR(IF(C169&lt;=0,"n.m.",IF(H169/C169&lt;=0,"n.m.",H169/C169-1)),"n.a."))</f>
        <v>-0.006689662381101691</v>
      </c>
      <c r="I170" s="40">
        <f>IF(OR(I169="",D169=""),"n.a.",IFERROR(IF(D169&lt;=0,"n.m.",IF(I169/D169&lt;=0,"n.m.",I169/D169-1)),"n.a."))</f>
        <v>-0.0022494245658087886</v>
      </c>
      <c r="J170" s="45">
        <f>IF(OR(J169="",E169=""),"n.a.",IFERROR(IF(E169&lt;=0,"n.m.",IF(J169/E169&lt;=0,"n.m.",J169/E169-1)),"n.a."))</f>
        <v>0.034243418377030155</v>
      </c>
      <c r="K170" s="124"/>
    </row>
    <row r="171">
      <c r="A171" s="2"/>
      <c r="B171" s="47" t="s">
        <v>134</v>
      </c>
      <c r="C171" s="7"/>
      <c r="D171" s="41">
        <f>IF(OR(D169="",C169=""),"n.a.",IFERROR(D169-C169,"n.a."))</f>
        <v>-36</v>
      </c>
      <c r="E171" s="41">
        <f>IF(OR(E169="",D169=""),"n.a.",IFERROR(E169-D169,"n.a."))</f>
        <v>-1349</v>
      </c>
      <c r="F171" s="41">
        <f>IF(OR(F169="",E169=""),"n.a.",IFERROR(F169-E169,"n.a."))</f>
        <v>3731</v>
      </c>
      <c r="G171" s="7"/>
      <c r="H171" s="41">
        <f>IF(OR(H169="",F169=""),"n.a.",IFERROR(H169-F169,"n.a."))</f>
        <v>-2602</v>
      </c>
      <c r="I171" s="41">
        <f>IF(OR(I169="",H169=""),"n.a.",IFERROR(I169-H169,"n.a."))</f>
        <v>134</v>
      </c>
      <c r="J171" s="52">
        <f>IF(OR(J169="",I169=""),"n.a.",IFERROR(J169-I169,"n.a."))</f>
        <v>0</v>
      </c>
      <c r="K171" s="124"/>
    </row>
    <row r="172">
      <c r="A172" s="2"/>
      <c r="B172" s="3" t="s">
        <v>296</v>
      </c>
      <c r="C172" s="43">
        <f>(C165+C169)/2</f>
        <v>38558</v>
      </c>
      <c r="D172" s="43">
        <f>(D165+D169)/2</f>
        <v>38250</v>
      </c>
      <c r="E172" s="43">
        <f>(E165+E169)/2</f>
        <v>37557.5</v>
      </c>
      <c r="F172" s="43">
        <f>(F165+F169)/2</f>
        <v>38748.5</v>
      </c>
      <c r="G172" s="7"/>
      <c r="H172" s="43">
        <f>(H165+H169)/2</f>
        <v>39313</v>
      </c>
      <c r="I172" s="43">
        <f>(I165+I169)/2</f>
        <v>38079</v>
      </c>
      <c r="J172" s="38">
        <f>(J165+J169)/2</f>
        <v>38146</v>
      </c>
      <c r="K172" s="124"/>
    </row>
    <row r="173">
      <c r="A173" s="2"/>
      <c r="B173" s="3" t="s">
        <v>284</v>
      </c>
      <c r="C173" s="43">
        <f>C174-C172</f>
        <v>251</v>
      </c>
      <c r="D173" s="43">
        <f>D174-D172</f>
        <v>-210</v>
      </c>
      <c r="E173" s="43">
        <f>E174-E172</f>
        <v>30.5</v>
      </c>
      <c r="F173" s="43">
        <f>F174-F172</f>
        <v>-873.5</v>
      </c>
      <c r="G173" s="7"/>
      <c r="H173" s="43">
        <f>H174-H172</f>
        <v>439</v>
      </c>
      <c r="I173" s="43">
        <f>I174-I172</f>
        <v>50</v>
      </c>
      <c r="J173" s="38">
        <f>AVERAGE(E173,F173,H173,I173)</f>
        <v>-88.5</v>
      </c>
      <c r="K173" s="124"/>
    </row>
    <row r="174">
      <c r="A174" s="2"/>
      <c r="B174" s="18" t="s">
        <v>254</v>
      </c>
      <c r="C174" s="81">
        <v>38809</v>
      </c>
      <c r="D174" s="81">
        <v>38040</v>
      </c>
      <c r="E174" s="81">
        <v>37588</v>
      </c>
      <c r="F174" s="81">
        <v>37875</v>
      </c>
      <c r="G174" s="81">
        <v>38074</v>
      </c>
      <c r="H174" s="81">
        <v>39752</v>
      </c>
      <c r="I174" s="81">
        <v>38129</v>
      </c>
      <c r="J174" s="97">
        <f>J172+J173</f>
        <v>38057.5</v>
      </c>
      <c r="K174" s="125" t="s">
        <v>127</v>
      </c>
    </row>
    <row r="175">
      <c r="A175" s="2"/>
      <c r="B175" s="47" t="s">
        <v>133</v>
      </c>
      <c r="C175" s="7"/>
      <c r="D175" s="7"/>
      <c r="E175" s="7"/>
      <c r="F175" s="7"/>
      <c r="G175" s="7"/>
      <c r="H175" s="40">
        <f>IF(OR(H174="",C174=""),"n.a.",IFERROR(IF(C174&lt;=0,"n.m.",IF(H174/C174&lt;=0,"n.m.",H174/C174-1)),"n.a."))</f>
        <v>0.02429848746424801</v>
      </c>
      <c r="I175" s="40">
        <f>IF(OR(I174="",D174=""),"n.a.",IFERROR(IF(D174&lt;=0,"n.m.",IF(I174/D174&lt;=0,"n.m.",I174/D174-1)),"n.a."))</f>
        <v>0.0023396424815982364</v>
      </c>
      <c r="J175" s="45">
        <f>IF(OR(J174="",E174=""),"n.a.",IFERROR(IF(E174&lt;=0,"n.m.",IF(J174/E174&lt;=0,"n.m.",J174/E174-1)),"n.a."))</f>
        <v>0.012490688517611925</v>
      </c>
      <c r="K175" s="124"/>
    </row>
    <row r="176">
      <c r="A176" s="2"/>
      <c r="B176" s="47" t="s">
        <v>134</v>
      </c>
      <c r="C176" s="7"/>
      <c r="D176" s="41">
        <f>IF(OR(D174="",C174=""),"n.a.",IFERROR(D174-C174,"n.a."))</f>
        <v>-769</v>
      </c>
      <c r="E176" s="41">
        <f>IF(OR(E174="",D174=""),"n.a.",IFERROR(E174-D174,"n.a."))</f>
        <v>-452</v>
      </c>
      <c r="F176" s="41">
        <f>IF(OR(F174="",E174=""),"n.a.",IFERROR(F174-E174,"n.a."))</f>
        <v>287</v>
      </c>
      <c r="G176" s="7"/>
      <c r="H176" s="41">
        <f>IF(OR(H174="",F174=""),"n.a.",IFERROR(H174-F174,"n.a."))</f>
        <v>1877</v>
      </c>
      <c r="I176" s="41">
        <f>IF(OR(I174="",H174=""),"n.a.",IFERROR(I174-H174,"n.a."))</f>
        <v>-1623</v>
      </c>
      <c r="J176" s="52">
        <f>IF(OR(J174="",I174=""),"n.a.",IFERROR(J174-I174,"n.a."))</f>
        <v>-71.5</v>
      </c>
      <c r="K176" s="124"/>
    </row>
    <row r="177">
      <c r="A177" s="2"/>
      <c r="B177" s="2" t="s">
        <v>180</v>
      </c>
      <c r="C177" s="37">
        <v>767592</v>
      </c>
      <c r="D177" s="37">
        <v>825835</v>
      </c>
      <c r="E177" s="37">
        <v>813197</v>
      </c>
      <c r="F177" s="37">
        <v>820324</v>
      </c>
      <c r="G177" s="37">
        <v>806901</v>
      </c>
      <c r="H177" s="37">
        <v>874270</v>
      </c>
      <c r="I177" s="37">
        <v>885914</v>
      </c>
      <c r="J177" s="75">
        <v>890000</v>
      </c>
      <c r="K177" s="125" t="s">
        <v>127</v>
      </c>
    </row>
    <row r="178">
      <c r="A178" s="2"/>
      <c r="B178" s="47" t="s">
        <v>133</v>
      </c>
      <c r="C178" s="7"/>
      <c r="D178" s="7"/>
      <c r="E178" s="7"/>
      <c r="F178" s="7"/>
      <c r="G178" s="7"/>
      <c r="H178" s="40">
        <f>IF(OR(H177="",C177=""),"n.a.",IFERROR(IF(C177&lt;=0,"n.m.",IF(H177/C177&lt;=0,"n.m.",H177/C177-1)),"n.a."))</f>
        <v>0.13897747761831813</v>
      </c>
      <c r="I178" s="40">
        <f>IF(OR(I177="",D177=""),"n.a.",IFERROR(IF(D177&lt;=0,"n.m.",IF(I177/D177&lt;=0,"n.m.",I177/D177-1)),"n.a."))</f>
        <v>0.07274939909303924</v>
      </c>
      <c r="J178" s="45">
        <f>IF(OR(J177="",E177=""),"n.a.",IFERROR(IF(E177&lt;=0,"n.m.",IF(J177/E177&lt;=0,"n.m.",J177/E177-1)),"n.a."))</f>
        <v>0.09444574930797822</v>
      </c>
      <c r="K178" s="124"/>
    </row>
    <row r="179">
      <c r="A179" s="2"/>
      <c r="B179" s="47" t="s">
        <v>134</v>
      </c>
      <c r="C179" s="7"/>
      <c r="D179" s="41">
        <f>IF(OR(D177="",C177=""),"n.a.",IFERROR(D177-C177,"n.a."))</f>
        <v>58243</v>
      </c>
      <c r="E179" s="41">
        <f>IF(OR(E177="",D177=""),"n.a.",IFERROR(E177-D177,"n.a."))</f>
        <v>-12638</v>
      </c>
      <c r="F179" s="41">
        <f>IF(OR(F177="",E177=""),"n.a.",IFERROR(F177-E177,"n.a."))</f>
        <v>7127</v>
      </c>
      <c r="G179" s="7"/>
      <c r="H179" s="41">
        <f>IF(OR(H177="",F177=""),"n.a.",IFERROR(H177-F177,"n.a."))</f>
        <v>53946</v>
      </c>
      <c r="I179" s="41">
        <f>IF(OR(I177="",H177=""),"n.a.",IFERROR(I177-H177,"n.a."))</f>
        <v>11644</v>
      </c>
      <c r="J179" s="52">
        <f>IF(OR(J177="",I177=""),"n.a.",IFERROR(J177-I177,"n.a."))</f>
        <v>4086</v>
      </c>
      <c r="K179" s="124"/>
    </row>
    <row r="180">
      <c r="A180" s="2"/>
      <c r="B180" s="18" t="s">
        <v>220</v>
      </c>
      <c r="C180" s="7"/>
      <c r="D180" s="7"/>
      <c r="E180" s="7"/>
      <c r="F180" s="7"/>
      <c r="G180" s="7"/>
      <c r="H180" s="7"/>
      <c r="I180" s="7"/>
      <c r="J180" s="46"/>
      <c r="K180" s="124"/>
    </row>
    <row r="181">
      <c r="A181" s="2"/>
      <c r="B181" s="3" t="s">
        <v>221</v>
      </c>
      <c r="C181" s="37">
        <v>28</v>
      </c>
      <c r="D181" s="37">
        <v>22</v>
      </c>
      <c r="E181" s="37">
        <v>9</v>
      </c>
      <c r="F181" s="37">
        <v>12</v>
      </c>
      <c r="G181" s="43">
        <f>SUM(C181:F181)</f>
        <v>71</v>
      </c>
      <c r="H181" s="37">
        <v>27</v>
      </c>
      <c r="I181" s="37">
        <v>-11</v>
      </c>
      <c r="J181" s="75">
        <v>10</v>
      </c>
      <c r="K181" s="125" t="s">
        <v>127</v>
      </c>
    </row>
    <row r="182">
      <c r="A182" s="2"/>
      <c r="B182" s="47" t="s">
        <v>133</v>
      </c>
      <c r="C182" s="7"/>
      <c r="D182" s="7"/>
      <c r="E182" s="7"/>
      <c r="F182" s="7"/>
      <c r="G182" s="7"/>
      <c r="H182" s="40">
        <f>IF(OR(H181="",C181=""),"n.a.",IFERROR(IF(C181&lt;=0,"n.m.",IF(H181/C181&lt;=0,"n.m.",H181/C181-1)),"n.a."))</f>
        <v>-0.0357142857142857</v>
      </c>
      <c r="I182" s="40" t="str">
        <f>IF(OR(I181="",D181=""),"n.a.",IFERROR(IF(D181&lt;=0,"n.m.",IF(I181/D181&lt;=0,"n.m.",I181/D181-1)),"n.a."))</f>
        <v>n.m.</v>
      </c>
      <c r="J182" s="45">
        <f>IF(OR(J181="",E181=""),"n.a.",IFERROR(IF(E181&lt;=0,"n.m.",IF(J181/E181&lt;=0,"n.m.",J181/E181-1)),"n.a."))</f>
        <v>0.11111111111111116</v>
      </c>
      <c r="K182" s="124"/>
    </row>
    <row r="183">
      <c r="A183" s="2"/>
      <c r="B183" s="47" t="s">
        <v>134</v>
      </c>
      <c r="C183" s="7"/>
      <c r="D183" s="41">
        <f>IF(OR(D181="",C181=""),"n.a.",IFERROR(D181-C181,"n.a."))</f>
        <v>-6</v>
      </c>
      <c r="E183" s="41">
        <f>IF(OR(E181="",D181=""),"n.a.",IFERROR(E181-D181,"n.a."))</f>
        <v>-13</v>
      </c>
      <c r="F183" s="41">
        <f>IF(OR(F181="",E181=""),"n.a.",IFERROR(F181-E181,"n.a."))</f>
        <v>3</v>
      </c>
      <c r="G183" s="7"/>
      <c r="H183" s="41">
        <f>IF(OR(H181="",F181=""),"n.a.",IFERROR(H181-F181,"n.a."))</f>
        <v>15</v>
      </c>
      <c r="I183" s="41">
        <f>IF(OR(I181="",H181=""),"n.a.",IFERROR(I181-H181,"n.a."))</f>
        <v>-38</v>
      </c>
      <c r="J183" s="52">
        <f>IF(OR(J181="",I181=""),"n.a.",IFERROR(J181-I181,"n.a."))</f>
        <v>21</v>
      </c>
      <c r="K183" s="124"/>
    </row>
    <row r="184">
      <c r="A184" s="2"/>
      <c r="B184" s="3" t="s">
        <v>222</v>
      </c>
      <c r="C184" s="37">
        <v>3811</v>
      </c>
      <c r="D184" s="37">
        <v>3806</v>
      </c>
      <c r="E184" s="37">
        <v>3895</v>
      </c>
      <c r="F184" s="37">
        <v>3906</v>
      </c>
      <c r="G184" s="43">
        <f>SUM(C184:F184)</f>
        <v>15418</v>
      </c>
      <c r="H184" s="37">
        <v>4370</v>
      </c>
      <c r="I184" s="37">
        <v>4484</v>
      </c>
      <c r="J184" s="75">
        <v>4030</v>
      </c>
      <c r="K184" s="125" t="s">
        <v>127</v>
      </c>
    </row>
    <row r="185">
      <c r="A185" s="2"/>
      <c r="B185" s="47" t="s">
        <v>133</v>
      </c>
      <c r="C185" s="7"/>
      <c r="D185" s="7"/>
      <c r="E185" s="7"/>
      <c r="F185" s="7"/>
      <c r="G185" s="7"/>
      <c r="H185" s="40">
        <f>IF(OR(H184="",C184=""),"n.a.",IFERROR(IF(C184&lt;=0,"n.m.",IF(H184/C184&lt;=0,"n.m.",H184/C184-1)),"n.a."))</f>
        <v>0.1466806612437681</v>
      </c>
      <c r="I185" s="40">
        <f>IF(OR(I184="",D184=""),"n.a.",IFERROR(IF(D184&lt;=0,"n.m.",IF(I184/D184&lt;=0,"n.m.",I184/D184-1)),"n.a."))</f>
        <v>0.17813977929584857</v>
      </c>
      <c r="J185" s="45">
        <f>IF(OR(J184="",E184=""),"n.a.",IFERROR(IF(E184&lt;=0,"n.m.",IF(J184/E184&lt;=0,"n.m.",J184/E184-1)),"n.a."))</f>
        <v>0.03465982028241332</v>
      </c>
      <c r="K185" s="124"/>
    </row>
    <row r="186">
      <c r="A186" s="2"/>
      <c r="B186" s="47" t="s">
        <v>134</v>
      </c>
      <c r="C186" s="7"/>
      <c r="D186" s="41">
        <f>IF(OR(D184="",C184=""),"n.a.",IFERROR(D184-C184,"n.a."))</f>
        <v>-5</v>
      </c>
      <c r="E186" s="41">
        <f>IF(OR(E184="",D184=""),"n.a.",IFERROR(E184-D184,"n.a."))</f>
        <v>89</v>
      </c>
      <c r="F186" s="41">
        <f>IF(OR(F184="",E184=""),"n.a.",IFERROR(F184-E184,"n.a."))</f>
        <v>11</v>
      </c>
      <c r="G186" s="7"/>
      <c r="H186" s="41">
        <f>IF(OR(H184="",F184=""),"n.a.",IFERROR(H184-F184,"n.a."))</f>
        <v>464</v>
      </c>
      <c r="I186" s="41">
        <f>IF(OR(I184="",H184=""),"n.a.",IFERROR(I184-H184,"n.a."))</f>
        <v>114</v>
      </c>
      <c r="J186" s="52">
        <f>IF(OR(J184="",I184=""),"n.a.",IFERROR(J184-I184,"n.a."))</f>
        <v>-454</v>
      </c>
      <c r="K186" s="124"/>
    </row>
    <row r="187">
      <c r="A187" s="2"/>
      <c r="B187" s="18" t="s">
        <v>223</v>
      </c>
      <c r="C187" s="39">
        <f>C144-C181-C184</f>
        <v>2746</v>
      </c>
      <c r="D187" s="39">
        <f>D144-D181-D184</f>
        <v>2154</v>
      </c>
      <c r="E187" s="39">
        <f>E144-E181-E184</f>
        <v>2321</v>
      </c>
      <c r="F187" s="39">
        <f>F144-F181-F184</f>
        <v>1386</v>
      </c>
      <c r="G187" s="39">
        <f>G144-G181-G184</f>
        <v>8607</v>
      </c>
      <c r="H187" s="39">
        <f>H144-H181-H184</f>
        <v>2712</v>
      </c>
      <c r="I187" s="39">
        <f>I144-I181-I184</f>
        <v>3549</v>
      </c>
      <c r="J187" s="50">
        <f>J144-J181-J184</f>
        <v>2174.7945205479455</v>
      </c>
      <c r="K187" s="124"/>
    </row>
    <row r="188">
      <c r="A188" s="2"/>
      <c r="B188" s="47" t="s">
        <v>133</v>
      </c>
      <c r="C188" s="7"/>
      <c r="D188" s="7"/>
      <c r="E188" s="7"/>
      <c r="F188" s="7"/>
      <c r="G188" s="7"/>
      <c r="H188" s="40">
        <f>IF(OR(H187="",C187=""),"n.a.",IFERROR(IF(C187&lt;=0,"n.m.",IF(H187/C187&lt;=0,"n.m.",H187/C187-1)),"n.a."))</f>
        <v>-0.012381646030589999</v>
      </c>
      <c r="I188" s="40">
        <f>IF(OR(I187="",D187=""),"n.a.",IFERROR(IF(D187&lt;=0,"n.m.",IF(I187/D187&lt;=0,"n.m.",I187/D187-1)),"n.a."))</f>
        <v>0.6476323119777159</v>
      </c>
      <c r="J188" s="45">
        <f>IF(OR(J187="",E187=""),"n.a.",IFERROR(IF(E187&lt;=0,"n.m.",IF(J187/E187&lt;=0,"n.m.",J187/E187-1)),"n.a."))</f>
        <v>-0.06299245129343156</v>
      </c>
      <c r="K188" s="124"/>
    </row>
    <row r="189">
      <c r="A189" s="2"/>
      <c r="B189" s="47" t="s">
        <v>134</v>
      </c>
      <c r="C189" s="7"/>
      <c r="D189" s="41">
        <f>IF(OR(D187="",C187=""),"n.a.",IFERROR(D187-C187,"n.a."))</f>
        <v>-592</v>
      </c>
      <c r="E189" s="41">
        <f>IF(OR(E187="",D187=""),"n.a.",IFERROR(E187-D187,"n.a."))</f>
        <v>167</v>
      </c>
      <c r="F189" s="41">
        <f>IF(OR(F187="",E187=""),"n.a.",IFERROR(F187-E187,"n.a."))</f>
        <v>-935</v>
      </c>
      <c r="G189" s="7"/>
      <c r="H189" s="41">
        <f>IF(OR(H187="",F187=""),"n.a.",IFERROR(H187-F187,"n.a."))</f>
        <v>1326</v>
      </c>
      <c r="I189" s="41">
        <f>IF(OR(I187="",H187=""),"n.a.",IFERROR(I187-H187,"n.a."))</f>
        <v>837</v>
      </c>
      <c r="J189" s="52">
        <f>IF(OR(J187="",I187=""),"n.a.",IFERROR(J187-I187,"n.a."))</f>
        <v>-1374.2054794520545</v>
      </c>
      <c r="K189" s="124"/>
    </row>
    <row r="190">
      <c r="A190" s="2"/>
      <c r="B190" s="61" t="s">
        <v>224</v>
      </c>
      <c r="C190" s="40">
        <f>C193/C187</f>
        <v>0.2898761835396941</v>
      </c>
      <c r="D190" s="40">
        <f>D193/D187</f>
        <v>0.2901578458681523</v>
      </c>
      <c r="E190" s="40">
        <f>E193/E187</f>
        <v>0.2899612236105127</v>
      </c>
      <c r="F190" s="40">
        <f>F193/F187</f>
        <v>0.29004329004329005</v>
      </c>
      <c r="G190" s="40">
        <f>G193/G187</f>
        <v>0.2899965144649704</v>
      </c>
      <c r="H190" s="40">
        <f>H193/H187</f>
        <v>0.25995575221238937</v>
      </c>
      <c r="I190" s="40">
        <f>I193/I187</f>
        <v>0.2600732600732601</v>
      </c>
      <c r="J190" s="92">
        <v>0.26</v>
      </c>
      <c r="K190" s="124"/>
    </row>
    <row r="191">
      <c r="A191" s="2"/>
      <c r="B191" s="47" t="s">
        <v>169</v>
      </c>
      <c r="C191" s="7"/>
      <c r="D191" s="42">
        <f>(D190-C190)*10000</f>
        <v>2.8166232845822092</v>
      </c>
      <c r="E191" s="42">
        <f>(E190-D190)*10000</f>
        <v>-1.966222576396115</v>
      </c>
      <c r="F191" s="42">
        <f>(F190-E190)*10000</f>
        <v>0.8206643277736125</v>
      </c>
      <c r="G191" s="7"/>
      <c r="H191" s="42">
        <f>(H190-F190)*10000</f>
        <v>-300.8753783090068</v>
      </c>
      <c r="I191" s="42">
        <f>(I190-H190)*10000</f>
        <v>1.1750786087072473</v>
      </c>
      <c r="J191" s="56">
        <f>(J190-I190)*10000</f>
        <v>-0.732600732600841</v>
      </c>
      <c r="K191" s="124"/>
    </row>
    <row r="192">
      <c r="A192" s="2"/>
      <c r="B192" s="47" t="s">
        <v>170</v>
      </c>
      <c r="C192" s="7"/>
      <c r="D192" s="7"/>
      <c r="E192" s="7"/>
      <c r="F192" s="7"/>
      <c r="G192" s="7"/>
      <c r="H192" s="42">
        <f>(H190-C190)*10000</f>
        <v>-299.2043132730471</v>
      </c>
      <c r="I192" s="42">
        <f>(I190-D190)*10000</f>
        <v>-300.84585794892206</v>
      </c>
      <c r="J192" s="56">
        <f>(J190-E190)*10000</f>
        <v>-299.6122361051268</v>
      </c>
      <c r="K192" s="124"/>
    </row>
    <row r="193">
      <c r="A193" s="2"/>
      <c r="B193" s="3" t="s">
        <v>225</v>
      </c>
      <c r="C193" s="37">
        <v>796</v>
      </c>
      <c r="D193" s="37">
        <v>625</v>
      </c>
      <c r="E193" s="37">
        <v>673</v>
      </c>
      <c r="F193" s="37">
        <v>402</v>
      </c>
      <c r="G193" s="43">
        <f>SUM(C193:F193)</f>
        <v>2496</v>
      </c>
      <c r="H193" s="37">
        <v>705</v>
      </c>
      <c r="I193" s="37">
        <v>923</v>
      </c>
      <c r="J193" s="38">
        <f>J187*J190</f>
        <v>565.4465753424658</v>
      </c>
      <c r="K193" s="125" t="s">
        <v>127</v>
      </c>
    </row>
    <row r="194">
      <c r="A194" s="2"/>
      <c r="B194" s="18" t="s">
        <v>226</v>
      </c>
      <c r="C194" s="39">
        <f>C187-C193</f>
        <v>1950</v>
      </c>
      <c r="D194" s="39">
        <f>D187-D193</f>
        <v>1529</v>
      </c>
      <c r="E194" s="39">
        <f>E187-E193</f>
        <v>1648</v>
      </c>
      <c r="F194" s="39">
        <f>F187-F193</f>
        <v>984</v>
      </c>
      <c r="G194" s="39">
        <f>G187-G193</f>
        <v>6111</v>
      </c>
      <c r="H194" s="39">
        <f>H187-H193</f>
        <v>2007</v>
      </c>
      <c r="I194" s="39">
        <f>I187-I193</f>
        <v>2626</v>
      </c>
      <c r="J194" s="50">
        <f>J187-J193</f>
        <v>1609.3479452054796</v>
      </c>
      <c r="K194" s="124"/>
    </row>
    <row r="195">
      <c r="A195" s="2"/>
      <c r="B195" s="47" t="s">
        <v>133</v>
      </c>
      <c r="C195" s="7"/>
      <c r="D195" s="7"/>
      <c r="E195" s="7"/>
      <c r="F195" s="7"/>
      <c r="G195" s="7"/>
      <c r="H195" s="40">
        <f>IF(OR(H194="",C194=""),"n.a.",IFERROR(IF(C194&lt;=0,"n.m.",IF(H194/C194&lt;=0,"n.m.",H194/C194-1)),"n.a."))</f>
        <v>0.02923076923076917</v>
      </c>
      <c r="I195" s="40">
        <f>IF(OR(I194="",D194=""),"n.a.",IFERROR(IF(D194&lt;=0,"n.m.",IF(I194/D194&lt;=0,"n.m.",I194/D194-1)),"n.a."))</f>
        <v>0.7174623937213864</v>
      </c>
      <c r="J195" s="45">
        <f>IF(OR(J194="",E194=""),"n.a.",IFERROR(IF(E194&lt;=0,"n.m.",IF(J194/E194&lt;=0,"n.m.",J194/E194-1)),"n.a."))</f>
        <v>-0.023453916744247794</v>
      </c>
      <c r="K195" s="124"/>
    </row>
    <row r="196">
      <c r="A196" s="2"/>
      <c r="B196" s="47" t="s">
        <v>134</v>
      </c>
      <c r="C196" s="7"/>
      <c r="D196" s="41">
        <f>IF(OR(D194="",C194=""),"n.a.",IFERROR(D194-C194,"n.a."))</f>
        <v>-421</v>
      </c>
      <c r="E196" s="41">
        <f>IF(OR(E194="",D194=""),"n.a.",IFERROR(E194-D194,"n.a."))</f>
        <v>119</v>
      </c>
      <c r="F196" s="41">
        <f>IF(OR(F194="",E194=""),"n.a.",IFERROR(F194-E194,"n.a."))</f>
        <v>-664</v>
      </c>
      <c r="G196" s="7"/>
      <c r="H196" s="41">
        <f>IF(OR(H194="",F194=""),"n.a.",IFERROR(H194-F194,"n.a."))</f>
        <v>1023</v>
      </c>
      <c r="I196" s="41">
        <f>IF(OR(I194="",H194=""),"n.a.",IFERROR(I194-H194,"n.a."))</f>
        <v>619</v>
      </c>
      <c r="J196" s="52">
        <f>IF(OR(J194="",I194=""),"n.a.",IFERROR(J194-I194,"n.a."))</f>
        <v>-1016.6520547945204</v>
      </c>
      <c r="K196" s="124"/>
    </row>
    <row r="197">
      <c r="A197" s="2"/>
      <c r="B197" s="1" t="s">
        <v>227</v>
      </c>
      <c r="C197" s="40">
        <f>C184/C144</f>
        <v>0.5787395596051632</v>
      </c>
      <c r="D197" s="40">
        <f>D184/D144</f>
        <v>0.636242059511869</v>
      </c>
      <c r="E197" s="40">
        <f>E184/E144</f>
        <v>0.62570281124498</v>
      </c>
      <c r="F197" s="40">
        <f>F184/F144</f>
        <v>0.7364253393665159</v>
      </c>
      <c r="G197" s="40">
        <f>G184/G144</f>
        <v>0.6398572377158035</v>
      </c>
      <c r="H197" s="40">
        <f>H184/H144</f>
        <v>0.6147137431424954</v>
      </c>
      <c r="I197" s="40">
        <f>I184/I144</f>
        <v>0.5589628521565694</v>
      </c>
      <c r="J197" s="45">
        <f>J184/J144</f>
        <v>0.6484526538529359</v>
      </c>
      <c r="K197" s="124"/>
    </row>
    <row r="198">
      <c r="A198" s="2"/>
      <c r="B198" s="47" t="s">
        <v>169</v>
      </c>
      <c r="C198" s="7"/>
      <c r="D198" s="42">
        <f>(D197-C197)*10000</f>
        <v>575.0249990670575</v>
      </c>
      <c r="E198" s="42">
        <f>(E197-D197)*10000</f>
        <v>-105.39248266889012</v>
      </c>
      <c r="F198" s="42">
        <f>(F197-E197)*10000</f>
        <v>1107.2252812153592</v>
      </c>
      <c r="G198" s="7"/>
      <c r="H198" s="42">
        <f>(H197-F197)*10000</f>
        <v>-1217.115962240205</v>
      </c>
      <c r="I198" s="42">
        <f>(I197-H197)*10000</f>
        <v>-557.50890985926</v>
      </c>
      <c r="J198" s="56">
        <f>(J197-I197)*10000</f>
        <v>894.8980169636656</v>
      </c>
      <c r="K198" s="124"/>
    </row>
    <row r="199">
      <c r="A199" s="2"/>
      <c r="B199" s="47" t="s">
        <v>170</v>
      </c>
      <c r="C199" s="7"/>
      <c r="D199" s="7"/>
      <c r="E199" s="7"/>
      <c r="F199" s="7"/>
      <c r="G199" s="7"/>
      <c r="H199" s="42">
        <f>(H197-C197)*10000</f>
        <v>359.7418353733217</v>
      </c>
      <c r="I199" s="42">
        <f>(I197-D197)*10000</f>
        <v>-772.7920735529958</v>
      </c>
      <c r="J199" s="56">
        <f>(J197-E197)*10000</f>
        <v>227.49842607955983</v>
      </c>
      <c r="K199" s="124"/>
    </row>
    <row r="200">
      <c r="A200" s="2"/>
      <c r="B200" s="1" t="s">
        <v>228</v>
      </c>
      <c r="C200" s="40">
        <f>C187/C144</f>
        <v>0.4170083523158694</v>
      </c>
      <c r="D200" s="40">
        <f>D187/D144</f>
        <v>0.3600802407221665</v>
      </c>
      <c r="E200" s="40">
        <f>E187/E144</f>
        <v>0.37285140562249</v>
      </c>
      <c r="F200" s="40">
        <f>F187/F144</f>
        <v>0.26131221719457015</v>
      </c>
      <c r="G200" s="40">
        <f>G187/G144</f>
        <v>0.3571962151394422</v>
      </c>
      <c r="H200" s="40">
        <f>H187/H144</f>
        <v>0.3814882543255029</v>
      </c>
      <c r="I200" s="40">
        <f>I187/I144</f>
        <v>0.4424083769633508</v>
      </c>
      <c r="J200" s="45">
        <f>J187/J144</f>
        <v>0.3499382824898607</v>
      </c>
      <c r="K200" s="124"/>
    </row>
    <row r="201">
      <c r="A201" s="2"/>
      <c r="B201" s="47" t="s">
        <v>169</v>
      </c>
      <c r="C201" s="7"/>
      <c r="D201" s="42">
        <f>(D200-C200)*10000</f>
        <v>-569.2811159370292</v>
      </c>
      <c r="E201" s="42">
        <f>(E200-D200)*10000</f>
        <v>127.71164900323484</v>
      </c>
      <c r="F201" s="42">
        <f>(F200-E200)*10000</f>
        <v>-1115.3918842791982</v>
      </c>
      <c r="G201" s="7"/>
      <c r="H201" s="42">
        <f>(H200-F200)*10000</f>
        <v>1201.7603713093272</v>
      </c>
      <c r="I201" s="42">
        <f>(I200-H200)*10000</f>
        <v>609.2012263784791</v>
      </c>
      <c r="J201" s="56">
        <f>(J200-I200)*10000</f>
        <v>-924.7009447349009</v>
      </c>
      <c r="K201" s="124"/>
    </row>
    <row r="202">
      <c r="A202" s="2"/>
      <c r="B202" s="47" t="s">
        <v>170</v>
      </c>
      <c r="C202" s="7"/>
      <c r="D202" s="7"/>
      <c r="E202" s="7"/>
      <c r="F202" s="7"/>
      <c r="G202" s="7"/>
      <c r="H202" s="42">
        <f>(H200-C200)*10000</f>
        <v>-355.20097990366537</v>
      </c>
      <c r="I202" s="42">
        <f>(I200-D200)*10000</f>
        <v>823.2813624118429</v>
      </c>
      <c r="J202" s="56">
        <f>(J200-E200)*10000</f>
        <v>-229.13123132629275</v>
      </c>
      <c r="K202" s="124"/>
    </row>
    <row r="203">
      <c r="A203" s="2"/>
      <c r="B203" s="2"/>
      <c r="C203" s="2"/>
      <c r="D203" s="2"/>
      <c r="E203" s="2"/>
      <c r="F203" s="2"/>
      <c r="G203" s="2"/>
      <c r="H203" s="2"/>
      <c r="I203" s="2"/>
      <c r="J203" s="2"/>
      <c r="K203" s="2"/>
    </row>
    <row r="204">
      <c r="A204" s="2"/>
      <c r="B204" s="2"/>
      <c r="C204" s="2"/>
      <c r="D204" s="2"/>
      <c r="E204" s="2"/>
      <c r="F204" s="2"/>
      <c r="G204" s="2"/>
      <c r="H204" s="2"/>
      <c r="I204" s="2"/>
      <c r="J204" s="2"/>
      <c r="K204" s="2"/>
    </row>
  </sheetData>
  <legacyDrawing r:id="rId2"/>
</worksheet>
</file>

<file path=xl/worksheets/sheet7.xml><?xml version="1.0" encoding="utf-8"?>
<worksheet xmlns="http://schemas.openxmlformats.org/spreadsheetml/2006/main" xmlns:r="http://schemas.openxmlformats.org/officeDocument/2006/relationships">
  <dimension ref="A1:K357"/>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350</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182</v>
      </c>
      <c r="C9" s="7"/>
      <c r="D9" s="7"/>
      <c r="E9" s="7"/>
      <c r="F9" s="7"/>
      <c r="G9" s="7"/>
      <c r="H9" s="7"/>
      <c r="I9" s="7"/>
      <c r="J9" s="46"/>
      <c r="K9" s="124"/>
    </row>
    <row r="10">
      <c r="A10" s="2"/>
      <c r="B10" s="2" t="s">
        <v>351</v>
      </c>
      <c r="C10" s="37">
        <v>2966843</v>
      </c>
      <c r="D10" s="37">
        <v>3050206</v>
      </c>
      <c r="E10" s="37">
        <v>3040188</v>
      </c>
      <c r="F10" s="37">
        <v>3038880</v>
      </c>
      <c r="G10" s="7" t="s">
        <v>352</v>
      </c>
      <c r="H10" s="37">
        <v>3099977</v>
      </c>
      <c r="I10" s="37">
        <v>3106726</v>
      </c>
      <c r="J10" s="75">
        <v>3135000</v>
      </c>
      <c r="K10" s="125" t="s">
        <v>353</v>
      </c>
    </row>
    <row r="11">
      <c r="A11" s="2"/>
      <c r="B11" s="47" t="s">
        <v>133</v>
      </c>
      <c r="C11" s="7"/>
      <c r="D11" s="7"/>
      <c r="E11" s="7"/>
      <c r="F11" s="7"/>
      <c r="G11" s="7"/>
      <c r="H11" s="40">
        <f>IF(OR(H10="",C10=""),"n.a.",IFERROR(IF(C10&lt;=0,"n.m.",IF(H10/C10&lt;=0,"n.m.",H10/C10-1)),"n.a."))</f>
        <v>0.044873961985854915</v>
      </c>
      <c r="I11" s="40">
        <f>IF(OR(I10="",D10=""),"n.a.",IFERROR(IF(D10&lt;=0,"n.m.",IF(I10/D10&lt;=0,"n.m.",I10/D10-1)),"n.a."))</f>
        <v>0.018529896013580682</v>
      </c>
      <c r="J11" s="45">
        <f>IF(OR(J10="",E10=""),"n.a.",IFERROR(IF(E10&lt;=0,"n.m.",IF(J10/E10&lt;=0,"n.m.",J10/E10-1)),"n.a."))</f>
        <v>0.031186229272663457</v>
      </c>
      <c r="K11" s="124"/>
    </row>
    <row r="12">
      <c r="A12" s="2"/>
      <c r="B12" s="47" t="s">
        <v>134</v>
      </c>
      <c r="C12" s="7"/>
      <c r="D12" s="41">
        <f>IF(OR(D10="",C10=""),"n.a.",IFERROR(D10-C10,"n.a."))</f>
        <v>83363</v>
      </c>
      <c r="E12" s="41">
        <f>IF(OR(E10="",D10=""),"n.a.",IFERROR(E10-D10,"n.a."))</f>
        <v>-10018</v>
      </c>
      <c r="F12" s="41">
        <f>IF(OR(F10="",E10=""),"n.a.",IFERROR(F10-E10,"n.a."))</f>
        <v>-1308</v>
      </c>
      <c r="G12" s="7"/>
      <c r="H12" s="41">
        <f>IF(OR(H10="",F10=""),"n.a.",IFERROR(H10-F10,"n.a."))</f>
        <v>61097</v>
      </c>
      <c r="I12" s="41">
        <f>IF(OR(I10="",H10=""),"n.a.",IFERROR(I10-H10,"n.a."))</f>
        <v>6749</v>
      </c>
      <c r="J12" s="52">
        <f>IF(OR(J10="",I10=""),"n.a.",IFERROR(J10-I10,"n.a."))</f>
        <v>28274</v>
      </c>
      <c r="K12" s="124"/>
    </row>
    <row r="13">
      <c r="A13" s="2"/>
      <c r="B13" s="2" t="s">
        <v>354</v>
      </c>
      <c r="C13" s="37">
        <v>1093738</v>
      </c>
      <c r="D13" s="37">
        <v>1128453</v>
      </c>
      <c r="E13" s="37">
        <v>1153035</v>
      </c>
      <c r="F13" s="37">
        <v>1170895</v>
      </c>
      <c r="G13" s="43" t="s">
        <v>352</v>
      </c>
      <c r="H13" s="37">
        <v>1189528</v>
      </c>
      <c r="I13" s="37">
        <v>1216519</v>
      </c>
      <c r="J13" s="48">
        <f>'Segment - Consumer Banking'!J124+'Segment - Global Banking'!J93+'Segment - GWIM'!J69+'Segment - Global Markets'!J162+J16</f>
        <v>1226734.25</v>
      </c>
      <c r="K13" s="125" t="s">
        <v>353</v>
      </c>
    </row>
    <row r="14">
      <c r="A14" s="2"/>
      <c r="B14" s="47" t="s">
        <v>133</v>
      </c>
      <c r="C14" s="7"/>
      <c r="D14" s="7"/>
      <c r="E14" s="7"/>
      <c r="F14" s="7"/>
      <c r="G14" s="7"/>
      <c r="H14" s="40">
        <f>IF(OR(H13="",C13=""),"n.a.",IFERROR(IF(C13&lt;=0,"n.m.",IF(H13/C13&lt;=0,"n.m.",H13/C13-1)),"n.a."))</f>
        <v>0.08758038945341573</v>
      </c>
      <c r="I14" s="40">
        <f>IF(OR(I13="",D13=""),"n.a.",IFERROR(IF(D13&lt;=0,"n.m.",IF(I13/D13&lt;=0,"n.m.",I13/D13-1)),"n.a."))</f>
        <v>0.0780413539598015</v>
      </c>
      <c r="J14" s="45">
        <f>IF(OR(J13="",E13=""),"n.a.",IFERROR(IF(E13&lt;=0,"n.m.",IF(J13/E13&lt;=0,"n.m.",J13/E13-1)),"n.a."))</f>
        <v>0.06391761741837843</v>
      </c>
      <c r="K14" s="124"/>
    </row>
    <row r="15">
      <c r="A15" s="2"/>
      <c r="B15" s="47" t="s">
        <v>134</v>
      </c>
      <c r="C15" s="7"/>
      <c r="D15" s="41">
        <f>IF(OR(D13="",C13=""),"n.a.",IFERROR(D13-C13,"n.a."))</f>
        <v>34715</v>
      </c>
      <c r="E15" s="41">
        <f>IF(OR(E13="",D13=""),"n.a.",IFERROR(E13-D13,"n.a."))</f>
        <v>24582</v>
      </c>
      <c r="F15" s="41">
        <f>IF(OR(F13="",E13=""),"n.a.",IFERROR(F13-E13,"n.a."))</f>
        <v>17860</v>
      </c>
      <c r="G15" s="7"/>
      <c r="H15" s="41">
        <f>IF(OR(H13="",F13=""),"n.a.",IFERROR(H13-F13,"n.a."))</f>
        <v>18633</v>
      </c>
      <c r="I15" s="41">
        <f>IF(OR(I13="",H13=""),"n.a.",IFERROR(I13-H13,"n.a."))</f>
        <v>26991</v>
      </c>
      <c r="J15" s="52">
        <f>IF(OR(J13="",I13=""),"n.a.",IFERROR(J13-I13,"n.a."))</f>
        <v>10215.25</v>
      </c>
      <c r="K15" s="124"/>
    </row>
    <row r="16">
      <c r="A16" s="2"/>
      <c r="B16" s="61" t="s">
        <v>355</v>
      </c>
      <c r="C16" s="103">
        <v>8016</v>
      </c>
      <c r="D16" s="103">
        <v>7702</v>
      </c>
      <c r="E16" s="103">
        <v>7739</v>
      </c>
      <c r="F16" s="103">
        <v>7108</v>
      </c>
      <c r="G16" s="7"/>
      <c r="H16" s="103">
        <v>6989</v>
      </c>
      <c r="I16" s="103">
        <v>6848</v>
      </c>
      <c r="J16" s="71">
        <v>6900</v>
      </c>
      <c r="K16" s="124"/>
    </row>
    <row r="17">
      <c r="A17" s="2"/>
      <c r="B17" s="47" t="s">
        <v>133</v>
      </c>
      <c r="C17" s="7"/>
      <c r="D17" s="7"/>
      <c r="E17" s="7"/>
      <c r="F17" s="7"/>
      <c r="G17" s="7"/>
      <c r="H17" s="40">
        <f>IF(OR(H16="",C16=""),"n.a.",IFERROR(IF(C16&lt;=0,"n.m.",IF(H16/C16&lt;=0,"n.m.",H16/C16-1)),"n.a."))</f>
        <v>-0.12811876247504994</v>
      </c>
      <c r="I17" s="40">
        <f>IF(OR(I16="",D16=""),"n.a.",IFERROR(IF(D16&lt;=0,"n.m.",IF(I16/D16&lt;=0,"n.m.",I16/D16-1)),"n.a."))</f>
        <v>-0.11088029083354978</v>
      </c>
      <c r="J17" s="45">
        <f>IF(OR(J16="",E16=""),"n.a.",IFERROR(IF(E16&lt;=0,"n.m.",IF(J16/E16&lt;=0,"n.m.",J16/E16-1)),"n.a."))</f>
        <v>-0.10841193952707073</v>
      </c>
      <c r="K17" s="124"/>
    </row>
    <row r="18">
      <c r="A18" s="2"/>
      <c r="B18" s="47" t="s">
        <v>134</v>
      </c>
      <c r="C18" s="7"/>
      <c r="D18" s="41">
        <f>IF(OR(D16="",C16=""),"n.a.",IFERROR(D16-C16,"n.a."))</f>
        <v>-314</v>
      </c>
      <c r="E18" s="41">
        <f>IF(OR(E16="",D16=""),"n.a.",IFERROR(E16-D16,"n.a."))</f>
        <v>37</v>
      </c>
      <c r="F18" s="41">
        <f>IF(OR(F16="",E16=""),"n.a.",IFERROR(F16-E16,"n.a."))</f>
        <v>-631</v>
      </c>
      <c r="G18" s="7"/>
      <c r="H18" s="41">
        <f>IF(OR(H16="",F16=""),"n.a.",IFERROR(H16-F16,"n.a."))</f>
        <v>-119</v>
      </c>
      <c r="I18" s="41">
        <f>IF(OR(I16="",H16=""),"n.a.",IFERROR(I16-H16,"n.a."))</f>
        <v>-141</v>
      </c>
      <c r="J18" s="52">
        <f>IF(OR(J16="",I16=""),"n.a.",IFERROR(J16-I16,"n.a."))</f>
        <v>52</v>
      </c>
      <c r="K18" s="124"/>
    </row>
    <row r="19">
      <c r="A19" s="2"/>
      <c r="B19" s="2" t="s">
        <v>356</v>
      </c>
      <c r="C19" s="37">
        <v>1958332</v>
      </c>
      <c r="D19" s="37">
        <v>1973761</v>
      </c>
      <c r="E19" s="37">
        <v>1991434</v>
      </c>
      <c r="F19" s="37">
        <v>2012523</v>
      </c>
      <c r="G19" s="43" t="s">
        <v>352</v>
      </c>
      <c r="H19" s="37">
        <v>2016929</v>
      </c>
      <c r="I19" s="37">
        <v>2022950</v>
      </c>
      <c r="J19" s="48">
        <f>'Segment - Consumer Banking'!J25+'Segment - GWIM'!J72+'Segment - Global Banking'!J123+'Segment - Global Markets'!J174+J22</f>
        <v>2033000</v>
      </c>
      <c r="K19" s="125" t="s">
        <v>353</v>
      </c>
    </row>
    <row r="20">
      <c r="A20" s="2"/>
      <c r="B20" s="47" t="s">
        <v>133</v>
      </c>
      <c r="C20" s="7"/>
      <c r="D20" s="7"/>
      <c r="E20" s="7"/>
      <c r="F20" s="7"/>
      <c r="G20" s="7"/>
      <c r="H20" s="40">
        <f>IF(OR(H19="",C19=""),"n.a.",IFERROR(IF(C19&lt;=0,"n.m.",IF(H19/C19&lt;=0,"n.m.",H19/C19-1)),"n.a."))</f>
        <v>0.02992189271277801</v>
      </c>
      <c r="I20" s="40">
        <f>IF(OR(I19="",D19=""),"n.a.",IFERROR(IF(D19&lt;=0,"n.m.",IF(I19/D19&lt;=0,"n.m.",I19/D19-1)),"n.a."))</f>
        <v>0.024921457055844254</v>
      </c>
      <c r="J20" s="45">
        <f>IF(OR(J19="",E19=""),"n.a.",IFERROR(IF(E19&lt;=0,"n.m.",IF(J19/E19&lt;=0,"n.m.",J19/E19-1)),"n.a."))</f>
        <v>0.020872396474098664</v>
      </c>
      <c r="K20" s="124"/>
    </row>
    <row r="21">
      <c r="A21" s="2"/>
      <c r="B21" s="47" t="s">
        <v>134</v>
      </c>
      <c r="C21" s="7"/>
      <c r="D21" s="41">
        <f>IF(OR(D19="",C19=""),"n.a.",IFERROR(D19-C19,"n.a."))</f>
        <v>15429</v>
      </c>
      <c r="E21" s="41">
        <f>IF(OR(E19="",D19=""),"n.a.",IFERROR(E19-D19,"n.a."))</f>
        <v>17673</v>
      </c>
      <c r="F21" s="41">
        <f>IF(OR(F19="",E19=""),"n.a.",IFERROR(F19-E19,"n.a."))</f>
        <v>21089</v>
      </c>
      <c r="G21" s="7"/>
      <c r="H21" s="41">
        <f>IF(OR(H19="",F19=""),"n.a.",IFERROR(H19-F19,"n.a."))</f>
        <v>4406</v>
      </c>
      <c r="I21" s="41">
        <f>IF(OR(I19="",H19=""),"n.a.",IFERROR(I19-H19,"n.a."))</f>
        <v>6021</v>
      </c>
      <c r="J21" s="52">
        <f>IF(OR(J19="",I19=""),"n.a.",IFERROR(J19-I19,"n.a."))</f>
        <v>10050</v>
      </c>
      <c r="K21" s="124"/>
    </row>
    <row r="22">
      <c r="A22" s="2"/>
      <c r="B22" s="61" t="s">
        <v>357</v>
      </c>
      <c r="C22" s="103">
        <v>110389</v>
      </c>
      <c r="D22" s="103">
        <v>103500</v>
      </c>
      <c r="E22" s="103">
        <v>98338</v>
      </c>
      <c r="F22" s="103">
        <v>93678</v>
      </c>
      <c r="G22" s="7"/>
      <c r="H22" s="103">
        <v>92207</v>
      </c>
      <c r="I22" s="103">
        <v>94404</v>
      </c>
      <c r="J22" s="71">
        <v>94000</v>
      </c>
      <c r="K22" s="124"/>
    </row>
    <row r="23">
      <c r="A23" s="2"/>
      <c r="B23" s="47" t="s">
        <v>133</v>
      </c>
      <c r="C23" s="7"/>
      <c r="D23" s="7"/>
      <c r="E23" s="7"/>
      <c r="F23" s="7"/>
      <c r="G23" s="7"/>
      <c r="H23" s="40">
        <f>IF(OR(H22="",C22=""),"n.a.",IFERROR(IF(C22&lt;=0,"n.m.",IF(H22/C22&lt;=0,"n.m.",H22/C22-1)),"n.a."))</f>
        <v>-0.16470844015255148</v>
      </c>
      <c r="I23" s="40">
        <f>IF(OR(I22="",D22=""),"n.a.",IFERROR(IF(D22&lt;=0,"n.m.",IF(I22/D22&lt;=0,"n.m.",I22/D22-1)),"n.a."))</f>
        <v>-0.0878840579710145</v>
      </c>
      <c r="J23" s="45">
        <f>IF(OR(J22="",E22=""),"n.a.",IFERROR(IF(E22&lt;=0,"n.m.",IF(J22/E22&lt;=0,"n.m.",J22/E22-1)),"n.a."))</f>
        <v>-0.04411316073135507</v>
      </c>
      <c r="K23" s="124"/>
    </row>
    <row r="24">
      <c r="A24" s="2"/>
      <c r="B24" s="47" t="s">
        <v>134</v>
      </c>
      <c r="C24" s="7"/>
      <c r="D24" s="41">
        <f>IF(OR(D22="",C22=""),"n.a.",IFERROR(D22-C22,"n.a."))</f>
        <v>-6889</v>
      </c>
      <c r="E24" s="41">
        <f>IF(OR(E22="",D22=""),"n.a.",IFERROR(E22-D22,"n.a."))</f>
        <v>-5162</v>
      </c>
      <c r="F24" s="41">
        <f>IF(OR(F22="",E22=""),"n.a.",IFERROR(F22-E22,"n.a."))</f>
        <v>-4660</v>
      </c>
      <c r="G24" s="7"/>
      <c r="H24" s="41">
        <f>IF(OR(H22="",F22=""),"n.a.",IFERROR(H22-F22,"n.a."))</f>
        <v>-1471</v>
      </c>
      <c r="I24" s="41">
        <f>IF(OR(I22="",H22=""),"n.a.",IFERROR(I22-H22,"n.a."))</f>
        <v>2197</v>
      </c>
      <c r="J24" s="52">
        <f>IF(OR(J22="",I22=""),"n.a.",IFERROR(J22-I22,"n.a."))</f>
        <v>-404</v>
      </c>
      <c r="K24" s="124"/>
    </row>
    <row r="25">
      <c r="A25" s="2"/>
      <c r="B25" s="61" t="s">
        <v>358</v>
      </c>
      <c r="C25" s="44">
        <f>'Segment - Consumer Banking'!C124+'Segment - Global Banking'!C96+'Segment - GWIM'!C69+'Segment - Global Markets'!C162+C16-C13</f>
        <v>0</v>
      </c>
      <c r="D25" s="44">
        <f>'Segment - Consumer Banking'!D124+'Segment - Global Banking'!D96+'Segment - GWIM'!D69+'Segment - Global Markets'!D162+D16-D13</f>
        <v>0</v>
      </c>
      <c r="E25" s="44">
        <f>'Segment - Consumer Banking'!E124+'Segment - Global Banking'!E96+'Segment - GWIM'!E69+'Segment - Global Markets'!E162+E16-E13</f>
        <v>0</v>
      </c>
      <c r="F25" s="44">
        <f>'Segment - Consumer Banking'!F124+'Segment - Global Banking'!F96+'Segment - GWIM'!F69+'Segment - Global Markets'!F162+F16-F13</f>
        <v>0</v>
      </c>
      <c r="G25" s="7"/>
      <c r="H25" s="44">
        <f>'Segment - Consumer Banking'!H124+'Segment - Global Banking'!H96+'Segment - GWIM'!H69+'Segment - Global Markets'!H162+H16-H13</f>
        <v>0</v>
      </c>
      <c r="I25" s="44">
        <f>'Segment - Consumer Banking'!I124+'Segment - Global Banking'!I96+'Segment - GWIM'!I69+'Segment - Global Markets'!I162+I16-I13</f>
        <v>0</v>
      </c>
      <c r="J25" s="46"/>
      <c r="K25" s="124"/>
    </row>
    <row r="26">
      <c r="A26" s="2"/>
      <c r="B26" s="61" t="s">
        <v>359</v>
      </c>
      <c r="C26" s="44">
        <f>'Segment - Consumer Banking'!C25+'Segment - GWIM'!C72+'Segment - Global Banking'!C123+'Segment - Global Markets'!C174+C22-C19</f>
        <v>0</v>
      </c>
      <c r="D26" s="44">
        <f>'Segment - Consumer Banking'!D25+'Segment - GWIM'!D72+'Segment - Global Banking'!D123+'Segment - Global Markets'!D174+D22-D19</f>
        <v>0</v>
      </c>
      <c r="E26" s="44">
        <f>'Segment - Consumer Banking'!E25+'Segment - GWIM'!E72+'Segment - Global Banking'!E123+'Segment - Global Markets'!E174+E22-E19</f>
        <v>0</v>
      </c>
      <c r="F26" s="44">
        <f>'Segment - Consumer Banking'!F25+'Segment - GWIM'!F72+'Segment - Global Banking'!F123+'Segment - Global Markets'!F174+F22-F19</f>
        <v>0</v>
      </c>
      <c r="G26" s="7"/>
      <c r="H26" s="44">
        <f>'Segment - Consumer Banking'!H25+'Segment - GWIM'!H72+'Segment - Global Banking'!H123+'Segment - Global Markets'!H174+H22-H19</f>
        <v>0</v>
      </c>
      <c r="I26" s="44">
        <f>'Segment - Consumer Banking'!I25+'Segment - GWIM'!I72+'Segment - Global Banking'!I123+'Segment - Global Markets'!I174+I22-I19</f>
        <v>0</v>
      </c>
      <c r="J26" s="46"/>
      <c r="K26" s="124"/>
    </row>
    <row r="27">
      <c r="A27" s="2"/>
      <c r="B27" s="1" t="s">
        <v>360</v>
      </c>
      <c r="C27" s="87">
        <v>0.0467</v>
      </c>
      <c r="D27" s="87">
        <v>0.046</v>
      </c>
      <c r="E27" s="87">
        <v>0.0464</v>
      </c>
      <c r="F27" s="87">
        <v>0.045</v>
      </c>
      <c r="G27" s="7" t="s">
        <v>352</v>
      </c>
      <c r="H27" s="87">
        <v>0.0438</v>
      </c>
      <c r="I27" s="87">
        <v>0.0439</v>
      </c>
      <c r="J27" s="93">
        <v>0.044</v>
      </c>
      <c r="K27" s="125" t="s">
        <v>361</v>
      </c>
    </row>
    <row r="28">
      <c r="A28" s="2"/>
      <c r="B28" s="47" t="s">
        <v>169</v>
      </c>
      <c r="C28" s="7"/>
      <c r="D28" s="42">
        <f>(D27-C27)*10000</f>
        <v>-6.999999999999992</v>
      </c>
      <c r="E28" s="42">
        <f>(E27-D27)*10000</f>
        <v>3.999999999999976</v>
      </c>
      <c r="F28" s="42">
        <f>(F27-E27)*10000</f>
        <v>-13.999999999999984</v>
      </c>
      <c r="G28" s="7"/>
      <c r="H28" s="42">
        <f>(H27-F27)*10000</f>
        <v>-11.999999999999996</v>
      </c>
      <c r="I28" s="42">
        <f>(I27-H27)*10000</f>
        <v>1.0000000000000286</v>
      </c>
      <c r="J28" s="56">
        <f>(J27-I27)*10000</f>
        <v>0.9999999999999593</v>
      </c>
      <c r="K28" s="124"/>
    </row>
    <row r="29">
      <c r="A29" s="2"/>
      <c r="B29" s="47" t="s">
        <v>170</v>
      </c>
      <c r="C29" s="7"/>
      <c r="D29" s="7"/>
      <c r="E29" s="7"/>
      <c r="F29" s="7"/>
      <c r="G29" s="7"/>
      <c r="H29" s="42">
        <f>(H27-C27)*10000</f>
        <v>-28.999999999999996</v>
      </c>
      <c r="I29" s="42">
        <f>(I27-D27)*10000</f>
        <v>-20.99999999999998</v>
      </c>
      <c r="J29" s="56">
        <f>(J27-E27)*10000</f>
        <v>-23.999999999999993</v>
      </c>
      <c r="K29" s="124"/>
    </row>
    <row r="30">
      <c r="A30" s="2"/>
      <c r="B30" s="1" t="s">
        <v>362</v>
      </c>
      <c r="C30" s="87">
        <v>0.0199</v>
      </c>
      <c r="D30" s="87">
        <v>0.0194</v>
      </c>
      <c r="E30" s="87">
        <v>0.0201</v>
      </c>
      <c r="F30" s="87">
        <v>0.0208</v>
      </c>
      <c r="G30" s="87">
        <v>0.0201</v>
      </c>
      <c r="H30" s="87">
        <v>0.0207</v>
      </c>
      <c r="I30" s="87">
        <v>0.0208</v>
      </c>
      <c r="J30" s="107">
        <f>'Revenue summary'!J64/J10*365/J7</f>
        <v>0.02089874557936343</v>
      </c>
      <c r="K30" s="125" t="s">
        <v>127</v>
      </c>
    </row>
    <row r="31">
      <c r="A31" s="2"/>
      <c r="B31" s="47" t="s">
        <v>169</v>
      </c>
      <c r="C31" s="7"/>
      <c r="D31" s="42">
        <f>(D30-C30)*10000</f>
        <v>-5.000000000000004</v>
      </c>
      <c r="E31" s="42">
        <f>(E30-D30)*10000</f>
        <v>6.999999999999992</v>
      </c>
      <c r="F31" s="42">
        <f>(F30-E30)*10000</f>
        <v>6.999999999999992</v>
      </c>
      <c r="G31" s="7"/>
      <c r="H31" s="42">
        <f>(H30-F30)*10000</f>
        <v>-0.999999999999994</v>
      </c>
      <c r="I31" s="42">
        <f>(I30-H30)*10000</f>
        <v>0.999999999999994</v>
      </c>
      <c r="J31" s="56">
        <f>(J30-I30)*10000</f>
        <v>0.9874557936342954</v>
      </c>
      <c r="K31" s="124"/>
    </row>
    <row r="32">
      <c r="A32" s="2"/>
      <c r="B32" s="47" t="s">
        <v>170</v>
      </c>
      <c r="C32" s="7"/>
      <c r="D32" s="7"/>
      <c r="E32" s="7"/>
      <c r="F32" s="7"/>
      <c r="G32" s="7"/>
      <c r="H32" s="42">
        <f>(H30-C30)*10000</f>
        <v>7.999999999999987</v>
      </c>
      <c r="I32" s="42">
        <f>(I30-D30)*10000</f>
        <v>13.999999999999984</v>
      </c>
      <c r="J32" s="56">
        <f>(J30-E30)*10000</f>
        <v>7.987455793634288</v>
      </c>
      <c r="K32" s="124"/>
    </row>
    <row r="33">
      <c r="A33" s="2"/>
      <c r="B33" s="3" t="s">
        <v>247</v>
      </c>
      <c r="C33" s="37">
        <v>15223</v>
      </c>
      <c r="D33" s="37">
        <v>15651</v>
      </c>
      <c r="E33" s="37">
        <v>16191</v>
      </c>
      <c r="F33" s="37">
        <v>16015</v>
      </c>
      <c r="G33" s="43">
        <f>SUM(C33:F33)</f>
        <v>63080</v>
      </c>
      <c r="H33" s="37">
        <v>15483</v>
      </c>
      <c r="I33" s="37">
        <v>15863</v>
      </c>
      <c r="J33" s="38">
        <f>J68*I33/I68</f>
        <v>16224.708638089254</v>
      </c>
      <c r="K33" s="125" t="s">
        <v>127</v>
      </c>
    </row>
    <row r="34">
      <c r="A34" s="2"/>
      <c r="B34" s="47" t="s">
        <v>113</v>
      </c>
      <c r="C34" s="7"/>
      <c r="D34" s="7"/>
      <c r="E34" s="7"/>
      <c r="F34" s="7"/>
      <c r="G34" s="7"/>
      <c r="H34" s="40">
        <f>IF(OR(H33="",C33=""),"n.a.",IFERROR(IF(C33&lt;=0,"n.m.",IF(H33/C33&lt;=0,"n.m.",H33/C33-1)),"n.a."))</f>
        <v>0.01707941929974388</v>
      </c>
      <c r="I34" s="40">
        <f>IF(OR(I33="",D33=""),"n.a.",IFERROR(IF(D33&lt;=0,"n.m.",IF(I33/D33&lt;=0,"n.m.",I33/D33-1)),"n.a."))</f>
        <v>0.013545460353971084</v>
      </c>
      <c r="J34" s="45">
        <f>IF(OR(J33="",E33=""),"n.a.",IFERROR(IF(E33&lt;=0,"n.m.",IF(J33/E33&lt;=0,"n.m.",J33/E33-1)),"n.a."))</f>
        <v>0.0020819367604998362</v>
      </c>
      <c r="K34" s="124"/>
    </row>
    <row r="35">
      <c r="A35" s="2"/>
      <c r="B35" s="47" t="s">
        <v>114</v>
      </c>
      <c r="C35" s="7"/>
      <c r="D35" s="40">
        <f>IF(OR(D33="",C33=""),"n.a.",IFERROR(IF(C33&lt;=0,"n.m.",IF(D33/C33&lt;=0,"n.m.",D33/C33-1)),"n.a."))</f>
        <v>0.028115351770347408</v>
      </c>
      <c r="E35" s="40">
        <f>IF(OR(E33="",D33=""),"n.a.",IFERROR(IF(D33&lt;=0,"n.m.",IF(E33/D33&lt;=0,"n.m.",E33/D33-1)),"n.a."))</f>
        <v>0.03450258769407699</v>
      </c>
      <c r="F35" s="40">
        <f>IF(OR(F33="",E33=""),"n.a.",IFERROR(IF(E33&lt;=0,"n.m.",IF(F33/E33&lt;=0,"n.m.",F33/E33-1)),"n.a."))</f>
        <v>-0.010870236551170365</v>
      </c>
      <c r="G35" s="7"/>
      <c r="H35" s="40">
        <f>IF(OR(H33="",F33=""),"n.a.",IFERROR(IF(F33&lt;=0,"n.m.",IF(H33/F33&lt;=0,"n.m.",H33/F33-1)),"n.a."))</f>
        <v>-0.033218857321261286</v>
      </c>
      <c r="I35" s="40">
        <f>IF(OR(I33="",H33=""),"n.a.",IFERROR(IF(H33&lt;=0,"n.m.",IF(I33/H33&lt;=0,"n.m.",I33/H33-1)),"n.a."))</f>
        <v>0.024543047213072322</v>
      </c>
      <c r="J35" s="45">
        <f>IF(OR(J33="",I33=""),"n.a.",IFERROR(IF(I33&lt;=0,"n.m.",IF(J33/I33&lt;=0,"n.m.",J33/I33-1)),"n.a."))</f>
        <v>0.022802032281992846</v>
      </c>
      <c r="K35" s="124"/>
    </row>
    <row r="36">
      <c r="A36" s="2"/>
      <c r="B36" s="47" t="s">
        <v>115</v>
      </c>
      <c r="C36" s="7"/>
      <c r="D36" s="7"/>
      <c r="E36" s="7"/>
      <c r="F36" s="7"/>
      <c r="G36" s="7"/>
      <c r="H36" s="40" t="s">
        <v>116</v>
      </c>
      <c r="I36" s="40" t="s">
        <v>116</v>
      </c>
      <c r="J36" s="45" t="s">
        <v>116</v>
      </c>
      <c r="K36" s="124"/>
    </row>
    <row r="37">
      <c r="A37" s="2"/>
      <c r="B37" s="47" t="s">
        <v>117</v>
      </c>
      <c r="C37" s="7"/>
      <c r="D37" s="7"/>
      <c r="E37" s="7"/>
      <c r="F37" s="7"/>
      <c r="G37" s="7"/>
      <c r="H37" s="40" t="s">
        <v>116</v>
      </c>
      <c r="I37" s="40" t="s">
        <v>116</v>
      </c>
      <c r="J37" s="45" t="s">
        <v>116</v>
      </c>
      <c r="K37" s="124"/>
    </row>
    <row r="38">
      <c r="A38" s="2"/>
      <c r="B38" s="47" t="s">
        <v>118</v>
      </c>
      <c r="C38" s="7"/>
      <c r="D38" s="7"/>
      <c r="E38" s="7"/>
      <c r="F38" s="7"/>
      <c r="G38" s="7"/>
      <c r="H38" s="40" t="s">
        <v>116</v>
      </c>
      <c r="I38" s="40" t="s">
        <v>116</v>
      </c>
      <c r="J38" s="45" t="s">
        <v>116</v>
      </c>
      <c r="K38" s="124"/>
    </row>
    <row r="39">
      <c r="A39" s="2"/>
      <c r="B39" s="47" t="s">
        <v>363</v>
      </c>
      <c r="C39" s="40">
        <f>IFERROR(C33/C68,"n.a.")</f>
        <v>0.4468678447719133</v>
      </c>
      <c r="D39" s="40">
        <f>IFERROR(D33/D68,"n.a.")</f>
        <v>0.448799931178849</v>
      </c>
      <c r="E39" s="40">
        <f>IFERROR(E33/E68,"n.a.")</f>
        <v>0.45781258836170335</v>
      </c>
      <c r="F39" s="40">
        <f>IFERROR(F33/F68,"n.a.")</f>
        <v>0.46744111380286624</v>
      </c>
      <c r="G39" s="40">
        <f>IFERROR(G33/G68,"n.a.")</f>
        <v>0.45523432876751874</v>
      </c>
      <c r="H39" s="40">
        <f>IFERROR(H33/H68,"n.a.")</f>
        <v>0.46413261788422916</v>
      </c>
      <c r="I39" s="40">
        <f>IFERROR(I33/I68,"n.a.")</f>
        <v>0.4688756207141168</v>
      </c>
      <c r="J39" s="45">
        <f>IFERROR(J33/J68,"n.a.")</f>
        <v>0.4688756207141168</v>
      </c>
      <c r="K39" s="124"/>
    </row>
    <row r="40">
      <c r="A40" s="2"/>
      <c r="B40" s="3" t="s">
        <v>364</v>
      </c>
      <c r="C40" s="37">
        <v>6767</v>
      </c>
      <c r="D40" s="37">
        <v>6913</v>
      </c>
      <c r="E40" s="37">
        <v>6958</v>
      </c>
      <c r="F40" s="37">
        <v>6755</v>
      </c>
      <c r="G40" s="43">
        <f>SUM(C40:F40)</f>
        <v>27393</v>
      </c>
      <c r="H40" s="37">
        <v>6291</v>
      </c>
      <c r="I40" s="37">
        <v>6032</v>
      </c>
      <c r="J40" s="38">
        <f>J68*I40/I68</f>
        <v>6169.5418587249815</v>
      </c>
      <c r="K40" s="125" t="s">
        <v>127</v>
      </c>
    </row>
    <row r="41">
      <c r="A41" s="2"/>
      <c r="B41" s="47" t="s">
        <v>113</v>
      </c>
      <c r="C41" s="7"/>
      <c r="D41" s="7"/>
      <c r="E41" s="7"/>
      <c r="F41" s="7"/>
      <c r="G41" s="7"/>
      <c r="H41" s="40">
        <f>IF(OR(H40="",C40=""),"n.a.",IFERROR(IF(C40&lt;=0,"n.m.",IF(H40/C40&lt;=0,"n.m.",H40/C40-1)),"n.a."))</f>
        <v>-0.07034136249445844</v>
      </c>
      <c r="I41" s="40">
        <f>IF(OR(I40="",D40=""),"n.a.",IFERROR(IF(D40&lt;=0,"n.m.",IF(I40/D40&lt;=0,"n.m.",I40/D40-1)),"n.a."))</f>
        <v>-0.12744105308838416</v>
      </c>
      <c r="J41" s="45">
        <f>IF(OR(J40="",E40=""),"n.a.",IFERROR(IF(E40&lt;=0,"n.m.",IF(J40/E40&lt;=0,"n.m.",J40/E40-1)),"n.a."))</f>
        <v>-0.11331677799296036</v>
      </c>
      <c r="K41" s="124"/>
    </row>
    <row r="42">
      <c r="A42" s="2"/>
      <c r="B42" s="47" t="s">
        <v>114</v>
      </c>
      <c r="C42" s="7"/>
      <c r="D42" s="40">
        <f>IF(OR(D40="",C40=""),"n.a.",IFERROR(IF(C40&lt;=0,"n.m.",IF(D40/C40&lt;=0,"n.m.",D40/C40-1)),"n.a."))</f>
        <v>0.021575291857544032</v>
      </c>
      <c r="E42" s="40">
        <f>IF(OR(E40="",D40=""),"n.a.",IFERROR(IF(D40&lt;=0,"n.m.",IF(E40/D40&lt;=0,"n.m.",E40/D40-1)),"n.a."))</f>
        <v>0.006509474902357981</v>
      </c>
      <c r="F42" s="40">
        <f>IF(OR(F40="",E40=""),"n.a.",IFERROR(IF(E40&lt;=0,"n.m.",IF(F40/E40&lt;=0,"n.m.",F40/E40-1)),"n.a."))</f>
        <v>-0.02917505030181089</v>
      </c>
      <c r="G42" s="7"/>
      <c r="H42" s="40">
        <f>IF(OR(H40="",F40=""),"n.a.",IFERROR(IF(F40&lt;=0,"n.m.",IF(H40/F40&lt;=0,"n.m.",H40/F40-1)),"n.a."))</f>
        <v>-0.06868985936343452</v>
      </c>
      <c r="I42" s="40">
        <f>IF(OR(I40="",H40=""),"n.a.",IFERROR(IF(H40&lt;=0,"n.m.",IF(I40/H40&lt;=0,"n.m.",I40/H40-1)),"n.a."))</f>
        <v>-0.041169925290097</v>
      </c>
      <c r="J42" s="45">
        <f>IF(OR(J40="",I40=""),"n.a.",IFERROR(IF(I40&lt;=0,"n.m.",IF(J40/I40&lt;=0,"n.m.",J40/I40-1)),"n.a."))</f>
        <v>0.022802032281992846</v>
      </c>
      <c r="K42" s="124"/>
    </row>
    <row r="43">
      <c r="A43" s="2"/>
      <c r="B43" s="47" t="s">
        <v>115</v>
      </c>
      <c r="C43" s="7"/>
      <c r="D43" s="7"/>
      <c r="E43" s="7"/>
      <c r="F43" s="7"/>
      <c r="G43" s="7"/>
      <c r="H43" s="40" t="s">
        <v>116</v>
      </c>
      <c r="I43" s="40" t="s">
        <v>116</v>
      </c>
      <c r="J43" s="45" t="s">
        <v>116</v>
      </c>
      <c r="K43" s="124"/>
    </row>
    <row r="44">
      <c r="A44" s="2"/>
      <c r="B44" s="47" t="s">
        <v>117</v>
      </c>
      <c r="C44" s="7"/>
      <c r="D44" s="7"/>
      <c r="E44" s="7"/>
      <c r="F44" s="7"/>
      <c r="G44" s="7"/>
      <c r="H44" s="40" t="s">
        <v>116</v>
      </c>
      <c r="I44" s="40" t="s">
        <v>116</v>
      </c>
      <c r="J44" s="45" t="s">
        <v>116</v>
      </c>
      <c r="K44" s="124"/>
    </row>
    <row r="45">
      <c r="A45" s="2"/>
      <c r="B45" s="47" t="s">
        <v>118</v>
      </c>
      <c r="C45" s="7"/>
      <c r="D45" s="7"/>
      <c r="E45" s="7"/>
      <c r="F45" s="7"/>
      <c r="G45" s="7"/>
      <c r="H45" s="40" t="s">
        <v>116</v>
      </c>
      <c r="I45" s="40" t="s">
        <v>116</v>
      </c>
      <c r="J45" s="45" t="s">
        <v>116</v>
      </c>
      <c r="K45" s="124"/>
    </row>
    <row r="46">
      <c r="A46" s="2"/>
      <c r="B46" s="47" t="s">
        <v>363</v>
      </c>
      <c r="C46" s="40">
        <f>IFERROR(C40/C68,"n.a.")</f>
        <v>0.19864380907649856</v>
      </c>
      <c r="D46" s="40">
        <f>IFERROR(D40/D68,"n.a.")</f>
        <v>0.1982335904568004</v>
      </c>
      <c r="E46" s="40">
        <f>IFERROR(E40/E68,"n.a.")</f>
        <v>0.19674263416841034</v>
      </c>
      <c r="F46" s="40">
        <f>IFERROR(F40/F68,"n.a.")</f>
        <v>0.19716295496336944</v>
      </c>
      <c r="G46" s="40">
        <f>IFERROR(G40/G68,"n.a.")</f>
        <v>0.1976891878238529</v>
      </c>
      <c r="H46" s="40">
        <f>IFERROR(H40/H68,"n.a.")</f>
        <v>0.18858478971192183</v>
      </c>
      <c r="I46" s="40">
        <f>IFERROR(I40/I68,"n.a.")</f>
        <v>0.1782927406006148</v>
      </c>
      <c r="J46" s="45">
        <f>IFERROR(J40/J68,"n.a.")</f>
        <v>0.1782927406006148</v>
      </c>
      <c r="K46" s="124"/>
    </row>
    <row r="47">
      <c r="A47" s="2"/>
      <c r="B47" s="3" t="s">
        <v>365</v>
      </c>
      <c r="C47" s="37">
        <v>3774</v>
      </c>
      <c r="D47" s="37">
        <v>4094</v>
      </c>
      <c r="E47" s="37">
        <v>3802</v>
      </c>
      <c r="F47" s="37">
        <v>3763</v>
      </c>
      <c r="G47" s="43">
        <f>SUM(C47:F47)</f>
        <v>15433</v>
      </c>
      <c r="H47" s="37">
        <v>3857</v>
      </c>
      <c r="I47" s="37">
        <v>4185</v>
      </c>
      <c r="J47" s="38">
        <f>J68*I47/I68</f>
        <v>4280.42650510014</v>
      </c>
      <c r="K47" s="125" t="s">
        <v>127</v>
      </c>
    </row>
    <row r="48">
      <c r="A48" s="2"/>
      <c r="B48" s="47" t="s">
        <v>113</v>
      </c>
      <c r="C48" s="7"/>
      <c r="D48" s="7"/>
      <c r="E48" s="7"/>
      <c r="F48" s="7"/>
      <c r="G48" s="7"/>
      <c r="H48" s="40">
        <f>IF(OR(H47="",C47=""),"n.a.",IFERROR(IF(C47&lt;=0,"n.m.",IF(H47/C47&lt;=0,"n.m.",H47/C47-1)),"n.a."))</f>
        <v>0.02199258081611033</v>
      </c>
      <c r="I48" s="40">
        <f>IF(OR(I47="",D47=""),"n.a.",IFERROR(IF(D47&lt;=0,"n.m.",IF(I47/D47&lt;=0,"n.m.",I47/D47-1)),"n.a."))</f>
        <v>0.022227650219833972</v>
      </c>
      <c r="J48" s="45">
        <f>IF(OR(J47="",E47=""),"n.a.",IFERROR(IF(E47&lt;=0,"n.m.",IF(J47/E47&lt;=0,"n.m.",J47/E47-1)),"n.a."))</f>
        <v>0.12583548266705424</v>
      </c>
      <c r="K48" s="124"/>
    </row>
    <row r="49">
      <c r="A49" s="2"/>
      <c r="B49" s="47" t="s">
        <v>114</v>
      </c>
      <c r="C49" s="7"/>
      <c r="D49" s="40">
        <f>IF(OR(D47="",C47=""),"n.a.",IFERROR(IF(C47&lt;=0,"n.m.",IF(D47/C47&lt;=0,"n.m.",D47/C47-1)),"n.a."))</f>
        <v>0.0847906730259671</v>
      </c>
      <c r="E49" s="40">
        <f>IF(OR(E47="",D47=""),"n.a.",IFERROR(IF(D47&lt;=0,"n.m.",IF(E47/D47&lt;=0,"n.m.",E47/D47-1)),"n.a."))</f>
        <v>-0.07132388861748906</v>
      </c>
      <c r="F49" s="40">
        <f>IF(OR(F47="",E47=""),"n.a.",IFERROR(IF(E47&lt;=0,"n.m.",IF(F47/E47&lt;=0,"n.m.",F47/E47-1)),"n.a."))</f>
        <v>-0.01025775907417148</v>
      </c>
      <c r="G49" s="7"/>
      <c r="H49" s="40">
        <f>IF(OR(H47="",F47=""),"n.a.",IFERROR(IF(F47&lt;=0,"n.m.",IF(H47/F47&lt;=0,"n.m.",H47/F47-1)),"n.a."))</f>
        <v>0.024980069093808233</v>
      </c>
      <c r="I49" s="40">
        <f>IF(OR(I47="",H47=""),"n.a.",IFERROR(IF(H47&lt;=0,"n.m.",IF(I47/H47&lt;=0,"n.m.",I47/H47-1)),"n.a."))</f>
        <v>0.0850401866735806</v>
      </c>
      <c r="J49" s="45">
        <f>IF(OR(J47="",I47=""),"n.a.",IFERROR(IF(I47&lt;=0,"n.m.",IF(J47/I47&lt;=0,"n.m.",J47/I47-1)),"n.a."))</f>
        <v>0.022802032281992846</v>
      </c>
      <c r="K49" s="124"/>
    </row>
    <row r="50">
      <c r="A50" s="2"/>
      <c r="B50" s="47" t="s">
        <v>115</v>
      </c>
      <c r="C50" s="7"/>
      <c r="D50" s="7"/>
      <c r="E50" s="7"/>
      <c r="F50" s="7"/>
      <c r="G50" s="7"/>
      <c r="H50" s="40" t="s">
        <v>116</v>
      </c>
      <c r="I50" s="40" t="s">
        <v>116</v>
      </c>
      <c r="J50" s="45" t="s">
        <v>116</v>
      </c>
      <c r="K50" s="124"/>
    </row>
    <row r="51">
      <c r="A51" s="2"/>
      <c r="B51" s="47" t="s">
        <v>117</v>
      </c>
      <c r="C51" s="7"/>
      <c r="D51" s="7"/>
      <c r="E51" s="7"/>
      <c r="F51" s="7"/>
      <c r="G51" s="7"/>
      <c r="H51" s="40" t="s">
        <v>116</v>
      </c>
      <c r="I51" s="40" t="s">
        <v>116</v>
      </c>
      <c r="J51" s="45" t="s">
        <v>116</v>
      </c>
      <c r="K51" s="124"/>
    </row>
    <row r="52">
      <c r="A52" s="2"/>
      <c r="B52" s="47" t="s">
        <v>118</v>
      </c>
      <c r="C52" s="7"/>
      <c r="D52" s="7"/>
      <c r="E52" s="7"/>
      <c r="F52" s="7"/>
      <c r="G52" s="7"/>
      <c r="H52" s="40" t="s">
        <v>116</v>
      </c>
      <c r="I52" s="40" t="s">
        <v>116</v>
      </c>
      <c r="J52" s="45" t="s">
        <v>116</v>
      </c>
      <c r="K52" s="124"/>
    </row>
    <row r="53">
      <c r="A53" s="2"/>
      <c r="B53" s="47" t="s">
        <v>363</v>
      </c>
      <c r="C53" s="40">
        <f>IFERROR(C47/C68,"n.a.")</f>
        <v>0.11078494686784478</v>
      </c>
      <c r="D53" s="40">
        <f>IFERROR(D47/D68,"n.a.")</f>
        <v>0.11739741347174032</v>
      </c>
      <c r="E53" s="40">
        <f>IFERROR(E47/E68,"n.a.")</f>
        <v>0.10750438274048521</v>
      </c>
      <c r="F53" s="40">
        <f>IFERROR(F47/F68,"n.a.")</f>
        <v>0.10983333819795102</v>
      </c>
      <c r="G53" s="40">
        <f>IFERROR(G47/G68,"n.a.")</f>
        <v>0.11137652815264928</v>
      </c>
      <c r="H53" s="40">
        <f>IFERROR(H47/H68,"n.a.")</f>
        <v>0.1156209718516742</v>
      </c>
      <c r="I53" s="40">
        <f>IFERROR(I47/I68,"n.a.")</f>
        <v>0.12369945613620241</v>
      </c>
      <c r="J53" s="45">
        <f>IFERROR(J47/J68,"n.a.")</f>
        <v>0.12369945613620241</v>
      </c>
      <c r="K53" s="124"/>
    </row>
    <row r="54">
      <c r="A54" s="2"/>
      <c r="B54" s="3" t="s">
        <v>366</v>
      </c>
      <c r="C54" s="37">
        <v>3008</v>
      </c>
      <c r="D54" s="37">
        <v>3057</v>
      </c>
      <c r="E54" s="37">
        <v>3195</v>
      </c>
      <c r="F54" s="37">
        <v>2979</v>
      </c>
      <c r="G54" s="43">
        <f>SUM(C54:F54)</f>
        <v>12239</v>
      </c>
      <c r="H54" s="37">
        <v>3198</v>
      </c>
      <c r="I54" s="37">
        <v>3063</v>
      </c>
      <c r="J54" s="38">
        <f>J68*I54/I68</f>
        <v>3132.8426248797446</v>
      </c>
      <c r="K54" s="125" t="s">
        <v>127</v>
      </c>
    </row>
    <row r="55">
      <c r="A55" s="2"/>
      <c r="B55" s="47" t="s">
        <v>113</v>
      </c>
      <c r="C55" s="7"/>
      <c r="D55" s="7"/>
      <c r="E55" s="7"/>
      <c r="F55" s="7"/>
      <c r="G55" s="7"/>
      <c r="H55" s="40">
        <f>IF(OR(H54="",C54=""),"n.a.",IFERROR(IF(C54&lt;=0,"n.m.",IF(H54/C54&lt;=0,"n.m.",H54/C54-1)),"n.a."))</f>
        <v>0.06316489361702127</v>
      </c>
      <c r="I55" s="40">
        <f>IF(OR(I54="",D54=""),"n.a.",IFERROR(IF(D54&lt;=0,"n.m.",IF(I54/D54&lt;=0,"n.m.",I54/D54-1)),"n.a."))</f>
        <v>0.001962708537782243</v>
      </c>
      <c r="J55" s="45">
        <f>IF(OR(J54="",E54=""),"n.a.",IFERROR(IF(E54&lt;=0,"n.m.",IF(J54/E54&lt;=0,"n.m.",J54/E54-1)),"n.a."))</f>
        <v>-0.019454577502427406</v>
      </c>
      <c r="K55" s="124"/>
    </row>
    <row r="56">
      <c r="A56" s="2"/>
      <c r="B56" s="47" t="s">
        <v>114</v>
      </c>
      <c r="C56" s="7"/>
      <c r="D56" s="40">
        <f>IF(OR(D54="",C54=""),"n.a.",IFERROR(IF(C54&lt;=0,"n.m.",IF(D54/C54&lt;=0,"n.m.",D54/C54-1)),"n.a."))</f>
        <v>0.016289893617021267</v>
      </c>
      <c r="E56" s="40">
        <f>IF(OR(E54="",D54=""),"n.a.",IFERROR(IF(D54&lt;=0,"n.m.",IF(E54/D54&lt;=0,"n.m.",E54/D54-1)),"n.a."))</f>
        <v>0.04514229636898914</v>
      </c>
      <c r="F56" s="40">
        <f>IF(OR(F54="",E54=""),"n.a.",IFERROR(IF(E54&lt;=0,"n.m.",IF(F54/E54&lt;=0,"n.m.",F54/E54-1)),"n.a."))</f>
        <v>-0.06760563380281692</v>
      </c>
      <c r="G56" s="7"/>
      <c r="H56" s="40">
        <f>IF(OR(H54="",F54=""),"n.a.",IFERROR(IF(F54&lt;=0,"n.m.",IF(H54/F54&lt;=0,"n.m.",H54/F54-1)),"n.a."))</f>
        <v>0.07351460221550865</v>
      </c>
      <c r="I56" s="40">
        <f>IF(OR(I54="",H54=""),"n.a.",IFERROR(IF(H54&lt;=0,"n.m.",IF(I54/H54&lt;=0,"n.m.",I54/H54-1)),"n.a."))</f>
        <v>-0.04221388367729828</v>
      </c>
      <c r="J56" s="45">
        <f>IF(OR(J54="",I54=""),"n.a.",IFERROR(IF(I54&lt;=0,"n.m.",IF(J54/I54&lt;=0,"n.m.",J54/I54-1)),"n.a."))</f>
        <v>0.022802032281993068</v>
      </c>
      <c r="K56" s="124"/>
    </row>
    <row r="57">
      <c r="A57" s="2"/>
      <c r="B57" s="47" t="s">
        <v>115</v>
      </c>
      <c r="C57" s="7"/>
      <c r="D57" s="7"/>
      <c r="E57" s="7"/>
      <c r="F57" s="7"/>
      <c r="G57" s="7"/>
      <c r="H57" s="40" t="s">
        <v>116</v>
      </c>
      <c r="I57" s="40" t="s">
        <v>116</v>
      </c>
      <c r="J57" s="45" t="s">
        <v>116</v>
      </c>
      <c r="K57" s="124"/>
    </row>
    <row r="58">
      <c r="A58" s="2"/>
      <c r="B58" s="47" t="s">
        <v>117</v>
      </c>
      <c r="C58" s="7"/>
      <c r="D58" s="7"/>
      <c r="E58" s="7"/>
      <c r="F58" s="7"/>
      <c r="G58" s="7"/>
      <c r="H58" s="40" t="s">
        <v>116</v>
      </c>
      <c r="I58" s="40" t="s">
        <v>116</v>
      </c>
      <c r="J58" s="45" t="s">
        <v>116</v>
      </c>
      <c r="K58" s="124"/>
    </row>
    <row r="59">
      <c r="A59" s="2"/>
      <c r="B59" s="47" t="s">
        <v>118</v>
      </c>
      <c r="C59" s="7"/>
      <c r="D59" s="7"/>
      <c r="E59" s="7"/>
      <c r="F59" s="7"/>
      <c r="G59" s="7"/>
      <c r="H59" s="40" t="s">
        <v>116</v>
      </c>
      <c r="I59" s="40" t="s">
        <v>116</v>
      </c>
      <c r="J59" s="45" t="s">
        <v>116</v>
      </c>
      <c r="K59" s="124"/>
    </row>
    <row r="60">
      <c r="A60" s="2"/>
      <c r="B60" s="47" t="s">
        <v>363</v>
      </c>
      <c r="C60" s="40">
        <f>IFERROR(C54/C68,"n.a.")</f>
        <v>0.08829918393706335</v>
      </c>
      <c r="D60" s="40">
        <f>IFERROR(D54/D68,"n.a.")</f>
        <v>0.08766094112924039</v>
      </c>
      <c r="E60" s="40">
        <f>IFERROR(E54/E68,"n.a.")</f>
        <v>0.09034100548549455</v>
      </c>
      <c r="F60" s="40">
        <f>IFERROR(F54/F68,"n.a.")</f>
        <v>0.08695017658562214</v>
      </c>
      <c r="G60" s="40">
        <f>IFERROR(G54/G68,"n.a.")</f>
        <v>0.08832614061169407</v>
      </c>
      <c r="H60" s="40">
        <f>IFERROR(H54/H68,"n.a.")</f>
        <v>0.09586618303905993</v>
      </c>
      <c r="I60" s="40">
        <f>IFERROR(I54/I68,"n.a.")</f>
        <v>0.09053558760936392</v>
      </c>
      <c r="J60" s="45">
        <f>IFERROR(J54/J68,"n.a.")</f>
        <v>0.09053558760936392</v>
      </c>
      <c r="K60" s="124"/>
    </row>
    <row r="61">
      <c r="A61" s="2"/>
      <c r="B61" s="3" t="s">
        <v>367</v>
      </c>
      <c r="C61" s="37">
        <v>5294</v>
      </c>
      <c r="D61" s="37">
        <v>5158</v>
      </c>
      <c r="E61" s="37">
        <v>5220</v>
      </c>
      <c r="F61" s="37">
        <v>4749</v>
      </c>
      <c r="G61" s="43">
        <f>SUM(C61:F61)</f>
        <v>20421</v>
      </c>
      <c r="H61" s="37">
        <v>4530</v>
      </c>
      <c r="I61" s="37">
        <v>4689</v>
      </c>
      <c r="J61" s="38">
        <f>J68*I61/I68</f>
        <v>4795.918729370264</v>
      </c>
      <c r="K61" s="125" t="s">
        <v>127</v>
      </c>
    </row>
    <row r="62">
      <c r="A62" s="2"/>
      <c r="B62" s="47" t="s">
        <v>113</v>
      </c>
      <c r="C62" s="7"/>
      <c r="D62" s="7"/>
      <c r="E62" s="7"/>
      <c r="F62" s="7"/>
      <c r="G62" s="7"/>
      <c r="H62" s="40">
        <f>IF(OR(H61="",C61=""),"n.a.",IFERROR(IF(C61&lt;=0,"n.m.",IF(H61/C61&lt;=0,"n.m.",H61/C61-1)),"n.a."))</f>
        <v>-0.14431431809595774</v>
      </c>
      <c r="I62" s="40">
        <f>IF(OR(I61="",D61=""),"n.a.",IFERROR(IF(D61&lt;=0,"n.m.",IF(I61/D61&lt;=0,"n.m.",I61/D61-1)),"n.a."))</f>
        <v>-0.09092671578131062</v>
      </c>
      <c r="J62" s="45">
        <f>IF(OR(J61="",E61=""),"n.a.",IFERROR(IF(E61&lt;=0,"n.m.",IF(J61/E61&lt;=0,"n.m.",J61/E61-1)),"n.a."))</f>
        <v>-0.081241622726003</v>
      </c>
      <c r="K62" s="124"/>
    </row>
    <row r="63">
      <c r="A63" s="2"/>
      <c r="B63" s="47" t="s">
        <v>114</v>
      </c>
      <c r="C63" s="7"/>
      <c r="D63" s="40">
        <f>IF(OR(D61="",C61=""),"n.a.",IFERROR(IF(C61&lt;=0,"n.m.",IF(D61/C61&lt;=0,"n.m.",D61/C61-1)),"n.a."))</f>
        <v>-0.025689459765772527</v>
      </c>
      <c r="E63" s="40">
        <f>IF(OR(E61="",D61=""),"n.a.",IFERROR(IF(D61&lt;=0,"n.m.",IF(E61/D61&lt;=0,"n.m.",E61/D61-1)),"n.a."))</f>
        <v>0.012020162853819238</v>
      </c>
      <c r="F63" s="40">
        <f>IF(OR(F61="",E61=""),"n.a.",IFERROR(IF(E61&lt;=0,"n.m.",IF(F61/E61&lt;=0,"n.m.",F61/E61-1)),"n.a."))</f>
        <v>-0.09022988505747132</v>
      </c>
      <c r="G63" s="7"/>
      <c r="H63" s="40">
        <f>IF(OR(H61="",F61=""),"n.a.",IFERROR(IF(F61&lt;=0,"n.m.",IF(H61/F61&lt;=0,"n.m.",H61/F61-1)),"n.a."))</f>
        <v>-0.04611497157296274</v>
      </c>
      <c r="I63" s="40">
        <f>IF(OR(I61="",H61=""),"n.a.",IFERROR(IF(H61&lt;=0,"n.m.",IF(I61/H61&lt;=0,"n.m.",I61/H61-1)),"n.a."))</f>
        <v>0.035099337748344395</v>
      </c>
      <c r="J63" s="45">
        <f>IF(OR(J61="",I61=""),"n.a.",IFERROR(IF(I61&lt;=0,"n.m.",IF(J61/I61&lt;=0,"n.m.",J61/I61-1)),"n.a."))</f>
        <v>0.022802032281992846</v>
      </c>
      <c r="K63" s="124"/>
    </row>
    <row r="64">
      <c r="A64" s="2"/>
      <c r="B64" s="47" t="s">
        <v>115</v>
      </c>
      <c r="C64" s="7"/>
      <c r="D64" s="7"/>
      <c r="E64" s="7"/>
      <c r="F64" s="7"/>
      <c r="G64" s="7"/>
      <c r="H64" s="40" t="s">
        <v>116</v>
      </c>
      <c r="I64" s="40" t="s">
        <v>116</v>
      </c>
      <c r="J64" s="45" t="s">
        <v>116</v>
      </c>
      <c r="K64" s="124"/>
    </row>
    <row r="65">
      <c r="A65" s="2"/>
      <c r="B65" s="47" t="s">
        <v>117</v>
      </c>
      <c r="C65" s="7"/>
      <c r="D65" s="7"/>
      <c r="E65" s="7"/>
      <c r="F65" s="7"/>
      <c r="G65" s="7"/>
      <c r="H65" s="40" t="s">
        <v>116</v>
      </c>
      <c r="I65" s="40" t="s">
        <v>116</v>
      </c>
      <c r="J65" s="45" t="s">
        <v>116</v>
      </c>
      <c r="K65" s="124"/>
    </row>
    <row r="66">
      <c r="A66" s="2"/>
      <c r="B66" s="47" t="s">
        <v>118</v>
      </c>
      <c r="C66" s="7"/>
      <c r="D66" s="7"/>
      <c r="E66" s="7"/>
      <c r="F66" s="7"/>
      <c r="G66" s="7"/>
      <c r="H66" s="40" t="s">
        <v>116</v>
      </c>
      <c r="I66" s="40" t="s">
        <v>116</v>
      </c>
      <c r="J66" s="45" t="s">
        <v>116</v>
      </c>
      <c r="K66" s="124"/>
    </row>
    <row r="67">
      <c r="A67" s="2"/>
      <c r="B67" s="47" t="s">
        <v>363</v>
      </c>
      <c r="C67" s="40">
        <f>IFERROR(C61/C68,"n.a.")</f>
        <v>0.15540421534667997</v>
      </c>
      <c r="D67" s="40">
        <f>IFERROR(D61/D68,"n.a.")</f>
        <v>0.14790812376336995</v>
      </c>
      <c r="E67" s="40">
        <f>IFERROR(E61/E68,"n.a.")</f>
        <v>0.1475993892439066</v>
      </c>
      <c r="F67" s="40">
        <f>IFERROR(F61/F68,"n.a.")</f>
        <v>0.13861241645019118</v>
      </c>
      <c r="G67" s="40">
        <f>IFERROR(G61/G68,"n.a.")</f>
        <v>0.14737381464428503</v>
      </c>
      <c r="H67" s="40">
        <f>IFERROR(H61/H68,"n.a.")</f>
        <v>0.1357954375131149</v>
      </c>
      <c r="I67" s="40">
        <f>IFERROR(I61/I68,"n.a.")</f>
        <v>0.13859659493970206</v>
      </c>
      <c r="J67" s="45">
        <f>IFERROR(J61/J68,"n.a.")</f>
        <v>0.13859659493970206</v>
      </c>
      <c r="K67" s="124"/>
    </row>
    <row r="68">
      <c r="A68" s="2"/>
      <c r="B68" s="18" t="s">
        <v>368</v>
      </c>
      <c r="C68" s="39">
        <f>C33+C40+C47+C54+C61</f>
        <v>34066</v>
      </c>
      <c r="D68" s="39">
        <f>D33+D40+D47+D54+D61</f>
        <v>34873</v>
      </c>
      <c r="E68" s="39">
        <f>E33+E40+E47+E54+E61</f>
        <v>35366</v>
      </c>
      <c r="F68" s="39">
        <f>F33+F40+F47+F54+F61</f>
        <v>34261</v>
      </c>
      <c r="G68" s="39">
        <f>G33+G40+G47+G54+G61</f>
        <v>138566</v>
      </c>
      <c r="H68" s="39">
        <f>H33+H40+H47+H54+H61</f>
        <v>33359</v>
      </c>
      <c r="I68" s="39">
        <f>I33+I40+I47+I54+I61</f>
        <v>33832</v>
      </c>
      <c r="J68" s="105">
        <f>J10*J27*J7/365-'Revenue summary'!J53</f>
        <v>34603.438356164384</v>
      </c>
      <c r="K68" s="124"/>
    </row>
    <row r="69">
      <c r="A69" s="2"/>
      <c r="B69" s="47" t="s">
        <v>113</v>
      </c>
      <c r="C69" s="7"/>
      <c r="D69" s="7"/>
      <c r="E69" s="7"/>
      <c r="F69" s="7"/>
      <c r="G69" s="7"/>
      <c r="H69" s="40">
        <f>IF(OR(H68="",C68=""),"n.a.",IFERROR(IF(C68&lt;=0,"n.m.",IF(H68/C68&lt;=0,"n.m.",H68/C68-1)),"n.a."))</f>
        <v>-0.020753830799037143</v>
      </c>
      <c r="I69" s="40">
        <f>IF(OR(I68="",D68=""),"n.a.",IFERROR(IF(D68&lt;=0,"n.m.",IF(I68/D68&lt;=0,"n.m.",I68/D68-1)),"n.a."))</f>
        <v>-0.029851174260889568</v>
      </c>
      <c r="J69" s="45">
        <f>IF(OR(J68="",E68=""),"n.a.",IFERROR(IF(E68&lt;=0,"n.m.",IF(J68/E68&lt;=0,"n.m.",J68/E68-1)),"n.a."))</f>
        <v>-0.021561998638116142</v>
      </c>
      <c r="K69" s="124"/>
    </row>
    <row r="70">
      <c r="A70" s="2"/>
      <c r="B70" s="47" t="s">
        <v>114</v>
      </c>
      <c r="C70" s="7"/>
      <c r="D70" s="40">
        <f>IF(OR(D68="",C68=""),"n.a.",IFERROR(IF(C68&lt;=0,"n.m.",IF(D68/C68&lt;=0,"n.m.",D68/C68-1)),"n.a."))</f>
        <v>0.023689308988434243</v>
      </c>
      <c r="E70" s="40">
        <f>IF(OR(E68="",D68=""),"n.a.",IFERROR(IF(D68&lt;=0,"n.m.",IF(E68/D68&lt;=0,"n.m.",E68/D68-1)),"n.a."))</f>
        <v>0.014137011441516467</v>
      </c>
      <c r="F70" s="40">
        <f>IF(OR(F68="",E68=""),"n.a.",IFERROR(IF(E68&lt;=0,"n.m.",IF(F68/E68&lt;=0,"n.m.",F68/E68-1)),"n.a."))</f>
        <v>-0.03124469829780019</v>
      </c>
      <c r="G70" s="7"/>
      <c r="H70" s="40">
        <f>IF(OR(H68="",F68=""),"n.a.",IFERROR(IF(F68&lt;=0,"n.m.",IF(H68/F68&lt;=0,"n.m.",H68/F68-1)),"n.a."))</f>
        <v>-0.02632731093663354</v>
      </c>
      <c r="I70" s="40">
        <f>IF(OR(I68="",H68=""),"n.a.",IFERROR(IF(H68&lt;=0,"n.m.",IF(I68/H68&lt;=0,"n.m.",I68/H68-1)),"n.a."))</f>
        <v>0.014179082106777763</v>
      </c>
      <c r="J70" s="45">
        <f>IF(OR(J68="",I68=""),"n.a.",IFERROR(IF(I68&lt;=0,"n.m.",IF(J68/I68&lt;=0,"n.m.",J68/I68-1)),"n.a."))</f>
        <v>0.022802032281992846</v>
      </c>
      <c r="K70" s="124"/>
    </row>
    <row r="71">
      <c r="A71" s="2"/>
      <c r="B71" s="47" t="s">
        <v>115</v>
      </c>
      <c r="C71" s="7"/>
      <c r="D71" s="7"/>
      <c r="E71" s="7"/>
      <c r="F71" s="7"/>
      <c r="G71" s="7"/>
      <c r="H71" s="40" t="s">
        <v>116</v>
      </c>
      <c r="I71" s="40" t="s">
        <v>116</v>
      </c>
      <c r="J71" s="45" t="s">
        <v>116</v>
      </c>
      <c r="K71" s="124"/>
    </row>
    <row r="72">
      <c r="A72" s="2"/>
      <c r="B72" s="47" t="s">
        <v>117</v>
      </c>
      <c r="C72" s="7"/>
      <c r="D72" s="7"/>
      <c r="E72" s="7"/>
      <c r="F72" s="7"/>
      <c r="G72" s="7"/>
      <c r="H72" s="40" t="s">
        <v>116</v>
      </c>
      <c r="I72" s="40" t="s">
        <v>116</v>
      </c>
      <c r="J72" s="45" t="s">
        <v>116</v>
      </c>
      <c r="K72" s="124"/>
    </row>
    <row r="73">
      <c r="A73" s="2"/>
      <c r="B73" s="47" t="s">
        <v>118</v>
      </c>
      <c r="C73" s="7"/>
      <c r="D73" s="7"/>
      <c r="E73" s="7"/>
      <c r="F73" s="7"/>
      <c r="G73" s="7"/>
      <c r="H73" s="40" t="s">
        <v>116</v>
      </c>
      <c r="I73" s="40" t="s">
        <v>116</v>
      </c>
      <c r="J73" s="45" t="s">
        <v>116</v>
      </c>
      <c r="K73" s="124"/>
    </row>
    <row r="74">
      <c r="A74" s="2"/>
      <c r="B74" s="3" t="s">
        <v>246</v>
      </c>
      <c r="C74" s="37">
        <v>8632</v>
      </c>
      <c r="D74" s="37">
        <v>8681</v>
      </c>
      <c r="E74" s="37">
        <v>8932</v>
      </c>
      <c r="F74" s="37">
        <v>8268</v>
      </c>
      <c r="G74" s="43">
        <f>SUM(C74:F74)</f>
        <v>34513</v>
      </c>
      <c r="H74" s="37">
        <v>7301</v>
      </c>
      <c r="I74" s="37">
        <v>7372</v>
      </c>
      <c r="J74" s="38">
        <f>J86*I74/I86</f>
        <v>7545.365536228211</v>
      </c>
      <c r="K74" s="125" t="s">
        <v>127</v>
      </c>
    </row>
    <row r="75">
      <c r="A75" s="2"/>
      <c r="B75" s="47" t="s">
        <v>133</v>
      </c>
      <c r="C75" s="7"/>
      <c r="D75" s="7"/>
      <c r="E75" s="7"/>
      <c r="F75" s="7"/>
      <c r="G75" s="7"/>
      <c r="H75" s="40">
        <f>IF(OR(H74="",C74=""),"n.a.",IFERROR(IF(C74&lt;=0,"n.m.",IF(H74/C74&lt;=0,"n.m.",H74/C74-1)),"n.a."))</f>
        <v>-0.15419369786839665</v>
      </c>
      <c r="I75" s="40">
        <f>IF(OR(I74="",D74=""),"n.a.",IFERROR(IF(D74&lt;=0,"n.m.",IF(I74/D74&lt;=0,"n.m.",I74/D74-1)),"n.a."))</f>
        <v>-0.15078907959912458</v>
      </c>
      <c r="J75" s="45">
        <f>IF(OR(J74="",E74=""),"n.a.",IFERROR(IF(E74&lt;=0,"n.m.",IF(J74/E74&lt;=0,"n.m.",J74/E74-1)),"n.a."))</f>
        <v>-0.15524344645900012</v>
      </c>
      <c r="K75" s="124"/>
    </row>
    <row r="76">
      <c r="A76" s="2"/>
      <c r="B76" s="47" t="s">
        <v>134</v>
      </c>
      <c r="C76" s="7"/>
      <c r="D76" s="41">
        <f>IF(OR(D74="",C74=""),"n.a.",IFERROR(D74-C74,"n.a."))</f>
        <v>49</v>
      </c>
      <c r="E76" s="41">
        <f>IF(OR(E74="",D74=""),"n.a.",IFERROR(E74-D74,"n.a."))</f>
        <v>251</v>
      </c>
      <c r="F76" s="41">
        <f>IF(OR(F74="",E74=""),"n.a.",IFERROR(F74-E74,"n.a."))</f>
        <v>-664</v>
      </c>
      <c r="G76" s="7"/>
      <c r="H76" s="41">
        <f>IF(OR(H74="",F74=""),"n.a.",IFERROR(H74-F74,"n.a."))</f>
        <v>-967</v>
      </c>
      <c r="I76" s="41">
        <f>IF(OR(I74="",H74=""),"n.a.",IFERROR(I74-H74,"n.a."))</f>
        <v>71</v>
      </c>
      <c r="J76" s="52">
        <f>IF(OR(J74="",I74=""),"n.a.",IFERROR(J74-I74,"n.a."))</f>
        <v>173.36553622821066</v>
      </c>
      <c r="K76" s="124"/>
    </row>
    <row r="77">
      <c r="A77" s="2"/>
      <c r="B77" s="3" t="s">
        <v>369</v>
      </c>
      <c r="C77" s="37">
        <v>6963</v>
      </c>
      <c r="D77" s="37">
        <v>7435</v>
      </c>
      <c r="E77" s="37">
        <v>7172</v>
      </c>
      <c r="F77" s="37">
        <v>6472</v>
      </c>
      <c r="G77" s="43">
        <f>SUM(C77:F77)</f>
        <v>28042</v>
      </c>
      <c r="H77" s="37">
        <v>6510</v>
      </c>
      <c r="I77" s="37">
        <v>6607</v>
      </c>
      <c r="J77" s="38">
        <f>J86*I77/I86</f>
        <v>6762.375216747123</v>
      </c>
      <c r="K77" s="125" t="s">
        <v>127</v>
      </c>
    </row>
    <row r="78">
      <c r="A78" s="2"/>
      <c r="B78" s="47" t="s">
        <v>133</v>
      </c>
      <c r="C78" s="7"/>
      <c r="D78" s="7"/>
      <c r="E78" s="7"/>
      <c r="F78" s="7"/>
      <c r="G78" s="7"/>
      <c r="H78" s="40">
        <f>IF(OR(H77="",C77=""),"n.a.",IFERROR(IF(C77&lt;=0,"n.m.",IF(H77/C77&lt;=0,"n.m.",H77/C77-1)),"n.a."))</f>
        <v>-0.06505816458423097</v>
      </c>
      <c r="I78" s="40">
        <f>IF(OR(I77="",D77=""),"n.a.",IFERROR(IF(D77&lt;=0,"n.m.",IF(I77/D77&lt;=0,"n.m.",I77/D77-1)),"n.a."))</f>
        <v>-0.11136516476126435</v>
      </c>
      <c r="J78" s="45">
        <f>IF(OR(J77="",E77=""),"n.a.",IFERROR(IF(E77&lt;=0,"n.m.",IF(J77/E77&lt;=0,"n.m.",J77/E77-1)),"n.a."))</f>
        <v>-0.05711444272906818</v>
      </c>
      <c r="K78" s="124"/>
    </row>
    <row r="79">
      <c r="A79" s="2"/>
      <c r="B79" s="47" t="s">
        <v>134</v>
      </c>
      <c r="C79" s="7"/>
      <c r="D79" s="41">
        <f>IF(OR(D77="",C77=""),"n.a.",IFERROR(D77-C77,"n.a."))</f>
        <v>472</v>
      </c>
      <c r="E79" s="41">
        <f>IF(OR(E77="",D77=""),"n.a.",IFERROR(E77-D77,"n.a."))</f>
        <v>-263</v>
      </c>
      <c r="F79" s="41">
        <f>IF(OR(F77="",E77=""),"n.a.",IFERROR(F77-E77,"n.a."))</f>
        <v>-700</v>
      </c>
      <c r="G79" s="7"/>
      <c r="H79" s="41">
        <f>IF(OR(H77="",F77=""),"n.a.",IFERROR(H77-F77,"n.a."))</f>
        <v>38</v>
      </c>
      <c r="I79" s="41">
        <f>IF(OR(I77="",H77=""),"n.a.",IFERROR(I77-H77,"n.a."))</f>
        <v>97</v>
      </c>
      <c r="J79" s="52">
        <f>IF(OR(J77="",I77=""),"n.a.",IFERROR(J77-I77,"n.a."))</f>
        <v>155.37521674712298</v>
      </c>
      <c r="K79" s="124"/>
    </row>
    <row r="80">
      <c r="A80" s="2"/>
      <c r="B80" s="3" t="s">
        <v>370</v>
      </c>
      <c r="C80" s="37">
        <v>707</v>
      </c>
      <c r="D80" s="37">
        <v>676</v>
      </c>
      <c r="E80" s="37">
        <v>672</v>
      </c>
      <c r="F80" s="37">
        <v>602</v>
      </c>
      <c r="G80" s="43">
        <f>SUM(C80:F80)</f>
        <v>2657</v>
      </c>
      <c r="H80" s="37">
        <v>745</v>
      </c>
      <c r="I80" s="37">
        <v>756</v>
      </c>
      <c r="J80" s="38">
        <f>J86*I80/I86</f>
        <v>773.7786686636636</v>
      </c>
      <c r="K80" s="125" t="s">
        <v>127</v>
      </c>
    </row>
    <row r="81">
      <c r="A81" s="2"/>
      <c r="B81" s="47" t="s">
        <v>133</v>
      </c>
      <c r="C81" s="7"/>
      <c r="D81" s="7"/>
      <c r="E81" s="7"/>
      <c r="F81" s="7"/>
      <c r="G81" s="7"/>
      <c r="H81" s="40">
        <f>IF(OR(H80="",C80=""),"n.a.",IFERROR(IF(C80&lt;=0,"n.m.",IF(H80/C80&lt;=0,"n.m.",H80/C80-1)),"n.a."))</f>
        <v>0.05374823196605383</v>
      </c>
      <c r="I81" s="40">
        <f>IF(OR(I80="",D80=""),"n.a.",IFERROR(IF(D80&lt;=0,"n.m.",IF(I80/D80&lt;=0,"n.m.",I80/D80-1)),"n.a."))</f>
        <v>0.11834319526627213</v>
      </c>
      <c r="J81" s="45">
        <f>IF(OR(J80="",E80=""),"n.a.",IFERROR(IF(E80&lt;=0,"n.m.",IF(J80/E80&lt;=0,"n.m.",J80/E80-1)),"n.a."))</f>
        <v>0.15145635217807074</v>
      </c>
      <c r="K81" s="124"/>
    </row>
    <row r="82">
      <c r="A82" s="2"/>
      <c r="B82" s="47" t="s">
        <v>134</v>
      </c>
      <c r="C82" s="7"/>
      <c r="D82" s="41">
        <f>IF(OR(D80="",C80=""),"n.a.",IFERROR(D80-C80,"n.a."))</f>
        <v>-31</v>
      </c>
      <c r="E82" s="41">
        <f>IF(OR(E80="",D80=""),"n.a.",IFERROR(E80-D80,"n.a."))</f>
        <v>-4</v>
      </c>
      <c r="F82" s="41">
        <f>IF(OR(F80="",E80=""),"n.a.",IFERROR(F80-E80,"n.a."))</f>
        <v>-70</v>
      </c>
      <c r="G82" s="7"/>
      <c r="H82" s="41">
        <f>IF(OR(H80="",F80=""),"n.a.",IFERROR(H80-F80,"n.a."))</f>
        <v>143</v>
      </c>
      <c r="I82" s="41">
        <f>IF(OR(I80="",H80=""),"n.a.",IFERROR(I80-H80,"n.a."))</f>
        <v>11</v>
      </c>
      <c r="J82" s="52">
        <f>IF(OR(J80="",I80=""),"n.a.",IFERROR(J80-I80,"n.a."))</f>
        <v>17.778668663663552</v>
      </c>
      <c r="K82" s="124"/>
    </row>
    <row r="83">
      <c r="A83" s="2"/>
      <c r="B83" s="3" t="s">
        <v>371</v>
      </c>
      <c r="C83" s="37">
        <v>3321</v>
      </c>
      <c r="D83" s="37">
        <v>3411</v>
      </c>
      <c r="E83" s="37">
        <v>3357</v>
      </c>
      <c r="F83" s="37">
        <v>3169</v>
      </c>
      <c r="G83" s="43">
        <f>SUM(C83:F83)</f>
        <v>13258</v>
      </c>
      <c r="H83" s="37">
        <v>3058</v>
      </c>
      <c r="I83" s="37">
        <v>3100</v>
      </c>
      <c r="J83" s="38">
        <f>J86*I83/I86</f>
        <v>3172.9019482240174</v>
      </c>
      <c r="K83" s="125" t="s">
        <v>127</v>
      </c>
    </row>
    <row r="84">
      <c r="A84" s="2"/>
      <c r="B84" s="47" t="s">
        <v>133</v>
      </c>
      <c r="C84" s="7"/>
      <c r="D84" s="7"/>
      <c r="E84" s="7"/>
      <c r="F84" s="7"/>
      <c r="G84" s="7"/>
      <c r="H84" s="40">
        <f>IF(OR(H83="",C83=""),"n.a.",IFERROR(IF(C83&lt;=0,"n.m.",IF(H83/C83&lt;=0,"n.m.",H83/C83-1)),"n.a."))</f>
        <v>-0.0791930141523638</v>
      </c>
      <c r="I84" s="40">
        <f>IF(OR(I83="",D83=""),"n.a.",IFERROR(IF(D83&lt;=0,"n.m.",IF(I83/D83&lt;=0,"n.m.",I83/D83-1)),"n.a."))</f>
        <v>-0.09117560832600413</v>
      </c>
      <c r="J84" s="45">
        <f>IF(OR(J83="",E83=""),"n.a.",IFERROR(IF(E83&lt;=0,"n.m.",IF(J83/E83&lt;=0,"n.m.",J83/E83-1)),"n.a."))</f>
        <v>-0.05484005116949142</v>
      </c>
      <c r="K84" s="124"/>
    </row>
    <row r="85">
      <c r="A85" s="2"/>
      <c r="B85" s="47" t="s">
        <v>134</v>
      </c>
      <c r="C85" s="7"/>
      <c r="D85" s="41">
        <f>IF(OR(D83="",C83=""),"n.a.",IFERROR(D83-C83,"n.a."))</f>
        <v>90</v>
      </c>
      <c r="E85" s="41">
        <f>IF(OR(E83="",D83=""),"n.a.",IFERROR(E83-D83,"n.a."))</f>
        <v>-54</v>
      </c>
      <c r="F85" s="41">
        <f>IF(OR(F83="",E83=""),"n.a.",IFERROR(F83-E83,"n.a."))</f>
        <v>-188</v>
      </c>
      <c r="G85" s="7"/>
      <c r="H85" s="41">
        <f>IF(OR(H83="",F83=""),"n.a.",IFERROR(H83-F83,"n.a."))</f>
        <v>-111</v>
      </c>
      <c r="I85" s="41">
        <f>IF(OR(I83="",H83=""),"n.a.",IFERROR(I83-H83,"n.a."))</f>
        <v>42</v>
      </c>
      <c r="J85" s="52">
        <f>IF(OR(J83="",I83=""),"n.a.",IFERROR(J83-I83,"n.a."))</f>
        <v>72.90194822401736</v>
      </c>
      <c r="K85" s="124"/>
    </row>
    <row r="86">
      <c r="A86" s="2"/>
      <c r="B86" s="18" t="s">
        <v>372</v>
      </c>
      <c r="C86" s="39">
        <f>C74+C77+C80+C83</f>
        <v>19623</v>
      </c>
      <c r="D86" s="39">
        <f>D74+D77+D80+D83</f>
        <v>20203</v>
      </c>
      <c r="E86" s="39">
        <f>E74+E77+E80+E83</f>
        <v>20133</v>
      </c>
      <c r="F86" s="39">
        <f>F74+F77+F80+F83</f>
        <v>18511</v>
      </c>
      <c r="G86" s="39">
        <f>G74+G77+G80+G83</f>
        <v>78470</v>
      </c>
      <c r="H86" s="39">
        <f>H74+H77+H80+H83</f>
        <v>17614</v>
      </c>
      <c r="I86" s="39">
        <f>I74+I77+I80+I83</f>
        <v>17835</v>
      </c>
      <c r="J86" s="50">
        <f>J68-J89</f>
        <v>18254.421369863016</v>
      </c>
      <c r="K86" s="129" t="s">
        <v>373</v>
      </c>
    </row>
    <row r="87">
      <c r="A87" s="2"/>
      <c r="B87" s="47" t="s">
        <v>133</v>
      </c>
      <c r="C87" s="7"/>
      <c r="D87" s="7"/>
      <c r="E87" s="7"/>
      <c r="F87" s="7"/>
      <c r="G87" s="7"/>
      <c r="H87" s="40">
        <f>IF(OR(H86="",C86=""),"n.a.",IFERROR(IF(C86&lt;=0,"n.m.",IF(H86/C86&lt;=0,"n.m.",H86/C86-1)),"n.a."))</f>
        <v>-0.10237986036793556</v>
      </c>
      <c r="I87" s="40">
        <f>IF(OR(I86="",D86=""),"n.a.",IFERROR(IF(D86&lt;=0,"n.m.",IF(I86/D86&lt;=0,"n.m.",I86/D86-1)),"n.a."))</f>
        <v>-0.11721031529970793</v>
      </c>
      <c r="J87" s="45">
        <f>IF(OR(J86="",E86=""),"n.a.",IFERROR(IF(E86&lt;=0,"n.m.",IF(J86/E86&lt;=0,"n.m.",J86/E86-1)),"n.a."))</f>
        <v>-0.09330843044439396</v>
      </c>
      <c r="K87" s="124"/>
    </row>
    <row r="88">
      <c r="A88" s="2"/>
      <c r="B88" s="47" t="s">
        <v>134</v>
      </c>
      <c r="C88" s="7"/>
      <c r="D88" s="41">
        <f>IF(OR(D86="",C86=""),"n.a.",IFERROR(D86-C86,"n.a."))</f>
        <v>580</v>
      </c>
      <c r="E88" s="41">
        <f>IF(OR(E86="",D86=""),"n.a.",IFERROR(E86-D86,"n.a."))</f>
        <v>-70</v>
      </c>
      <c r="F88" s="41">
        <f>IF(OR(F86="",E86=""),"n.a.",IFERROR(F86-E86,"n.a."))</f>
        <v>-1622</v>
      </c>
      <c r="G88" s="7"/>
      <c r="H88" s="41">
        <f>IF(OR(H86="",F86=""),"n.a.",IFERROR(H86-F86,"n.a."))</f>
        <v>-897</v>
      </c>
      <c r="I88" s="41">
        <f>IF(OR(I86="",H86=""),"n.a.",IFERROR(I86-H86,"n.a."))</f>
        <v>221</v>
      </c>
      <c r="J88" s="52">
        <f>IF(OR(J86="",I86=""),"n.a.",IFERROR(J86-I86,"n.a."))</f>
        <v>419.42136986301557</v>
      </c>
      <c r="K88" s="124"/>
    </row>
    <row r="89">
      <c r="A89" s="2"/>
      <c r="B89" s="18" t="s">
        <v>182</v>
      </c>
      <c r="C89" s="39">
        <f>C68-C86</f>
        <v>14443</v>
      </c>
      <c r="D89" s="39">
        <f>D68-D86</f>
        <v>14670</v>
      </c>
      <c r="E89" s="39">
        <f>E68-E86</f>
        <v>15233</v>
      </c>
      <c r="F89" s="39">
        <f>F68-F86</f>
        <v>15750</v>
      </c>
      <c r="G89" s="39">
        <f>G68-G86</f>
        <v>60096</v>
      </c>
      <c r="H89" s="39">
        <f>H68-H86</f>
        <v>15745</v>
      </c>
      <c r="I89" s="39">
        <f>I68-I86</f>
        <v>15997</v>
      </c>
      <c r="J89" s="105">
        <f>'Revenue summary'!J64-'Revenue summary'!J53</f>
        <v>16349.016986301369</v>
      </c>
      <c r="K89" s="124"/>
    </row>
    <row r="90">
      <c r="A90" s="2"/>
      <c r="B90" s="47" t="s">
        <v>113</v>
      </c>
      <c r="C90" s="7"/>
      <c r="D90" s="7"/>
      <c r="E90" s="7"/>
      <c r="F90" s="7"/>
      <c r="G90" s="7"/>
      <c r="H90" s="40">
        <f>IF(OR(H89="",C89=""),"n.a.",IFERROR(IF(C89&lt;=0,"n.m.",IF(H89/C89&lt;=0,"n.m.",H89/C89-1)),"n.a."))</f>
        <v>0.0901474762860901</v>
      </c>
      <c r="I90" s="40">
        <f>IF(OR(I89="",D89=""),"n.a.",IFERROR(IF(D89&lt;=0,"n.m.",IF(I89/D89&lt;=0,"n.m.",I89/D89-1)),"n.a."))</f>
        <v>0.09045671438309477</v>
      </c>
      <c r="J90" s="45">
        <f>IF(OR(J89="",E89=""),"n.a.",IFERROR(IF(E89&lt;=0,"n.m.",IF(J89/E89&lt;=0,"n.m.",J89/E89-1)),"n.a."))</f>
        <v>0.07326311207912872</v>
      </c>
      <c r="K90" s="124"/>
    </row>
    <row r="91">
      <c r="A91" s="2"/>
      <c r="B91" s="47" t="s">
        <v>114</v>
      </c>
      <c r="C91" s="7"/>
      <c r="D91" s="40">
        <f>IF(OR(D89="",C89=""),"n.a.",IFERROR(IF(C89&lt;=0,"n.m.",IF(D89/C89&lt;=0,"n.m.",D89/C89-1)),"n.a."))</f>
        <v>0.015716956311015773</v>
      </c>
      <c r="E91" s="40">
        <f>IF(OR(E89="",D89=""),"n.a.",IFERROR(IF(D89&lt;=0,"n.m.",IF(E89/D89&lt;=0,"n.m.",E89/D89-1)),"n.a."))</f>
        <v>0.03837764144512601</v>
      </c>
      <c r="F91" s="40">
        <f>IF(OR(F89="",E89=""),"n.a.",IFERROR(IF(E89&lt;=0,"n.m.",IF(F89/E89&lt;=0,"n.m.",F89/E89-1)),"n.a."))</f>
        <v>0.03393947351145532</v>
      </c>
      <c r="G91" s="7"/>
      <c r="H91" s="40">
        <f>IF(OR(H89="",F89=""),"n.a.",IFERROR(IF(F89&lt;=0,"n.m.",IF(H89/F89&lt;=0,"n.m.",H89/F89-1)),"n.a."))</f>
        <v>-0.0003174603174602719</v>
      </c>
      <c r="I91" s="40">
        <f>IF(OR(I89="",H89=""),"n.a.",IFERROR(IF(H89&lt;=0,"n.m.",IF(I89/H89&lt;=0,"n.m.",I89/H89-1)),"n.a."))</f>
        <v>0.016005080978088282</v>
      </c>
      <c r="J91" s="45">
        <f>IF(OR(J89="",I89=""),"n.a.",IFERROR(IF(I89&lt;=0,"n.m.",IF(J89/I89&lt;=0,"n.m.",J89/I89-1)),"n.a."))</f>
        <v>0.02200518761651371</v>
      </c>
      <c r="K91" s="124"/>
    </row>
    <row r="92">
      <c r="A92" s="2"/>
      <c r="B92" s="47" t="s">
        <v>115</v>
      </c>
      <c r="C92" s="7"/>
      <c r="D92" s="7"/>
      <c r="E92" s="7"/>
      <c r="F92" s="7"/>
      <c r="G92" s="7"/>
      <c r="H92" s="40" t="s">
        <v>116</v>
      </c>
      <c r="I92" s="40" t="s">
        <v>116</v>
      </c>
      <c r="J92" s="45" t="s">
        <v>116</v>
      </c>
      <c r="K92" s="124"/>
    </row>
    <row r="93">
      <c r="A93" s="2"/>
      <c r="B93" s="47" t="s">
        <v>117</v>
      </c>
      <c r="C93" s="7"/>
      <c r="D93" s="7"/>
      <c r="E93" s="7"/>
      <c r="F93" s="7"/>
      <c r="G93" s="7"/>
      <c r="H93" s="40" t="s">
        <v>116</v>
      </c>
      <c r="I93" s="40" t="s">
        <v>116</v>
      </c>
      <c r="J93" s="45" t="s">
        <v>116</v>
      </c>
      <c r="K93" s="124"/>
    </row>
    <row r="94">
      <c r="A94" s="2"/>
      <c r="B94" s="47" t="s">
        <v>118</v>
      </c>
      <c r="C94" s="7"/>
      <c r="D94" s="7"/>
      <c r="E94" s="7"/>
      <c r="F94" s="7"/>
      <c r="G94" s="7"/>
      <c r="H94" s="40" t="s">
        <v>116</v>
      </c>
      <c r="I94" s="40" t="s">
        <v>116</v>
      </c>
      <c r="J94" s="45" t="s">
        <v>116</v>
      </c>
      <c r="K94" s="124"/>
    </row>
    <row r="95">
      <c r="A95" s="2"/>
      <c r="B95" s="47" t="s">
        <v>119</v>
      </c>
      <c r="C95" s="40">
        <f>IFERROR(C89/C239,"n.a.")</f>
        <v>0.511310935674585</v>
      </c>
      <c r="D95" s="40">
        <f>IFERROR(D89/D239,"n.a.")</f>
        <v>0.5345625478264038</v>
      </c>
      <c r="E95" s="40">
        <f>IFERROR(E89/E239,"n.a.")</f>
        <v>0.5245523415977962</v>
      </c>
      <c r="F95" s="40">
        <f>IFERROR(F89/F239,"n.a.")</f>
        <v>0.5552226178305778</v>
      </c>
      <c r="G95" s="40">
        <f>IFERROR(G89/G239,"n.a.")</f>
        <v>0.5313668797580837</v>
      </c>
      <c r="H95" s="40">
        <f>IFERROR(H89/H239,"n.a.")</f>
        <v>0.520117600422833</v>
      </c>
      <c r="I95" s="40">
        <f>IFERROR(I89/I239,"n.a.")</f>
        <v>0.506907915584004</v>
      </c>
      <c r="J95" s="45">
        <f>IFERROR(J89/J239,"n.a.")</f>
        <v>0.5417735715006994</v>
      </c>
      <c r="K95" s="124"/>
    </row>
    <row r="96">
      <c r="A96" s="2"/>
      <c r="B96" s="3" t="s">
        <v>374</v>
      </c>
      <c r="C96" s="37">
        <v>14443</v>
      </c>
      <c r="D96" s="37">
        <v>14670</v>
      </c>
      <c r="E96" s="37">
        <v>15233</v>
      </c>
      <c r="F96" s="37">
        <v>15750</v>
      </c>
      <c r="G96" s="43">
        <f>SUM(C96:F96)</f>
        <v>60096</v>
      </c>
      <c r="H96" s="37">
        <v>15745</v>
      </c>
      <c r="I96" s="37">
        <v>15997</v>
      </c>
      <c r="J96" s="46"/>
      <c r="K96" s="125" t="s">
        <v>130</v>
      </c>
    </row>
    <row r="97">
      <c r="A97" s="2"/>
      <c r="B97" s="3" t="s">
        <v>375</v>
      </c>
      <c r="C97" s="58">
        <f>C89+'Revenue summary'!C53</f>
        <v>14588</v>
      </c>
      <c r="D97" s="58">
        <f>D89+'Revenue summary'!D53</f>
        <v>14815</v>
      </c>
      <c r="E97" s="58">
        <f>E89+'Revenue summary'!E53</f>
        <v>15387</v>
      </c>
      <c r="F97" s="58">
        <f>F89+'Revenue summary'!F53</f>
        <v>15915</v>
      </c>
      <c r="G97" s="58">
        <f>G89+'Revenue summary'!G53</f>
        <v>60705</v>
      </c>
      <c r="H97" s="58">
        <f>H89+'Revenue summary'!H53</f>
        <v>15907</v>
      </c>
      <c r="I97" s="58">
        <f>I89+'Revenue summary'!I53</f>
        <v>16160</v>
      </c>
      <c r="J97" s="48">
        <f>J89+'Revenue summary'!J53</f>
        <v>16514.01698630137</v>
      </c>
      <c r="K97" s="124"/>
    </row>
    <row r="98">
      <c r="A98" s="2"/>
      <c r="B98" s="18" t="s">
        <v>376</v>
      </c>
      <c r="C98" s="7"/>
      <c r="D98" s="7"/>
      <c r="E98" s="7"/>
      <c r="F98" s="7"/>
      <c r="G98" s="7"/>
      <c r="H98" s="7"/>
      <c r="I98" s="7"/>
      <c r="J98" s="46"/>
      <c r="K98" s="124"/>
    </row>
    <row r="99">
      <c r="A99" s="2"/>
      <c r="B99" s="61" t="s">
        <v>377</v>
      </c>
      <c r="C99" s="44">
        <f>C106-'Segment - Consumer Banking'!C128</f>
        <v>221</v>
      </c>
      <c r="D99" s="44">
        <f>D106-'Segment - Consumer Banking'!D128</f>
        <v>231</v>
      </c>
      <c r="E99" s="44">
        <f>E106-'Segment - Consumer Banking'!E128</f>
        <v>226</v>
      </c>
      <c r="F99" s="44">
        <f>F106-'Segment - Consumer Banking'!F128</f>
        <v>225</v>
      </c>
      <c r="G99" s="44">
        <f>G106-'Segment - Consumer Banking'!G128</f>
        <v>903</v>
      </c>
      <c r="H99" s="44">
        <f>H106-'Segment - Consumer Banking'!H128</f>
        <v>220</v>
      </c>
      <c r="I99" s="44">
        <f>I106-'Segment - Consumer Banking'!I128</f>
        <v>237</v>
      </c>
      <c r="J99" s="71">
        <v>230</v>
      </c>
      <c r="K99" s="124"/>
    </row>
    <row r="100">
      <c r="A100" s="2"/>
      <c r="B100" s="47" t="s">
        <v>113</v>
      </c>
      <c r="C100" s="7"/>
      <c r="D100" s="7"/>
      <c r="E100" s="7"/>
      <c r="F100" s="7"/>
      <c r="G100" s="7"/>
      <c r="H100" s="40">
        <f>IF(OR(H99="",C99=""),"n.a.",IFERROR(IF(C99&lt;=0,"n.m.",IF(H99/C99&lt;=0,"n.m.",H99/C99-1)),"n.a."))</f>
        <v>-0.004524886877828038</v>
      </c>
      <c r="I100" s="40">
        <f>IF(OR(I99="",D99=""),"n.a.",IFERROR(IF(D99&lt;=0,"n.m.",IF(I99/D99&lt;=0,"n.m.",I99/D99-1)),"n.a."))</f>
        <v>0.025974025974025983</v>
      </c>
      <c r="J100" s="45">
        <f>IF(OR(J99="",E99=""),"n.a.",IFERROR(IF(E99&lt;=0,"n.m.",IF(J99/E99&lt;=0,"n.m.",J99/E99-1)),"n.a."))</f>
        <v>0.017699115044247815</v>
      </c>
      <c r="K100" s="124"/>
    </row>
    <row r="101">
      <c r="A101" s="2"/>
      <c r="B101" s="47" t="s">
        <v>114</v>
      </c>
      <c r="C101" s="7"/>
      <c r="D101" s="40">
        <f>IF(OR(D99="",C99=""),"n.a.",IFERROR(IF(C99&lt;=0,"n.m.",IF(D99/C99&lt;=0,"n.m.",D99/C99-1)),"n.a."))</f>
        <v>0.045248868778280604</v>
      </c>
      <c r="E101" s="40">
        <f>IF(OR(E99="",D99=""),"n.a.",IFERROR(IF(D99&lt;=0,"n.m.",IF(E99/D99&lt;=0,"n.m.",E99/D99-1)),"n.a."))</f>
        <v>-0.02164502164502169</v>
      </c>
      <c r="F101" s="40">
        <f>IF(OR(F99="",E99=""),"n.a.",IFERROR(IF(E99&lt;=0,"n.m.",IF(F99/E99&lt;=0,"n.m.",F99/E99-1)),"n.a."))</f>
        <v>-0.004424778761061954</v>
      </c>
      <c r="G101" s="7"/>
      <c r="H101" s="40">
        <f>IF(OR(H99="",F99=""),"n.a.",IFERROR(IF(F99&lt;=0,"n.m.",IF(H99/F99&lt;=0,"n.m.",H99/F99-1)),"n.a."))</f>
        <v>-0.022222222222222254</v>
      </c>
      <c r="I101" s="40">
        <f>IF(OR(I99="",H99=""),"n.a.",IFERROR(IF(H99&lt;=0,"n.m.",IF(I99/H99&lt;=0,"n.m.",I99/H99-1)),"n.a."))</f>
        <v>0.07727272727272738</v>
      </c>
      <c r="J101" s="45">
        <f>IF(OR(J99="",I99=""),"n.a.",IFERROR(IF(I99&lt;=0,"n.m.",IF(J99/I99&lt;=0,"n.m.",J99/I99-1)),"n.a."))</f>
        <v>-0.029535864978902926</v>
      </c>
      <c r="K101" s="124"/>
    </row>
    <row r="102">
      <c r="A102" s="2"/>
      <c r="B102" s="47" t="s">
        <v>115</v>
      </c>
      <c r="C102" s="7"/>
      <c r="D102" s="7"/>
      <c r="E102" s="7"/>
      <c r="F102" s="7"/>
      <c r="G102" s="7"/>
      <c r="H102" s="40" t="s">
        <v>116</v>
      </c>
      <c r="I102" s="40" t="s">
        <v>116</v>
      </c>
      <c r="J102" s="45" t="s">
        <v>116</v>
      </c>
      <c r="K102" s="124"/>
    </row>
    <row r="103">
      <c r="A103" s="2"/>
      <c r="B103" s="47" t="s">
        <v>117</v>
      </c>
      <c r="C103" s="7"/>
      <c r="D103" s="7"/>
      <c r="E103" s="7"/>
      <c r="F103" s="7"/>
      <c r="G103" s="7"/>
      <c r="H103" s="40" t="s">
        <v>116</v>
      </c>
      <c r="I103" s="40" t="s">
        <v>116</v>
      </c>
      <c r="J103" s="45" t="s">
        <v>116</v>
      </c>
      <c r="K103" s="124"/>
    </row>
    <row r="104">
      <c r="A104" s="2"/>
      <c r="B104" s="47" t="s">
        <v>118</v>
      </c>
      <c r="C104" s="7"/>
      <c r="D104" s="7"/>
      <c r="E104" s="7"/>
      <c r="F104" s="7"/>
      <c r="G104" s="7"/>
      <c r="H104" s="40" t="s">
        <v>116</v>
      </c>
      <c r="I104" s="40" t="s">
        <v>116</v>
      </c>
      <c r="J104" s="45" t="s">
        <v>116</v>
      </c>
      <c r="K104" s="124"/>
    </row>
    <row r="105">
      <c r="A105" s="2"/>
      <c r="B105" s="47" t="s">
        <v>119</v>
      </c>
      <c r="C105" s="40">
        <f>IFERROR(C99/C239,"n.a.")</f>
        <v>0.007823839699791129</v>
      </c>
      <c r="D105" s="40">
        <f>IFERROR(D99/D239,"n.a.")</f>
        <v>0.008417447072113107</v>
      </c>
      <c r="E105" s="40">
        <f>IFERROR(E99/E239,"n.a.")</f>
        <v>0.00778236914600551</v>
      </c>
      <c r="F105" s="40">
        <f>IFERROR(F99/F239,"n.a.")</f>
        <v>0.007931751683293969</v>
      </c>
      <c r="G105" s="40">
        <f>IFERROR(G99/G239,"n.a.")</f>
        <v>0.00798429666569405</v>
      </c>
      <c r="H105" s="40">
        <f>IFERROR(H99/H239,"n.a.")</f>
        <v>0.007267441860465116</v>
      </c>
      <c r="I105" s="40">
        <f>IFERROR(I99/I239,"n.a.")</f>
        <v>0.007509981621142024</v>
      </c>
      <c r="J105" s="45">
        <f>IFERROR(J99/J239,"n.a.")</f>
        <v>0.007621737842071375</v>
      </c>
      <c r="K105" s="124"/>
    </row>
    <row r="106">
      <c r="A106" s="2"/>
      <c r="B106" s="3" t="s">
        <v>214</v>
      </c>
      <c r="C106" s="37">
        <v>1518</v>
      </c>
      <c r="D106" s="37">
        <v>1646</v>
      </c>
      <c r="E106" s="37">
        <v>1629</v>
      </c>
      <c r="F106" s="37">
        <v>1566</v>
      </c>
      <c r="G106" s="43">
        <f>SUM(C106:F106)</f>
        <v>6359</v>
      </c>
      <c r="H106" s="37">
        <v>1493</v>
      </c>
      <c r="I106" s="37">
        <v>1583</v>
      </c>
      <c r="J106" s="48">
        <f>'Segment - Consumer Banking'!J128+J99</f>
        <v>1575</v>
      </c>
      <c r="K106" s="125" t="s">
        <v>127</v>
      </c>
    </row>
    <row r="107">
      <c r="A107" s="2"/>
      <c r="B107" s="47" t="s">
        <v>113</v>
      </c>
      <c r="C107" s="7"/>
      <c r="D107" s="7"/>
      <c r="E107" s="7"/>
      <c r="F107" s="7"/>
      <c r="G107" s="7"/>
      <c r="H107" s="40">
        <f>IF(OR(H106="",C106=""),"n.a.",IFERROR(IF(C106&lt;=0,"n.m.",IF(H106/C106&lt;=0,"n.m.",H106/C106-1)),"n.a."))</f>
        <v>-0.016469038208168696</v>
      </c>
      <c r="I107" s="40">
        <f>IF(OR(I106="",D106=""),"n.a.",IFERROR(IF(D106&lt;=0,"n.m.",IF(I106/D106&lt;=0,"n.m.",I106/D106-1)),"n.a."))</f>
        <v>-0.038274605103280734</v>
      </c>
      <c r="J107" s="45">
        <f>IF(OR(J106="",E106=""),"n.a.",IFERROR(IF(E106&lt;=0,"n.m.",IF(J106/E106&lt;=0,"n.m.",J106/E106-1)),"n.a."))</f>
        <v>-0.03314917127071826</v>
      </c>
      <c r="K107" s="124"/>
    </row>
    <row r="108">
      <c r="A108" s="2"/>
      <c r="B108" s="47" t="s">
        <v>114</v>
      </c>
      <c r="C108" s="7"/>
      <c r="D108" s="40">
        <f>IF(OR(D106="",C106=""),"n.a.",IFERROR(IF(C106&lt;=0,"n.m.",IF(D106/C106&lt;=0,"n.m.",D106/C106-1)),"n.a."))</f>
        <v>0.08432147562582348</v>
      </c>
      <c r="E108" s="40">
        <f>IF(OR(E106="",D106=""),"n.a.",IFERROR(IF(D106&lt;=0,"n.m.",IF(E106/D106&lt;=0,"n.m.",E106/D106-1)),"n.a."))</f>
        <v>-0.010328068043742422</v>
      </c>
      <c r="F108" s="40">
        <f>IF(OR(F106="",E106=""),"n.a.",IFERROR(IF(E106&lt;=0,"n.m.",IF(F106/E106&lt;=0,"n.m.",F106/E106-1)),"n.a."))</f>
        <v>-0.03867403314917128</v>
      </c>
      <c r="G108" s="7"/>
      <c r="H108" s="40">
        <f>IF(OR(H106="",F106=""),"n.a.",IFERROR(IF(F106&lt;=0,"n.m.",IF(H106/F106&lt;=0,"n.m.",H106/F106-1)),"n.a."))</f>
        <v>-0.04661558109833974</v>
      </c>
      <c r="I108" s="40">
        <f>IF(OR(I106="",H106=""),"n.a.",IFERROR(IF(H106&lt;=0,"n.m.",IF(I106/H106&lt;=0,"n.m.",I106/H106-1)),"n.a."))</f>
        <v>0.06028131279303417</v>
      </c>
      <c r="J108" s="45">
        <f>IF(OR(J106="",I106=""),"n.a.",IFERROR(IF(I106&lt;=0,"n.m.",IF(J106/I106&lt;=0,"n.m.",J106/I106-1)),"n.a."))</f>
        <v>-0.005053695514845247</v>
      </c>
      <c r="K108" s="124"/>
    </row>
    <row r="109">
      <c r="A109" s="2"/>
      <c r="B109" s="47" t="s">
        <v>115</v>
      </c>
      <c r="C109" s="7"/>
      <c r="D109" s="7"/>
      <c r="E109" s="7"/>
      <c r="F109" s="7"/>
      <c r="G109" s="7"/>
      <c r="H109" s="40" t="s">
        <v>116</v>
      </c>
      <c r="I109" s="40" t="s">
        <v>116</v>
      </c>
      <c r="J109" s="45" t="s">
        <v>116</v>
      </c>
      <c r="K109" s="124"/>
    </row>
    <row r="110">
      <c r="A110" s="2"/>
      <c r="B110" s="47" t="s">
        <v>117</v>
      </c>
      <c r="C110" s="7"/>
      <c r="D110" s="7"/>
      <c r="E110" s="7"/>
      <c r="F110" s="7"/>
      <c r="G110" s="7"/>
      <c r="H110" s="40" t="s">
        <v>116</v>
      </c>
      <c r="I110" s="40" t="s">
        <v>116</v>
      </c>
      <c r="J110" s="45" t="s">
        <v>116</v>
      </c>
      <c r="K110" s="124"/>
    </row>
    <row r="111">
      <c r="A111" s="2"/>
      <c r="B111" s="47" t="s">
        <v>118</v>
      </c>
      <c r="C111" s="7"/>
      <c r="D111" s="7"/>
      <c r="E111" s="7"/>
      <c r="F111" s="7"/>
      <c r="G111" s="7"/>
      <c r="H111" s="40" t="s">
        <v>116</v>
      </c>
      <c r="I111" s="40" t="s">
        <v>116</v>
      </c>
      <c r="J111" s="45" t="s">
        <v>116</v>
      </c>
      <c r="K111" s="124"/>
    </row>
    <row r="112">
      <c r="A112" s="2"/>
      <c r="B112" s="47" t="s">
        <v>119</v>
      </c>
      <c r="C112" s="40">
        <f>IFERROR(C106/C239,"n.a.")</f>
        <v>0.05374022020037526</v>
      </c>
      <c r="D112" s="40">
        <f>IFERROR(D106/D239,"n.a.")</f>
        <v>0.059978865284407684</v>
      </c>
      <c r="E112" s="40">
        <f>IFERROR(E106/E239,"n.a.")</f>
        <v>0.05609504132231405</v>
      </c>
      <c r="F112" s="40">
        <f>IFERROR(F106/F239,"n.a.")</f>
        <v>0.05520499171572602</v>
      </c>
      <c r="G112" s="40">
        <f>IFERROR(G106/G239,"n.a.")</f>
        <v>0.05622607142541358</v>
      </c>
      <c r="H112" s="40">
        <f>IFERROR(H106/H239,"n.a.")</f>
        <v>0.04931950317124736</v>
      </c>
      <c r="I112" s="40">
        <f>IFERROR(I106/I239,"n.a.")</f>
        <v>0.0501616071994423</v>
      </c>
      <c r="J112" s="45">
        <f>IFERROR(J106/J239,"n.a.")</f>
        <v>0.05219233522288007</v>
      </c>
      <c r="K112" s="124"/>
    </row>
    <row r="113">
      <c r="A113" s="2"/>
      <c r="B113" s="104" t="s">
        <v>378</v>
      </c>
      <c r="C113" s="37">
        <v>602</v>
      </c>
      <c r="D113" s="37">
        <v>610</v>
      </c>
      <c r="E113" s="37">
        <v>639</v>
      </c>
      <c r="F113" s="37">
        <v>632</v>
      </c>
      <c r="G113" s="43">
        <f>SUM(C113:F113)</f>
        <v>2483</v>
      </c>
      <c r="H113" s="37">
        <v>628</v>
      </c>
      <c r="I113" s="37">
        <v>636</v>
      </c>
      <c r="J113" s="75">
        <v>640</v>
      </c>
      <c r="K113" s="125" t="s">
        <v>127</v>
      </c>
    </row>
    <row r="114">
      <c r="A114" s="2"/>
      <c r="B114" s="47" t="s">
        <v>113</v>
      </c>
      <c r="C114" s="7"/>
      <c r="D114" s="7"/>
      <c r="E114" s="7"/>
      <c r="F114" s="7"/>
      <c r="G114" s="7"/>
      <c r="H114" s="40">
        <f>IF(OR(H113="",C113=""),"n.a.",IFERROR(IF(C113&lt;=0,"n.m.",IF(H113/C113&lt;=0,"n.m.",H113/C113-1)),"n.a."))</f>
        <v>0.04318936877076407</v>
      </c>
      <c r="I114" s="40">
        <f>IF(OR(I113="",D113=""),"n.a.",IFERROR(IF(D113&lt;=0,"n.m.",IF(I113/D113&lt;=0,"n.m.",I113/D113-1)),"n.a."))</f>
        <v>0.042622950819672045</v>
      </c>
      <c r="J114" s="45">
        <f>IF(OR(J113="",E113=""),"n.a.",IFERROR(IF(E113&lt;=0,"n.m.",IF(J113/E113&lt;=0,"n.m.",J113/E113-1)),"n.a."))</f>
        <v>0.0015649452269170805</v>
      </c>
      <c r="K114" s="124"/>
    </row>
    <row r="115">
      <c r="A115" s="2"/>
      <c r="B115" s="47" t="s">
        <v>114</v>
      </c>
      <c r="C115" s="7"/>
      <c r="D115" s="40">
        <f>IF(OR(D113="",C113=""),"n.a.",IFERROR(IF(C113&lt;=0,"n.m.",IF(D113/C113&lt;=0,"n.m.",D113/C113-1)),"n.a."))</f>
        <v>0.013289036544850585</v>
      </c>
      <c r="E115" s="40">
        <f>IF(OR(E113="",D113=""),"n.a.",IFERROR(IF(D113&lt;=0,"n.m.",IF(E113/D113&lt;=0,"n.m.",E113/D113-1)),"n.a."))</f>
        <v>0.04754098360655745</v>
      </c>
      <c r="F115" s="40">
        <f>IF(OR(F113="",E113=""),"n.a.",IFERROR(IF(E113&lt;=0,"n.m.",IF(F113/E113&lt;=0,"n.m.",F113/E113-1)),"n.a."))</f>
        <v>-0.010954616588419452</v>
      </c>
      <c r="G115" s="7"/>
      <c r="H115" s="40">
        <f>IF(OR(H113="",F113=""),"n.a.",IFERROR(IF(F113&lt;=0,"n.m.",IF(H113/F113&lt;=0,"n.m.",H113/F113-1)),"n.a."))</f>
        <v>-0.006329113924050667</v>
      </c>
      <c r="I115" s="40">
        <f>IF(OR(I113="",H113=""),"n.a.",IFERROR(IF(H113&lt;=0,"n.m.",IF(I113/H113&lt;=0,"n.m.",I113/H113-1)),"n.a."))</f>
        <v>0.01273885350318471</v>
      </c>
      <c r="J115" s="45">
        <f>IF(OR(J113="",I113=""),"n.a.",IFERROR(IF(I113&lt;=0,"n.m.",IF(J113/I113&lt;=0,"n.m.",J113/I113-1)),"n.a."))</f>
        <v>0.0062893081761006275</v>
      </c>
      <c r="K115" s="124"/>
    </row>
    <row r="116">
      <c r="A116" s="2"/>
      <c r="B116" s="47" t="s">
        <v>115</v>
      </c>
      <c r="C116" s="7"/>
      <c r="D116" s="7"/>
      <c r="E116" s="7"/>
      <c r="F116" s="7"/>
      <c r="G116" s="7"/>
      <c r="H116" s="40" t="s">
        <v>116</v>
      </c>
      <c r="I116" s="40" t="s">
        <v>116</v>
      </c>
      <c r="J116" s="45" t="s">
        <v>116</v>
      </c>
      <c r="K116" s="124"/>
    </row>
    <row r="117">
      <c r="A117" s="2"/>
      <c r="B117" s="47" t="s">
        <v>117</v>
      </c>
      <c r="C117" s="7"/>
      <c r="D117" s="7"/>
      <c r="E117" s="7"/>
      <c r="F117" s="7"/>
      <c r="G117" s="7"/>
      <c r="H117" s="40" t="s">
        <v>116</v>
      </c>
      <c r="I117" s="40" t="s">
        <v>116</v>
      </c>
      <c r="J117" s="45" t="s">
        <v>116</v>
      </c>
      <c r="K117" s="124"/>
    </row>
    <row r="118">
      <c r="A118" s="2"/>
      <c r="B118" s="47" t="s">
        <v>118</v>
      </c>
      <c r="C118" s="7"/>
      <c r="D118" s="7"/>
      <c r="E118" s="7"/>
      <c r="F118" s="7"/>
      <c r="G118" s="7"/>
      <c r="H118" s="40" t="s">
        <v>116</v>
      </c>
      <c r="I118" s="40" t="s">
        <v>116</v>
      </c>
      <c r="J118" s="45" t="s">
        <v>116</v>
      </c>
      <c r="K118" s="124"/>
    </row>
    <row r="119">
      <c r="A119" s="2"/>
      <c r="B119" s="47" t="s">
        <v>119</v>
      </c>
      <c r="C119" s="40">
        <f>IFERROR(C113/C239,"n.a.")</f>
        <v>0.021311997734272666</v>
      </c>
      <c r="D119" s="40">
        <f>IFERROR(D113/D239,"n.a.")</f>
        <v>0.0222278905367489</v>
      </c>
      <c r="E119" s="40">
        <f>IFERROR(E113/E239,"n.a.")</f>
        <v>0.02200413223140496</v>
      </c>
      <c r="F119" s="40">
        <f>IFERROR(F113/F239,"n.a.")</f>
        <v>0.022279409172630167</v>
      </c>
      <c r="G119" s="40">
        <f>IFERROR(G113/G239,"n.a.")</f>
        <v>0.021954605338779985</v>
      </c>
      <c r="H119" s="40">
        <f>IFERROR(H113/H239,"n.a.")</f>
        <v>0.020745243128964058</v>
      </c>
      <c r="I119" s="40">
        <f>IFERROR(I113/I239,"n.a.")</f>
        <v>0.020153368401039356</v>
      </c>
      <c r="J119" s="45">
        <f>IFERROR(J113/J239,"n.a.")</f>
        <v>0.021208313995329044</v>
      </c>
      <c r="K119" s="124"/>
    </row>
    <row r="120">
      <c r="A120" s="2"/>
      <c r="B120" s="104" t="s">
        <v>379</v>
      </c>
      <c r="C120" s="37">
        <v>916</v>
      </c>
      <c r="D120" s="37">
        <v>1036</v>
      </c>
      <c r="E120" s="37">
        <v>990</v>
      </c>
      <c r="F120" s="37">
        <v>934</v>
      </c>
      <c r="G120" s="43">
        <f>SUM(C120:F120)</f>
        <v>3876</v>
      </c>
      <c r="H120" s="37">
        <v>865</v>
      </c>
      <c r="I120" s="37">
        <v>947</v>
      </c>
      <c r="J120" s="38">
        <f>J106-J113</f>
        <v>935</v>
      </c>
      <c r="K120" s="125" t="s">
        <v>127</v>
      </c>
    </row>
    <row r="121">
      <c r="A121" s="2"/>
      <c r="B121" s="47" t="s">
        <v>113</v>
      </c>
      <c r="C121" s="7"/>
      <c r="D121" s="7"/>
      <c r="E121" s="7"/>
      <c r="F121" s="7"/>
      <c r="G121" s="7"/>
      <c r="H121" s="40">
        <f>IF(OR(H120="",C120=""),"n.a.",IFERROR(IF(C120&lt;=0,"n.m.",IF(H120/C120&lt;=0,"n.m.",H120/C120-1)),"n.a."))</f>
        <v>-0.05567685589519655</v>
      </c>
      <c r="I121" s="40">
        <f>IF(OR(I120="",D120=""),"n.a.",IFERROR(IF(D120&lt;=0,"n.m.",IF(I120/D120&lt;=0,"n.m.",I120/D120-1)),"n.a."))</f>
        <v>-0.0859073359073359</v>
      </c>
      <c r="J121" s="45">
        <f>IF(OR(J120="",E120=""),"n.a.",IFERROR(IF(E120&lt;=0,"n.m.",IF(J120/E120&lt;=0,"n.m.",J120/E120-1)),"n.a."))</f>
        <v>-0.05555555555555558</v>
      </c>
      <c r="K121" s="124"/>
    </row>
    <row r="122">
      <c r="A122" s="2"/>
      <c r="B122" s="47" t="s">
        <v>114</v>
      </c>
      <c r="C122" s="7"/>
      <c r="D122" s="40">
        <f>IF(OR(D120="",C120=""),"n.a.",IFERROR(IF(C120&lt;=0,"n.m.",IF(D120/C120&lt;=0,"n.m.",D120/C120-1)),"n.a."))</f>
        <v>0.13100436681222716</v>
      </c>
      <c r="E122" s="40">
        <f>IF(OR(E120="",D120=""),"n.a.",IFERROR(IF(D120&lt;=0,"n.m.",IF(E120/D120&lt;=0,"n.m.",E120/D120-1)),"n.a."))</f>
        <v>-0.044401544401544424</v>
      </c>
      <c r="F122" s="40">
        <f>IF(OR(F120="",E120=""),"n.a.",IFERROR(IF(E120&lt;=0,"n.m.",IF(F120/E120&lt;=0,"n.m.",F120/E120-1)),"n.a."))</f>
        <v>-0.0565656565656566</v>
      </c>
      <c r="G122" s="7"/>
      <c r="H122" s="40">
        <f>IF(OR(H120="",F120=""),"n.a.",IFERROR(IF(F120&lt;=0,"n.m.",IF(H120/F120&lt;=0,"n.m.",H120/F120-1)),"n.a."))</f>
        <v>-0.07387580299785867</v>
      </c>
      <c r="I122" s="40">
        <f>IF(OR(I120="",H120=""),"n.a.",IFERROR(IF(H120&lt;=0,"n.m.",IF(I120/H120&lt;=0,"n.m.",I120/H120-1)),"n.a."))</f>
        <v>0.09479768786127174</v>
      </c>
      <c r="J122" s="45">
        <f>IF(OR(J120="",I120=""),"n.a.",IFERROR(IF(I120&lt;=0,"n.m.",IF(J120/I120&lt;=0,"n.m.",J120/I120-1)),"n.a."))</f>
        <v>-0.012671594508975703</v>
      </c>
      <c r="K122" s="124"/>
    </row>
    <row r="123">
      <c r="A123" s="2"/>
      <c r="B123" s="47" t="s">
        <v>115</v>
      </c>
      <c r="C123" s="7"/>
      <c r="D123" s="7"/>
      <c r="E123" s="7"/>
      <c r="F123" s="7"/>
      <c r="G123" s="7"/>
      <c r="H123" s="40" t="s">
        <v>116</v>
      </c>
      <c r="I123" s="40" t="s">
        <v>116</v>
      </c>
      <c r="J123" s="45" t="s">
        <v>116</v>
      </c>
      <c r="K123" s="124"/>
    </row>
    <row r="124">
      <c r="A124" s="2"/>
      <c r="B124" s="47" t="s">
        <v>117</v>
      </c>
      <c r="C124" s="7"/>
      <c r="D124" s="7"/>
      <c r="E124" s="7"/>
      <c r="F124" s="7"/>
      <c r="G124" s="7"/>
      <c r="H124" s="40" t="s">
        <v>116</v>
      </c>
      <c r="I124" s="40" t="s">
        <v>116</v>
      </c>
      <c r="J124" s="45" t="s">
        <v>116</v>
      </c>
      <c r="K124" s="124"/>
    </row>
    <row r="125">
      <c r="A125" s="2"/>
      <c r="B125" s="47" t="s">
        <v>118</v>
      </c>
      <c r="C125" s="7"/>
      <c r="D125" s="7"/>
      <c r="E125" s="7"/>
      <c r="F125" s="7"/>
      <c r="G125" s="7"/>
      <c r="H125" s="40" t="s">
        <v>116</v>
      </c>
      <c r="I125" s="40" t="s">
        <v>116</v>
      </c>
      <c r="J125" s="45" t="s">
        <v>116</v>
      </c>
      <c r="K125" s="124"/>
    </row>
    <row r="126">
      <c r="A126" s="2"/>
      <c r="B126" s="47" t="s">
        <v>119</v>
      </c>
      <c r="C126" s="40">
        <f>IFERROR(C120/C239,"n.a.")</f>
        <v>0.032428222466102594</v>
      </c>
      <c r="D126" s="40">
        <f>IFERROR(D120/D239,"n.a.")</f>
        <v>0.03775097474765878</v>
      </c>
      <c r="E126" s="40">
        <f>IFERROR(E120/E239,"n.a.")</f>
        <v>0.03409090909090909</v>
      </c>
      <c r="F126" s="40">
        <f>IFERROR(F120/F239,"n.a.")</f>
        <v>0.03292558254309585</v>
      </c>
      <c r="G126" s="40">
        <f>IFERROR(G120/G239,"n.a.")</f>
        <v>0.0342714660866336</v>
      </c>
      <c r="H126" s="40">
        <f>IFERROR(H120/H239,"n.a.")</f>
        <v>0.0285742600422833</v>
      </c>
      <c r="I126" s="40">
        <f>IFERROR(I120/I239,"n.a.")</f>
        <v>0.03000823879840294</v>
      </c>
      <c r="J126" s="45">
        <f>IFERROR(J120/J239,"n.a.")</f>
        <v>0.030984021227551027</v>
      </c>
      <c r="K126" s="124"/>
    </row>
    <row r="127">
      <c r="A127" s="2"/>
      <c r="B127" s="61" t="s">
        <v>380</v>
      </c>
      <c r="C127" s="44">
        <f>C134-'Segment - Consumer Banking'!C138-'Segment - Global Banking'!C152</f>
        <v>117</v>
      </c>
      <c r="D127" s="44">
        <f>D134-'Segment - Consumer Banking'!D138-'Segment - Global Banking'!D152</f>
        <v>124</v>
      </c>
      <c r="E127" s="44">
        <f>E134-'Segment - Consumer Banking'!E138-'Segment - Global Banking'!E152</f>
        <v>124</v>
      </c>
      <c r="F127" s="44">
        <f>F134-'Segment - Consumer Banking'!F138-'Segment - Global Banking'!F152</f>
        <v>126</v>
      </c>
      <c r="G127" s="44">
        <f>G134-'Segment - Consumer Banking'!G138-'Segment - Global Banking'!G152</f>
        <v>491</v>
      </c>
      <c r="H127" s="44">
        <f>H134-'Segment - Consumer Banking'!H138-'Segment - Global Banking'!H152</f>
        <v>132</v>
      </c>
      <c r="I127" s="44">
        <f>I134-'Segment - Consumer Banking'!I138-'Segment - Global Banking'!I152</f>
        <v>135</v>
      </c>
      <c r="J127" s="71">
        <v>135</v>
      </c>
      <c r="K127" s="124"/>
    </row>
    <row r="128">
      <c r="A128" s="2"/>
      <c r="B128" s="47" t="s">
        <v>113</v>
      </c>
      <c r="C128" s="7"/>
      <c r="D128" s="7"/>
      <c r="E128" s="7"/>
      <c r="F128" s="7"/>
      <c r="G128" s="7"/>
      <c r="H128" s="40">
        <f>IF(OR(H127="",C127=""),"n.a.",IFERROR(IF(C127&lt;=0,"n.m.",IF(H127/C127&lt;=0,"n.m.",H127/C127-1)),"n.a."))</f>
        <v>0.1282051282051282</v>
      </c>
      <c r="I128" s="40">
        <f>IF(OR(I127="",D127=""),"n.a.",IFERROR(IF(D127&lt;=0,"n.m.",IF(I127/D127&lt;=0,"n.m.",I127/D127-1)),"n.a."))</f>
        <v>0.08870967741935476</v>
      </c>
      <c r="J128" s="45">
        <f>IF(OR(J127="",E127=""),"n.a.",IFERROR(IF(E127&lt;=0,"n.m.",IF(J127/E127&lt;=0,"n.m.",J127/E127-1)),"n.a."))</f>
        <v>0.08870967741935476</v>
      </c>
      <c r="K128" s="124"/>
    </row>
    <row r="129">
      <c r="A129" s="2"/>
      <c r="B129" s="47" t="s">
        <v>114</v>
      </c>
      <c r="C129" s="7"/>
      <c r="D129" s="40">
        <f>IF(OR(D127="",C127=""),"n.a.",IFERROR(IF(C127&lt;=0,"n.m.",IF(D127/C127&lt;=0,"n.m.",D127/C127-1)),"n.a."))</f>
        <v>0.05982905982905984</v>
      </c>
      <c r="E129" s="40">
        <f>IF(OR(E127="",D127=""),"n.a.",IFERROR(IF(D127&lt;=0,"n.m.",IF(E127/D127&lt;=0,"n.m.",E127/D127-1)),"n.a."))</f>
        <v>0</v>
      </c>
      <c r="F129" s="40">
        <f>IF(OR(F127="",E127=""),"n.a.",IFERROR(IF(E127&lt;=0,"n.m.",IF(F127/E127&lt;=0,"n.m.",F127/E127-1)),"n.a."))</f>
        <v>0.016129032258064502</v>
      </c>
      <c r="G129" s="7"/>
      <c r="H129" s="40">
        <f>IF(OR(H127="",F127=""),"n.a.",IFERROR(IF(F127&lt;=0,"n.m.",IF(H127/F127&lt;=0,"n.m.",H127/F127-1)),"n.a."))</f>
        <v>0.04761904761904767</v>
      </c>
      <c r="I129" s="40">
        <f>IF(OR(I127="",H127=""),"n.a.",IFERROR(IF(H127&lt;=0,"n.m.",IF(I127/H127&lt;=0,"n.m.",I127/H127-1)),"n.a."))</f>
        <v>0.022727272727272707</v>
      </c>
      <c r="J129" s="45">
        <f>IF(OR(J127="",I127=""),"n.a.",IFERROR(IF(I127&lt;=0,"n.m.",IF(J127/I127&lt;=0,"n.m.",J127/I127-1)),"n.a."))</f>
        <v>0</v>
      </c>
      <c r="K129" s="124"/>
    </row>
    <row r="130">
      <c r="A130" s="2"/>
      <c r="B130" s="47" t="s">
        <v>115</v>
      </c>
      <c r="C130" s="7"/>
      <c r="D130" s="7"/>
      <c r="E130" s="7"/>
      <c r="F130" s="7"/>
      <c r="G130" s="7"/>
      <c r="H130" s="40" t="s">
        <v>116</v>
      </c>
      <c r="I130" s="40" t="s">
        <v>116</v>
      </c>
      <c r="J130" s="45" t="s">
        <v>116</v>
      </c>
      <c r="K130" s="124"/>
    </row>
    <row r="131">
      <c r="A131" s="2"/>
      <c r="B131" s="47" t="s">
        <v>117</v>
      </c>
      <c r="C131" s="7"/>
      <c r="D131" s="7"/>
      <c r="E131" s="7"/>
      <c r="F131" s="7"/>
      <c r="G131" s="7"/>
      <c r="H131" s="40" t="s">
        <v>116</v>
      </c>
      <c r="I131" s="40" t="s">
        <v>116</v>
      </c>
      <c r="J131" s="45" t="s">
        <v>116</v>
      </c>
      <c r="K131" s="124"/>
    </row>
    <row r="132">
      <c r="A132" s="2"/>
      <c r="B132" s="47" t="s">
        <v>118</v>
      </c>
      <c r="C132" s="7"/>
      <c r="D132" s="7"/>
      <c r="E132" s="7"/>
      <c r="F132" s="7"/>
      <c r="G132" s="7"/>
      <c r="H132" s="40" t="s">
        <v>116</v>
      </c>
      <c r="I132" s="40" t="s">
        <v>116</v>
      </c>
      <c r="J132" s="45" t="s">
        <v>116</v>
      </c>
      <c r="K132" s="124"/>
    </row>
    <row r="133">
      <c r="A133" s="2"/>
      <c r="B133" s="47" t="s">
        <v>119</v>
      </c>
      <c r="C133" s="40">
        <f>IFERROR(C127/C239,"n.a.")</f>
        <v>0.004142032782242362</v>
      </c>
      <c r="D133" s="40">
        <f>IFERROR(D127/D239,"n.a.")</f>
        <v>0.004518456436978464</v>
      </c>
      <c r="E133" s="40">
        <f>IFERROR(E127/E239,"n.a.")</f>
        <v>0.004269972451790634</v>
      </c>
      <c r="F133" s="40">
        <f>IFERROR(F127/F239,"n.a.")</f>
        <v>0.004441780942644622</v>
      </c>
      <c r="G133" s="40">
        <f>IFERROR(G127/G239,"n.a.")</f>
        <v>0.0043414060496741735</v>
      </c>
      <c r="H133" s="40">
        <f>IFERROR(H127/H239,"n.a.")</f>
        <v>0.00436046511627907</v>
      </c>
      <c r="I133" s="40">
        <f>IFERROR(I127/I239,"n.a.")</f>
        <v>0.00427783763229609</v>
      </c>
      <c r="J133" s="45">
        <f>IFERROR(J127/J239,"n.a.")</f>
        <v>0.004473628733389721</v>
      </c>
      <c r="K133" s="124"/>
    </row>
    <row r="134">
      <c r="A134" s="2"/>
      <c r="B134" s="3" t="s">
        <v>216</v>
      </c>
      <c r="C134" s="37">
        <v>1561</v>
      </c>
      <c r="D134" s="37">
        <v>1615</v>
      </c>
      <c r="E134" s="37">
        <v>1632</v>
      </c>
      <c r="F134" s="37">
        <v>1649</v>
      </c>
      <c r="G134" s="43">
        <f>SUM(C134:F134)</f>
        <v>6457</v>
      </c>
      <c r="H134" s="37">
        <v>1674</v>
      </c>
      <c r="I134" s="37">
        <v>1706</v>
      </c>
      <c r="J134" s="48">
        <f>'Segment - Consumer Banking'!J138+'Segment - Global Banking'!J152+J127</f>
        <v>1738.341591369863</v>
      </c>
      <c r="K134" s="125" t="s">
        <v>127</v>
      </c>
    </row>
    <row r="135">
      <c r="A135" s="2"/>
      <c r="B135" s="47" t="s">
        <v>113</v>
      </c>
      <c r="C135" s="7"/>
      <c r="D135" s="7"/>
      <c r="E135" s="7"/>
      <c r="F135" s="7"/>
      <c r="G135" s="7"/>
      <c r="H135" s="40">
        <f>IF(OR(H134="",C134=""),"n.a.",IFERROR(IF(C134&lt;=0,"n.m.",IF(H134/C134&lt;=0,"n.m.",H134/C134-1)),"n.a."))</f>
        <v>0.07238949391415761</v>
      </c>
      <c r="I135" s="40">
        <f>IF(OR(I134="",D134=""),"n.a.",IFERROR(IF(D134&lt;=0,"n.m.",IF(I134/D134&lt;=0,"n.m.",I134/D134-1)),"n.a."))</f>
        <v>0.05634674922600613</v>
      </c>
      <c r="J135" s="45">
        <f>IF(OR(J134="",E134=""),"n.a.",IFERROR(IF(E134&lt;=0,"n.m.",IF(J134/E134&lt;=0,"n.m.",J134/E134-1)),"n.a."))</f>
        <v>0.06516028882957281</v>
      </c>
      <c r="K135" s="124"/>
    </row>
    <row r="136">
      <c r="A136" s="2"/>
      <c r="B136" s="47" t="s">
        <v>114</v>
      </c>
      <c r="C136" s="7"/>
      <c r="D136" s="40">
        <f>IF(OR(D134="",C134=""),"n.a.",IFERROR(IF(C134&lt;=0,"n.m.",IF(D134/C134&lt;=0,"n.m.",D134/C134-1)),"n.a."))</f>
        <v>0.034593209481101894</v>
      </c>
      <c r="E136" s="40">
        <f>IF(OR(E134="",D134=""),"n.a.",IFERROR(IF(D134&lt;=0,"n.m.",IF(E134/D134&lt;=0,"n.m.",E134/D134-1)),"n.a."))</f>
        <v>0.010526315789473717</v>
      </c>
      <c r="F136" s="40">
        <f>IF(OR(F134="",E134=""),"n.a.",IFERROR(IF(E134&lt;=0,"n.m.",IF(F134/E134&lt;=0,"n.m.",F134/E134-1)),"n.a."))</f>
        <v>0.01041666666666674</v>
      </c>
      <c r="G136" s="7"/>
      <c r="H136" s="40">
        <f>IF(OR(H134="",F134=""),"n.a.",IFERROR(IF(F134&lt;=0,"n.m.",IF(H134/F134&lt;=0,"n.m.",H134/F134-1)),"n.a."))</f>
        <v>0.015160703456640334</v>
      </c>
      <c r="I136" s="40">
        <f>IF(OR(I134="",H134=""),"n.a.",IFERROR(IF(H134&lt;=0,"n.m.",IF(I134/H134&lt;=0,"n.m.",I134/H134-1)),"n.a."))</f>
        <v>0.019115890083632125</v>
      </c>
      <c r="J136" s="45">
        <f>IF(OR(J134="",I134=""),"n.a.",IFERROR(IF(I134&lt;=0,"n.m.",IF(J134/I134&lt;=0,"n.m.",J134/I134-1)),"n.a."))</f>
        <v>0.0189575564887825</v>
      </c>
      <c r="K136" s="124"/>
    </row>
    <row r="137">
      <c r="A137" s="2"/>
      <c r="B137" s="47" t="s">
        <v>115</v>
      </c>
      <c r="C137" s="7"/>
      <c r="D137" s="7"/>
      <c r="E137" s="7"/>
      <c r="F137" s="7"/>
      <c r="G137" s="7"/>
      <c r="H137" s="40" t="s">
        <v>116</v>
      </c>
      <c r="I137" s="40" t="s">
        <v>116</v>
      </c>
      <c r="J137" s="45" t="s">
        <v>116</v>
      </c>
      <c r="K137" s="124"/>
    </row>
    <row r="138">
      <c r="A138" s="2"/>
      <c r="B138" s="47" t="s">
        <v>117</v>
      </c>
      <c r="C138" s="7"/>
      <c r="D138" s="7"/>
      <c r="E138" s="7"/>
      <c r="F138" s="7"/>
      <c r="G138" s="7"/>
      <c r="H138" s="40" t="s">
        <v>116</v>
      </c>
      <c r="I138" s="40" t="s">
        <v>116</v>
      </c>
      <c r="J138" s="45" t="s">
        <v>116</v>
      </c>
      <c r="K138" s="124"/>
    </row>
    <row r="139">
      <c r="A139" s="2"/>
      <c r="B139" s="47" t="s">
        <v>118</v>
      </c>
      <c r="C139" s="7"/>
      <c r="D139" s="7"/>
      <c r="E139" s="7"/>
      <c r="F139" s="7"/>
      <c r="G139" s="7"/>
      <c r="H139" s="40" t="s">
        <v>116</v>
      </c>
      <c r="I139" s="40" t="s">
        <v>116</v>
      </c>
      <c r="J139" s="45" t="s">
        <v>116</v>
      </c>
      <c r="K139" s="124"/>
    </row>
    <row r="140">
      <c r="A140" s="2"/>
      <c r="B140" s="47" t="s">
        <v>119</v>
      </c>
      <c r="C140" s="40">
        <f>IFERROR(C134/C239,"n.a.")</f>
        <v>0.05526250575282331</v>
      </c>
      <c r="D140" s="40">
        <f>IFERROR(D134/D239,"n.a.")</f>
        <v>0.05884925117516306</v>
      </c>
      <c r="E140" s="40">
        <f>IFERROR(E134/E239,"n.a.")</f>
        <v>0.05619834710743802</v>
      </c>
      <c r="F140" s="40">
        <f>IFERROR(F134/F239,"n.a.")</f>
        <v>0.058130926781118905</v>
      </c>
      <c r="G140" s="40">
        <f>IFERROR(G134/G239,"n.a.")</f>
        <v>0.0570925842418455</v>
      </c>
      <c r="H140" s="40">
        <f>IFERROR(H134/H239,"n.a.")</f>
        <v>0.05529862579281184</v>
      </c>
      <c r="I140" s="40">
        <f>IFERROR(I134/I239,"n.a.")</f>
        <v>0.05405919259775651</v>
      </c>
      <c r="J140" s="45">
        <f>IFERROR(J134/J239,"n.a.")</f>
        <v>0.057605147345175044</v>
      </c>
      <c r="K140" s="124"/>
    </row>
    <row r="141">
      <c r="A141" s="2"/>
      <c r="B141" s="104" t="s">
        <v>381</v>
      </c>
      <c r="C141" s="37">
        <v>333</v>
      </c>
      <c r="D141" s="37">
        <v>350</v>
      </c>
      <c r="E141" s="37">
        <v>365</v>
      </c>
      <c r="F141" s="37">
        <v>365</v>
      </c>
      <c r="G141" s="43">
        <f>SUM(C141:F141)</f>
        <v>1413</v>
      </c>
      <c r="H141" s="37">
        <v>368</v>
      </c>
      <c r="I141" s="37">
        <v>370</v>
      </c>
      <c r="J141" s="75">
        <v>372</v>
      </c>
      <c r="K141" s="125" t="s">
        <v>127</v>
      </c>
    </row>
    <row r="142">
      <c r="A142" s="2"/>
      <c r="B142" s="47" t="s">
        <v>113</v>
      </c>
      <c r="C142" s="7"/>
      <c r="D142" s="7"/>
      <c r="E142" s="7"/>
      <c r="F142" s="7"/>
      <c r="G142" s="7"/>
      <c r="H142" s="40">
        <f>IF(OR(H141="",C141=""),"n.a.",IFERROR(IF(C141&lt;=0,"n.m.",IF(H141/C141&lt;=0,"n.m.",H141/C141-1)),"n.a."))</f>
        <v>0.10510510510510507</v>
      </c>
      <c r="I142" s="40">
        <f>IF(OR(I141="",D141=""),"n.a.",IFERROR(IF(D141&lt;=0,"n.m.",IF(I141/D141&lt;=0,"n.m.",I141/D141-1)),"n.a."))</f>
        <v>0.05714285714285716</v>
      </c>
      <c r="J142" s="45">
        <f>IF(OR(J141="",E141=""),"n.a.",IFERROR(IF(E141&lt;=0,"n.m.",IF(J141/E141&lt;=0,"n.m.",J141/E141-1)),"n.a."))</f>
        <v>0.019178082191780854</v>
      </c>
      <c r="K142" s="124"/>
    </row>
    <row r="143">
      <c r="A143" s="2"/>
      <c r="B143" s="47" t="s">
        <v>114</v>
      </c>
      <c r="C143" s="7"/>
      <c r="D143" s="40">
        <f>IF(OR(D141="",C141=""),"n.a.",IFERROR(IF(C141&lt;=0,"n.m.",IF(D141/C141&lt;=0,"n.m.",D141/C141-1)),"n.a."))</f>
        <v>0.05105105105105112</v>
      </c>
      <c r="E143" s="40">
        <f>IF(OR(E141="",D141=""),"n.a.",IFERROR(IF(D141&lt;=0,"n.m.",IF(E141/D141&lt;=0,"n.m.",E141/D141-1)),"n.a."))</f>
        <v>0.04285714285714293</v>
      </c>
      <c r="F143" s="40">
        <f>IF(OR(F141="",E141=""),"n.a.",IFERROR(IF(E141&lt;=0,"n.m.",IF(F141/E141&lt;=0,"n.m.",F141/E141-1)),"n.a."))</f>
        <v>0</v>
      </c>
      <c r="G143" s="7"/>
      <c r="H143" s="40">
        <f>IF(OR(H141="",F141=""),"n.a.",IFERROR(IF(F141&lt;=0,"n.m.",IF(H141/F141&lt;=0,"n.m.",H141/F141-1)),"n.a."))</f>
        <v>0.008219178082191858</v>
      </c>
      <c r="I143" s="40">
        <f>IF(OR(I141="",H141=""),"n.a.",IFERROR(IF(H141&lt;=0,"n.m.",IF(I141/H141&lt;=0,"n.m.",I141/H141-1)),"n.a."))</f>
        <v>0.005434782608695565</v>
      </c>
      <c r="J143" s="45">
        <f>IF(OR(J141="",I141=""),"n.a.",IFERROR(IF(I141&lt;=0,"n.m.",IF(J141/I141&lt;=0,"n.m.",J141/I141-1)),"n.a."))</f>
        <v>0.00540540540540535</v>
      </c>
      <c r="K143" s="124"/>
    </row>
    <row r="144">
      <c r="A144" s="2"/>
      <c r="B144" s="47" t="s">
        <v>115</v>
      </c>
      <c r="C144" s="7"/>
      <c r="D144" s="7"/>
      <c r="E144" s="7"/>
      <c r="F144" s="7"/>
      <c r="G144" s="7"/>
      <c r="H144" s="40" t="s">
        <v>116</v>
      </c>
      <c r="I144" s="40" t="s">
        <v>116</v>
      </c>
      <c r="J144" s="45" t="s">
        <v>116</v>
      </c>
      <c r="K144" s="124"/>
    </row>
    <row r="145">
      <c r="A145" s="2"/>
      <c r="B145" s="47" t="s">
        <v>117</v>
      </c>
      <c r="C145" s="7"/>
      <c r="D145" s="7"/>
      <c r="E145" s="7"/>
      <c r="F145" s="7"/>
      <c r="G145" s="7"/>
      <c r="H145" s="40" t="s">
        <v>116</v>
      </c>
      <c r="I145" s="40" t="s">
        <v>116</v>
      </c>
      <c r="J145" s="45" t="s">
        <v>116</v>
      </c>
      <c r="K145" s="124"/>
    </row>
    <row r="146">
      <c r="A146" s="2"/>
      <c r="B146" s="47" t="s">
        <v>118</v>
      </c>
      <c r="C146" s="7"/>
      <c r="D146" s="7"/>
      <c r="E146" s="7"/>
      <c r="F146" s="7"/>
      <c r="G146" s="7"/>
      <c r="H146" s="40" t="s">
        <v>116</v>
      </c>
      <c r="I146" s="40" t="s">
        <v>116</v>
      </c>
      <c r="J146" s="45" t="s">
        <v>116</v>
      </c>
      <c r="K146" s="124"/>
    </row>
    <row r="147">
      <c r="A147" s="2"/>
      <c r="B147" s="47" t="s">
        <v>119</v>
      </c>
      <c r="C147" s="40">
        <f>IFERROR(C141/C239,"n.a.")</f>
        <v>0.011788862534074416</v>
      </c>
      <c r="D147" s="40">
        <f>IFERROR(D141/D239,"n.a.")</f>
        <v>0.01275370768501986</v>
      </c>
      <c r="E147" s="40">
        <f>IFERROR(E141/E239,"n.a.")</f>
        <v>0.012568870523415978</v>
      </c>
      <c r="F147" s="40">
        <f>IFERROR(F141/F239,"n.a.")</f>
        <v>0.012867063841787993</v>
      </c>
      <c r="G147" s="40">
        <f>IFERROR(G141/G239,"n.a.")</f>
        <v>0.012493700098145839</v>
      </c>
      <c r="H147" s="40">
        <f>IFERROR(H141/H239,"n.a.")</f>
        <v>0.012156448202959831</v>
      </c>
      <c r="I147" s="40">
        <f>IFERROR(I141/I239,"n.a.")</f>
        <v>0.011724443881107802</v>
      </c>
      <c r="J147" s="45">
        <f>IFERROR(J141/J239,"n.a.")</f>
        <v>0.012327332509785007</v>
      </c>
      <c r="K147" s="124"/>
    </row>
    <row r="148">
      <c r="A148" s="2"/>
      <c r="B148" s="104" t="s">
        <v>382</v>
      </c>
      <c r="C148" s="37">
        <v>1228</v>
      </c>
      <c r="D148" s="37">
        <v>1265</v>
      </c>
      <c r="E148" s="37">
        <v>1267</v>
      </c>
      <c r="F148" s="37">
        <v>1284</v>
      </c>
      <c r="G148" s="43">
        <f>SUM(C148:F148)</f>
        <v>5044</v>
      </c>
      <c r="H148" s="37">
        <v>1306</v>
      </c>
      <c r="I148" s="37">
        <v>1336</v>
      </c>
      <c r="J148" s="38">
        <f>J134-J141</f>
        <v>1366.341591369863</v>
      </c>
      <c r="K148" s="125" t="s">
        <v>127</v>
      </c>
    </row>
    <row r="149">
      <c r="A149" s="2"/>
      <c r="B149" s="47" t="s">
        <v>113</v>
      </c>
      <c r="C149" s="7"/>
      <c r="D149" s="7"/>
      <c r="E149" s="7"/>
      <c r="F149" s="7"/>
      <c r="G149" s="7"/>
      <c r="H149" s="40">
        <f>IF(OR(H148="",C148=""),"n.a.",IFERROR(IF(C148&lt;=0,"n.m.",IF(H148/C148&lt;=0,"n.m.",H148/C148-1)),"n.a."))</f>
        <v>0.06351791530944628</v>
      </c>
      <c r="I149" s="40">
        <f>IF(OR(I148="",D148=""),"n.a.",IFERROR(IF(D148&lt;=0,"n.m.",IF(I148/D148&lt;=0,"n.m.",I148/D148-1)),"n.a."))</f>
        <v>0.05612648221343863</v>
      </c>
      <c r="J149" s="45">
        <f>IF(OR(J148="",E148=""),"n.a.",IFERROR(IF(E148&lt;=0,"n.m.",IF(J148/E148&lt;=0,"n.m.",J148/E148-1)),"n.a."))</f>
        <v>0.0784069387291737</v>
      </c>
      <c r="K149" s="124"/>
    </row>
    <row r="150">
      <c r="A150" s="2"/>
      <c r="B150" s="47" t="s">
        <v>114</v>
      </c>
      <c r="C150" s="7"/>
      <c r="D150" s="40">
        <f>IF(OR(D148="",C148=""),"n.a.",IFERROR(IF(C148&lt;=0,"n.m.",IF(D148/C148&lt;=0,"n.m.",D148/C148-1)),"n.a."))</f>
        <v>0.030130293159609023</v>
      </c>
      <c r="E150" s="40">
        <f>IF(OR(E148="",D148=""),"n.a.",IFERROR(IF(D148&lt;=0,"n.m.",IF(E148/D148&lt;=0,"n.m.",E148/D148-1)),"n.a."))</f>
        <v>0.0015810276679841806</v>
      </c>
      <c r="F150" s="40">
        <f>IF(OR(F148="",E148=""),"n.a.",IFERROR(IF(E148&lt;=0,"n.m.",IF(F148/E148&lt;=0,"n.m.",F148/E148-1)),"n.a."))</f>
        <v>0.013417521704814472</v>
      </c>
      <c r="G150" s="7"/>
      <c r="H150" s="40">
        <f>IF(OR(H148="",F148=""),"n.a.",IFERROR(IF(F148&lt;=0,"n.m.",IF(H148/F148&lt;=0,"n.m.",H148/F148-1)),"n.a."))</f>
        <v>0.017133956386292892</v>
      </c>
      <c r="I150" s="40">
        <f>IF(OR(I148="",H148=""),"n.a.",IFERROR(IF(H148&lt;=0,"n.m.",IF(I148/H148&lt;=0,"n.m.",I148/H148-1)),"n.a."))</f>
        <v>0.02297090352220521</v>
      </c>
      <c r="J150" s="45">
        <f>IF(OR(J148="",I148=""),"n.a.",IFERROR(IF(I148&lt;=0,"n.m.",IF(J148/I148&lt;=0,"n.m.",J148/I148-1)),"n.a."))</f>
        <v>0.0227107719834303</v>
      </c>
      <c r="K150" s="124"/>
    </row>
    <row r="151">
      <c r="A151" s="2"/>
      <c r="B151" s="47" t="s">
        <v>115</v>
      </c>
      <c r="C151" s="7"/>
      <c r="D151" s="7"/>
      <c r="E151" s="7"/>
      <c r="F151" s="7"/>
      <c r="G151" s="7"/>
      <c r="H151" s="40" t="s">
        <v>116</v>
      </c>
      <c r="I151" s="40" t="s">
        <v>116</v>
      </c>
      <c r="J151" s="45" t="s">
        <v>116</v>
      </c>
      <c r="K151" s="124"/>
    </row>
    <row r="152">
      <c r="A152" s="2"/>
      <c r="B152" s="47" t="s">
        <v>117</v>
      </c>
      <c r="C152" s="7"/>
      <c r="D152" s="7"/>
      <c r="E152" s="7"/>
      <c r="F152" s="7"/>
      <c r="G152" s="7"/>
      <c r="H152" s="40" t="s">
        <v>116</v>
      </c>
      <c r="I152" s="40" t="s">
        <v>116</v>
      </c>
      <c r="J152" s="45" t="s">
        <v>116</v>
      </c>
      <c r="K152" s="124"/>
    </row>
    <row r="153">
      <c r="A153" s="2"/>
      <c r="B153" s="47" t="s">
        <v>118</v>
      </c>
      <c r="C153" s="7"/>
      <c r="D153" s="7"/>
      <c r="E153" s="7"/>
      <c r="F153" s="7"/>
      <c r="G153" s="7"/>
      <c r="H153" s="40" t="s">
        <v>116</v>
      </c>
      <c r="I153" s="40" t="s">
        <v>116</v>
      </c>
      <c r="J153" s="45" t="s">
        <v>116</v>
      </c>
      <c r="K153" s="124"/>
    </row>
    <row r="154">
      <c r="A154" s="2"/>
      <c r="B154" s="47" t="s">
        <v>119</v>
      </c>
      <c r="C154" s="40">
        <f>IFERROR(C148/C239,"n.a.")</f>
        <v>0.04347364321874889</v>
      </c>
      <c r="D154" s="40">
        <f>IFERROR(D148/D239,"n.a.")</f>
        <v>0.046095543490143207</v>
      </c>
      <c r="E154" s="40">
        <f>IFERROR(E148/E239,"n.a.")</f>
        <v>0.04362947658402204</v>
      </c>
      <c r="F154" s="40">
        <f>IFERROR(F148/F239,"n.a.")</f>
        <v>0.045263862939330914</v>
      </c>
      <c r="G154" s="40">
        <f>IFERROR(G148/G239,"n.a.")</f>
        <v>0.044598884143699655</v>
      </c>
      <c r="H154" s="40">
        <f>IFERROR(H148/H239,"n.a.")</f>
        <v>0.04314217758985201</v>
      </c>
      <c r="I154" s="40">
        <f>IFERROR(I148/I239,"n.a.")</f>
        <v>0.04233474871664871</v>
      </c>
      <c r="J154" s="45">
        <f>IFERROR(J148/J239,"n.a.")</f>
        <v>0.045277814835390034</v>
      </c>
      <c r="K154" s="124"/>
    </row>
    <row r="155">
      <c r="A155" s="2"/>
      <c r="B155" s="61" t="s">
        <v>383</v>
      </c>
      <c r="C155" s="44">
        <f>C162-'Segment - GWIM'!C96-'Segment - Global Markets'!C103</f>
        <v>97</v>
      </c>
      <c r="D155" s="44">
        <f>D162-'Segment - GWIM'!D96-'Segment - Global Markets'!D103</f>
        <v>105</v>
      </c>
      <c r="E155" s="44">
        <f>E162-'Segment - GWIM'!E96-'Segment - Global Markets'!E103</f>
        <v>115</v>
      </c>
      <c r="F155" s="44">
        <f>F162-'Segment - GWIM'!F96-'Segment - Global Markets'!F103</f>
        <v>109</v>
      </c>
      <c r="G155" s="44">
        <f>G162-'Segment - GWIM'!G96-'Segment - Global Markets'!G103</f>
        <v>426</v>
      </c>
      <c r="H155" s="44">
        <f>H162-'Segment - GWIM'!H96-'Segment - Global Markets'!H103</f>
        <v>110</v>
      </c>
      <c r="I155" s="44">
        <f>I162-'Segment - GWIM'!I96-'Segment - Global Markets'!I103</f>
        <v>131</v>
      </c>
      <c r="J155" s="71">
        <v>130</v>
      </c>
      <c r="K155" s="124"/>
    </row>
    <row r="156">
      <c r="A156" s="2"/>
      <c r="B156" s="47" t="s">
        <v>113</v>
      </c>
      <c r="C156" s="7"/>
      <c r="D156" s="7"/>
      <c r="E156" s="7"/>
      <c r="F156" s="7"/>
      <c r="G156" s="7"/>
      <c r="H156" s="40">
        <f>IF(OR(H155="",C155=""),"n.a.",IFERROR(IF(C155&lt;=0,"n.m.",IF(H155/C155&lt;=0,"n.m.",H155/C155-1)),"n.a."))</f>
        <v>0.134020618556701</v>
      </c>
      <c r="I156" s="40">
        <f>IF(OR(I155="",D155=""),"n.a.",IFERROR(IF(D155&lt;=0,"n.m.",IF(I155/D155&lt;=0,"n.m.",I155/D155-1)),"n.a."))</f>
        <v>0.24761904761904763</v>
      </c>
      <c r="J156" s="45">
        <f>IF(OR(J155="",E155=""),"n.a.",IFERROR(IF(E155&lt;=0,"n.m.",IF(J155/E155&lt;=0,"n.m.",J155/E155-1)),"n.a."))</f>
        <v>0.13043478260869557</v>
      </c>
      <c r="K156" s="124"/>
    </row>
    <row r="157">
      <c r="A157" s="2"/>
      <c r="B157" s="47" t="s">
        <v>114</v>
      </c>
      <c r="C157" s="7"/>
      <c r="D157" s="40">
        <f>IF(OR(D155="",C155=""),"n.a.",IFERROR(IF(C155&lt;=0,"n.m.",IF(D155/C155&lt;=0,"n.m.",D155/C155-1)),"n.a."))</f>
        <v>0.08247422680412364</v>
      </c>
      <c r="E157" s="40">
        <f>IF(OR(E155="",D155=""),"n.a.",IFERROR(IF(D155&lt;=0,"n.m.",IF(E155/D155&lt;=0,"n.m.",E155/D155-1)),"n.a."))</f>
        <v>0.09523809523809534</v>
      </c>
      <c r="F157" s="40">
        <f>IF(OR(F155="",E155=""),"n.a.",IFERROR(IF(E155&lt;=0,"n.m.",IF(F155/E155&lt;=0,"n.m.",F155/E155-1)),"n.a."))</f>
        <v>-0.05217391304347829</v>
      </c>
      <c r="G157" s="7"/>
      <c r="H157" s="40">
        <f>IF(OR(H155="",F155=""),"n.a.",IFERROR(IF(F155&lt;=0,"n.m.",IF(H155/F155&lt;=0,"n.m.",H155/F155-1)),"n.a."))</f>
        <v>0.00917431192660545</v>
      </c>
      <c r="I157" s="40">
        <f>IF(OR(I155="",H155=""),"n.a.",IFERROR(IF(H155&lt;=0,"n.m.",IF(I155/H155&lt;=0,"n.m.",I155/H155-1)),"n.a."))</f>
        <v>0.19090909090909092</v>
      </c>
      <c r="J157" s="45">
        <f>IF(OR(J155="",I155=""),"n.a.",IFERROR(IF(I155&lt;=0,"n.m.",IF(J155/I155&lt;=0,"n.m.",J155/I155-1)),"n.a."))</f>
        <v>-0.007633587786259555</v>
      </c>
      <c r="K157" s="124"/>
    </row>
    <row r="158">
      <c r="A158" s="2"/>
      <c r="B158" s="47" t="s">
        <v>115</v>
      </c>
      <c r="C158" s="7"/>
      <c r="D158" s="7"/>
      <c r="E158" s="7"/>
      <c r="F158" s="7"/>
      <c r="G158" s="7"/>
      <c r="H158" s="40" t="s">
        <v>116</v>
      </c>
      <c r="I158" s="40" t="s">
        <v>116</v>
      </c>
      <c r="J158" s="45" t="s">
        <v>116</v>
      </c>
      <c r="K158" s="124"/>
    </row>
    <row r="159">
      <c r="A159" s="2"/>
      <c r="B159" s="47" t="s">
        <v>117</v>
      </c>
      <c r="C159" s="7"/>
      <c r="D159" s="7"/>
      <c r="E159" s="7"/>
      <c r="F159" s="7"/>
      <c r="G159" s="7"/>
      <c r="H159" s="40" t="s">
        <v>116</v>
      </c>
      <c r="I159" s="40" t="s">
        <v>116</v>
      </c>
      <c r="J159" s="45" t="s">
        <v>116</v>
      </c>
      <c r="K159" s="124"/>
    </row>
    <row r="160">
      <c r="A160" s="2"/>
      <c r="B160" s="47" t="s">
        <v>118</v>
      </c>
      <c r="C160" s="7"/>
      <c r="D160" s="7"/>
      <c r="E160" s="7"/>
      <c r="F160" s="7"/>
      <c r="G160" s="7"/>
      <c r="H160" s="40" t="s">
        <v>116</v>
      </c>
      <c r="I160" s="40" t="s">
        <v>116</v>
      </c>
      <c r="J160" s="45" t="s">
        <v>116</v>
      </c>
      <c r="K160" s="124"/>
    </row>
    <row r="161">
      <c r="A161" s="2"/>
      <c r="B161" s="47" t="s">
        <v>119</v>
      </c>
      <c r="C161" s="40">
        <f>IFERROR(C155/C239,"n.a.")</f>
        <v>0.003433992990406061</v>
      </c>
      <c r="D161" s="40">
        <f>IFERROR(D155/D239,"n.a.")</f>
        <v>0.0038261123055059578</v>
      </c>
      <c r="E161" s="40">
        <f>IFERROR(E155/E239,"n.a.")</f>
        <v>0.003960055096418733</v>
      </c>
      <c r="F161" s="40">
        <f>IFERROR(F155/F239,"n.a.")</f>
        <v>0.0038424930376846334</v>
      </c>
      <c r="G161" s="40">
        <f>IFERROR(G155/G239,"n.a.")</f>
        <v>0.0037666781612244356</v>
      </c>
      <c r="H161" s="40">
        <f>IFERROR(H155/H239,"n.a.")</f>
        <v>0.003633720930232558</v>
      </c>
      <c r="I161" s="40">
        <f>IFERROR(I155/I239,"n.a.")</f>
        <v>0.004151086887635465</v>
      </c>
      <c r="J161" s="45">
        <f>IFERROR(J155/J239,"n.a.")</f>
        <v>0.004307938780301212</v>
      </c>
      <c r="K161" s="124"/>
    </row>
    <row r="162">
      <c r="A162" s="2"/>
      <c r="B162" s="3" t="s">
        <v>256</v>
      </c>
      <c r="C162" s="37">
        <v>4813</v>
      </c>
      <c r="D162" s="37">
        <v>4780</v>
      </c>
      <c r="E162" s="37">
        <v>5063</v>
      </c>
      <c r="F162" s="37">
        <v>5300</v>
      </c>
      <c r="G162" s="43">
        <f>SUM(C162:F162)</f>
        <v>19956</v>
      </c>
      <c r="H162" s="37">
        <v>5541</v>
      </c>
      <c r="I162" s="37">
        <v>5653</v>
      </c>
      <c r="J162" s="48">
        <f>'Segment - GWIM'!J96+'Segment - Global Markets'!J103+J155</f>
        <v>5724.927333165754</v>
      </c>
      <c r="K162" s="125" t="s">
        <v>127</v>
      </c>
    </row>
    <row r="163">
      <c r="A163" s="2"/>
      <c r="B163" s="47" t="s">
        <v>113</v>
      </c>
      <c r="C163" s="7"/>
      <c r="D163" s="7"/>
      <c r="E163" s="7"/>
      <c r="F163" s="7"/>
      <c r="G163" s="7"/>
      <c r="H163" s="40">
        <f>IF(OR(H162="",C162=""),"n.a.",IFERROR(IF(C162&lt;=0,"n.m.",IF(H162/C162&lt;=0,"n.m.",H162/C162-1)),"n.a."))</f>
        <v>0.15125701225846666</v>
      </c>
      <c r="I163" s="40">
        <f>IF(OR(I162="",D162=""),"n.a.",IFERROR(IF(D162&lt;=0,"n.m.",IF(I162/D162&lt;=0,"n.m.",I162/D162-1)),"n.a."))</f>
        <v>0.18263598326359842</v>
      </c>
      <c r="J163" s="45">
        <f>IF(OR(J162="",E162=""),"n.a.",IFERROR(IF(E162&lt;=0,"n.m.",IF(J162/E162&lt;=0,"n.m.",J162/E162-1)),"n.a."))</f>
        <v>0.13073816574476682</v>
      </c>
      <c r="K163" s="124"/>
    </row>
    <row r="164">
      <c r="A164" s="2"/>
      <c r="B164" s="47" t="s">
        <v>114</v>
      </c>
      <c r="C164" s="7"/>
      <c r="D164" s="40">
        <f>IF(OR(D162="",C162=""),"n.a.",IFERROR(IF(C162&lt;=0,"n.m.",IF(D162/C162&lt;=0,"n.m.",D162/C162-1)),"n.a."))</f>
        <v>-0.006856430500727151</v>
      </c>
      <c r="E164" s="40">
        <f>IF(OR(E162="",D162=""),"n.a.",IFERROR(IF(D162&lt;=0,"n.m.",IF(E162/D162&lt;=0,"n.m.",E162/D162-1)),"n.a."))</f>
        <v>0.05920502092050217</v>
      </c>
      <c r="F164" s="40">
        <f>IF(OR(F162="",E162=""),"n.a.",IFERROR(IF(E162&lt;=0,"n.m.",IF(F162/E162&lt;=0,"n.m.",F162/E162-1)),"n.a."))</f>
        <v>0.04681019158601618</v>
      </c>
      <c r="G164" s="7"/>
      <c r="H164" s="40">
        <f>IF(OR(H162="",F162=""),"n.a.",IFERROR(IF(F162&lt;=0,"n.m.",IF(H162/F162&lt;=0,"n.m.",H162/F162-1)),"n.a."))</f>
        <v>0.045471698113207504</v>
      </c>
      <c r="I164" s="40">
        <f>IF(OR(I162="",H162=""),"n.a.",IFERROR(IF(H162&lt;=0,"n.m.",IF(I162/H162&lt;=0,"n.m.",I162/H162-1)),"n.a."))</f>
        <v>0.02021295794982847</v>
      </c>
      <c r="J164" s="45">
        <f>IF(OR(J162="",I162=""),"n.a.",IFERROR(IF(I162&lt;=0,"n.m.",IF(J162/I162&lt;=0,"n.m.",J162/I162-1)),"n.a."))</f>
        <v>0.012723745474217951</v>
      </c>
      <c r="K164" s="124"/>
    </row>
    <row r="165">
      <c r="A165" s="2"/>
      <c r="B165" s="47" t="s">
        <v>115</v>
      </c>
      <c r="C165" s="7"/>
      <c r="D165" s="7"/>
      <c r="E165" s="7"/>
      <c r="F165" s="7"/>
      <c r="G165" s="7"/>
      <c r="H165" s="40" t="s">
        <v>116</v>
      </c>
      <c r="I165" s="40" t="s">
        <v>116</v>
      </c>
      <c r="J165" s="45" t="s">
        <v>116</v>
      </c>
      <c r="K165" s="124"/>
    </row>
    <row r="166">
      <c r="A166" s="2"/>
      <c r="B166" s="47" t="s">
        <v>117</v>
      </c>
      <c r="C166" s="7"/>
      <c r="D166" s="7"/>
      <c r="E166" s="7"/>
      <c r="F166" s="7"/>
      <c r="G166" s="7"/>
      <c r="H166" s="40" t="s">
        <v>116</v>
      </c>
      <c r="I166" s="40" t="s">
        <v>116</v>
      </c>
      <c r="J166" s="45" t="s">
        <v>116</v>
      </c>
      <c r="K166" s="124"/>
    </row>
    <row r="167">
      <c r="A167" s="2"/>
      <c r="B167" s="47" t="s">
        <v>118</v>
      </c>
      <c r="C167" s="7"/>
      <c r="D167" s="7"/>
      <c r="E167" s="7"/>
      <c r="F167" s="7"/>
      <c r="G167" s="7"/>
      <c r="H167" s="40" t="s">
        <v>116</v>
      </c>
      <c r="I167" s="40" t="s">
        <v>116</v>
      </c>
      <c r="J167" s="45" t="s">
        <v>116</v>
      </c>
      <c r="K167" s="124"/>
    </row>
    <row r="168">
      <c r="A168" s="2"/>
      <c r="B168" s="47" t="s">
        <v>119</v>
      </c>
      <c r="C168" s="40">
        <f>IFERROR(C162/C239,"n.a.")</f>
        <v>0.17038977590540588</v>
      </c>
      <c r="D168" s="40">
        <f>IFERROR(D162/D239,"n.a.")</f>
        <v>0.17417920781255694</v>
      </c>
      <c r="E168" s="40">
        <f>IFERROR(E162/E239,"n.a.")</f>
        <v>0.17434573002754822</v>
      </c>
      <c r="F168" s="40">
        <f>IFERROR(F162/F239,"n.a.")</f>
        <v>0.18683681742870237</v>
      </c>
      <c r="G168" s="40">
        <f>IFERROR(G162/G239,"n.a.")</f>
        <v>0.17645030372158413</v>
      </c>
      <c r="H168" s="40">
        <f>IFERROR(H162/H239,"n.a.")</f>
        <v>0.1830404334038055</v>
      </c>
      <c r="I168" s="40">
        <f>IFERROR(I162/I239,"n.a.")</f>
        <v>0.1791304898916281</v>
      </c>
      <c r="J168" s="45">
        <f>IFERROR(J162/J239,"n.a.")</f>
        <v>0.1897125882534704</v>
      </c>
      <c r="K168" s="124"/>
    </row>
    <row r="169">
      <c r="A169" s="2"/>
      <c r="B169" s="104" t="s">
        <v>384</v>
      </c>
      <c r="C169" s="37">
        <v>3738</v>
      </c>
      <c r="D169" s="37">
        <v>3698</v>
      </c>
      <c r="E169" s="37">
        <v>3972</v>
      </c>
      <c r="F169" s="37">
        <v>4193</v>
      </c>
      <c r="G169" s="43">
        <f>SUM(C169:F169)</f>
        <v>15601</v>
      </c>
      <c r="H169" s="37">
        <v>4312</v>
      </c>
      <c r="I169" s="37">
        <v>4427</v>
      </c>
      <c r="J169" s="48">
        <f>'Segment - GWIM'!J34</f>
        <v>4574.927333165754</v>
      </c>
      <c r="K169" s="125" t="s">
        <v>127</v>
      </c>
    </row>
    <row r="170">
      <c r="A170" s="2"/>
      <c r="B170" s="47" t="s">
        <v>113</v>
      </c>
      <c r="C170" s="7"/>
      <c r="D170" s="7"/>
      <c r="E170" s="7"/>
      <c r="F170" s="7"/>
      <c r="G170" s="7"/>
      <c r="H170" s="40">
        <f>IF(OR(H169="",C169=""),"n.a.",IFERROR(IF(C169&lt;=0,"n.m.",IF(H169/C169&lt;=0,"n.m.",H169/C169-1)),"n.a."))</f>
        <v>0.15355805243445686</v>
      </c>
      <c r="I170" s="40">
        <f>IF(OR(I169="",D169=""),"n.a.",IFERROR(IF(D169&lt;=0,"n.m.",IF(I169/D169&lt;=0,"n.m.",I169/D169-1)),"n.a."))</f>
        <v>0.197133585722012</v>
      </c>
      <c r="J170" s="45">
        <f>IF(OR(J169="",E169=""),"n.a.",IFERROR(IF(E169&lt;=0,"n.m.",IF(J169/E169&lt;=0,"n.m.",J169/E169-1)),"n.a."))</f>
        <v>0.151794394049787</v>
      </c>
      <c r="K170" s="124"/>
    </row>
    <row r="171">
      <c r="A171" s="2"/>
      <c r="B171" s="47" t="s">
        <v>114</v>
      </c>
      <c r="C171" s="7"/>
      <c r="D171" s="40">
        <f>IF(OR(D169="",C169=""),"n.a.",IFERROR(IF(C169&lt;=0,"n.m.",IF(D169/C169&lt;=0,"n.m.",D169/C169-1)),"n.a."))</f>
        <v>-0.010700909577314066</v>
      </c>
      <c r="E171" s="40">
        <f>IF(OR(E169="",D169=""),"n.a.",IFERROR(IF(D169&lt;=0,"n.m.",IF(E169/D169&lt;=0,"n.m.",E169/D169-1)),"n.a."))</f>
        <v>0.0740941049215793</v>
      </c>
      <c r="F171" s="40">
        <f>IF(OR(F169="",E169=""),"n.a.",IFERROR(IF(E169&lt;=0,"n.m.",IF(F169/E169&lt;=0,"n.m.",F169/E169-1)),"n.a."))</f>
        <v>0.05563947633434041</v>
      </c>
      <c r="G171" s="7"/>
      <c r="H171" s="40">
        <f>IF(OR(H169="",F169=""),"n.a.",IFERROR(IF(F169&lt;=0,"n.m.",IF(H169/F169&lt;=0,"n.m.",H169/F169-1)),"n.a."))</f>
        <v>0.028380634390651194</v>
      </c>
      <c r="I171" s="40">
        <f>IF(OR(I169="",H169=""),"n.a.",IFERROR(IF(H169&lt;=0,"n.m.",IF(I169/H169&lt;=0,"n.m.",I169/H169-1)),"n.a."))</f>
        <v>0.026669758812615907</v>
      </c>
      <c r="J171" s="45">
        <f>IF(OR(J169="",I169=""),"n.a.",IFERROR(IF(I169&lt;=0,"n.m.",IF(J169/I169&lt;=0,"n.m.",J169/I169-1)),"n.a."))</f>
        <v>0.03341480306432221</v>
      </c>
      <c r="K171" s="124"/>
    </row>
    <row r="172">
      <c r="A172" s="2"/>
      <c r="B172" s="47" t="s">
        <v>115</v>
      </c>
      <c r="C172" s="7"/>
      <c r="D172" s="7"/>
      <c r="E172" s="7"/>
      <c r="F172" s="7"/>
      <c r="G172" s="7"/>
      <c r="H172" s="40" t="s">
        <v>116</v>
      </c>
      <c r="I172" s="40" t="s">
        <v>116</v>
      </c>
      <c r="J172" s="45" t="s">
        <v>116</v>
      </c>
      <c r="K172" s="124"/>
    </row>
    <row r="173">
      <c r="A173" s="2"/>
      <c r="B173" s="47" t="s">
        <v>117</v>
      </c>
      <c r="C173" s="7"/>
      <c r="D173" s="7"/>
      <c r="E173" s="7"/>
      <c r="F173" s="7"/>
      <c r="G173" s="7"/>
      <c r="H173" s="40" t="s">
        <v>116</v>
      </c>
      <c r="I173" s="40" t="s">
        <v>116</v>
      </c>
      <c r="J173" s="45" t="s">
        <v>116</v>
      </c>
      <c r="K173" s="124"/>
    </row>
    <row r="174">
      <c r="A174" s="2"/>
      <c r="B174" s="47" t="s">
        <v>118</v>
      </c>
      <c r="C174" s="7"/>
      <c r="D174" s="7"/>
      <c r="E174" s="7"/>
      <c r="F174" s="7"/>
      <c r="G174" s="7"/>
      <c r="H174" s="40" t="s">
        <v>116</v>
      </c>
      <c r="I174" s="40" t="s">
        <v>116</v>
      </c>
      <c r="J174" s="45" t="s">
        <v>116</v>
      </c>
      <c r="K174" s="124"/>
    </row>
    <row r="175">
      <c r="A175" s="2"/>
      <c r="B175" s="47" t="s">
        <v>119</v>
      </c>
      <c r="C175" s="40">
        <f>IFERROR(C169/C239,"n.a.")</f>
        <v>0.1323326370942047</v>
      </c>
      <c r="D175" s="40">
        <f>IFERROR(D169/D239,"n.a.")</f>
        <v>0.1347520314834384</v>
      </c>
      <c r="E175" s="40">
        <f>IFERROR(E169/E239,"n.a.")</f>
        <v>0.13677685950413224</v>
      </c>
      <c r="F175" s="40">
        <f>IFERROR(F169/F239,"n.a.")</f>
        <v>0.14781259914689604</v>
      </c>
      <c r="G175" s="40">
        <f>IFERROR(G169/G239,"n.a.")</f>
        <v>0.1379435351954517</v>
      </c>
      <c r="H175" s="40">
        <f>IFERROR(H169/H239,"n.a.")</f>
        <v>0.14244186046511628</v>
      </c>
      <c r="I175" s="40">
        <f>IFERROR(I169/I239,"n.a.")</f>
        <v>0.1402813866531466</v>
      </c>
      <c r="J175" s="45">
        <f>IFERROR(J169/J239,"n.a.")</f>
        <v>0.1516038990431135</v>
      </c>
      <c r="K175" s="124"/>
    </row>
    <row r="176">
      <c r="A176" s="2"/>
      <c r="B176" s="104" t="s">
        <v>385</v>
      </c>
      <c r="C176" s="37">
        <v>1075</v>
      </c>
      <c r="D176" s="37">
        <v>1082</v>
      </c>
      <c r="E176" s="37">
        <v>1091</v>
      </c>
      <c r="F176" s="37">
        <v>1107</v>
      </c>
      <c r="G176" s="43">
        <f>SUM(C176:F176)</f>
        <v>4355</v>
      </c>
      <c r="H176" s="37">
        <v>1229</v>
      </c>
      <c r="I176" s="37">
        <v>1226</v>
      </c>
      <c r="J176" s="38">
        <f>J162-J169</f>
        <v>1150</v>
      </c>
      <c r="K176" s="125" t="s">
        <v>127</v>
      </c>
    </row>
    <row r="177">
      <c r="A177" s="2"/>
      <c r="B177" s="47" t="s">
        <v>113</v>
      </c>
      <c r="C177" s="7"/>
      <c r="D177" s="7"/>
      <c r="E177" s="7"/>
      <c r="F177" s="7"/>
      <c r="G177" s="7"/>
      <c r="H177" s="40">
        <f>IF(OR(H176="",C176=""),"n.a.",IFERROR(IF(C176&lt;=0,"n.m.",IF(H176/C176&lt;=0,"n.m.",H176/C176-1)),"n.a."))</f>
        <v>0.1432558139534883</v>
      </c>
      <c r="I177" s="40">
        <f>IF(OR(I176="",D176=""),"n.a.",IFERROR(IF(D176&lt;=0,"n.m.",IF(I176/D176&lt;=0,"n.m.",I176/D176-1)),"n.a."))</f>
        <v>0.13308687615526793</v>
      </c>
      <c r="J177" s="45">
        <f>IF(OR(J176="",E176=""),"n.a.",IFERROR(IF(E176&lt;=0,"n.m.",IF(J176/E176&lt;=0,"n.m.",J176/E176-1)),"n.a."))</f>
        <v>0.054078826764436316</v>
      </c>
      <c r="K177" s="124"/>
    </row>
    <row r="178">
      <c r="A178" s="2"/>
      <c r="B178" s="47" t="s">
        <v>114</v>
      </c>
      <c r="C178" s="7"/>
      <c r="D178" s="40">
        <f>IF(OR(D176="",C176=""),"n.a.",IFERROR(IF(C176&lt;=0,"n.m.",IF(D176/C176&lt;=0,"n.m.",D176/C176-1)),"n.a."))</f>
        <v>0.006511627906976791</v>
      </c>
      <c r="E178" s="40">
        <f>IF(OR(E176="",D176=""),"n.a.",IFERROR(IF(D176&lt;=0,"n.m.",IF(E176/D176&lt;=0,"n.m.",E176/D176-1)),"n.a."))</f>
        <v>0.008317929759704246</v>
      </c>
      <c r="F178" s="40">
        <f>IF(OR(F176="",E176=""),"n.a.",IFERROR(IF(E176&lt;=0,"n.m.",IF(F176/E176&lt;=0,"n.m.",F176/E176-1)),"n.a."))</f>
        <v>0.01466544454628771</v>
      </c>
      <c r="G178" s="7"/>
      <c r="H178" s="40">
        <f>IF(OR(H176="",F176=""),"n.a.",IFERROR(IF(F176&lt;=0,"n.m.",IF(H176/F176&lt;=0,"n.m.",H176/F176-1)),"n.a."))</f>
        <v>0.11020776874435412</v>
      </c>
      <c r="I178" s="40">
        <f>IF(OR(I176="",H176=""),"n.a.",IFERROR(IF(H176&lt;=0,"n.m.",IF(I176/H176&lt;=0,"n.m.",I176/H176-1)),"n.a."))</f>
        <v>-0.0024410089503661414</v>
      </c>
      <c r="J178" s="45">
        <f>IF(OR(J176="",I176=""),"n.a.",IFERROR(IF(I176&lt;=0,"n.m.",IF(J176/I176&lt;=0,"n.m.",J176/I176-1)),"n.a."))</f>
        <v>-0.06199021207177813</v>
      </c>
      <c r="K178" s="124"/>
    </row>
    <row r="179">
      <c r="A179" s="2"/>
      <c r="B179" s="47" t="s">
        <v>115</v>
      </c>
      <c r="C179" s="7"/>
      <c r="D179" s="7"/>
      <c r="E179" s="7"/>
      <c r="F179" s="7"/>
      <c r="G179" s="7"/>
      <c r="H179" s="40" t="s">
        <v>116</v>
      </c>
      <c r="I179" s="40" t="s">
        <v>116</v>
      </c>
      <c r="J179" s="45" t="s">
        <v>116</v>
      </c>
      <c r="K179" s="124"/>
    </row>
    <row r="180">
      <c r="A180" s="2"/>
      <c r="B180" s="47" t="s">
        <v>117</v>
      </c>
      <c r="C180" s="7"/>
      <c r="D180" s="7"/>
      <c r="E180" s="7"/>
      <c r="F180" s="7"/>
      <c r="G180" s="7"/>
      <c r="H180" s="40" t="s">
        <v>116</v>
      </c>
      <c r="I180" s="40" t="s">
        <v>116</v>
      </c>
      <c r="J180" s="45" t="s">
        <v>116</v>
      </c>
      <c r="K180" s="124"/>
    </row>
    <row r="181">
      <c r="A181" s="2"/>
      <c r="B181" s="47" t="s">
        <v>118</v>
      </c>
      <c r="C181" s="7"/>
      <c r="D181" s="7"/>
      <c r="E181" s="7"/>
      <c r="F181" s="7"/>
      <c r="G181" s="7"/>
      <c r="H181" s="40" t="s">
        <v>116</v>
      </c>
      <c r="I181" s="40" t="s">
        <v>116</v>
      </c>
      <c r="J181" s="45" t="s">
        <v>116</v>
      </c>
      <c r="K181" s="124"/>
    </row>
    <row r="182">
      <c r="A182" s="2"/>
      <c r="B182" s="47" t="s">
        <v>119</v>
      </c>
      <c r="C182" s="40">
        <f>IFERROR(C176/C239,"n.a.")</f>
        <v>0.03805713881120119</v>
      </c>
      <c r="D182" s="40">
        <f>IFERROR(D176/D239,"n.a.")</f>
        <v>0.03942717632911854</v>
      </c>
      <c r="E182" s="40">
        <f>IFERROR(E176/E239,"n.a.")</f>
        <v>0.037568870523415974</v>
      </c>
      <c r="F182" s="40">
        <f>IFERROR(F176/F239,"n.a.")</f>
        <v>0.03902421828180633</v>
      </c>
      <c r="G182" s="40">
        <f>IFERROR(G176/G239,"n.a.")</f>
        <v>0.03850676852613243</v>
      </c>
      <c r="H182" s="40">
        <f>IFERROR(H176/H239,"n.a.")</f>
        <v>0.040598572938689216</v>
      </c>
      <c r="I182" s="40">
        <f>IFERROR(I176/I239,"n.a.")</f>
        <v>0.03884910323848153</v>
      </c>
      <c r="J182" s="45">
        <f>IFERROR(J176/J239,"n.a.")</f>
        <v>0.03810868921035688</v>
      </c>
      <c r="K182" s="124"/>
    </row>
    <row r="183">
      <c r="A183" s="2"/>
      <c r="B183" s="3" t="s">
        <v>301</v>
      </c>
      <c r="C183" s="37">
        <v>1523</v>
      </c>
      <c r="D183" s="37">
        <v>1428</v>
      </c>
      <c r="E183" s="37">
        <v>2013</v>
      </c>
      <c r="F183" s="37">
        <v>1666</v>
      </c>
      <c r="G183" s="43">
        <f>SUM(C183:F183)</f>
        <v>6630</v>
      </c>
      <c r="H183" s="37">
        <v>1841</v>
      </c>
      <c r="I183" s="37">
        <v>2138</v>
      </c>
      <c r="J183" s="48">
        <f>'Segment - Global Banking'!J40</f>
        <v>1800</v>
      </c>
      <c r="K183" s="125" t="s">
        <v>127</v>
      </c>
    </row>
    <row r="184">
      <c r="A184" s="2"/>
      <c r="B184" s="47" t="s">
        <v>113</v>
      </c>
      <c r="C184" s="7"/>
      <c r="D184" s="7"/>
      <c r="E184" s="7"/>
      <c r="F184" s="7"/>
      <c r="G184" s="7"/>
      <c r="H184" s="40">
        <f>IF(OR(H183="",C183=""),"n.a.",IFERROR(IF(C183&lt;=0,"n.m.",IF(H183/C183&lt;=0,"n.m.",H183/C183-1)),"n.a."))</f>
        <v>0.20879842416283645</v>
      </c>
      <c r="I184" s="40">
        <f>IF(OR(I183="",D183=""),"n.a.",IFERROR(IF(D183&lt;=0,"n.m.",IF(I183/D183&lt;=0,"n.m.",I183/D183-1)),"n.a."))</f>
        <v>0.49719887955182074</v>
      </c>
      <c r="J184" s="45">
        <f>IF(OR(J183="",E183=""),"n.a.",IFERROR(IF(E183&lt;=0,"n.m.",IF(J183/E183&lt;=0,"n.m.",J183/E183-1)),"n.a."))</f>
        <v>-0.10581222056631889</v>
      </c>
      <c r="K184" s="124"/>
    </row>
    <row r="185">
      <c r="A185" s="2"/>
      <c r="B185" s="47" t="s">
        <v>114</v>
      </c>
      <c r="C185" s="7"/>
      <c r="D185" s="40">
        <f>IF(OR(D183="",C183=""),"n.a.",IFERROR(IF(C183&lt;=0,"n.m.",IF(D183/C183&lt;=0,"n.m.",D183/C183-1)),"n.a."))</f>
        <v>-0.0623768877216021</v>
      </c>
      <c r="E185" s="40">
        <f>IF(OR(E183="",D183=""),"n.a.",IFERROR(IF(D183&lt;=0,"n.m.",IF(E183/D183&lt;=0,"n.m.",E183/D183-1)),"n.a."))</f>
        <v>0.4096638655462186</v>
      </c>
      <c r="F185" s="40">
        <f>IF(OR(F183="",E183=""),"n.a.",IFERROR(IF(E183&lt;=0,"n.m.",IF(F183/E183&lt;=0,"n.m.",F183/E183-1)),"n.a."))</f>
        <v>-0.17237953303527076</v>
      </c>
      <c r="G185" s="7"/>
      <c r="H185" s="40">
        <f>IF(OR(H183="",F183=""),"n.a.",IFERROR(IF(F183&lt;=0,"n.m.",IF(H183/F183&lt;=0,"n.m.",H183/F183-1)),"n.a."))</f>
        <v>0.10504201680672276</v>
      </c>
      <c r="I185" s="40">
        <f>IF(OR(I183="",H183=""),"n.a.",IFERROR(IF(H183&lt;=0,"n.m.",IF(I183/H183&lt;=0,"n.m.",I183/H183-1)),"n.a."))</f>
        <v>0.16132536664856056</v>
      </c>
      <c r="J185" s="45">
        <f>IF(OR(J183="",I183=""),"n.a.",IFERROR(IF(I183&lt;=0,"n.m.",IF(J183/I183&lt;=0,"n.m.",J183/I183-1)),"n.a."))</f>
        <v>-0.15809167446211414</v>
      </c>
      <c r="K185" s="124"/>
    </row>
    <row r="186">
      <c r="A186" s="2"/>
      <c r="B186" s="47" t="s">
        <v>115</v>
      </c>
      <c r="C186" s="7"/>
      <c r="D186" s="7"/>
      <c r="E186" s="7"/>
      <c r="F186" s="7"/>
      <c r="G186" s="7"/>
      <c r="H186" s="40" t="s">
        <v>116</v>
      </c>
      <c r="I186" s="40" t="s">
        <v>116</v>
      </c>
      <c r="J186" s="45" t="s">
        <v>116</v>
      </c>
      <c r="K186" s="124"/>
    </row>
    <row r="187">
      <c r="A187" s="2"/>
      <c r="B187" s="47" t="s">
        <v>117</v>
      </c>
      <c r="C187" s="7"/>
      <c r="D187" s="7"/>
      <c r="E187" s="7"/>
      <c r="F187" s="7"/>
      <c r="G187" s="7"/>
      <c r="H187" s="40" t="s">
        <v>116</v>
      </c>
      <c r="I187" s="40" t="s">
        <v>116</v>
      </c>
      <c r="J187" s="45" t="s">
        <v>116</v>
      </c>
      <c r="K187" s="124"/>
    </row>
    <row r="188">
      <c r="A188" s="2"/>
      <c r="B188" s="47" t="s">
        <v>118</v>
      </c>
      <c r="C188" s="7"/>
      <c r="D188" s="7"/>
      <c r="E188" s="7"/>
      <c r="F188" s="7"/>
      <c r="G188" s="7"/>
      <c r="H188" s="40" t="s">
        <v>116</v>
      </c>
      <c r="I188" s="40" t="s">
        <v>116</v>
      </c>
      <c r="J188" s="45" t="s">
        <v>116</v>
      </c>
      <c r="K188" s="124"/>
    </row>
    <row r="189">
      <c r="A189" s="2"/>
      <c r="B189" s="47" t="s">
        <v>119</v>
      </c>
      <c r="C189" s="40">
        <f>IFERROR(C183/C239,"n.a.")</f>
        <v>0.053917230148334334</v>
      </c>
      <c r="D189" s="40">
        <f>IFERROR(D183/D239,"n.a.")</f>
        <v>0.05203512735488103</v>
      </c>
      <c r="E189" s="40">
        <f>IFERROR(E183/E239,"n.a.")</f>
        <v>0.06931818181818182</v>
      </c>
      <c r="F189" s="40">
        <f>IFERROR(F183/F239,"n.a.")</f>
        <v>0.0587302146860789</v>
      </c>
      <c r="G189" s="40">
        <f>IFERROR(G183/G239,"n.a.")</f>
        <v>0.05862224462187326</v>
      </c>
      <c r="H189" s="40">
        <f>IFERROR(H183/H239,"n.a.")</f>
        <v>0.06081527484143763</v>
      </c>
      <c r="I189" s="40">
        <f>IFERROR(I183/I239,"n.a.")</f>
        <v>0.067748273021104</v>
      </c>
      <c r="J189" s="45">
        <f>IFERROR(J183/J239,"n.a.")</f>
        <v>0.05964838311186294</v>
      </c>
      <c r="K189" s="124"/>
    </row>
    <row r="190">
      <c r="A190" s="2"/>
      <c r="B190" s="104" t="s">
        <v>386</v>
      </c>
      <c r="C190" s="58">
        <f>'Segment - Global Banking'!C10</f>
        <v>384</v>
      </c>
      <c r="D190" s="58">
        <f>'Segment - Global Banking'!D10</f>
        <v>333</v>
      </c>
      <c r="E190" s="58">
        <f>'Segment - Global Banking'!E10</f>
        <v>583</v>
      </c>
      <c r="F190" s="58">
        <f>'Segment - Global Banking'!F10</f>
        <v>590</v>
      </c>
      <c r="G190" s="58">
        <f>'Segment - Global Banking'!G10</f>
        <v>1890</v>
      </c>
      <c r="H190" s="58">
        <f>'Segment - Global Banking'!H10</f>
        <v>553</v>
      </c>
      <c r="I190" s="58">
        <f>'Segment - Global Banking'!I10</f>
        <v>558</v>
      </c>
      <c r="J190" s="48">
        <f>'Segment - Global Banking'!J10</f>
        <v>540</v>
      </c>
      <c r="K190" s="124"/>
    </row>
    <row r="191">
      <c r="A191" s="2"/>
      <c r="B191" s="47" t="s">
        <v>113</v>
      </c>
      <c r="C191" s="7"/>
      <c r="D191" s="7"/>
      <c r="E191" s="7"/>
      <c r="F191" s="7"/>
      <c r="G191" s="7"/>
      <c r="H191" s="40">
        <f>IF(OR(H190="",C190=""),"n.a.",IFERROR(IF(C190&lt;=0,"n.m.",IF(H190/C190&lt;=0,"n.m.",H190/C190-1)),"n.a."))</f>
        <v>0.44010416666666674</v>
      </c>
      <c r="I191" s="40">
        <f>IF(OR(I190="",D190=""),"n.a.",IFERROR(IF(D190&lt;=0,"n.m.",IF(I190/D190&lt;=0,"n.m.",I190/D190-1)),"n.a."))</f>
        <v>0.6756756756756757</v>
      </c>
      <c r="J191" s="45">
        <f>IF(OR(J190="",E190=""),"n.a.",IFERROR(IF(E190&lt;=0,"n.m.",IF(J190/E190&lt;=0,"n.m.",J190/E190-1)),"n.a."))</f>
        <v>-0.07375643224699824</v>
      </c>
      <c r="K191" s="124"/>
    </row>
    <row r="192">
      <c r="A192" s="2"/>
      <c r="B192" s="47" t="s">
        <v>114</v>
      </c>
      <c r="C192" s="7"/>
      <c r="D192" s="40">
        <f>IF(OR(D190="",C190=""),"n.a.",IFERROR(IF(C190&lt;=0,"n.m.",IF(D190/C190&lt;=0,"n.m.",D190/C190-1)),"n.a."))</f>
        <v>-0.1328125</v>
      </c>
      <c r="E192" s="40">
        <f>IF(OR(E190="",D190=""),"n.a.",IFERROR(IF(D190&lt;=0,"n.m.",IF(E190/D190&lt;=0,"n.m.",E190/D190-1)),"n.a."))</f>
        <v>0.7507507507507507</v>
      </c>
      <c r="F192" s="40">
        <f>IF(OR(F190="",E190=""),"n.a.",IFERROR(IF(E190&lt;=0,"n.m.",IF(F190/E190&lt;=0,"n.m.",F190/E190-1)),"n.a."))</f>
        <v>0.012006861063464935</v>
      </c>
      <c r="G192" s="7"/>
      <c r="H192" s="40">
        <f>IF(OR(H190="",F190=""),"n.a.",IFERROR(IF(F190&lt;=0,"n.m.",IF(H190/F190&lt;=0,"n.m.",H190/F190-1)),"n.a."))</f>
        <v>-0.06271186440677967</v>
      </c>
      <c r="I192" s="40">
        <f>IF(OR(I190="",H190=""),"n.a.",IFERROR(IF(H190&lt;=0,"n.m.",IF(I190/H190&lt;=0,"n.m.",I190/H190-1)),"n.a."))</f>
        <v>0.009041591320072317</v>
      </c>
      <c r="J192" s="45">
        <f>IF(OR(J190="",I190=""),"n.a.",IFERROR(IF(I190&lt;=0,"n.m.",IF(J190/I190&lt;=0,"n.m.",J190/I190-1)),"n.a."))</f>
        <v>-0.032258064516129004</v>
      </c>
      <c r="K192" s="124"/>
    </row>
    <row r="193">
      <c r="A193" s="2"/>
      <c r="B193" s="47" t="s">
        <v>115</v>
      </c>
      <c r="C193" s="7"/>
      <c r="D193" s="7"/>
      <c r="E193" s="7"/>
      <c r="F193" s="7"/>
      <c r="G193" s="7"/>
      <c r="H193" s="40" t="s">
        <v>116</v>
      </c>
      <c r="I193" s="40" t="s">
        <v>116</v>
      </c>
      <c r="J193" s="45" t="s">
        <v>116</v>
      </c>
      <c r="K193" s="124"/>
    </row>
    <row r="194">
      <c r="A194" s="2"/>
      <c r="B194" s="47" t="s">
        <v>117</v>
      </c>
      <c r="C194" s="7"/>
      <c r="D194" s="7"/>
      <c r="E194" s="7"/>
      <c r="F194" s="7"/>
      <c r="G194" s="7"/>
      <c r="H194" s="40" t="s">
        <v>116</v>
      </c>
      <c r="I194" s="40" t="s">
        <v>116</v>
      </c>
      <c r="J194" s="45" t="s">
        <v>116</v>
      </c>
      <c r="K194" s="124"/>
    </row>
    <row r="195">
      <c r="A195" s="2"/>
      <c r="B195" s="47" t="s">
        <v>118</v>
      </c>
      <c r="C195" s="7"/>
      <c r="D195" s="7"/>
      <c r="E195" s="7"/>
      <c r="F195" s="7"/>
      <c r="G195" s="7"/>
      <c r="H195" s="40" t="s">
        <v>116</v>
      </c>
      <c r="I195" s="40" t="s">
        <v>116</v>
      </c>
      <c r="J195" s="45" t="s">
        <v>116</v>
      </c>
      <c r="K195" s="124"/>
    </row>
    <row r="196">
      <c r="A196" s="2"/>
      <c r="B196" s="47" t="s">
        <v>119</v>
      </c>
      <c r="C196" s="40">
        <f>IFERROR(C190/C239,"n.a.")</f>
        <v>0.013594364003256983</v>
      </c>
      <c r="D196" s="40">
        <f>IFERROR(D190/D239,"n.a.")</f>
        <v>0.012134241883176038</v>
      </c>
      <c r="E196" s="40">
        <f>IFERROR(E190/E239,"n.a.")</f>
        <v>0.020075757575757577</v>
      </c>
      <c r="F196" s="40">
        <f>IFERROR(F190/F239,"n.a.")</f>
        <v>0.020798815525081962</v>
      </c>
      <c r="G196" s="40">
        <f>IFERROR(G190/G239,"n.a.")</f>
        <v>0.016711318602615453</v>
      </c>
      <c r="H196" s="40">
        <f>IFERROR(H190/H239,"n.a.")</f>
        <v>0.018267706131078223</v>
      </c>
      <c r="I196" s="40">
        <f>IFERROR(I190/I239,"n.a.")</f>
        <v>0.01768172888015717</v>
      </c>
      <c r="J196" s="45">
        <f>IFERROR(J190/J239,"n.a.")</f>
        <v>0.017894514933558883</v>
      </c>
      <c r="K196" s="124"/>
    </row>
    <row r="197">
      <c r="A197" s="2"/>
      <c r="B197" s="104" t="s">
        <v>387</v>
      </c>
      <c r="C197" s="37">
        <v>369</v>
      </c>
      <c r="D197" s="37">
        <v>289</v>
      </c>
      <c r="E197" s="37">
        <v>438</v>
      </c>
      <c r="F197" s="37">
        <v>324</v>
      </c>
      <c r="G197" s="43">
        <f>SUM(C197:F197)</f>
        <v>1420</v>
      </c>
      <c r="H197" s="37">
        <v>337</v>
      </c>
      <c r="I197" s="37">
        <v>360</v>
      </c>
      <c r="J197" s="75">
        <v>330</v>
      </c>
      <c r="K197" s="125" t="s">
        <v>127</v>
      </c>
    </row>
    <row r="198">
      <c r="A198" s="2"/>
      <c r="B198" s="47" t="s">
        <v>113</v>
      </c>
      <c r="C198" s="7"/>
      <c r="D198" s="7"/>
      <c r="E198" s="7"/>
      <c r="F198" s="7"/>
      <c r="G198" s="7"/>
      <c r="H198" s="40">
        <f>IF(OR(H197="",C197=""),"n.a.",IFERROR(IF(C197&lt;=0,"n.m.",IF(H197/C197&lt;=0,"n.m.",H197/C197-1)),"n.a."))</f>
        <v>-0.08672086720867211</v>
      </c>
      <c r="I198" s="40">
        <f>IF(OR(I197="",D197=""),"n.a.",IFERROR(IF(D197&lt;=0,"n.m.",IF(I197/D197&lt;=0,"n.m.",I197/D197-1)),"n.a."))</f>
        <v>0.24567474048442905</v>
      </c>
      <c r="J198" s="45">
        <f>IF(OR(J197="",E197=""),"n.a.",IFERROR(IF(E197&lt;=0,"n.m.",IF(J197/E197&lt;=0,"n.m.",J197/E197-1)),"n.a."))</f>
        <v>-0.2465753424657534</v>
      </c>
      <c r="K198" s="124"/>
    </row>
    <row r="199">
      <c r="A199" s="2"/>
      <c r="B199" s="47" t="s">
        <v>114</v>
      </c>
      <c r="C199" s="7"/>
      <c r="D199" s="40">
        <f>IF(OR(D197="",C197=""),"n.a.",IFERROR(IF(C197&lt;=0,"n.m.",IF(D197/C197&lt;=0,"n.m.",D197/C197-1)),"n.a."))</f>
        <v>-0.21680216802168017</v>
      </c>
      <c r="E199" s="40">
        <f>IF(OR(E197="",D197=""),"n.a.",IFERROR(IF(D197&lt;=0,"n.m.",IF(E197/D197&lt;=0,"n.m.",E197/D197-1)),"n.a."))</f>
        <v>0.5155709342560553</v>
      </c>
      <c r="F199" s="40">
        <f>IF(OR(F197="",E197=""),"n.a.",IFERROR(IF(E197&lt;=0,"n.m.",IF(F197/E197&lt;=0,"n.m.",F197/E197-1)),"n.a."))</f>
        <v>-0.26027397260273977</v>
      </c>
      <c r="G199" s="7"/>
      <c r="H199" s="40">
        <f>IF(OR(H197="",F197=""),"n.a.",IFERROR(IF(F197&lt;=0,"n.m.",IF(H197/F197&lt;=0,"n.m.",H197/F197-1)),"n.a."))</f>
        <v>0.04012345679012341</v>
      </c>
      <c r="I199" s="40">
        <f>IF(OR(I197="",H197=""),"n.a.",IFERROR(IF(H197&lt;=0,"n.m.",IF(I197/H197&lt;=0,"n.m.",I197/H197-1)),"n.a."))</f>
        <v>0.06824925816023741</v>
      </c>
      <c r="J199" s="45">
        <f>IF(OR(J197="",I197=""),"n.a.",IFERROR(IF(I197&lt;=0,"n.m.",IF(J197/I197&lt;=0,"n.m.",J197/I197-1)),"n.a."))</f>
        <v>-0.08333333333333337</v>
      </c>
      <c r="K199" s="124"/>
    </row>
    <row r="200">
      <c r="A200" s="2"/>
      <c r="B200" s="47" t="s">
        <v>115</v>
      </c>
      <c r="C200" s="7"/>
      <c r="D200" s="7"/>
      <c r="E200" s="7"/>
      <c r="F200" s="7"/>
      <c r="G200" s="7"/>
      <c r="H200" s="40" t="s">
        <v>116</v>
      </c>
      <c r="I200" s="40" t="s">
        <v>116</v>
      </c>
      <c r="J200" s="45" t="s">
        <v>116</v>
      </c>
      <c r="K200" s="124"/>
    </row>
    <row r="201">
      <c r="A201" s="2"/>
      <c r="B201" s="47" t="s">
        <v>117</v>
      </c>
      <c r="C201" s="7"/>
      <c r="D201" s="7"/>
      <c r="E201" s="7"/>
      <c r="F201" s="7"/>
      <c r="G201" s="7"/>
      <c r="H201" s="40" t="s">
        <v>116</v>
      </c>
      <c r="I201" s="40" t="s">
        <v>116</v>
      </c>
      <c r="J201" s="45" t="s">
        <v>116</v>
      </c>
      <c r="K201" s="124"/>
    </row>
    <row r="202">
      <c r="A202" s="2"/>
      <c r="B202" s="47" t="s">
        <v>118</v>
      </c>
      <c r="C202" s="7"/>
      <c r="D202" s="7"/>
      <c r="E202" s="7"/>
      <c r="F202" s="7"/>
      <c r="G202" s="7"/>
      <c r="H202" s="40" t="s">
        <v>116</v>
      </c>
      <c r="I202" s="40" t="s">
        <v>116</v>
      </c>
      <c r="J202" s="45" t="s">
        <v>116</v>
      </c>
      <c r="K202" s="124"/>
    </row>
    <row r="203">
      <c r="A203" s="2"/>
      <c r="B203" s="47" t="s">
        <v>119</v>
      </c>
      <c r="C203" s="40">
        <f>IFERROR(C197/C239,"n.a.")</f>
        <v>0.013063334159379757</v>
      </c>
      <c r="D203" s="40">
        <f>IFERROR(D197/D239,"n.a.")</f>
        <v>0.01053091863134497</v>
      </c>
      <c r="E203" s="40">
        <f>IFERROR(E197/E239,"n.a.")</f>
        <v>0.015082644628099174</v>
      </c>
      <c r="F203" s="40">
        <f>IFERROR(F197/F239,"n.a.")</f>
        <v>0.011421722423943315</v>
      </c>
      <c r="G203" s="40">
        <f>IFERROR(G197/G239,"n.a.")</f>
        <v>0.012555593870748118</v>
      </c>
      <c r="H203" s="40">
        <f>IFERROR(H197/H239,"n.a.")</f>
        <v>0.011132399577167018</v>
      </c>
      <c r="I203" s="40">
        <f>IFERROR(I197/I239,"n.a.")</f>
        <v>0.011407567019456239</v>
      </c>
      <c r="J203" s="45">
        <f>IFERROR(J197/J239,"n.a.")</f>
        <v>0.010935536903841539</v>
      </c>
      <c r="K203" s="124"/>
    </row>
    <row r="204">
      <c r="A204" s="2"/>
      <c r="B204" s="104" t="s">
        <v>388</v>
      </c>
      <c r="C204" s="37">
        <v>770</v>
      </c>
      <c r="D204" s="37">
        <v>806</v>
      </c>
      <c r="E204" s="37">
        <v>992</v>
      </c>
      <c r="F204" s="37">
        <v>752</v>
      </c>
      <c r="G204" s="43">
        <f>SUM(C204:F204)</f>
        <v>3320</v>
      </c>
      <c r="H204" s="37">
        <v>951</v>
      </c>
      <c r="I204" s="37">
        <v>1220</v>
      </c>
      <c r="J204" s="38">
        <f>J183-J190-J197</f>
        <v>930</v>
      </c>
      <c r="K204" s="125" t="s">
        <v>127</v>
      </c>
    </row>
    <row r="205">
      <c r="A205" s="2"/>
      <c r="B205" s="47" t="s">
        <v>113</v>
      </c>
      <c r="C205" s="7"/>
      <c r="D205" s="7"/>
      <c r="E205" s="7"/>
      <c r="F205" s="7"/>
      <c r="G205" s="7"/>
      <c r="H205" s="40">
        <f>IF(OR(H204="",C204=""),"n.a.",IFERROR(IF(C204&lt;=0,"n.m.",IF(H204/C204&lt;=0,"n.m.",H204/C204-1)),"n.a."))</f>
        <v>0.23506493506493498</v>
      </c>
      <c r="I205" s="40">
        <f>IF(OR(I204="",D204=""),"n.a.",IFERROR(IF(D204&lt;=0,"n.m.",IF(I204/D204&lt;=0,"n.m.",I204/D204-1)),"n.a."))</f>
        <v>0.5136476426799008</v>
      </c>
      <c r="J205" s="45">
        <f>IF(OR(J204="",E204=""),"n.a.",IFERROR(IF(E204&lt;=0,"n.m.",IF(J204/E204&lt;=0,"n.m.",J204/E204-1)),"n.a."))</f>
        <v>-0.0625</v>
      </c>
      <c r="K205" s="124"/>
    </row>
    <row r="206">
      <c r="A206" s="2"/>
      <c r="B206" s="47" t="s">
        <v>114</v>
      </c>
      <c r="C206" s="7"/>
      <c r="D206" s="40">
        <f>IF(OR(D204="",C204=""),"n.a.",IFERROR(IF(C204&lt;=0,"n.m.",IF(D204/C204&lt;=0,"n.m.",D204/C204-1)),"n.a."))</f>
        <v>0.04675324675324677</v>
      </c>
      <c r="E206" s="40">
        <f>IF(OR(E204="",D204=""),"n.a.",IFERROR(IF(D204&lt;=0,"n.m.",IF(E204/D204&lt;=0,"n.m.",E204/D204-1)),"n.a."))</f>
        <v>0.23076923076923084</v>
      </c>
      <c r="F206" s="40">
        <f>IF(OR(F204="",E204=""),"n.a.",IFERROR(IF(E204&lt;=0,"n.m.",IF(F204/E204&lt;=0,"n.m.",F204/E204-1)),"n.a."))</f>
        <v>-0.24193548387096775</v>
      </c>
      <c r="G206" s="7"/>
      <c r="H206" s="40">
        <f>IF(OR(H204="",F204=""),"n.a.",IFERROR(IF(F204&lt;=0,"n.m.",IF(H204/F204&lt;=0,"n.m.",H204/F204-1)),"n.a."))</f>
        <v>0.2646276595744681</v>
      </c>
      <c r="I206" s="40">
        <f>IF(OR(I204="",H204=""),"n.a.",IFERROR(IF(H204&lt;=0,"n.m.",IF(I204/H204&lt;=0,"n.m.",I204/H204-1)),"n.a."))</f>
        <v>0.28286014721345953</v>
      </c>
      <c r="J206" s="45">
        <f>IF(OR(J204="",I204=""),"n.a.",IFERROR(IF(I204&lt;=0,"n.m.",IF(J204/I204&lt;=0,"n.m.",J204/I204-1)),"n.a."))</f>
        <v>-0.23770491803278693</v>
      </c>
      <c r="K206" s="124"/>
    </row>
    <row r="207">
      <c r="A207" s="2"/>
      <c r="B207" s="47" t="s">
        <v>115</v>
      </c>
      <c r="C207" s="7"/>
      <c r="D207" s="7"/>
      <c r="E207" s="7"/>
      <c r="F207" s="7"/>
      <c r="G207" s="7"/>
      <c r="H207" s="40" t="s">
        <v>116</v>
      </c>
      <c r="I207" s="40" t="s">
        <v>116</v>
      </c>
      <c r="J207" s="45" t="s">
        <v>116</v>
      </c>
      <c r="K207" s="124"/>
    </row>
    <row r="208">
      <c r="A208" s="2"/>
      <c r="B208" s="47" t="s">
        <v>117</v>
      </c>
      <c r="C208" s="7"/>
      <c r="D208" s="7"/>
      <c r="E208" s="7"/>
      <c r="F208" s="7"/>
      <c r="G208" s="7"/>
      <c r="H208" s="40" t="s">
        <v>116</v>
      </c>
      <c r="I208" s="40" t="s">
        <v>116</v>
      </c>
      <c r="J208" s="45" t="s">
        <v>116</v>
      </c>
      <c r="K208" s="124"/>
    </row>
    <row r="209">
      <c r="A209" s="2"/>
      <c r="B209" s="47" t="s">
        <v>118</v>
      </c>
      <c r="C209" s="7"/>
      <c r="D209" s="7"/>
      <c r="E209" s="7"/>
      <c r="F209" s="7"/>
      <c r="G209" s="7"/>
      <c r="H209" s="40" t="s">
        <v>116</v>
      </c>
      <c r="I209" s="40" t="s">
        <v>116</v>
      </c>
      <c r="J209" s="45" t="s">
        <v>116</v>
      </c>
      <c r="K209" s="124"/>
    </row>
    <row r="210">
      <c r="A210" s="2"/>
      <c r="B210" s="47" t="s">
        <v>119</v>
      </c>
      <c r="C210" s="40">
        <f>IFERROR(C204/C239,"n.a.")</f>
        <v>0.027259531985697597</v>
      </c>
      <c r="D210" s="40">
        <f>IFERROR(D204/D239,"n.a.")</f>
        <v>0.02936996684036002</v>
      </c>
      <c r="E210" s="40">
        <f>IFERROR(E204/E239,"n.a.")</f>
        <v>0.03415977961432507</v>
      </c>
      <c r="F210" s="40">
        <f>IFERROR(F204/F239,"n.a.")</f>
        <v>0.02650967673705362</v>
      </c>
      <c r="G210" s="40">
        <f>IFERROR(G204/G239,"n.a.")</f>
        <v>0.029355332148509685</v>
      </c>
      <c r="H210" s="40">
        <f>IFERROR(H204/H239,"n.a.")</f>
        <v>0.03141516913319239</v>
      </c>
      <c r="I210" s="40">
        <f>IFERROR(I204/I239,"n.a.")</f>
        <v>0.038658977121490586</v>
      </c>
      <c r="J210" s="45">
        <f>IFERROR(J204/J239,"n.a.")</f>
        <v>0.03081833127446252</v>
      </c>
      <c r="K210" s="124"/>
    </row>
    <row r="211">
      <c r="A211" s="2"/>
      <c r="B211" s="61" t="s">
        <v>389</v>
      </c>
      <c r="C211" s="44">
        <f>C218-'Segment - Global Markets'!C123</f>
        <v>-38</v>
      </c>
      <c r="D211" s="44">
        <f>D218-'Segment - Global Markets'!D123</f>
        <v>-147</v>
      </c>
      <c r="E211" s="44">
        <f>E218-'Segment - Global Markets'!E123</f>
        <v>62</v>
      </c>
      <c r="F211" s="44">
        <f>F218-'Segment - Global Markets'!F123</f>
        <v>73</v>
      </c>
      <c r="G211" s="44">
        <f>G218-'Segment - Global Markets'!G123</f>
        <v>-50</v>
      </c>
      <c r="H211" s="44">
        <f>H218-'Segment - Global Markets'!H123</f>
        <v>-84</v>
      </c>
      <c r="I211" s="44">
        <f>I218-'Segment - Global Markets'!I123</f>
        <v>-245</v>
      </c>
      <c r="J211" s="52">
        <f>AVERAGE(E211,F211,H211,I211)</f>
        <v>-48.5</v>
      </c>
      <c r="K211" s="124"/>
    </row>
    <row r="212">
      <c r="A212" s="2"/>
      <c r="B212" s="47" t="s">
        <v>113</v>
      </c>
      <c r="C212" s="7"/>
      <c r="D212" s="7"/>
      <c r="E212" s="7"/>
      <c r="F212" s="7"/>
      <c r="G212" s="7"/>
      <c r="H212" s="40" t="str">
        <f>IF(OR(H211="",C211=""),"n.a.",IFERROR(IF(C211&lt;=0,"n.m.",IF(H211/C211&lt;=0,"n.m.",H211/C211-1)),"n.a."))</f>
        <v>n.m.</v>
      </c>
      <c r="I212" s="40" t="str">
        <f>IF(OR(I211="",D211=""),"n.a.",IFERROR(IF(D211&lt;=0,"n.m.",IF(I211/D211&lt;=0,"n.m.",I211/D211-1)),"n.a."))</f>
        <v>n.m.</v>
      </c>
      <c r="J212" s="45" t="str">
        <f>IF(OR(J211="",E211=""),"n.a.",IFERROR(IF(E211&lt;=0,"n.m.",IF(J211/E211&lt;=0,"n.m.",J211/E211-1)),"n.a."))</f>
        <v>n.m.</v>
      </c>
      <c r="K212" s="124"/>
    </row>
    <row r="213">
      <c r="A213" s="2"/>
      <c r="B213" s="47" t="s">
        <v>114</v>
      </c>
      <c r="C213" s="7"/>
      <c r="D213" s="40" t="str">
        <f>IF(OR(D211="",C211=""),"n.a.",IFERROR(IF(C211&lt;=0,"n.m.",IF(D211/C211&lt;=0,"n.m.",D211/C211-1)),"n.a."))</f>
        <v>n.m.</v>
      </c>
      <c r="E213" s="40" t="str">
        <f>IF(OR(E211="",D211=""),"n.a.",IFERROR(IF(D211&lt;=0,"n.m.",IF(E211/D211&lt;=0,"n.m.",E211/D211-1)),"n.a."))</f>
        <v>n.m.</v>
      </c>
      <c r="F213" s="40">
        <f>IF(OR(F211="",E211=""),"n.a.",IFERROR(IF(E211&lt;=0,"n.m.",IF(F211/E211&lt;=0,"n.m.",F211/E211-1)),"n.a."))</f>
        <v>0.17741935483870974</v>
      </c>
      <c r="G213" s="7"/>
      <c r="H213" s="40" t="str">
        <f>IF(OR(H211="",F211=""),"n.a.",IFERROR(IF(F211&lt;=0,"n.m.",IF(H211/F211&lt;=0,"n.m.",H211/F211-1)),"n.a."))</f>
        <v>n.m.</v>
      </c>
      <c r="I213" s="40" t="str">
        <f>IF(OR(I211="",H211=""),"n.a.",IFERROR(IF(H211&lt;=0,"n.m.",IF(I211/H211&lt;=0,"n.m.",I211/H211-1)),"n.a."))</f>
        <v>n.m.</v>
      </c>
      <c r="J213" s="45" t="str">
        <f>IF(OR(J211="",I211=""),"n.a.",IFERROR(IF(I211&lt;=0,"n.m.",IF(J211/I211&lt;=0,"n.m.",J211/I211-1)),"n.a."))</f>
        <v>n.m.</v>
      </c>
      <c r="K213" s="124"/>
    </row>
    <row r="214">
      <c r="A214" s="2"/>
      <c r="B214" s="47" t="s">
        <v>115</v>
      </c>
      <c r="C214" s="7"/>
      <c r="D214" s="7"/>
      <c r="E214" s="7"/>
      <c r="F214" s="7"/>
      <c r="G214" s="7"/>
      <c r="H214" s="40" t="s">
        <v>116</v>
      </c>
      <c r="I214" s="40" t="s">
        <v>116</v>
      </c>
      <c r="J214" s="45" t="s">
        <v>116</v>
      </c>
      <c r="K214" s="124"/>
    </row>
    <row r="215">
      <c r="A215" s="2"/>
      <c r="B215" s="47" t="s">
        <v>117</v>
      </c>
      <c r="C215" s="7"/>
      <c r="D215" s="7"/>
      <c r="E215" s="7"/>
      <c r="F215" s="7"/>
      <c r="G215" s="7"/>
      <c r="H215" s="40" t="s">
        <v>116</v>
      </c>
      <c r="I215" s="40" t="s">
        <v>116</v>
      </c>
      <c r="J215" s="45" t="s">
        <v>116</v>
      </c>
      <c r="K215" s="124"/>
    </row>
    <row r="216">
      <c r="A216" s="2"/>
      <c r="B216" s="47" t="s">
        <v>118</v>
      </c>
      <c r="C216" s="7"/>
      <c r="D216" s="7"/>
      <c r="E216" s="7"/>
      <c r="F216" s="7"/>
      <c r="G216" s="7"/>
      <c r="H216" s="40" t="s">
        <v>116</v>
      </c>
      <c r="I216" s="40" t="s">
        <v>116</v>
      </c>
      <c r="J216" s="45" t="s">
        <v>116</v>
      </c>
      <c r="K216" s="124"/>
    </row>
    <row r="217">
      <c r="A217" s="2"/>
      <c r="B217" s="47" t="s">
        <v>119</v>
      </c>
      <c r="C217" s="40">
        <f>IFERROR(C211/C239,"n.a.")</f>
        <v>-0.0013452756044889723</v>
      </c>
      <c r="D217" s="40">
        <f>IFERROR(D211/D239,"n.a.")</f>
        <v>-0.0053565572277083405</v>
      </c>
      <c r="E217" s="40">
        <f>IFERROR(E211/E239,"n.a.")</f>
        <v>0.002134986225895317</v>
      </c>
      <c r="F217" s="40">
        <f>IFERROR(F211/F239,"n.a.")</f>
        <v>0.0025734127683575986</v>
      </c>
      <c r="G217" s="40">
        <f>IFERROR(G211/G239,"n.a.")</f>
        <v>-0.00044209837573056757</v>
      </c>
      <c r="H217" s="40">
        <f>IFERROR(H211/H239,"n.a.")</f>
        <v>-0.0027748414376321355</v>
      </c>
      <c r="I217" s="40">
        <f>IFERROR(I211/I239,"n.a.")</f>
        <v>-0.007763483110463274</v>
      </c>
      <c r="J217" s="45">
        <f>IFERROR(J211/J239,"n.a.")</f>
        <v>-0.0016071925449585292</v>
      </c>
      <c r="K217" s="124"/>
    </row>
    <row r="218">
      <c r="A218" s="2"/>
      <c r="B218" s="3" t="s">
        <v>346</v>
      </c>
      <c r="C218" s="37">
        <v>3584</v>
      </c>
      <c r="D218" s="37">
        <v>3153</v>
      </c>
      <c r="E218" s="37">
        <v>3203</v>
      </c>
      <c r="F218" s="37">
        <v>2074</v>
      </c>
      <c r="G218" s="43">
        <f>SUM(C218:F218)</f>
        <v>12014</v>
      </c>
      <c r="H218" s="37">
        <v>3637</v>
      </c>
      <c r="I218" s="37">
        <v>4177</v>
      </c>
      <c r="J218" s="48">
        <f>'Segment - Global Markets'!J123+J211</f>
        <v>2861.5</v>
      </c>
      <c r="K218" s="125" t="s">
        <v>127</v>
      </c>
    </row>
    <row r="219">
      <c r="A219" s="2"/>
      <c r="B219" s="47" t="s">
        <v>113</v>
      </c>
      <c r="C219" s="7"/>
      <c r="D219" s="7"/>
      <c r="E219" s="7"/>
      <c r="F219" s="7"/>
      <c r="G219" s="7"/>
      <c r="H219" s="40">
        <f>IF(OR(H218="",C218=""),"n.a.",IFERROR(IF(C218&lt;=0,"n.m.",IF(H218/C218&lt;=0,"n.m.",H218/C218-1)),"n.a."))</f>
        <v>0.014787946428571397</v>
      </c>
      <c r="I219" s="40">
        <f>IF(OR(I218="",D218=""),"n.a.",IFERROR(IF(D218&lt;=0,"n.m.",IF(I218/D218&lt;=0,"n.m.",I218/D218-1)),"n.a."))</f>
        <v>0.3247700602600698</v>
      </c>
      <c r="J219" s="45">
        <f>IF(OR(J218="",E218=""),"n.a.",IFERROR(IF(E218&lt;=0,"n.m.",IF(J218/E218&lt;=0,"n.m.",J218/E218-1)),"n.a."))</f>
        <v>-0.1066187948798002</v>
      </c>
      <c r="K219" s="124"/>
    </row>
    <row r="220">
      <c r="A220" s="2"/>
      <c r="B220" s="47" t="s">
        <v>114</v>
      </c>
      <c r="C220" s="7"/>
      <c r="D220" s="40">
        <f>IF(OR(D218="",C218=""),"n.a.",IFERROR(IF(C218&lt;=0,"n.m.",IF(D218/C218&lt;=0,"n.m.",D218/C218-1)),"n.a."))</f>
        <v>-0.1202566964285714</v>
      </c>
      <c r="E220" s="40">
        <f>IF(OR(E218="",D218=""),"n.a.",IFERROR(IF(D218&lt;=0,"n.m.",IF(E218/D218&lt;=0,"n.m.",E218/D218-1)),"n.a."))</f>
        <v>0.015857913098636267</v>
      </c>
      <c r="F220" s="40">
        <f>IF(OR(F218="",E218=""),"n.a.",IFERROR(IF(E218&lt;=0,"n.m.",IF(F218/E218&lt;=0,"n.m.",F218/E218-1)),"n.a."))</f>
        <v>-0.3524820480799251</v>
      </c>
      <c r="G220" s="7"/>
      <c r="H220" s="40">
        <f>IF(OR(H218="",F218=""),"n.a.",IFERROR(IF(F218&lt;=0,"n.m.",IF(H218/F218&lt;=0,"n.m.",H218/F218-1)),"n.a."))</f>
        <v>0.753616200578592</v>
      </c>
      <c r="I220" s="40">
        <f>IF(OR(I218="",H218=""),"n.a.",IFERROR(IF(H218&lt;=0,"n.m.",IF(I218/H218&lt;=0,"n.m.",I218/H218-1)),"n.a."))</f>
        <v>0.14847401704701668</v>
      </c>
      <c r="J220" s="45">
        <f>IF(OR(J218="",I218=""),"n.a.",IFERROR(IF(I218&lt;=0,"n.m.",IF(J218/I218&lt;=0,"n.m.",J218/I218-1)),"n.a."))</f>
        <v>-0.31493895140052675</v>
      </c>
      <c r="K220" s="124"/>
    </row>
    <row r="221">
      <c r="A221" s="2"/>
      <c r="B221" s="47" t="s">
        <v>115</v>
      </c>
      <c r="C221" s="7"/>
      <c r="D221" s="7"/>
      <c r="E221" s="7"/>
      <c r="F221" s="7"/>
      <c r="G221" s="7"/>
      <c r="H221" s="40" t="s">
        <v>116</v>
      </c>
      <c r="I221" s="40" t="s">
        <v>116</v>
      </c>
      <c r="J221" s="45" t="s">
        <v>116</v>
      </c>
      <c r="K221" s="124"/>
    </row>
    <row r="222">
      <c r="A222" s="2"/>
      <c r="B222" s="47" t="s">
        <v>117</v>
      </c>
      <c r="C222" s="7"/>
      <c r="D222" s="7"/>
      <c r="E222" s="7"/>
      <c r="F222" s="7"/>
      <c r="G222" s="7"/>
      <c r="H222" s="40" t="s">
        <v>116</v>
      </c>
      <c r="I222" s="40" t="s">
        <v>116</v>
      </c>
      <c r="J222" s="45" t="s">
        <v>116</v>
      </c>
      <c r="K222" s="124"/>
    </row>
    <row r="223">
      <c r="A223" s="2"/>
      <c r="B223" s="47" t="s">
        <v>118</v>
      </c>
      <c r="C223" s="7"/>
      <c r="D223" s="7"/>
      <c r="E223" s="7"/>
      <c r="F223" s="7"/>
      <c r="G223" s="7"/>
      <c r="H223" s="40" t="s">
        <v>116</v>
      </c>
      <c r="I223" s="40" t="s">
        <v>116</v>
      </c>
      <c r="J223" s="45" t="s">
        <v>116</v>
      </c>
      <c r="K223" s="124"/>
    </row>
    <row r="224">
      <c r="A224" s="2"/>
      <c r="B224" s="47" t="s">
        <v>119</v>
      </c>
      <c r="C224" s="40">
        <f>IFERROR(C218/C239,"n.a.")</f>
        <v>0.12688073069706518</v>
      </c>
      <c r="D224" s="40">
        <f>IFERROR(D218/D239,"n.a.")</f>
        <v>0.11489268665962177</v>
      </c>
      <c r="E224" s="40">
        <f>IFERROR(E218/E239,"n.a.")</f>
        <v>0.1102961432506887</v>
      </c>
      <c r="F224" s="40">
        <f>IFERROR(F218/F239,"n.a.")</f>
        <v>0.07311312440511862</v>
      </c>
      <c r="G224" s="40">
        <f>IFERROR(G218/G239,"n.a.")</f>
        <v>0.10622739772054078</v>
      </c>
      <c r="H224" s="40">
        <f>IFERROR(H218/H239,"n.a.")</f>
        <v>0.12014402748414377</v>
      </c>
      <c r="I224" s="40">
        <f>IFERROR(I218/I239,"n.a.")</f>
        <v>0.13235946511185753</v>
      </c>
      <c r="J224" s="45">
        <f>IFERROR(J218/J239,"n.a.")</f>
        <v>0.09482436015255322</v>
      </c>
      <c r="K224" s="124"/>
    </row>
    <row r="225">
      <c r="A225" s="2"/>
      <c r="B225" s="3" t="s">
        <v>390</v>
      </c>
      <c r="C225" s="37">
        <v>805</v>
      </c>
      <c r="D225" s="37">
        <v>151</v>
      </c>
      <c r="E225" s="37">
        <v>267</v>
      </c>
      <c r="F225" s="37">
        <v>362</v>
      </c>
      <c r="G225" s="43">
        <f>SUM(C225:F225)</f>
        <v>1585</v>
      </c>
      <c r="H225" s="37">
        <v>341</v>
      </c>
      <c r="I225" s="37">
        <v>304</v>
      </c>
      <c r="J225" s="38">
        <f>J232-J106-J134-J162-J183-J218</f>
        <v>128.05889356164425</v>
      </c>
      <c r="K225" s="129" t="s">
        <v>391</v>
      </c>
    </row>
    <row r="226">
      <c r="A226" s="2"/>
      <c r="B226" s="47" t="s">
        <v>113</v>
      </c>
      <c r="C226" s="7"/>
      <c r="D226" s="7"/>
      <c r="E226" s="7"/>
      <c r="F226" s="7"/>
      <c r="G226" s="7"/>
      <c r="H226" s="40">
        <f>IF(OR(H225="",C225=""),"n.a.",IFERROR(IF(C225&lt;=0,"n.m.",IF(H225/C225&lt;=0,"n.m.",H225/C225-1)),"n.a."))</f>
        <v>-0.5763975155279504</v>
      </c>
      <c r="I226" s="40">
        <f>IF(OR(I225="",D225=""),"n.a.",IFERROR(IF(D225&lt;=0,"n.m.",IF(I225/D225&lt;=0,"n.m.",I225/D225-1)),"n.a."))</f>
        <v>1.0132450331125828</v>
      </c>
      <c r="J226" s="45">
        <f>IF(OR(J225="",E225=""),"n.a.",IFERROR(IF(E225&lt;=0,"n.m.",IF(J225/E225&lt;=0,"n.m.",J225/E225-1)),"n.a."))</f>
        <v>-0.5203786757990851</v>
      </c>
      <c r="K226" s="124"/>
    </row>
    <row r="227">
      <c r="A227" s="2"/>
      <c r="B227" s="47" t="s">
        <v>114</v>
      </c>
      <c r="C227" s="7"/>
      <c r="D227" s="40">
        <f>IF(OR(D225="",C225=""),"n.a.",IFERROR(IF(C225&lt;=0,"n.m.",IF(D225/C225&lt;=0,"n.m.",D225/C225-1)),"n.a."))</f>
        <v>-0.8124223602484473</v>
      </c>
      <c r="E227" s="40">
        <f>IF(OR(E225="",D225=""),"n.a.",IFERROR(IF(D225&lt;=0,"n.m.",IF(E225/D225&lt;=0,"n.m.",E225/D225-1)),"n.a."))</f>
        <v>0.7682119205298013</v>
      </c>
      <c r="F227" s="40">
        <f>IF(OR(F225="",E225=""),"n.a.",IFERROR(IF(E225&lt;=0,"n.m.",IF(F225/E225&lt;=0,"n.m.",F225/E225-1)),"n.a."))</f>
        <v>0.35580524344569286</v>
      </c>
      <c r="G227" s="7"/>
      <c r="H227" s="40">
        <f>IF(OR(H225="",F225=""),"n.a.",IFERROR(IF(F225&lt;=0,"n.m.",IF(H225/F225&lt;=0,"n.m.",H225/F225-1)),"n.a."))</f>
        <v>-0.058011049723756924</v>
      </c>
      <c r="I227" s="40">
        <f>IF(OR(I225="",H225=""),"n.a.",IFERROR(IF(H225&lt;=0,"n.m.",IF(I225/H225&lt;=0,"n.m.",I225/H225-1)),"n.a."))</f>
        <v>-0.10850439882697949</v>
      </c>
      <c r="J227" s="45">
        <f>IF(OR(J225="",I225=""),"n.a.",IFERROR(IF(I225&lt;=0,"n.m.",IF(J225/I225&lt;=0,"n.m.",J225/I225-1)),"n.a."))</f>
        <v>-0.5787536395998545</v>
      </c>
      <c r="K227" s="124"/>
    </row>
    <row r="228">
      <c r="A228" s="2"/>
      <c r="B228" s="47" t="s">
        <v>115</v>
      </c>
      <c r="C228" s="7"/>
      <c r="D228" s="7"/>
      <c r="E228" s="7"/>
      <c r="F228" s="7"/>
      <c r="G228" s="7"/>
      <c r="H228" s="40" t="s">
        <v>116</v>
      </c>
      <c r="I228" s="40" t="s">
        <v>116</v>
      </c>
      <c r="J228" s="45" t="s">
        <v>116</v>
      </c>
      <c r="K228" s="124"/>
    </row>
    <row r="229">
      <c r="A229" s="2"/>
      <c r="B229" s="47" t="s">
        <v>117</v>
      </c>
      <c r="C229" s="7"/>
      <c r="D229" s="7"/>
      <c r="E229" s="7"/>
      <c r="F229" s="7"/>
      <c r="G229" s="7"/>
      <c r="H229" s="40" t="s">
        <v>116</v>
      </c>
      <c r="I229" s="40" t="s">
        <v>116</v>
      </c>
      <c r="J229" s="45" t="s">
        <v>116</v>
      </c>
      <c r="K229" s="124"/>
    </row>
    <row r="230">
      <c r="A230" s="2"/>
      <c r="B230" s="47" t="s">
        <v>118</v>
      </c>
      <c r="C230" s="7"/>
      <c r="D230" s="7"/>
      <c r="E230" s="7"/>
      <c r="F230" s="7"/>
      <c r="G230" s="7"/>
      <c r="H230" s="40" t="s">
        <v>116</v>
      </c>
      <c r="I230" s="40" t="s">
        <v>116</v>
      </c>
      <c r="J230" s="45" t="s">
        <v>116</v>
      </c>
      <c r="K230" s="124"/>
    </row>
    <row r="231">
      <c r="A231" s="2"/>
      <c r="B231" s="47" t="s">
        <v>119</v>
      </c>
      <c r="C231" s="40">
        <f>IFERROR(C225/C239,"n.a.")</f>
        <v>0.028498601621411122</v>
      </c>
      <c r="D231" s="40">
        <f>IFERROR(D225/D239,"n.a.")</f>
        <v>0.005502313886965711</v>
      </c>
      <c r="E231" s="40">
        <f>IFERROR(E225/E239,"n.a.")</f>
        <v>0.009194214876033058</v>
      </c>
      <c r="F231" s="40">
        <f>IFERROR(F225/F239,"n.a.")</f>
        <v>0.012761307152677407</v>
      </c>
      <c r="G231" s="40">
        <f>IFERROR(G225/G239,"n.a.")</f>
        <v>0.014014518510658993</v>
      </c>
      <c r="H231" s="40">
        <f>IFERROR(H225/H239,"n.a.")</f>
        <v>0.01126453488372093</v>
      </c>
      <c r="I231" s="40">
        <f>IFERROR(I225/I239,"n.a.")</f>
        <v>0.009633056594207491</v>
      </c>
      <c r="J231" s="45">
        <f>IFERROR(J225/J239,"n.a.")</f>
        <v>0.0042436144133590195</v>
      </c>
      <c r="K231" s="124"/>
    </row>
    <row r="232">
      <c r="A232" s="2"/>
      <c r="B232" s="18" t="s">
        <v>218</v>
      </c>
      <c r="C232" s="39">
        <f>C106+C134+C162+C183+C218+C225</f>
        <v>13804</v>
      </c>
      <c r="D232" s="39">
        <f>D106+D134+D162+D183+D218+D225</f>
        <v>12773</v>
      </c>
      <c r="E232" s="39">
        <f>E106+E134+E162+E183+E218+E225</f>
        <v>13807</v>
      </c>
      <c r="F232" s="39">
        <f>F106+F134+F162+F183+F218+F225</f>
        <v>12617</v>
      </c>
      <c r="G232" s="39">
        <f>G106+G134+G162+G183+G218+G225</f>
        <v>53001</v>
      </c>
      <c r="H232" s="39">
        <f>H106+H134+H162+H183+H218+H225</f>
        <v>14527</v>
      </c>
      <c r="I232" s="39">
        <f>I106+I134+I162+I183+I218+I225</f>
        <v>15561</v>
      </c>
      <c r="J232" s="105">
        <f>'Revenue summary'!J80</f>
        <v>13827.827818097261</v>
      </c>
      <c r="K232" s="124"/>
    </row>
    <row r="233">
      <c r="A233" s="2"/>
      <c r="B233" s="47" t="s">
        <v>113</v>
      </c>
      <c r="C233" s="7"/>
      <c r="D233" s="7"/>
      <c r="E233" s="7"/>
      <c r="F233" s="7"/>
      <c r="G233" s="7"/>
      <c r="H233" s="40">
        <f>IF(OR(H232="",C232=""),"n.a.",IFERROR(IF(C232&lt;=0,"n.m.",IF(H232/C232&lt;=0,"n.m.",H232/C232-1)),"n.a."))</f>
        <v>0.052376122862938246</v>
      </c>
      <c r="I233" s="40">
        <f>IF(OR(I232="",D232=""),"n.a.",IFERROR(IF(D232&lt;=0,"n.m.",IF(I232/D232&lt;=0,"n.m.",I232/D232-1)),"n.a."))</f>
        <v>0.2182729194394426</v>
      </c>
      <c r="J233" s="45">
        <f>IF(OR(J232="",E232=""),"n.a.",IFERROR(IF(E232&lt;=0,"n.m.",IF(J232/E232&lt;=0,"n.m.",J232/E232-1)),"n.a."))</f>
        <v>0.0015084970013226062</v>
      </c>
      <c r="K233" s="124"/>
    </row>
    <row r="234">
      <c r="A234" s="2"/>
      <c r="B234" s="47" t="s">
        <v>114</v>
      </c>
      <c r="C234" s="7"/>
      <c r="D234" s="40">
        <f>IF(OR(D232="",C232=""),"n.a.",IFERROR(IF(C232&lt;=0,"n.m.",IF(D232/C232&lt;=0,"n.m.",D232/C232-1)),"n.a."))</f>
        <v>-0.07468849608809036</v>
      </c>
      <c r="E234" s="40">
        <f>IF(OR(E232="",D232=""),"n.a.",IFERROR(IF(D232&lt;=0,"n.m.",IF(E232/D232&lt;=0,"n.m.",E232/D232-1)),"n.a."))</f>
        <v>0.08095200814217485</v>
      </c>
      <c r="F234" s="40">
        <f>IF(OR(F232="",E232=""),"n.a.",IFERROR(IF(E232&lt;=0,"n.m.",IF(F232/E232&lt;=0,"n.m.",F232/E232-1)),"n.a."))</f>
        <v>-0.08618816542333596</v>
      </c>
      <c r="G234" s="7"/>
      <c r="H234" s="40">
        <f>IF(OR(H232="",F232=""),"n.a.",IFERROR(IF(F232&lt;=0,"n.m.",IF(H232/F232&lt;=0,"n.m.",H232/F232-1)),"n.a."))</f>
        <v>0.15138305460886103</v>
      </c>
      <c r="I234" s="40">
        <f>IF(OR(I232="",H232=""),"n.a.",IFERROR(IF(H232&lt;=0,"n.m.",IF(I232/H232&lt;=0,"n.m.",I232/H232-1)),"n.a."))</f>
        <v>0.07117780684243136</v>
      </c>
      <c r="J234" s="45">
        <f>IF(OR(J232="",I232=""),"n.a.",IFERROR(IF(I232&lt;=0,"n.m.",IF(J232/I232&lt;=0,"n.m.",J232/I232-1)),"n.a."))</f>
        <v>-0.11137922896361019</v>
      </c>
      <c r="K234" s="124"/>
    </row>
    <row r="235">
      <c r="A235" s="2"/>
      <c r="B235" s="47" t="s">
        <v>115</v>
      </c>
      <c r="C235" s="7"/>
      <c r="D235" s="7"/>
      <c r="E235" s="7"/>
      <c r="F235" s="7"/>
      <c r="G235" s="7"/>
      <c r="H235" s="40" t="s">
        <v>116</v>
      </c>
      <c r="I235" s="40" t="s">
        <v>116</v>
      </c>
      <c r="J235" s="45" t="s">
        <v>116</v>
      </c>
      <c r="K235" s="124"/>
    </row>
    <row r="236">
      <c r="A236" s="2"/>
      <c r="B236" s="47" t="s">
        <v>117</v>
      </c>
      <c r="C236" s="7"/>
      <c r="D236" s="7"/>
      <c r="E236" s="7"/>
      <c r="F236" s="7"/>
      <c r="G236" s="7"/>
      <c r="H236" s="40" t="s">
        <v>116</v>
      </c>
      <c r="I236" s="40" t="s">
        <v>116</v>
      </c>
      <c r="J236" s="45" t="s">
        <v>116</v>
      </c>
      <c r="K236" s="124"/>
    </row>
    <row r="237">
      <c r="A237" s="2"/>
      <c r="B237" s="47" t="s">
        <v>118</v>
      </c>
      <c r="C237" s="7"/>
      <c r="D237" s="7"/>
      <c r="E237" s="7"/>
      <c r="F237" s="7"/>
      <c r="G237" s="7"/>
      <c r="H237" s="40" t="s">
        <v>116</v>
      </c>
      <c r="I237" s="40" t="s">
        <v>116</v>
      </c>
      <c r="J237" s="45" t="s">
        <v>116</v>
      </c>
      <c r="K237" s="124"/>
    </row>
    <row r="238">
      <c r="A238" s="2"/>
      <c r="B238" s="47" t="s">
        <v>119</v>
      </c>
      <c r="C238" s="40">
        <f>IFERROR(C232/C239,"n.a.")</f>
        <v>0.4886890643254151</v>
      </c>
      <c r="D238" s="40">
        <f>IFERROR(D232/D239,"n.a.")</f>
        <v>0.46543745217359617</v>
      </c>
      <c r="E238" s="40">
        <f>IFERROR(E232/E239,"n.a.")</f>
        <v>0.4754476584022039</v>
      </c>
      <c r="F238" s="40">
        <f>IFERROR(F232/F239,"n.a.")</f>
        <v>0.4447773821694222</v>
      </c>
      <c r="G238" s="40">
        <f>IFERROR(G232/G239,"n.a.")</f>
        <v>0.4686331202419162</v>
      </c>
      <c r="H238" s="40">
        <f>IFERROR(H232/H239,"n.a.")</f>
        <v>0.479882399577167</v>
      </c>
      <c r="I238" s="40">
        <f>IFERROR(I232/I239,"n.a.")</f>
        <v>0.49309208441599595</v>
      </c>
      <c r="J238" s="45">
        <f>IFERROR(J232/J239,"n.a.")</f>
        <v>0.4582264284993007</v>
      </c>
      <c r="K238" s="124"/>
    </row>
    <row r="239">
      <c r="A239" s="2"/>
      <c r="B239" s="18" t="s">
        <v>392</v>
      </c>
      <c r="C239" s="39">
        <f>C89+C232</f>
        <v>28247</v>
      </c>
      <c r="D239" s="39">
        <f>D89+D232</f>
        <v>27443</v>
      </c>
      <c r="E239" s="39">
        <f>E89+E232</f>
        <v>29040</v>
      </c>
      <c r="F239" s="39">
        <f>F89+F232</f>
        <v>28367</v>
      </c>
      <c r="G239" s="39">
        <f>G89+G232</f>
        <v>113097</v>
      </c>
      <c r="H239" s="39">
        <f>H89+H232</f>
        <v>30272</v>
      </c>
      <c r="I239" s="39">
        <f>I89+I232</f>
        <v>31558</v>
      </c>
      <c r="J239" s="50">
        <f>J89+J232</f>
        <v>30176.84480439863</v>
      </c>
      <c r="K239" s="124"/>
    </row>
    <row r="240">
      <c r="A240" s="2"/>
      <c r="B240" s="47" t="s">
        <v>113</v>
      </c>
      <c r="C240" s="7"/>
      <c r="D240" s="7"/>
      <c r="E240" s="7"/>
      <c r="F240" s="7"/>
      <c r="G240" s="7"/>
      <c r="H240" s="40">
        <f>IF(OR(H239="",C239=""),"n.a.",IFERROR(IF(C239&lt;=0,"n.m.",IF(H239/C239&lt;=0,"n.m.",H239/C239-1)),"n.a."))</f>
        <v>0.07168902892342555</v>
      </c>
      <c r="I240" s="40">
        <f>IF(OR(I239="",D239=""),"n.a.",IFERROR(IF(D239&lt;=0,"n.m.",IF(I239/D239&lt;=0,"n.m.",I239/D239-1)),"n.a."))</f>
        <v>0.1499471632110192</v>
      </c>
      <c r="J240" s="45">
        <f>IF(OR(J239="",E239=""),"n.a.",IFERROR(IF(E239&lt;=0,"n.m.",IF(J239/E239&lt;=0,"n.m.",J239/E239-1)),"n.a."))</f>
        <v>0.03914754836083434</v>
      </c>
      <c r="K240" s="124"/>
    </row>
    <row r="241">
      <c r="A241" s="2"/>
      <c r="B241" s="47" t="s">
        <v>114</v>
      </c>
      <c r="C241" s="7"/>
      <c r="D241" s="40">
        <f>IF(OR(D239="",C239=""),"n.a.",IFERROR(IF(C239&lt;=0,"n.m.",IF(D239/C239&lt;=0,"n.m.",D239/C239-1)),"n.a."))</f>
        <v>-0.028463199631819314</v>
      </c>
      <c r="E241" s="40">
        <f>IF(OR(E239="",D239=""),"n.a.",IFERROR(IF(D239&lt;=0,"n.m.",IF(E239/D239&lt;=0,"n.m.",E239/D239-1)),"n.a."))</f>
        <v>0.058193346208504915</v>
      </c>
      <c r="F241" s="40">
        <f>IF(OR(F239="",E239=""),"n.a.",IFERROR(IF(E239&lt;=0,"n.m.",IF(F239/E239&lt;=0,"n.m.",F239/E239-1)),"n.a."))</f>
        <v>-0.02317493112947655</v>
      </c>
      <c r="G241" s="7"/>
      <c r="H241" s="40">
        <f>IF(OR(H239="",F239=""),"n.a.",IFERROR(IF(F239&lt;=0,"n.m.",IF(H239/F239&lt;=0,"n.m.",H239/F239-1)),"n.a."))</f>
        <v>0.06715549758522221</v>
      </c>
      <c r="I241" s="40">
        <f>IF(OR(I239="",H239=""),"n.a.",IFERROR(IF(H239&lt;=0,"n.m.",IF(I239/H239&lt;=0,"n.m.",I239/H239-1)),"n.a."))</f>
        <v>0.04248150105708248</v>
      </c>
      <c r="J241" s="45">
        <f>IF(OR(J239="",I239=""),"n.a.",IFERROR(IF(I239&lt;=0,"n.m.",IF(J239/I239&lt;=0,"n.m.",J239/I239-1)),"n.a."))</f>
        <v>-0.043765612383591224</v>
      </c>
      <c r="K241" s="124"/>
    </row>
    <row r="242">
      <c r="A242" s="2"/>
      <c r="B242" s="47" t="s">
        <v>115</v>
      </c>
      <c r="C242" s="7"/>
      <c r="D242" s="7"/>
      <c r="E242" s="7"/>
      <c r="F242" s="7"/>
      <c r="G242" s="7"/>
      <c r="H242" s="40" t="s">
        <v>116</v>
      </c>
      <c r="I242" s="40" t="s">
        <v>116</v>
      </c>
      <c r="J242" s="45" t="s">
        <v>116</v>
      </c>
      <c r="K242" s="124"/>
    </row>
    <row r="243">
      <c r="A243" s="2"/>
      <c r="B243" s="47" t="s">
        <v>117</v>
      </c>
      <c r="C243" s="7"/>
      <c r="D243" s="7"/>
      <c r="E243" s="7"/>
      <c r="F243" s="7"/>
      <c r="G243" s="7"/>
      <c r="H243" s="40" t="s">
        <v>116</v>
      </c>
      <c r="I243" s="40" t="s">
        <v>116</v>
      </c>
      <c r="J243" s="45" t="s">
        <v>116</v>
      </c>
      <c r="K243" s="124"/>
    </row>
    <row r="244">
      <c r="A244" s="2"/>
      <c r="B244" s="47" t="s">
        <v>118</v>
      </c>
      <c r="C244" s="7"/>
      <c r="D244" s="7"/>
      <c r="E244" s="7"/>
      <c r="F244" s="7"/>
      <c r="G244" s="7"/>
      <c r="H244" s="40" t="s">
        <v>116</v>
      </c>
      <c r="I244" s="40" t="s">
        <v>116</v>
      </c>
      <c r="J244" s="45" t="s">
        <v>116</v>
      </c>
      <c r="K244" s="124"/>
    </row>
    <row r="245">
      <c r="A245" s="2"/>
      <c r="B245" s="3" t="s">
        <v>219</v>
      </c>
      <c r="C245" s="37">
        <v>28247</v>
      </c>
      <c r="D245" s="37">
        <v>27443</v>
      </c>
      <c r="E245" s="37">
        <v>29040</v>
      </c>
      <c r="F245" s="37">
        <v>28367</v>
      </c>
      <c r="G245" s="43">
        <f>SUM(C245:F245)</f>
        <v>113097</v>
      </c>
      <c r="H245" s="37">
        <v>30272</v>
      </c>
      <c r="I245" s="37">
        <v>31558</v>
      </c>
      <c r="J245" s="46"/>
      <c r="K245" s="125" t="s">
        <v>130</v>
      </c>
    </row>
    <row r="246">
      <c r="A246" s="2"/>
      <c r="B246" s="61" t="s">
        <v>167</v>
      </c>
      <c r="C246" s="41">
        <f>C239-C245</f>
        <v>0</v>
      </c>
      <c r="D246" s="41">
        <f>D239-D245</f>
        <v>0</v>
      </c>
      <c r="E246" s="41">
        <f>E239-E245</f>
        <v>0</v>
      </c>
      <c r="F246" s="41">
        <f>F239-F245</f>
        <v>0</v>
      </c>
      <c r="G246" s="41">
        <f>G239-G245</f>
        <v>0</v>
      </c>
      <c r="H246" s="41">
        <f>H239-H245</f>
        <v>0</v>
      </c>
      <c r="I246" s="41">
        <f>I239-I245</f>
        <v>0</v>
      </c>
      <c r="J246" s="46"/>
      <c r="K246" s="124"/>
    </row>
    <row r="247">
      <c r="A247" s="2"/>
      <c r="B247" s="18" t="s">
        <v>393</v>
      </c>
      <c r="C247" s="7"/>
      <c r="D247" s="7"/>
      <c r="E247" s="7"/>
      <c r="F247" s="7"/>
      <c r="G247" s="7"/>
      <c r="H247" s="7"/>
      <c r="I247" s="7"/>
      <c r="J247" s="46"/>
      <c r="K247" s="124"/>
    </row>
    <row r="248">
      <c r="A248" s="2"/>
      <c r="B248" s="3" t="s">
        <v>394</v>
      </c>
      <c r="C248" s="37">
        <v>1452</v>
      </c>
      <c r="D248" s="37">
        <v>1525</v>
      </c>
      <c r="E248" s="37">
        <v>1367</v>
      </c>
      <c r="F248" s="37">
        <v>1287</v>
      </c>
      <c r="G248" s="43">
        <f>SUM(C248:F248)</f>
        <v>5631</v>
      </c>
      <c r="H248" s="37">
        <v>1409</v>
      </c>
      <c r="I248" s="37">
        <v>1412</v>
      </c>
      <c r="J248" s="75">
        <v>1400</v>
      </c>
      <c r="K248" s="125" t="s">
        <v>127</v>
      </c>
    </row>
    <row r="249">
      <c r="A249" s="2"/>
      <c r="B249" s="47" t="s">
        <v>133</v>
      </c>
      <c r="C249" s="7"/>
      <c r="D249" s="7"/>
      <c r="E249" s="7"/>
      <c r="F249" s="7"/>
      <c r="G249" s="7"/>
      <c r="H249" s="40">
        <f>IF(OR(H248="",C248=""),"n.a.",IFERROR(IF(C248&lt;=0,"n.m.",IF(H248/C248&lt;=0,"n.m.",H248/C248-1)),"n.a."))</f>
        <v>-0.029614325068870517</v>
      </c>
      <c r="I249" s="40">
        <f>IF(OR(I248="",D248=""),"n.a.",IFERROR(IF(D248&lt;=0,"n.m.",IF(I248/D248&lt;=0,"n.m.",I248/D248-1)),"n.a."))</f>
        <v>-0.07409836065573772</v>
      </c>
      <c r="J249" s="45">
        <f>IF(OR(J248="",E248=""),"n.a.",IFERROR(IF(E248&lt;=0,"n.m.",IF(J248/E248&lt;=0,"n.m.",J248/E248-1)),"n.a."))</f>
        <v>0.024140453547915053</v>
      </c>
      <c r="K249" s="124"/>
    </row>
    <row r="250">
      <c r="A250" s="2"/>
      <c r="B250" s="47" t="s">
        <v>134</v>
      </c>
      <c r="C250" s="7"/>
      <c r="D250" s="41">
        <f>IF(OR(D248="",C248=""),"n.a.",IFERROR(D248-C248,"n.a."))</f>
        <v>73</v>
      </c>
      <c r="E250" s="41">
        <f>IF(OR(E248="",D248=""),"n.a.",IFERROR(E248-D248,"n.a."))</f>
        <v>-158</v>
      </c>
      <c r="F250" s="41">
        <f>IF(OR(F248="",E248=""),"n.a.",IFERROR(F248-E248,"n.a."))</f>
        <v>-80</v>
      </c>
      <c r="G250" s="7"/>
      <c r="H250" s="41">
        <f>IF(OR(H248="",F248=""),"n.a.",IFERROR(H248-F248,"n.a."))</f>
        <v>122</v>
      </c>
      <c r="I250" s="41">
        <f>IF(OR(I248="",H248=""),"n.a.",IFERROR(I248-H248,"n.a."))</f>
        <v>3</v>
      </c>
      <c r="J250" s="52">
        <f>IF(OR(J248="",I248=""),"n.a.",IFERROR(J248-I248,"n.a."))</f>
        <v>-12</v>
      </c>
      <c r="K250" s="124"/>
    </row>
    <row r="251">
      <c r="A251" s="2"/>
      <c r="B251" s="61" t="s">
        <v>395</v>
      </c>
      <c r="C251" s="103">
        <v>-8</v>
      </c>
      <c r="D251" s="103">
        <v>-9</v>
      </c>
      <c r="E251" s="103">
        <v>4</v>
      </c>
      <c r="F251" s="103">
        <v>-10</v>
      </c>
      <c r="G251" s="41">
        <f>SUM(C251:F251)</f>
        <v>-23</v>
      </c>
      <c r="H251" s="103">
        <v>-9</v>
      </c>
      <c r="I251" s="103">
        <v>-9</v>
      </c>
      <c r="J251" s="71">
        <v>-9</v>
      </c>
      <c r="K251" s="125" t="s">
        <v>127</v>
      </c>
    </row>
    <row r="252">
      <c r="A252" s="2"/>
      <c r="B252" s="47" t="s">
        <v>133</v>
      </c>
      <c r="C252" s="7"/>
      <c r="D252" s="7"/>
      <c r="E252" s="7"/>
      <c r="F252" s="7"/>
      <c r="G252" s="7"/>
      <c r="H252" s="40" t="str">
        <f>IF(OR(H251="",C251=""),"n.a.",IFERROR(IF(C251&lt;=0,"n.m.",IF(H251/C251&lt;=0,"n.m.",H251/C251-1)),"n.a."))</f>
        <v>n.m.</v>
      </c>
      <c r="I252" s="40" t="str">
        <f>IF(OR(I251="",D251=""),"n.a.",IFERROR(IF(D251&lt;=0,"n.m.",IF(I251/D251&lt;=0,"n.m.",I251/D251-1)),"n.a."))</f>
        <v>n.m.</v>
      </c>
      <c r="J252" s="45" t="str">
        <f>IF(OR(J251="",E251=""),"n.a.",IFERROR(IF(E251&lt;=0,"n.m.",IF(J251/E251&lt;=0,"n.m.",J251/E251-1)),"n.a."))</f>
        <v>n.m.</v>
      </c>
      <c r="K252" s="124"/>
    </row>
    <row r="253">
      <c r="A253" s="2"/>
      <c r="B253" s="47" t="s">
        <v>134</v>
      </c>
      <c r="C253" s="7"/>
      <c r="D253" s="41">
        <f>IF(OR(D251="",C251=""),"n.a.",IFERROR(D251-C251,"n.a."))</f>
        <v>-1</v>
      </c>
      <c r="E253" s="41">
        <f>IF(OR(E251="",D251=""),"n.a.",IFERROR(E251-D251,"n.a."))</f>
        <v>13</v>
      </c>
      <c r="F253" s="41">
        <f>IF(OR(F251="",E251=""),"n.a.",IFERROR(F251-E251,"n.a."))</f>
        <v>-14</v>
      </c>
      <c r="G253" s="7"/>
      <c r="H253" s="41">
        <f>IF(OR(H251="",F251=""),"n.a.",IFERROR(H251-F251,"n.a."))</f>
        <v>1</v>
      </c>
      <c r="I253" s="41">
        <f>IF(OR(I251="",H251=""),"n.a.",IFERROR(I251-H251,"n.a."))</f>
        <v>0</v>
      </c>
      <c r="J253" s="52">
        <f>IF(OR(J251="",I251=""),"n.a.",IFERROR(J251-I251,"n.a."))</f>
        <v>0</v>
      </c>
      <c r="K253" s="124"/>
    </row>
    <row r="254">
      <c r="A254" s="2"/>
      <c r="B254" s="18" t="s">
        <v>221</v>
      </c>
      <c r="C254" s="81">
        <v>1480</v>
      </c>
      <c r="D254" s="81">
        <v>1592</v>
      </c>
      <c r="E254" s="81">
        <v>1295</v>
      </c>
      <c r="F254" s="81">
        <v>1308</v>
      </c>
      <c r="G254" s="79">
        <f>SUM(C254:F254)</f>
        <v>5675</v>
      </c>
      <c r="H254" s="81">
        <v>1337</v>
      </c>
      <c r="I254" s="81">
        <v>1366</v>
      </c>
      <c r="J254" s="110">
        <f>'Segment - Consumer Banking'!J168+'Segment - GWIM'!J145+'Segment - Global Banking'!J258+'Segment - Global Markets'!J181+J251</f>
        <v>1391</v>
      </c>
      <c r="K254" s="125" t="s">
        <v>127</v>
      </c>
    </row>
    <row r="255">
      <c r="A255" s="2"/>
      <c r="B255" s="47" t="s">
        <v>133</v>
      </c>
      <c r="C255" s="7"/>
      <c r="D255" s="7"/>
      <c r="E255" s="7"/>
      <c r="F255" s="7"/>
      <c r="G255" s="7"/>
      <c r="H255" s="40">
        <f>IF(OR(H254="",C254=""),"n.a.",IFERROR(IF(C254&lt;=0,"n.m.",IF(H254/C254&lt;=0,"n.m.",H254/C254-1)),"n.a."))</f>
        <v>-0.09662162162162158</v>
      </c>
      <c r="I255" s="40">
        <f>IF(OR(I254="",D254=""),"n.a.",IFERROR(IF(D254&lt;=0,"n.m.",IF(I254/D254&lt;=0,"n.m.",I254/D254-1)),"n.a."))</f>
        <v>-0.1419597989949749</v>
      </c>
      <c r="J255" s="45">
        <f>IF(OR(J254="",E254=""),"n.a.",IFERROR(IF(E254&lt;=0,"n.m.",IF(J254/E254&lt;=0,"n.m.",J254/E254-1)),"n.a."))</f>
        <v>0.07413127413127407</v>
      </c>
      <c r="K255" s="124"/>
    </row>
    <row r="256">
      <c r="A256" s="2"/>
      <c r="B256" s="47" t="s">
        <v>134</v>
      </c>
      <c r="C256" s="7"/>
      <c r="D256" s="41">
        <f>IF(OR(D254="",C254=""),"n.a.",IFERROR(D254-C254,"n.a."))</f>
        <v>112</v>
      </c>
      <c r="E256" s="41">
        <f>IF(OR(E254="",D254=""),"n.a.",IFERROR(E254-D254,"n.a."))</f>
        <v>-297</v>
      </c>
      <c r="F256" s="41">
        <f>IF(OR(F254="",E254=""),"n.a.",IFERROR(F254-E254,"n.a."))</f>
        <v>13</v>
      </c>
      <c r="G256" s="7"/>
      <c r="H256" s="41">
        <f>IF(OR(H254="",F254=""),"n.a.",IFERROR(H254-F254,"n.a."))</f>
        <v>29</v>
      </c>
      <c r="I256" s="41">
        <f>IF(OR(I254="",H254=""),"n.a.",IFERROR(I254-H254,"n.a."))</f>
        <v>29</v>
      </c>
      <c r="J256" s="52">
        <f>IF(OR(J254="",I254=""),"n.a.",IFERROR(J254-I254,"n.a."))</f>
        <v>25</v>
      </c>
      <c r="K256" s="124"/>
    </row>
    <row r="257">
      <c r="A257" s="2"/>
      <c r="B257" s="61" t="s">
        <v>396</v>
      </c>
      <c r="C257" s="41">
        <f>C254-C248</f>
        <v>28</v>
      </c>
      <c r="D257" s="41">
        <f>D254-D248</f>
        <v>67</v>
      </c>
      <c r="E257" s="41">
        <f>E254-E248</f>
        <v>-72</v>
      </c>
      <c r="F257" s="41">
        <f>F254-F248</f>
        <v>21</v>
      </c>
      <c r="G257" s="41">
        <f>G254-G248</f>
        <v>44</v>
      </c>
      <c r="H257" s="41">
        <f>H254-H248</f>
        <v>-72</v>
      </c>
      <c r="I257" s="41">
        <f>I254-I248</f>
        <v>-46</v>
      </c>
      <c r="J257" s="52">
        <f>J254-J248</f>
        <v>-9</v>
      </c>
      <c r="K257" s="124"/>
    </row>
    <row r="258">
      <c r="A258" s="2"/>
      <c r="B258" s="3" t="s">
        <v>397</v>
      </c>
      <c r="C258" s="37">
        <v>10889</v>
      </c>
      <c r="D258" s="37">
        <v>10332</v>
      </c>
      <c r="E258" s="37">
        <v>10523</v>
      </c>
      <c r="F258" s="37">
        <v>10602</v>
      </c>
      <c r="G258" s="43">
        <f>SUM(C258:F258)</f>
        <v>42346</v>
      </c>
      <c r="H258" s="37">
        <v>11334</v>
      </c>
      <c r="I258" s="37">
        <v>10987</v>
      </c>
      <c r="J258" s="75">
        <v>10700</v>
      </c>
      <c r="K258" s="125" t="s">
        <v>127</v>
      </c>
    </row>
    <row r="259">
      <c r="A259" s="2"/>
      <c r="B259" s="47" t="s">
        <v>133</v>
      </c>
      <c r="C259" s="7"/>
      <c r="D259" s="7"/>
      <c r="E259" s="7"/>
      <c r="F259" s="7"/>
      <c r="G259" s="7"/>
      <c r="H259" s="40">
        <f>IF(OR(H258="",C258=""),"n.a.",IFERROR(IF(C258&lt;=0,"n.m.",IF(H258/C258&lt;=0,"n.m.",H258/C258-1)),"n.a."))</f>
        <v>0.04086692992928653</v>
      </c>
      <c r="I259" s="40">
        <f>IF(OR(I258="",D258=""),"n.a.",IFERROR(IF(D258&lt;=0,"n.m.",IF(I258/D258&lt;=0,"n.m.",I258/D258-1)),"n.a."))</f>
        <v>0.06339527680991086</v>
      </c>
      <c r="J259" s="45">
        <f>IF(OR(J258="",E258=""),"n.a.",IFERROR(IF(E258&lt;=0,"n.m.",IF(J258/E258&lt;=0,"n.m.",J258/E258-1)),"n.a."))</f>
        <v>0.016820298393994015</v>
      </c>
      <c r="K259" s="124"/>
    </row>
    <row r="260">
      <c r="A260" s="2"/>
      <c r="B260" s="47" t="s">
        <v>134</v>
      </c>
      <c r="C260" s="7"/>
      <c r="D260" s="41">
        <f>IF(OR(D258="",C258=""),"n.a.",IFERROR(D258-C258,"n.a."))</f>
        <v>-557</v>
      </c>
      <c r="E260" s="41">
        <f>IF(OR(E258="",D258=""),"n.a.",IFERROR(E258-D258,"n.a."))</f>
        <v>191</v>
      </c>
      <c r="F260" s="41">
        <f>IF(OR(F258="",E258=""),"n.a.",IFERROR(F258-E258,"n.a."))</f>
        <v>79</v>
      </c>
      <c r="G260" s="7"/>
      <c r="H260" s="41">
        <f>IF(OR(H258="",F258=""),"n.a.",IFERROR(H258-F258,"n.a."))</f>
        <v>732</v>
      </c>
      <c r="I260" s="41">
        <f>IF(OR(I258="",H258=""),"n.a.",IFERROR(I258-H258,"n.a."))</f>
        <v>-347</v>
      </c>
      <c r="J260" s="52">
        <f>IF(OR(J258="",I258=""),"n.a.",IFERROR(J258-I258,"n.a."))</f>
        <v>-287</v>
      </c>
      <c r="K260" s="124"/>
    </row>
    <row r="261">
      <c r="A261" s="2"/>
      <c r="B261" s="3" t="s">
        <v>398</v>
      </c>
      <c r="C261" s="37">
        <v>1894</v>
      </c>
      <c r="D261" s="37">
        <v>1819</v>
      </c>
      <c r="E261" s="37">
        <v>1827</v>
      </c>
      <c r="F261" s="37">
        <v>1913</v>
      </c>
      <c r="G261" s="43">
        <f>SUM(C261:F261)</f>
        <v>7453</v>
      </c>
      <c r="H261" s="37">
        <v>2018</v>
      </c>
      <c r="I261" s="37">
        <v>1924</v>
      </c>
      <c r="J261" s="75">
        <v>1950</v>
      </c>
      <c r="K261" s="125" t="s">
        <v>127</v>
      </c>
    </row>
    <row r="262">
      <c r="A262" s="2"/>
      <c r="B262" s="47" t="s">
        <v>133</v>
      </c>
      <c r="C262" s="7"/>
      <c r="D262" s="7"/>
      <c r="E262" s="7"/>
      <c r="F262" s="7"/>
      <c r="G262" s="7"/>
      <c r="H262" s="40">
        <f>IF(OR(H261="",C261=""),"n.a.",IFERROR(IF(C261&lt;=0,"n.m.",IF(H261/C261&lt;=0,"n.m.",H261/C261-1)),"n.a."))</f>
        <v>0.06546990496304117</v>
      </c>
      <c r="I262" s="40">
        <f>IF(OR(I261="",D261=""),"n.a.",IFERROR(IF(D261&lt;=0,"n.m.",IF(I261/D261&lt;=0,"n.m.",I261/D261-1)),"n.a."))</f>
        <v>0.05772402418911482</v>
      </c>
      <c r="J262" s="45">
        <f>IF(OR(J261="",E261=""),"n.a.",IFERROR(IF(E261&lt;=0,"n.m.",IF(J261/E261&lt;=0,"n.m.",J261/E261-1)),"n.a."))</f>
        <v>0.0673234811165846</v>
      </c>
      <c r="K262" s="124"/>
    </row>
    <row r="263">
      <c r="A263" s="2"/>
      <c r="B263" s="47" t="s">
        <v>134</v>
      </c>
      <c r="C263" s="7"/>
      <c r="D263" s="41">
        <f>IF(OR(D261="",C261=""),"n.a.",IFERROR(D261-C261,"n.a."))</f>
        <v>-75</v>
      </c>
      <c r="E263" s="41">
        <f>IF(OR(E261="",D261=""),"n.a.",IFERROR(E261-D261,"n.a."))</f>
        <v>8</v>
      </c>
      <c r="F263" s="41">
        <f>IF(OR(F261="",E261=""),"n.a.",IFERROR(F261-E261,"n.a."))</f>
        <v>86</v>
      </c>
      <c r="G263" s="7"/>
      <c r="H263" s="41">
        <f>IF(OR(H261="",F261=""),"n.a.",IFERROR(H261-F261,"n.a."))</f>
        <v>105</v>
      </c>
      <c r="I263" s="41">
        <f>IF(OR(I261="",H261=""),"n.a.",IFERROR(I261-H261,"n.a."))</f>
        <v>-94</v>
      </c>
      <c r="J263" s="52">
        <f>IF(OR(J261="",I261=""),"n.a.",IFERROR(J261-I261,"n.a."))</f>
        <v>26</v>
      </c>
      <c r="K263" s="124"/>
    </row>
    <row r="264">
      <c r="A264" s="2"/>
      <c r="B264" s="3" t="s">
        <v>399</v>
      </c>
      <c r="C264" s="37">
        <v>1856</v>
      </c>
      <c r="D264" s="37">
        <v>1836</v>
      </c>
      <c r="E264" s="37">
        <v>1872</v>
      </c>
      <c r="F264" s="37">
        <v>1884</v>
      </c>
      <c r="G264" s="43">
        <f>SUM(C264:F264)</f>
        <v>7448</v>
      </c>
      <c r="H264" s="37">
        <v>1900</v>
      </c>
      <c r="I264" s="37">
        <v>1914</v>
      </c>
      <c r="J264" s="75">
        <v>1925</v>
      </c>
      <c r="K264" s="125" t="s">
        <v>127</v>
      </c>
    </row>
    <row r="265">
      <c r="A265" s="2"/>
      <c r="B265" s="47" t="s">
        <v>133</v>
      </c>
      <c r="C265" s="7"/>
      <c r="D265" s="7"/>
      <c r="E265" s="7"/>
      <c r="F265" s="7"/>
      <c r="G265" s="7"/>
      <c r="H265" s="40">
        <f>IF(OR(H264="",C264=""),"n.a.",IFERROR(IF(C264&lt;=0,"n.m.",IF(H264/C264&lt;=0,"n.m.",H264/C264-1)),"n.a."))</f>
        <v>0.0237068965517242</v>
      </c>
      <c r="I265" s="40">
        <f>IF(OR(I264="",D264=""),"n.a.",IFERROR(IF(D264&lt;=0,"n.m.",IF(I264/D264&lt;=0,"n.m.",I264/D264-1)),"n.a."))</f>
        <v>0.042483660130719025</v>
      </c>
      <c r="J265" s="45">
        <f>IF(OR(J264="",E264=""),"n.a.",IFERROR(IF(E264&lt;=0,"n.m.",IF(J264/E264&lt;=0,"n.m.",J264/E264-1)),"n.a."))</f>
        <v>0.02831196581196571</v>
      </c>
      <c r="K265" s="124"/>
    </row>
    <row r="266">
      <c r="A266" s="2"/>
      <c r="B266" s="47" t="s">
        <v>134</v>
      </c>
      <c r="C266" s="7"/>
      <c r="D266" s="41">
        <f>IF(OR(D264="",C264=""),"n.a.",IFERROR(D264-C264,"n.a."))</f>
        <v>-20</v>
      </c>
      <c r="E266" s="41">
        <f>IF(OR(E264="",D264=""),"n.a.",IFERROR(E264-D264,"n.a."))</f>
        <v>36</v>
      </c>
      <c r="F266" s="41">
        <f>IF(OR(F264="",E264=""),"n.a.",IFERROR(F264-E264,"n.a."))</f>
        <v>12</v>
      </c>
      <c r="G266" s="7"/>
      <c r="H266" s="41">
        <f>IF(OR(H264="",F264=""),"n.a.",IFERROR(H264-F264,"n.a."))</f>
        <v>16</v>
      </c>
      <c r="I266" s="41">
        <f>IF(OR(I264="",H264=""),"n.a.",IFERROR(I264-H264,"n.a."))</f>
        <v>14</v>
      </c>
      <c r="J266" s="52">
        <f>IF(OR(J264="",I264=""),"n.a.",IFERROR(J264-I264,"n.a."))</f>
        <v>11</v>
      </c>
      <c r="K266" s="124"/>
    </row>
    <row r="267">
      <c r="A267" s="2"/>
      <c r="B267" s="3" t="s">
        <v>400</v>
      </c>
      <c r="C267" s="37">
        <v>914</v>
      </c>
      <c r="D267" s="37">
        <v>974</v>
      </c>
      <c r="E267" s="37">
        <v>1025</v>
      </c>
      <c r="F267" s="37">
        <v>1011</v>
      </c>
      <c r="G267" s="43">
        <f>SUM(C267:F267)</f>
        <v>3924</v>
      </c>
      <c r="H267" s="37">
        <v>1126</v>
      </c>
      <c r="I267" s="37">
        <v>1327</v>
      </c>
      <c r="J267" s="75">
        <v>1220</v>
      </c>
      <c r="K267" s="125" t="s">
        <v>127</v>
      </c>
    </row>
    <row r="268">
      <c r="A268" s="2"/>
      <c r="B268" s="47" t="s">
        <v>133</v>
      </c>
      <c r="C268" s="7"/>
      <c r="D268" s="7"/>
      <c r="E268" s="7"/>
      <c r="F268" s="7"/>
      <c r="G268" s="7"/>
      <c r="H268" s="40">
        <f>IF(OR(H267="",C267=""),"n.a.",IFERROR(IF(C267&lt;=0,"n.m.",IF(H267/C267&lt;=0,"n.m.",H267/C267-1)),"n.a."))</f>
        <v>0.2319474835886215</v>
      </c>
      <c r="I268" s="40">
        <f>IF(OR(I267="",D267=""),"n.a.",IFERROR(IF(D267&lt;=0,"n.m.",IF(I267/D267&lt;=0,"n.m.",I267/D267-1)),"n.a."))</f>
        <v>0.3624229979466118</v>
      </c>
      <c r="J268" s="45">
        <f>IF(OR(J267="",E267=""),"n.a.",IFERROR(IF(E267&lt;=0,"n.m.",IF(J267/E267&lt;=0,"n.m.",J267/E267-1)),"n.a."))</f>
        <v>0.19024390243902434</v>
      </c>
      <c r="K268" s="124"/>
    </row>
    <row r="269">
      <c r="A269" s="2"/>
      <c r="B269" s="47" t="s">
        <v>134</v>
      </c>
      <c r="C269" s="7"/>
      <c r="D269" s="41">
        <f>IF(OR(D267="",C267=""),"n.a.",IFERROR(D267-C267,"n.a."))</f>
        <v>60</v>
      </c>
      <c r="E269" s="41">
        <f>IF(OR(E267="",D267=""),"n.a.",IFERROR(E267-D267,"n.a."))</f>
        <v>51</v>
      </c>
      <c r="F269" s="41">
        <f>IF(OR(F267="",E267=""),"n.a.",IFERROR(F267-E267,"n.a."))</f>
        <v>-14</v>
      </c>
      <c r="G269" s="7"/>
      <c r="H269" s="41">
        <f>IF(OR(H267="",F267=""),"n.a.",IFERROR(H267-F267,"n.a."))</f>
        <v>115</v>
      </c>
      <c r="I269" s="41">
        <f>IF(OR(I267="",H267=""),"n.a.",IFERROR(I267-H267,"n.a."))</f>
        <v>201</v>
      </c>
      <c r="J269" s="52">
        <f>IF(OR(J267="",I267=""),"n.a.",IFERROR(J267-I267,"n.a."))</f>
        <v>-107</v>
      </c>
      <c r="K269" s="124"/>
    </row>
    <row r="270">
      <c r="A270" s="2"/>
      <c r="B270" s="3" t="s">
        <v>401</v>
      </c>
      <c r="C270" s="37">
        <v>652</v>
      </c>
      <c r="D270" s="37">
        <v>640</v>
      </c>
      <c r="E270" s="37">
        <v>606</v>
      </c>
      <c r="F270" s="37">
        <v>682</v>
      </c>
      <c r="G270" s="43">
        <f>SUM(C270:F270)</f>
        <v>2580</v>
      </c>
      <c r="H270" s="37">
        <v>583</v>
      </c>
      <c r="I270" s="37">
        <v>573</v>
      </c>
      <c r="J270" s="75">
        <v>600</v>
      </c>
      <c r="K270" s="125" t="s">
        <v>127</v>
      </c>
    </row>
    <row r="271">
      <c r="A271" s="2"/>
      <c r="B271" s="47" t="s">
        <v>133</v>
      </c>
      <c r="C271" s="7"/>
      <c r="D271" s="7"/>
      <c r="E271" s="7"/>
      <c r="F271" s="7"/>
      <c r="G271" s="7"/>
      <c r="H271" s="40">
        <f>IF(OR(H270="",C270=""),"n.a.",IFERROR(IF(C270&lt;=0,"n.m.",IF(H270/C270&lt;=0,"n.m.",H270/C270-1)),"n.a."))</f>
        <v>-0.10582822085889576</v>
      </c>
      <c r="I271" s="40">
        <f>IF(OR(I270="",D270=""),"n.a.",IFERROR(IF(D270&lt;=0,"n.m.",IF(I270/D270&lt;=0,"n.m.",I270/D270-1)),"n.a."))</f>
        <v>-0.10468750000000004</v>
      </c>
      <c r="J271" s="45">
        <f>IF(OR(J270="",E270=""),"n.a.",IFERROR(IF(E270&lt;=0,"n.m.",IF(J270/E270&lt;=0,"n.m.",J270/E270-1)),"n.a."))</f>
        <v>-0.00990099009900991</v>
      </c>
      <c r="K271" s="124"/>
    </row>
    <row r="272">
      <c r="A272" s="2"/>
      <c r="B272" s="47" t="s">
        <v>134</v>
      </c>
      <c r="C272" s="7"/>
      <c r="D272" s="41">
        <f>IF(OR(D270="",C270=""),"n.a.",IFERROR(D270-C270,"n.a."))</f>
        <v>-12</v>
      </c>
      <c r="E272" s="41">
        <f>IF(OR(E270="",D270=""),"n.a.",IFERROR(E270-D270,"n.a."))</f>
        <v>-34</v>
      </c>
      <c r="F272" s="41">
        <f>IF(OR(F270="",E270=""),"n.a.",IFERROR(F270-E270,"n.a."))</f>
        <v>76</v>
      </c>
      <c r="G272" s="7"/>
      <c r="H272" s="41">
        <f>IF(OR(H270="",F270=""),"n.a.",IFERROR(H270-F270,"n.a."))</f>
        <v>-99</v>
      </c>
      <c r="I272" s="41">
        <f>IF(OR(I270="",H270=""),"n.a.",IFERROR(I270-H270,"n.a."))</f>
        <v>-10</v>
      </c>
      <c r="J272" s="52">
        <f>IF(OR(J270="",I270=""),"n.a.",IFERROR(J270-I270,"n.a."))</f>
        <v>27</v>
      </c>
      <c r="K272" s="124"/>
    </row>
    <row r="273">
      <c r="A273" s="2"/>
      <c r="B273" s="3" t="s">
        <v>402</v>
      </c>
      <c r="C273" s="37">
        <v>506</v>
      </c>
      <c r="D273" s="37">
        <v>563</v>
      </c>
      <c r="E273" s="37">
        <v>572</v>
      </c>
      <c r="F273" s="37">
        <v>563</v>
      </c>
      <c r="G273" s="43">
        <f>SUM(C273:F273)</f>
        <v>2204</v>
      </c>
      <c r="H273" s="37">
        <v>533</v>
      </c>
      <c r="I273" s="37">
        <v>736</v>
      </c>
      <c r="J273" s="75">
        <v>640</v>
      </c>
      <c r="K273" s="125" t="s">
        <v>127</v>
      </c>
    </row>
    <row r="274">
      <c r="A274" s="2"/>
      <c r="B274" s="47" t="s">
        <v>133</v>
      </c>
      <c r="C274" s="7"/>
      <c r="D274" s="7"/>
      <c r="E274" s="7"/>
      <c r="F274" s="7"/>
      <c r="G274" s="7"/>
      <c r="H274" s="40">
        <f>IF(OR(H273="",C273=""),"n.a.",IFERROR(IF(C273&lt;=0,"n.m.",IF(H273/C273&lt;=0,"n.m.",H273/C273-1)),"n.a."))</f>
        <v>0.05335968379446632</v>
      </c>
      <c r="I274" s="40">
        <f>IF(OR(I273="",D273=""),"n.a.",IFERROR(IF(D273&lt;=0,"n.m.",IF(I273/D273&lt;=0,"n.m.",I273/D273-1)),"n.a."))</f>
        <v>0.3072824156305507</v>
      </c>
      <c r="J274" s="45">
        <f>IF(OR(J273="",E273=""),"n.a.",IFERROR(IF(E273&lt;=0,"n.m.",IF(J273/E273&lt;=0,"n.m.",J273/E273-1)),"n.a."))</f>
        <v>0.11888111888111896</v>
      </c>
      <c r="K274" s="124"/>
    </row>
    <row r="275">
      <c r="A275" s="2"/>
      <c r="B275" s="47" t="s">
        <v>134</v>
      </c>
      <c r="C275" s="7"/>
      <c r="D275" s="41">
        <f>IF(OR(D273="",C273=""),"n.a.",IFERROR(D273-C273,"n.a."))</f>
        <v>57</v>
      </c>
      <c r="E275" s="41">
        <f>IF(OR(E273="",D273=""),"n.a.",IFERROR(E273-D273,"n.a."))</f>
        <v>9</v>
      </c>
      <c r="F275" s="41">
        <f>IF(OR(F273="",E273=""),"n.a.",IFERROR(F273-E273,"n.a."))</f>
        <v>-9</v>
      </c>
      <c r="G275" s="7"/>
      <c r="H275" s="41">
        <f>IF(OR(H273="",F273=""),"n.a.",IFERROR(H273-F273,"n.a."))</f>
        <v>-30</v>
      </c>
      <c r="I275" s="41">
        <f>IF(OR(I273="",H273=""),"n.a.",IFERROR(I273-H273,"n.a."))</f>
        <v>203</v>
      </c>
      <c r="J275" s="52">
        <f>IF(OR(J273="",I273=""),"n.a.",IFERROR(J273-I273,"n.a."))</f>
        <v>-96</v>
      </c>
      <c r="K275" s="124"/>
    </row>
    <row r="276">
      <c r="A276" s="2"/>
      <c r="B276" s="3" t="s">
        <v>403</v>
      </c>
      <c r="C276" s="37">
        <v>1059</v>
      </c>
      <c r="D276" s="37">
        <v>1019</v>
      </c>
      <c r="E276" s="37">
        <v>912</v>
      </c>
      <c r="F276" s="37">
        <v>782</v>
      </c>
      <c r="G276" s="43">
        <f>SUM(C276:F276)</f>
        <v>3772</v>
      </c>
      <c r="H276" s="37">
        <v>1037</v>
      </c>
      <c r="I276" s="37">
        <v>1166</v>
      </c>
      <c r="J276" s="38">
        <f>J282-J258-J261-J264-J267-J270-J273</f>
        <v>1145</v>
      </c>
      <c r="K276" s="125" t="s">
        <v>404</v>
      </c>
    </row>
    <row r="277">
      <c r="A277" s="2"/>
      <c r="B277" s="47" t="s">
        <v>133</v>
      </c>
      <c r="C277" s="7"/>
      <c r="D277" s="7"/>
      <c r="E277" s="7"/>
      <c r="F277" s="7"/>
      <c r="G277" s="7"/>
      <c r="H277" s="40">
        <f>IF(OR(H276="",C276=""),"n.a.",IFERROR(IF(C276&lt;=0,"n.m.",IF(H276/C276&lt;=0,"n.m.",H276/C276-1)),"n.a."))</f>
        <v>-0.020774315391879128</v>
      </c>
      <c r="I277" s="40">
        <f>IF(OR(I276="",D276=""),"n.a.",IFERROR(IF(D276&lt;=0,"n.m.",IF(I276/D276&lt;=0,"n.m.",I276/D276-1)),"n.a."))</f>
        <v>0.1442590775269872</v>
      </c>
      <c r="J277" s="45">
        <f>IF(OR(J276="",E276=""),"n.a.",IFERROR(IF(E276&lt;=0,"n.m.",IF(J276/E276&lt;=0,"n.m.",J276/E276-1)),"n.a."))</f>
        <v>0.2554824561403508</v>
      </c>
      <c r="K277" s="124"/>
    </row>
    <row r="278">
      <c r="A278" s="2"/>
      <c r="B278" s="47" t="s">
        <v>134</v>
      </c>
      <c r="C278" s="7"/>
      <c r="D278" s="41">
        <f>IF(OR(D276="",C276=""),"n.a.",IFERROR(D276-C276,"n.a."))</f>
        <v>-40</v>
      </c>
      <c r="E278" s="41">
        <f>IF(OR(E276="",D276=""),"n.a.",IFERROR(E276-D276,"n.a."))</f>
        <v>-107</v>
      </c>
      <c r="F278" s="41">
        <f>IF(OR(F276="",E276=""),"n.a.",IFERROR(F276-E276,"n.a."))</f>
        <v>-130</v>
      </c>
      <c r="G278" s="7"/>
      <c r="H278" s="41">
        <f>IF(OR(H276="",F276=""),"n.a.",IFERROR(H276-F276,"n.a."))</f>
        <v>255</v>
      </c>
      <c r="I278" s="41">
        <f>IF(OR(I276="",H276=""),"n.a.",IFERROR(I276-H276,"n.a."))</f>
        <v>129</v>
      </c>
      <c r="J278" s="52">
        <f>IF(OR(J276="",I276=""),"n.a.",IFERROR(J276-I276,"n.a."))</f>
        <v>-21</v>
      </c>
      <c r="K278" s="124"/>
    </row>
    <row r="279">
      <c r="A279" s="2"/>
      <c r="B279" s="61" t="s">
        <v>405</v>
      </c>
      <c r="C279" s="103">
        <v>290</v>
      </c>
      <c r="D279" s="103">
        <v>147</v>
      </c>
      <c r="E279" s="103">
        <v>201</v>
      </c>
      <c r="F279" s="103">
        <v>-63</v>
      </c>
      <c r="G279" s="41">
        <f>SUM(C279:F279)</f>
        <v>575</v>
      </c>
      <c r="H279" s="103">
        <v>163</v>
      </c>
      <c r="I279" s="103">
        <v>167</v>
      </c>
      <c r="J279" s="71">
        <v>170</v>
      </c>
      <c r="K279" s="125" t="s">
        <v>127</v>
      </c>
    </row>
    <row r="280">
      <c r="A280" s="2"/>
      <c r="B280" s="47" t="s">
        <v>133</v>
      </c>
      <c r="C280" s="7"/>
      <c r="D280" s="7"/>
      <c r="E280" s="7"/>
      <c r="F280" s="7"/>
      <c r="G280" s="7"/>
      <c r="H280" s="40">
        <f>IF(OR(H279="",C279=""),"n.a.",IFERROR(IF(C279&lt;=0,"n.m.",IF(H279/C279&lt;=0,"n.m.",H279/C279-1)),"n.a."))</f>
        <v>-0.4379310344827586</v>
      </c>
      <c r="I280" s="40">
        <f>IF(OR(I279="",D279=""),"n.a.",IFERROR(IF(D279&lt;=0,"n.m.",IF(I279/D279&lt;=0,"n.m.",I279/D279-1)),"n.a."))</f>
        <v>0.1360544217687074</v>
      </c>
      <c r="J280" s="45">
        <f>IF(OR(J279="",E279=""),"n.a.",IFERROR(IF(E279&lt;=0,"n.m.",IF(J279/E279&lt;=0,"n.m.",J279/E279-1)),"n.a."))</f>
        <v>-0.154228855721393</v>
      </c>
      <c r="K280" s="124"/>
    </row>
    <row r="281">
      <c r="A281" s="2"/>
      <c r="B281" s="47" t="s">
        <v>134</v>
      </c>
      <c r="C281" s="7"/>
      <c r="D281" s="41">
        <f>IF(OR(D279="",C279=""),"n.a.",IFERROR(D279-C279,"n.a."))</f>
        <v>-143</v>
      </c>
      <c r="E281" s="41">
        <f>IF(OR(E279="",D279=""),"n.a.",IFERROR(E279-D279,"n.a."))</f>
        <v>54</v>
      </c>
      <c r="F281" s="41">
        <f>IF(OR(F279="",E279=""),"n.a.",IFERROR(F279-E279,"n.a."))</f>
        <v>-264</v>
      </c>
      <c r="G281" s="7"/>
      <c r="H281" s="41">
        <f>IF(OR(H279="",F279=""),"n.a.",IFERROR(H279-F279,"n.a."))</f>
        <v>226</v>
      </c>
      <c r="I281" s="41">
        <f>IF(OR(I279="",H279=""),"n.a.",IFERROR(I279-H279,"n.a."))</f>
        <v>4</v>
      </c>
      <c r="J281" s="52">
        <f>IF(OR(J279="",I279=""),"n.a.",IFERROR(J279-I279,"n.a."))</f>
        <v>3</v>
      </c>
      <c r="K281" s="124"/>
    </row>
    <row r="282">
      <c r="A282" s="2"/>
      <c r="B282" s="18" t="s">
        <v>406</v>
      </c>
      <c r="C282" s="39">
        <f>C258+C261+C264+C267+C270+C273+C276</f>
        <v>17770</v>
      </c>
      <c r="D282" s="39">
        <f>D258+D261+D264+D267+D270+D273+D276</f>
        <v>17183</v>
      </c>
      <c r="E282" s="39">
        <f>E258+E261+E264+E267+E270+E273+E276</f>
        <v>17337</v>
      </c>
      <c r="F282" s="39">
        <f>F258+F261+F264+F267+F270+F273+F276</f>
        <v>17437</v>
      </c>
      <c r="G282" s="39">
        <f>G258+G261+G264+G267+G270+G273+G276</f>
        <v>69727</v>
      </c>
      <c r="H282" s="39">
        <f>H258+H261+H264+H267+H270+H273+H276</f>
        <v>18531</v>
      </c>
      <c r="I282" s="39">
        <f>I258+I261+I264+I267+I270+I273+I276</f>
        <v>18627</v>
      </c>
      <c r="J282" s="105">
        <f>'Segment - Consumer Banking'!J171+'Segment - GWIM'!J148+'Segment - Global Banking'!J261+'Segment - Global Markets'!J184+J279</f>
        <v>18180</v>
      </c>
      <c r="K282" s="124"/>
    </row>
    <row r="283">
      <c r="A283" s="2"/>
      <c r="B283" s="47" t="s">
        <v>133</v>
      </c>
      <c r="C283" s="7"/>
      <c r="D283" s="7"/>
      <c r="E283" s="7"/>
      <c r="F283" s="7"/>
      <c r="G283" s="7"/>
      <c r="H283" s="40">
        <f>IF(OR(H282="",C282=""),"n.a.",IFERROR(IF(C282&lt;=0,"n.m.",IF(H282/C282&lt;=0,"n.m.",H282/C282-1)),"n.a."))</f>
        <v>0.04282498593134498</v>
      </c>
      <c r="I283" s="40">
        <f>IF(OR(I282="",D282=""),"n.a.",IFERROR(IF(D282&lt;=0,"n.m.",IF(I282/D282&lt;=0,"n.m.",I282/D282-1)),"n.a."))</f>
        <v>0.08403654775068392</v>
      </c>
      <c r="J283" s="45">
        <f>IF(OR(J282="",E282=""),"n.a.",IFERROR(IF(E282&lt;=0,"n.m.",IF(J282/E282&lt;=0,"n.m.",J282/E282-1)),"n.a."))</f>
        <v>0.04862432946876627</v>
      </c>
      <c r="K283" s="124"/>
    </row>
    <row r="284">
      <c r="A284" s="2"/>
      <c r="B284" s="47" t="s">
        <v>134</v>
      </c>
      <c r="C284" s="7"/>
      <c r="D284" s="41">
        <f>IF(OR(D282="",C282=""),"n.a.",IFERROR(D282-C282,"n.a."))</f>
        <v>-587</v>
      </c>
      <c r="E284" s="41">
        <f>IF(OR(E282="",D282=""),"n.a.",IFERROR(E282-D282,"n.a."))</f>
        <v>154</v>
      </c>
      <c r="F284" s="41">
        <f>IF(OR(F282="",E282=""),"n.a.",IFERROR(F282-E282,"n.a."))</f>
        <v>100</v>
      </c>
      <c r="G284" s="7"/>
      <c r="H284" s="41">
        <f>IF(OR(H282="",F282=""),"n.a.",IFERROR(H282-F282,"n.a."))</f>
        <v>1094</v>
      </c>
      <c r="I284" s="41">
        <f>IF(OR(I282="",H282=""),"n.a.",IFERROR(I282-H282,"n.a."))</f>
        <v>96</v>
      </c>
      <c r="J284" s="52">
        <f>IF(OR(J282="",I282=""),"n.a.",IFERROR(J282-I282,"n.a."))</f>
        <v>-447</v>
      </c>
      <c r="K284" s="124"/>
    </row>
    <row r="285">
      <c r="A285" s="2"/>
      <c r="B285" s="18" t="s">
        <v>407</v>
      </c>
      <c r="C285" s="7"/>
      <c r="D285" s="7"/>
      <c r="E285" s="7"/>
      <c r="F285" s="7"/>
      <c r="G285" s="7"/>
      <c r="H285" s="7"/>
      <c r="I285" s="7"/>
      <c r="J285" s="46"/>
      <c r="K285" s="124"/>
    </row>
    <row r="286">
      <c r="A286" s="2"/>
      <c r="B286" s="18" t="s">
        <v>223</v>
      </c>
      <c r="C286" s="39">
        <f>C239-C254-C282</f>
        <v>8997</v>
      </c>
      <c r="D286" s="39">
        <f>D239-D254-D282</f>
        <v>8668</v>
      </c>
      <c r="E286" s="39">
        <f>E239-E254-E282</f>
        <v>10408</v>
      </c>
      <c r="F286" s="39">
        <f>F239-F254-F282</f>
        <v>9622</v>
      </c>
      <c r="G286" s="39">
        <f>G239-G254-G282</f>
        <v>37695</v>
      </c>
      <c r="H286" s="39">
        <f>H239-H254-H282</f>
        <v>10404</v>
      </c>
      <c r="I286" s="39">
        <f>I239-I254-I282</f>
        <v>11565</v>
      </c>
      <c r="J286" s="50">
        <f>J239-J254-J282</f>
        <v>10605.844804398628</v>
      </c>
      <c r="K286" s="124"/>
    </row>
    <row r="287">
      <c r="A287" s="2"/>
      <c r="B287" s="47" t="s">
        <v>133</v>
      </c>
      <c r="C287" s="7"/>
      <c r="D287" s="7"/>
      <c r="E287" s="7"/>
      <c r="F287" s="7"/>
      <c r="G287" s="7"/>
      <c r="H287" s="40">
        <f>IF(OR(H286="",C286=""),"n.a.",IFERROR(IF(C286&lt;=0,"n.m.",IF(H286/C286&lt;=0,"n.m.",H286/C286-1)),"n.a."))</f>
        <v>0.15638546182060686</v>
      </c>
      <c r="I287" s="40">
        <f>IF(OR(I286="",D286=""),"n.a.",IFERROR(IF(D286&lt;=0,"n.m.",IF(I286/D286&lt;=0,"n.m.",I286/D286-1)),"n.a."))</f>
        <v>0.3342178126442086</v>
      </c>
      <c r="J287" s="45">
        <f>IF(OR(J286="",E286=""),"n.a.",IFERROR(IF(E286&lt;=0,"n.m.",IF(J286/E286&lt;=0,"n.m.",J286/E286-1)),"n.a."))</f>
        <v>0.01900891664091353</v>
      </c>
      <c r="K287" s="124"/>
    </row>
    <row r="288">
      <c r="A288" s="2"/>
      <c r="B288" s="47" t="s">
        <v>134</v>
      </c>
      <c r="C288" s="7"/>
      <c r="D288" s="41">
        <f>IF(OR(D286="",C286=""),"n.a.",IFERROR(D286-C286,"n.a."))</f>
        <v>-329</v>
      </c>
      <c r="E288" s="41">
        <f>IF(OR(E286="",D286=""),"n.a.",IFERROR(E286-D286,"n.a."))</f>
        <v>1740</v>
      </c>
      <c r="F288" s="41">
        <f>IF(OR(F286="",E286=""),"n.a.",IFERROR(F286-E286,"n.a."))</f>
        <v>-786</v>
      </c>
      <c r="G288" s="7"/>
      <c r="H288" s="41">
        <f>IF(OR(H286="",F286=""),"n.a.",IFERROR(H286-F286,"n.a."))</f>
        <v>782</v>
      </c>
      <c r="I288" s="41">
        <f>IF(OR(I286="",H286=""),"n.a.",IFERROR(I286-H286,"n.a."))</f>
        <v>1161</v>
      </c>
      <c r="J288" s="52">
        <f>IF(OR(J286="",I286=""),"n.a.",IFERROR(J286-I286,"n.a."))</f>
        <v>-959.1551956013718</v>
      </c>
      <c r="K288" s="124"/>
    </row>
    <row r="289">
      <c r="A289" s="2"/>
      <c r="B289" s="61" t="s">
        <v>408</v>
      </c>
      <c r="C289" s="40">
        <f>C292/C286</f>
        <v>0.18194953873513392</v>
      </c>
      <c r="D289" s="40">
        <f>D292/D286</f>
        <v>0.17281956622058145</v>
      </c>
      <c r="E289" s="40">
        <f>E292/E286</f>
        <v>0.1994619523443505</v>
      </c>
      <c r="F289" s="40">
        <f>F292/F286</f>
        <v>0.2052587819580129</v>
      </c>
      <c r="G289" s="40">
        <f>G292/G286</f>
        <v>0.19063536278020957</v>
      </c>
      <c r="H289" s="40">
        <f>H292/H286</f>
        <v>0.17493271818531334</v>
      </c>
      <c r="I289" s="40">
        <f>I292/I286</f>
        <v>0.21539126675313447</v>
      </c>
      <c r="J289" s="92">
        <v>0.208</v>
      </c>
      <c r="K289" s="124"/>
    </row>
    <row r="290">
      <c r="A290" s="2"/>
      <c r="B290" s="47" t="s">
        <v>169</v>
      </c>
      <c r="C290" s="7"/>
      <c r="D290" s="42">
        <f>(D289-C289)*10000</f>
        <v>-91.2997251455247</v>
      </c>
      <c r="E290" s="42">
        <f>(E289-D289)*10000</f>
        <v>266.4238612376904</v>
      </c>
      <c r="F290" s="42">
        <f>(F289-E289)*10000</f>
        <v>57.96829613662402</v>
      </c>
      <c r="G290" s="7"/>
      <c r="H290" s="42">
        <f>(H289-F289)*10000</f>
        <v>-303.2606377269956</v>
      </c>
      <c r="I290" s="42">
        <f>(I289-H289)*10000</f>
        <v>404.58548567821134</v>
      </c>
      <c r="J290" s="56">
        <f>(J289-I289)*10000</f>
        <v>-73.9126675313448</v>
      </c>
      <c r="K290" s="124"/>
    </row>
    <row r="291">
      <c r="A291" s="2"/>
      <c r="B291" s="47" t="s">
        <v>170</v>
      </c>
      <c r="C291" s="7"/>
      <c r="D291" s="7"/>
      <c r="E291" s="7"/>
      <c r="F291" s="7"/>
      <c r="G291" s="7"/>
      <c r="H291" s="42">
        <f>(H289-C289)*10000</f>
        <v>-70.16820549820585</v>
      </c>
      <c r="I291" s="42">
        <f>(I289-D289)*10000</f>
        <v>425.7170053255302</v>
      </c>
      <c r="J291" s="56">
        <f>(J289-E289)*10000</f>
        <v>85.380476556495</v>
      </c>
      <c r="K291" s="124"/>
    </row>
    <row r="292">
      <c r="A292" s="2"/>
      <c r="B292" s="3" t="s">
        <v>225</v>
      </c>
      <c r="C292" s="37">
        <v>1637</v>
      </c>
      <c r="D292" s="37">
        <v>1498</v>
      </c>
      <c r="E292" s="37">
        <v>2076</v>
      </c>
      <c r="F292" s="37">
        <v>1975</v>
      </c>
      <c r="G292" s="43">
        <f>SUM(C292:F292)</f>
        <v>7186</v>
      </c>
      <c r="H292" s="37">
        <v>1820</v>
      </c>
      <c r="I292" s="37">
        <v>2491</v>
      </c>
      <c r="J292" s="38">
        <f>J286*J289</f>
        <v>2206.0157193149143</v>
      </c>
      <c r="K292" s="125" t="s">
        <v>127</v>
      </c>
    </row>
    <row r="293">
      <c r="A293" s="2"/>
      <c r="B293" s="18" t="s">
        <v>226</v>
      </c>
      <c r="C293" s="39">
        <f>C286-C292</f>
        <v>7360</v>
      </c>
      <c r="D293" s="39">
        <f>D286-D292</f>
        <v>7170</v>
      </c>
      <c r="E293" s="39">
        <f>E286-E292</f>
        <v>8332</v>
      </c>
      <c r="F293" s="39">
        <f>F286-F292</f>
        <v>7647</v>
      </c>
      <c r="G293" s="39">
        <f>G286-G292</f>
        <v>30509</v>
      </c>
      <c r="H293" s="39">
        <f>H286-H292</f>
        <v>8584</v>
      </c>
      <c r="I293" s="39">
        <f>I286-I292</f>
        <v>9074</v>
      </c>
      <c r="J293" s="50">
        <f>J286-J292</f>
        <v>8399.829085083715</v>
      </c>
      <c r="K293" s="124"/>
    </row>
    <row r="294">
      <c r="A294" s="2"/>
      <c r="B294" s="47" t="s">
        <v>133</v>
      </c>
      <c r="C294" s="7"/>
      <c r="D294" s="7"/>
      <c r="E294" s="7"/>
      <c r="F294" s="7"/>
      <c r="G294" s="7"/>
      <c r="H294" s="40">
        <f>IF(OR(H293="",C293=""),"n.a.",IFERROR(IF(C293&lt;=0,"n.m.",IF(H293/C293&lt;=0,"n.m.",H293/C293-1)),"n.a."))</f>
        <v>0.16630434782608705</v>
      </c>
      <c r="I294" s="40">
        <f>IF(OR(I293="",D293=""),"n.a.",IFERROR(IF(D293&lt;=0,"n.m.",IF(I293/D293&lt;=0,"n.m.",I293/D293-1)),"n.a."))</f>
        <v>0.2655509065550907</v>
      </c>
      <c r="J294" s="45">
        <f>IF(OR(J293="",E293=""),"n.a.",IFERROR(IF(E293&lt;=0,"n.m.",IF(J293/E293&lt;=0,"n.m.",J293/E293-1)),"n.a."))</f>
        <v>0.008140792736883729</v>
      </c>
      <c r="K294" s="124"/>
    </row>
    <row r="295">
      <c r="A295" s="2"/>
      <c r="B295" s="47" t="s">
        <v>134</v>
      </c>
      <c r="C295" s="7"/>
      <c r="D295" s="41">
        <f>IF(OR(D293="",C293=""),"n.a.",IFERROR(D293-C293,"n.a."))</f>
        <v>-190</v>
      </c>
      <c r="E295" s="41">
        <f>IF(OR(E293="",D293=""),"n.a.",IFERROR(E293-D293,"n.a."))</f>
        <v>1162</v>
      </c>
      <c r="F295" s="41">
        <f>IF(OR(F293="",E293=""),"n.a.",IFERROR(F293-E293,"n.a."))</f>
        <v>-685</v>
      </c>
      <c r="G295" s="7"/>
      <c r="H295" s="41">
        <f>IF(OR(H293="",F293=""),"n.a.",IFERROR(H293-F293,"n.a."))</f>
        <v>937</v>
      </c>
      <c r="I295" s="41">
        <f>IF(OR(I293="",H293=""),"n.a.",IFERROR(I293-H293,"n.a."))</f>
        <v>490</v>
      </c>
      <c r="J295" s="52">
        <f>IF(OR(J293="",I293=""),"n.a.",IFERROR(J293-I293,"n.a."))</f>
        <v>-674.1709149162853</v>
      </c>
      <c r="K295" s="124"/>
    </row>
    <row r="296">
      <c r="A296" s="2"/>
      <c r="B296" s="3" t="s">
        <v>409</v>
      </c>
      <c r="C296" s="37">
        <v>406</v>
      </c>
      <c r="D296" s="37">
        <v>291</v>
      </c>
      <c r="E296" s="37">
        <v>429</v>
      </c>
      <c r="F296" s="37">
        <v>328</v>
      </c>
      <c r="G296" s="43">
        <f>SUM(C296:F296)</f>
        <v>1454</v>
      </c>
      <c r="H296" s="37">
        <v>429</v>
      </c>
      <c r="I296" s="37">
        <v>326</v>
      </c>
      <c r="J296" s="75">
        <v>415</v>
      </c>
      <c r="K296" s="125" t="s">
        <v>127</v>
      </c>
    </row>
    <row r="297">
      <c r="A297" s="2"/>
      <c r="B297" s="47" t="s">
        <v>133</v>
      </c>
      <c r="C297" s="7"/>
      <c r="D297" s="7"/>
      <c r="E297" s="7"/>
      <c r="F297" s="7"/>
      <c r="G297" s="7"/>
      <c r="H297" s="40">
        <f>IF(OR(H296="",C296=""),"n.a.",IFERROR(IF(C296&lt;=0,"n.m.",IF(H296/C296&lt;=0,"n.m.",H296/C296-1)),"n.a."))</f>
        <v>0.05665024630541882</v>
      </c>
      <c r="I297" s="40">
        <f>IF(OR(I296="",D296=""),"n.a.",IFERROR(IF(D296&lt;=0,"n.m.",IF(I296/D296&lt;=0,"n.m.",I296/D296-1)),"n.a."))</f>
        <v>0.1202749140893471</v>
      </c>
      <c r="J297" s="45">
        <f>IF(OR(J296="",E296=""),"n.a.",IFERROR(IF(E296&lt;=0,"n.m.",IF(J296/E296&lt;=0,"n.m.",J296/E296-1)),"n.a."))</f>
        <v>-0.03263403263403264</v>
      </c>
      <c r="K297" s="124"/>
    </row>
    <row r="298">
      <c r="A298" s="2"/>
      <c r="B298" s="47" t="s">
        <v>134</v>
      </c>
      <c r="C298" s="7"/>
      <c r="D298" s="41">
        <f>IF(OR(D296="",C296=""),"n.a.",IFERROR(D296-C296,"n.a."))</f>
        <v>-115</v>
      </c>
      <c r="E298" s="41">
        <f>IF(OR(E296="",D296=""),"n.a.",IFERROR(E296-D296,"n.a."))</f>
        <v>138</v>
      </c>
      <c r="F298" s="41">
        <f>IF(OR(F296="",E296=""),"n.a.",IFERROR(F296-E296,"n.a."))</f>
        <v>-101</v>
      </c>
      <c r="G298" s="7"/>
      <c r="H298" s="41">
        <f>IF(OR(H296="",F296=""),"n.a.",IFERROR(H296-F296,"n.a."))</f>
        <v>101</v>
      </c>
      <c r="I298" s="41">
        <f>IF(OR(I296="",H296=""),"n.a.",IFERROR(I296-H296,"n.a."))</f>
        <v>-103</v>
      </c>
      <c r="J298" s="52">
        <f>IF(OR(J296="",I296=""),"n.a.",IFERROR(J296-I296,"n.a."))</f>
        <v>89</v>
      </c>
      <c r="K298" s="124"/>
    </row>
    <row r="299">
      <c r="A299" s="2"/>
      <c r="B299" s="18" t="s">
        <v>410</v>
      </c>
      <c r="C299" s="39">
        <f>C293-C296</f>
        <v>6954</v>
      </c>
      <c r="D299" s="39">
        <f>D293-D296</f>
        <v>6879</v>
      </c>
      <c r="E299" s="39">
        <f>E293-E296</f>
        <v>7903</v>
      </c>
      <c r="F299" s="39">
        <f>F293-F296</f>
        <v>7319</v>
      </c>
      <c r="G299" s="39">
        <f>G293-G296</f>
        <v>29055</v>
      </c>
      <c r="H299" s="39">
        <f>H293-H296</f>
        <v>8155</v>
      </c>
      <c r="I299" s="39">
        <f>I293-I296</f>
        <v>8748</v>
      </c>
      <c r="J299" s="50">
        <f>J293-J296</f>
        <v>7984.829085083715</v>
      </c>
      <c r="K299" s="124"/>
    </row>
    <row r="300">
      <c r="A300" s="2"/>
      <c r="B300" s="47" t="s">
        <v>133</v>
      </c>
      <c r="C300" s="7"/>
      <c r="D300" s="7"/>
      <c r="E300" s="7"/>
      <c r="F300" s="7"/>
      <c r="G300" s="7"/>
      <c r="H300" s="40">
        <f>IF(OR(H299="",C299=""),"n.a.",IFERROR(IF(C299&lt;=0,"n.m.",IF(H299/C299&lt;=0,"n.m.",H299/C299-1)),"n.a."))</f>
        <v>0.1727063560540696</v>
      </c>
      <c r="I300" s="40">
        <f>IF(OR(I299="",D299=""),"n.a.",IFERROR(IF(D299&lt;=0,"n.m.",IF(I299/D299&lt;=0,"n.m.",I299/D299-1)),"n.a."))</f>
        <v>0.2716964675098126</v>
      </c>
      <c r="J300" s="45">
        <f>IF(OR(J299="",E299=""),"n.a.",IFERROR(IF(E299&lt;=0,"n.m.",IF(J299/E299&lt;=0,"n.m.",J299/E299-1)),"n.a."))</f>
        <v>0.010354180068798513</v>
      </c>
      <c r="K300" s="124"/>
    </row>
    <row r="301">
      <c r="A301" s="2"/>
      <c r="B301" s="47" t="s">
        <v>134</v>
      </c>
      <c r="C301" s="7"/>
      <c r="D301" s="41">
        <f>IF(OR(D299="",C299=""),"n.a.",IFERROR(D299-C299,"n.a."))</f>
        <v>-75</v>
      </c>
      <c r="E301" s="41">
        <f>IF(OR(E299="",D299=""),"n.a.",IFERROR(E299-D299,"n.a."))</f>
        <v>1024</v>
      </c>
      <c r="F301" s="41">
        <f>IF(OR(F299="",E299=""),"n.a.",IFERROR(F299-E299,"n.a."))</f>
        <v>-584</v>
      </c>
      <c r="G301" s="7"/>
      <c r="H301" s="41">
        <f>IF(OR(H299="",F299=""),"n.a.",IFERROR(H299-F299,"n.a."))</f>
        <v>836</v>
      </c>
      <c r="I301" s="41">
        <f>IF(OR(I299="",H299=""),"n.a.",IFERROR(I299-H299,"n.a."))</f>
        <v>593</v>
      </c>
      <c r="J301" s="52">
        <f>IF(OR(J299="",I299=""),"n.a.",IFERROR(J299-I299,"n.a."))</f>
        <v>-763.1709149162853</v>
      </c>
      <c r="K301" s="124"/>
    </row>
    <row r="302">
      <c r="A302" s="2"/>
      <c r="B302" s="3" t="s">
        <v>411</v>
      </c>
      <c r="C302" s="37">
        <v>0</v>
      </c>
      <c r="D302" s="37">
        <v>0</v>
      </c>
      <c r="E302" s="37">
        <v>56</v>
      </c>
      <c r="F302" s="37">
        <v>56</v>
      </c>
      <c r="G302" s="37">
        <v>224</v>
      </c>
      <c r="H302" s="37">
        <v>56</v>
      </c>
      <c r="I302" s="37">
        <v>56</v>
      </c>
      <c r="J302" s="75">
        <v>56</v>
      </c>
      <c r="K302" s="125" t="s">
        <v>412</v>
      </c>
    </row>
    <row r="303">
      <c r="A303" s="2"/>
      <c r="B303" s="47" t="s">
        <v>133</v>
      </c>
      <c r="C303" s="7"/>
      <c r="D303" s="7"/>
      <c r="E303" s="7"/>
      <c r="F303" s="7"/>
      <c r="G303" s="7"/>
      <c r="H303" s="40" t="str">
        <f>IF(OR(H302="",C302=""),"n.a.",IFERROR(IF(C302&lt;=0,"n.m.",IF(H302/C302&lt;=0,"n.m.",H302/C302-1)),"n.a."))</f>
        <v>n.m.</v>
      </c>
      <c r="I303" s="40" t="str">
        <f>IF(OR(I302="",D302=""),"n.a.",IFERROR(IF(D302&lt;=0,"n.m.",IF(I302/D302&lt;=0,"n.m.",I302/D302-1)),"n.a."))</f>
        <v>n.m.</v>
      </c>
      <c r="J303" s="45">
        <f>IF(OR(J302="",E302=""),"n.a.",IFERROR(IF(E302&lt;=0,"n.m.",IF(J302/E302&lt;=0,"n.m.",J302/E302-1)),"n.a."))</f>
        <v>0</v>
      </c>
      <c r="K303" s="124"/>
    </row>
    <row r="304">
      <c r="A304" s="2"/>
      <c r="B304" s="47" t="s">
        <v>134</v>
      </c>
      <c r="C304" s="7"/>
      <c r="D304" s="41">
        <f>IF(OR(D302="",C302=""),"n.a.",IFERROR(D302-C302,"n.a."))</f>
        <v>0</v>
      </c>
      <c r="E304" s="41">
        <f>IF(OR(E302="",D302=""),"n.a.",IFERROR(E302-D302,"n.a."))</f>
        <v>56</v>
      </c>
      <c r="F304" s="41">
        <f>IF(OR(F302="",E302=""),"n.a.",IFERROR(F302-E302,"n.a."))</f>
        <v>0</v>
      </c>
      <c r="G304" s="7"/>
      <c r="H304" s="41">
        <f>IF(OR(H302="",F302=""),"n.a.",IFERROR(H302-F302,"n.a."))</f>
        <v>0</v>
      </c>
      <c r="I304" s="41">
        <f>IF(OR(I302="",H302=""),"n.a.",IFERROR(I302-H302,"n.a."))</f>
        <v>0</v>
      </c>
      <c r="J304" s="52">
        <f>IF(OR(J302="",I302=""),"n.a.",IFERROR(J302-I302,"n.a."))</f>
        <v>0</v>
      </c>
      <c r="K304" s="124"/>
    </row>
    <row r="305">
      <c r="A305" s="2"/>
      <c r="B305" s="18" t="s">
        <v>413</v>
      </c>
      <c r="C305" s="39">
        <f>C299+C302</f>
        <v>6954</v>
      </c>
      <c r="D305" s="39">
        <f>D299+D302</f>
        <v>6879</v>
      </c>
      <c r="E305" s="39">
        <f>E299+E302</f>
        <v>7959</v>
      </c>
      <c r="F305" s="39">
        <f>F299+F302</f>
        <v>7375</v>
      </c>
      <c r="G305" s="39">
        <f>G299+G302</f>
        <v>29279</v>
      </c>
      <c r="H305" s="39">
        <f>H299+H302</f>
        <v>8211</v>
      </c>
      <c r="I305" s="39">
        <f>I299+I302</f>
        <v>8804</v>
      </c>
      <c r="J305" s="50">
        <f>J299+J302</f>
        <v>8040.829085083715</v>
      </c>
      <c r="K305" s="124"/>
    </row>
    <row r="306">
      <c r="A306" s="2"/>
      <c r="B306" s="3" t="s">
        <v>414</v>
      </c>
      <c r="C306" s="37">
        <v>7677.9</v>
      </c>
      <c r="D306" s="37">
        <v>7581.2</v>
      </c>
      <c r="E306" s="37">
        <v>7466</v>
      </c>
      <c r="F306" s="37">
        <v>7364.9</v>
      </c>
      <c r="G306" s="37">
        <v>7521.9</v>
      </c>
      <c r="H306" s="37">
        <v>7256.1</v>
      </c>
      <c r="I306" s="37">
        <v>7151.2</v>
      </c>
      <c r="J306" s="48">
        <f>'Share Count'!J33</f>
        <v>7054.817847307773</v>
      </c>
      <c r="K306" s="125" t="s">
        <v>127</v>
      </c>
    </row>
    <row r="307">
      <c r="A307" s="2"/>
      <c r="B307" s="3" t="s">
        <v>415</v>
      </c>
      <c r="C307" s="37">
        <v>7770.8</v>
      </c>
      <c r="D307" s="37">
        <v>7651.6</v>
      </c>
      <c r="E307" s="37">
        <v>7627.1</v>
      </c>
      <c r="F307" s="37">
        <v>7546.9</v>
      </c>
      <c r="G307" s="37">
        <v>7680.9</v>
      </c>
      <c r="H307" s="37">
        <v>7417.5</v>
      </c>
      <c r="I307" s="37">
        <v>7294.2</v>
      </c>
      <c r="J307" s="48">
        <f>'Share Count'!J39</f>
        <v>7199.817847307773</v>
      </c>
      <c r="K307" s="125" t="s">
        <v>416</v>
      </c>
    </row>
    <row r="308">
      <c r="A308" s="2"/>
      <c r="B308" s="3" t="s">
        <v>417</v>
      </c>
      <c r="C308" s="63">
        <f>C299/C306</f>
        <v>0.9057164068299927</v>
      </c>
      <c r="D308" s="63">
        <f>D299/D306</f>
        <v>0.9073761409803197</v>
      </c>
      <c r="E308" s="63">
        <f>E299/E306</f>
        <v>1.0585320117867667</v>
      </c>
      <c r="F308" s="63">
        <f>F299/F306</f>
        <v>0.9937677361539193</v>
      </c>
      <c r="G308" s="63">
        <f>G299/G306</f>
        <v>3.862720855103099</v>
      </c>
      <c r="H308" s="63">
        <f>H299/H306</f>
        <v>1.1238819751657225</v>
      </c>
      <c r="I308" s="63">
        <f>I299/I306</f>
        <v>1.2232911958832084</v>
      </c>
      <c r="J308" s="106">
        <f>J299/J306</f>
        <v>1.131826399760392</v>
      </c>
      <c r="K308" s="124"/>
    </row>
    <row r="309">
      <c r="A309" s="2"/>
      <c r="B309" s="18" t="s">
        <v>418</v>
      </c>
      <c r="C309" s="59">
        <f>C305/C307</f>
        <v>0.8948885571627117</v>
      </c>
      <c r="D309" s="59">
        <f>D305/D307</f>
        <v>0.8990276543468032</v>
      </c>
      <c r="E309" s="59">
        <f>E305/E307</f>
        <v>1.043515884149939</v>
      </c>
      <c r="F309" s="59">
        <f>F305/F307</f>
        <v>0.9772224357020763</v>
      </c>
      <c r="G309" s="59">
        <f>G305/G307</f>
        <v>3.811923081930503</v>
      </c>
      <c r="H309" s="59">
        <f>H305/H307</f>
        <v>1.1069767441860465</v>
      </c>
      <c r="I309" s="59">
        <f>I305/I307</f>
        <v>1.2069863727345014</v>
      </c>
      <c r="J309" s="89">
        <f>J305/J307</f>
        <v>1.116810071534021</v>
      </c>
      <c r="K309" s="124"/>
    </row>
    <row r="310">
      <c r="A310" s="2"/>
      <c r="B310" s="47" t="s">
        <v>133</v>
      </c>
      <c r="C310" s="7"/>
      <c r="D310" s="7"/>
      <c r="E310" s="7"/>
      <c r="F310" s="7"/>
      <c r="G310" s="7"/>
      <c r="H310" s="40">
        <f>IF(OR(H309="",C309=""),"n.a.",IFERROR(IF(C309&lt;=0,"n.m.",IF(H309/C309&lt;=0,"n.m.",H309/C309-1)),"n.a."))</f>
        <v>0.23699955187243749</v>
      </c>
      <c r="I310" s="40">
        <f>IF(OR(I309="",D309=""),"n.a.",IFERROR(IF(D309&lt;=0,"n.m.",IF(I309/D309&lt;=0,"n.m.",I309/D309-1)),"n.a."))</f>
        <v>0.34254643547249763</v>
      </c>
      <c r="J310" s="45">
        <f>IF(OR(J309="",E309=""),"n.a.",IFERROR(IF(E309&lt;=0,"n.m.",IF(J309/E309&lt;=0,"n.m.",J309/E309-1)),"n.a."))</f>
        <v>0.07023773044316273</v>
      </c>
      <c r="K310" s="124"/>
    </row>
    <row r="311">
      <c r="A311" s="2"/>
      <c r="B311" s="3" t="s">
        <v>419</v>
      </c>
      <c r="C311" s="64">
        <v>0.89</v>
      </c>
      <c r="D311" s="64">
        <v>0.9</v>
      </c>
      <c r="E311" s="64">
        <v>1.04</v>
      </c>
      <c r="F311" s="64">
        <v>0.98</v>
      </c>
      <c r="G311" s="64">
        <v>3.81</v>
      </c>
      <c r="H311" s="64">
        <v>1.11</v>
      </c>
      <c r="I311" s="64">
        <v>1.21</v>
      </c>
      <c r="J311" s="46"/>
      <c r="K311" s="125" t="s">
        <v>127</v>
      </c>
    </row>
    <row r="312">
      <c r="A312" s="2"/>
      <c r="B312" s="61" t="s">
        <v>420</v>
      </c>
      <c r="C312" s="108">
        <f>ROUND(C309,2)-C311</f>
        <v>0</v>
      </c>
      <c r="D312" s="108">
        <f>ROUND(D309,2)-D311</f>
        <v>0</v>
      </c>
      <c r="E312" s="108">
        <f>ROUND(E309,2)-E311</f>
        <v>0</v>
      </c>
      <c r="F312" s="108">
        <f>ROUND(F309,2)-F311</f>
        <v>0</v>
      </c>
      <c r="G312" s="108">
        <f>ROUND(G309,2)-G311</f>
        <v>0</v>
      </c>
      <c r="H312" s="108">
        <f>ROUND(H309,2)-H311</f>
        <v>0</v>
      </c>
      <c r="I312" s="108">
        <f>ROUND(I309,2)-I311</f>
        <v>0</v>
      </c>
      <c r="J312" s="46"/>
      <c r="K312" s="124"/>
    </row>
    <row r="313">
      <c r="A313" s="2"/>
      <c r="B313" s="18" t="s">
        <v>421</v>
      </c>
      <c r="C313" s="7"/>
      <c r="D313" s="7"/>
      <c r="E313" s="7"/>
      <c r="F313" s="7"/>
      <c r="G313" s="7"/>
      <c r="H313" s="7"/>
      <c r="I313" s="7"/>
      <c r="J313" s="46"/>
      <c r="K313" s="129" t="s">
        <v>422</v>
      </c>
    </row>
    <row r="314">
      <c r="A314" s="2"/>
      <c r="B314" s="3" t="s">
        <v>423</v>
      </c>
      <c r="C314" s="43">
        <f>C299</f>
        <v>6954</v>
      </c>
      <c r="D314" s="43">
        <f>D299</f>
        <v>6879</v>
      </c>
      <c r="E314" s="43">
        <f>E299</f>
        <v>7903</v>
      </c>
      <c r="F314" s="43">
        <f>F299</f>
        <v>7319</v>
      </c>
      <c r="G314" s="43">
        <f>G299</f>
        <v>29055</v>
      </c>
      <c r="H314" s="43">
        <f>H299</f>
        <v>8155</v>
      </c>
      <c r="I314" s="43">
        <f>I299</f>
        <v>8748</v>
      </c>
      <c r="J314" s="38">
        <f>J299</f>
        <v>7984.829085083715</v>
      </c>
      <c r="K314" s="124"/>
    </row>
    <row r="315">
      <c r="A315" s="2"/>
      <c r="B315" s="104" t="s">
        <v>424</v>
      </c>
      <c r="C315" s="37">
        <v>0</v>
      </c>
      <c r="D315" s="37">
        <v>0</v>
      </c>
      <c r="E315" s="37">
        <v>0</v>
      </c>
      <c r="F315" s="37">
        <v>0</v>
      </c>
      <c r="G315" s="43">
        <f>SUM(C315:F315)</f>
        <v>0</v>
      </c>
      <c r="H315" s="37">
        <v>0</v>
      </c>
      <c r="I315" s="37">
        <v>0</v>
      </c>
      <c r="J315" s="75">
        <v>0</v>
      </c>
      <c r="K315" s="124"/>
    </row>
    <row r="316">
      <c r="A316" s="2"/>
      <c r="B316" s="104" t="s">
        <v>425</v>
      </c>
      <c r="C316" s="37">
        <v>0</v>
      </c>
      <c r="D316" s="37">
        <v>0</v>
      </c>
      <c r="E316" s="37">
        <v>0</v>
      </c>
      <c r="F316" s="37">
        <v>0</v>
      </c>
      <c r="G316" s="43">
        <f>SUM(C316:F316)</f>
        <v>0</v>
      </c>
      <c r="H316" s="37">
        <v>0</v>
      </c>
      <c r="I316" s="37">
        <v>0</v>
      </c>
      <c r="J316" s="75">
        <v>0</v>
      </c>
      <c r="K316" s="124"/>
    </row>
    <row r="317">
      <c r="A317" s="2"/>
      <c r="B317" s="104" t="s">
        <v>426</v>
      </c>
      <c r="C317" s="37">
        <v>0</v>
      </c>
      <c r="D317" s="37">
        <v>0</v>
      </c>
      <c r="E317" s="37">
        <v>0</v>
      </c>
      <c r="F317" s="37">
        <v>0</v>
      </c>
      <c r="G317" s="43">
        <f>SUM(C317:F317)</f>
        <v>0</v>
      </c>
      <c r="H317" s="37">
        <v>0</v>
      </c>
      <c r="I317" s="37">
        <v>0</v>
      </c>
      <c r="J317" s="75">
        <v>0</v>
      </c>
      <c r="K317" s="124"/>
    </row>
    <row r="318">
      <c r="A318" s="2"/>
      <c r="B318" s="104" t="s">
        <v>427</v>
      </c>
      <c r="C318" s="37">
        <v>0</v>
      </c>
      <c r="D318" s="37">
        <v>0</v>
      </c>
      <c r="E318" s="37">
        <v>0</v>
      </c>
      <c r="F318" s="37">
        <v>0</v>
      </c>
      <c r="G318" s="43">
        <f>SUM(C318:F318)</f>
        <v>0</v>
      </c>
      <c r="H318" s="37">
        <v>0</v>
      </c>
      <c r="I318" s="37">
        <v>0</v>
      </c>
      <c r="J318" s="75">
        <v>0</v>
      </c>
      <c r="K318" s="124"/>
    </row>
    <row r="319">
      <c r="A319" s="2"/>
      <c r="B319" s="104" t="s">
        <v>428</v>
      </c>
      <c r="C319" s="37">
        <v>0</v>
      </c>
      <c r="D319" s="37">
        <v>0</v>
      </c>
      <c r="E319" s="37">
        <v>0</v>
      </c>
      <c r="F319" s="37">
        <v>0</v>
      </c>
      <c r="G319" s="43">
        <f>SUM(C319:F319)</f>
        <v>0</v>
      </c>
      <c r="H319" s="37">
        <v>0</v>
      </c>
      <c r="I319" s="37">
        <v>0</v>
      </c>
      <c r="J319" s="75">
        <v>0</v>
      </c>
      <c r="K319" s="124"/>
    </row>
    <row r="320">
      <c r="A320" s="2"/>
      <c r="B320" s="18" t="s">
        <v>429</v>
      </c>
      <c r="C320" s="39">
        <f>C314+C315+C316+C317+C318+C319</f>
        <v>6954</v>
      </c>
      <c r="D320" s="39">
        <f>D314+D315+D316+D317+D318+D319</f>
        <v>6879</v>
      </c>
      <c r="E320" s="39">
        <f>E314+E315+E316+E317+E318+E319</f>
        <v>7903</v>
      </c>
      <c r="F320" s="39">
        <f>F314+F315+F316+F317+F318+F319</f>
        <v>7319</v>
      </c>
      <c r="G320" s="39">
        <f>G314+G315+G316+G317+G318+G319</f>
        <v>29055</v>
      </c>
      <c r="H320" s="39">
        <f>H314+H315+H316+H317+H318+H319</f>
        <v>8155</v>
      </c>
      <c r="I320" s="39">
        <f>I314+I315+I316+I317+I318+I319</f>
        <v>8748</v>
      </c>
      <c r="J320" s="50">
        <f>J314+J315+J316+J317+J318+J319</f>
        <v>7984.829085083715</v>
      </c>
      <c r="K320" s="124"/>
    </row>
    <row r="321">
      <c r="A321" s="2"/>
      <c r="B321" s="18" t="s">
        <v>52</v>
      </c>
      <c r="C321" s="59">
        <f>(C320+C302)/C307</f>
        <v>0.8948885571627117</v>
      </c>
      <c r="D321" s="59">
        <f>(D320+D302)/D307</f>
        <v>0.8990276543468032</v>
      </c>
      <c r="E321" s="59">
        <f>(E320+E302)/E307</f>
        <v>1.043515884149939</v>
      </c>
      <c r="F321" s="59">
        <f>(F320+F302)/F307</f>
        <v>0.9772224357020763</v>
      </c>
      <c r="G321" s="59">
        <f>(G320+G302)/G307</f>
        <v>3.811923081930503</v>
      </c>
      <c r="H321" s="59">
        <f>(H320+H302)/H307</f>
        <v>1.1069767441860465</v>
      </c>
      <c r="I321" s="59">
        <f>(I320+I302)/I307</f>
        <v>1.2069863727345014</v>
      </c>
      <c r="J321" s="89">
        <f>(J320+J302)/J307</f>
        <v>1.116810071534021</v>
      </c>
      <c r="K321" s="124"/>
    </row>
    <row r="322">
      <c r="A322" s="2"/>
      <c r="B322" s="3" t="s">
        <v>430</v>
      </c>
      <c r="C322" s="49">
        <f>Inputs!F101</f>
        <v>0.9</v>
      </c>
      <c r="D322" s="49">
        <f>Inputs!F102</f>
        <v>0.89</v>
      </c>
      <c r="E322" s="49">
        <f>Inputs!F103</f>
        <v>1.06</v>
      </c>
      <c r="F322" s="49">
        <f>Inputs!F104</f>
        <v>0.98</v>
      </c>
      <c r="G322" s="7"/>
      <c r="H322" s="49">
        <f>Inputs!F105</f>
        <v>1.11</v>
      </c>
      <c r="I322" s="49">
        <f>Inputs!F106</f>
        <v>1.21</v>
      </c>
      <c r="J322" s="46"/>
      <c r="K322" s="129" t="s">
        <v>431</v>
      </c>
    </row>
    <row r="323">
      <c r="A323" s="2"/>
      <c r="B323" s="3" t="s">
        <v>432</v>
      </c>
      <c r="C323" s="49">
        <f>Inputs!E101</f>
        <v>0.81</v>
      </c>
      <c r="D323" s="49">
        <f>Inputs!E102</f>
        <v>0.86</v>
      </c>
      <c r="E323" s="49">
        <f>Inputs!E103</f>
        <v>0.95</v>
      </c>
      <c r="F323" s="49">
        <f>Inputs!E104</f>
        <v>0.95</v>
      </c>
      <c r="G323" s="7"/>
      <c r="H323" s="49">
        <f>Inputs!E105</f>
        <v>1.02</v>
      </c>
      <c r="I323" s="49">
        <f>Inputs!E106</f>
        <v>1.13</v>
      </c>
      <c r="J323" s="57">
        <f>Inputs!C17</f>
        <v>1.1</v>
      </c>
      <c r="K323" s="125" t="s">
        <v>147</v>
      </c>
    </row>
    <row r="324">
      <c r="A324" s="2"/>
      <c r="B324" s="61" t="s">
        <v>433</v>
      </c>
      <c r="C324" s="108">
        <f>C322-C323</f>
        <v>0.08999999999999997</v>
      </c>
      <c r="D324" s="108">
        <f>D322-D323</f>
        <v>0.030000000000000027</v>
      </c>
      <c r="E324" s="108">
        <f>E322-E323</f>
        <v>0.1100000000000001</v>
      </c>
      <c r="F324" s="108">
        <f>F322-F323</f>
        <v>0.030000000000000027</v>
      </c>
      <c r="G324" s="7"/>
      <c r="H324" s="108">
        <f>H322-H323</f>
        <v>0.09000000000000008</v>
      </c>
      <c r="I324" s="108">
        <f>I322-I323</f>
        <v>0.08000000000000007</v>
      </c>
      <c r="J324" s="109">
        <f>J321-J323</f>
        <v>0.01681007153402092</v>
      </c>
      <c r="K324" s="124"/>
    </row>
    <row r="325">
      <c r="A325" s="2"/>
      <c r="B325" s="18" t="s">
        <v>434</v>
      </c>
      <c r="C325" s="7"/>
      <c r="D325" s="7"/>
      <c r="E325" s="7"/>
      <c r="F325" s="7"/>
      <c r="G325" s="7"/>
      <c r="H325" s="7"/>
      <c r="I325" s="7"/>
      <c r="J325" s="46"/>
      <c r="K325" s="124"/>
    </row>
    <row r="326">
      <c r="A326" s="2"/>
      <c r="B326" s="1" t="s">
        <v>227</v>
      </c>
      <c r="C326" s="40">
        <f>C282/C239</f>
        <v>0.6290933550465536</v>
      </c>
      <c r="D326" s="40">
        <f>D282/D239</f>
        <v>0.6261341690048464</v>
      </c>
      <c r="E326" s="40">
        <f>E282/E239</f>
        <v>0.5970041322314049</v>
      </c>
      <c r="F326" s="40">
        <f>F282/F239</f>
        <v>0.6146931293404307</v>
      </c>
      <c r="G326" s="40">
        <f>G282/G239</f>
        <v>0.6165238688913057</v>
      </c>
      <c r="H326" s="40">
        <f>H282/H239</f>
        <v>0.6121498414376322</v>
      </c>
      <c r="I326" s="40">
        <f>I282/I239</f>
        <v>0.5902465301983649</v>
      </c>
      <c r="J326" s="45">
        <f>J282/J239</f>
        <v>0.6024486694298157</v>
      </c>
      <c r="K326" s="124"/>
    </row>
    <row r="327">
      <c r="A327" s="2"/>
      <c r="B327" s="47" t="s">
        <v>169</v>
      </c>
      <c r="C327" s="7"/>
      <c r="D327" s="42">
        <f>(D326-C326)*10000</f>
        <v>-29.591860417071956</v>
      </c>
      <c r="E327" s="42">
        <f>(E326-D326)*10000</f>
        <v>-291.30036773441503</v>
      </c>
      <c r="F327" s="42">
        <f>(F326-E326)*10000</f>
        <v>176.88997109025829</v>
      </c>
      <c r="G327" s="7"/>
      <c r="H327" s="42">
        <f>(H326-F326)*10000</f>
        <v>-25.432879027985635</v>
      </c>
      <c r="I327" s="42">
        <f>(I326-H326)*10000</f>
        <v>-219.03311239267254</v>
      </c>
      <c r="J327" s="56">
        <f>(J326-I326)*10000</f>
        <v>122.02139231450748</v>
      </c>
      <c r="K327" s="124"/>
    </row>
    <row r="328">
      <c r="A328" s="2"/>
      <c r="B328" s="47" t="s">
        <v>170</v>
      </c>
      <c r="C328" s="7"/>
      <c r="D328" s="7"/>
      <c r="E328" s="7"/>
      <c r="F328" s="7"/>
      <c r="G328" s="7"/>
      <c r="H328" s="42">
        <f>(H326-C326)*10000</f>
        <v>-169.43513608921435</v>
      </c>
      <c r="I328" s="42">
        <f>(I326-D326)*10000</f>
        <v>-358.87638806481493</v>
      </c>
      <c r="J328" s="56">
        <f>(J326-E326)*10000</f>
        <v>54.445371984107595</v>
      </c>
      <c r="K328" s="124"/>
    </row>
    <row r="329">
      <c r="A329" s="2"/>
      <c r="B329" s="1" t="s">
        <v>228</v>
      </c>
      <c r="C329" s="40">
        <f>C286/C239</f>
        <v>0.3185117003575601</v>
      </c>
      <c r="D329" s="40">
        <f>D286/D239</f>
        <v>0.3158546806107204</v>
      </c>
      <c r="E329" s="40">
        <f>E286/E239</f>
        <v>0.3584022038567493</v>
      </c>
      <c r="F329" s="40">
        <f>F286/F239</f>
        <v>0.33919695420735363</v>
      </c>
      <c r="G329" s="40">
        <f>G286/G239</f>
        <v>0.3332979654632749</v>
      </c>
      <c r="H329" s="40">
        <f>H286/H239</f>
        <v>0.34368393234672306</v>
      </c>
      <c r="I329" s="40">
        <f>I286/I239</f>
        <v>0.3664680905000317</v>
      </c>
      <c r="J329" s="45">
        <f>J286/J239</f>
        <v>0.3514563856209613</v>
      </c>
      <c r="K329" s="124"/>
    </row>
    <row r="330">
      <c r="A330" s="2"/>
      <c r="B330" s="47" t="s">
        <v>169</v>
      </c>
      <c r="C330" s="7"/>
      <c r="D330" s="42">
        <f>(D329-C329)*10000</f>
        <v>-26.570197468396838</v>
      </c>
      <c r="E330" s="42">
        <f>(E329-D329)*10000</f>
        <v>425.47523246028896</v>
      </c>
      <c r="F330" s="42">
        <f>(F329-E329)*10000</f>
        <v>-192.05249649395682</v>
      </c>
      <c r="G330" s="7"/>
      <c r="H330" s="42">
        <f>(H329-F329)*10000</f>
        <v>44.86978139369435</v>
      </c>
      <c r="I330" s="42">
        <f>(I329-H329)*10000</f>
        <v>227.8415815330864</v>
      </c>
      <c r="J330" s="56">
        <f>(J329-I329)*10000</f>
        <v>-150.11704879070388</v>
      </c>
      <c r="K330" s="124"/>
    </row>
    <row r="331">
      <c r="A331" s="2"/>
      <c r="B331" s="47" t="s">
        <v>170</v>
      </c>
      <c r="C331" s="7"/>
      <c r="D331" s="7"/>
      <c r="E331" s="7"/>
      <c r="F331" s="7"/>
      <c r="G331" s="7"/>
      <c r="H331" s="42">
        <f>(H329-C329)*10000</f>
        <v>251.72231989162964</v>
      </c>
      <c r="I331" s="42">
        <f>(I329-D329)*10000</f>
        <v>506.1340988931129</v>
      </c>
      <c r="J331" s="56">
        <f>(J329-E329)*10000</f>
        <v>-69.45818235787993</v>
      </c>
      <c r="K331" s="124"/>
    </row>
    <row r="332">
      <c r="A332" s="2"/>
      <c r="B332" s="1" t="s">
        <v>435</v>
      </c>
      <c r="C332" s="40">
        <f>C293/C239</f>
        <v>0.26055864339575885</v>
      </c>
      <c r="D332" s="40">
        <f>D293/D239</f>
        <v>0.2612688117188354</v>
      </c>
      <c r="E332" s="40">
        <f>E293/E239</f>
        <v>0.2869146005509642</v>
      </c>
      <c r="F332" s="40">
        <f>F293/F239</f>
        <v>0.2695738005428843</v>
      </c>
      <c r="G332" s="40">
        <f>G293/G239</f>
        <v>0.2697595869032777</v>
      </c>
      <c r="H332" s="40">
        <f>H293/H239</f>
        <v>0.28356236786469347</v>
      </c>
      <c r="I332" s="40">
        <f>I293/I239</f>
        <v>0.28753406426262756</v>
      </c>
      <c r="J332" s="45">
        <f>J293/J239</f>
        <v>0.27835345741180145</v>
      </c>
      <c r="K332" s="124"/>
    </row>
    <row r="333">
      <c r="A333" s="2"/>
      <c r="B333" s="47" t="s">
        <v>169</v>
      </c>
      <c r="C333" s="7"/>
      <c r="D333" s="42">
        <f>(D332-C332)*10000</f>
        <v>7.101683230765765</v>
      </c>
      <c r="E333" s="42">
        <f>(E332-D332)*10000</f>
        <v>256.45788832128756</v>
      </c>
      <c r="F333" s="42">
        <f>(F332-E332)*10000</f>
        <v>-173.4080000807986</v>
      </c>
      <c r="G333" s="7"/>
      <c r="H333" s="42">
        <f>(H332-F332)*10000</f>
        <v>139.88567321809143</v>
      </c>
      <c r="I333" s="42">
        <f>(I332-H332)*10000</f>
        <v>39.71696397934099</v>
      </c>
      <c r="J333" s="56">
        <f>(J332-I332)*10000</f>
        <v>-91.80606850826112</v>
      </c>
      <c r="K333" s="124"/>
    </row>
    <row r="334">
      <c r="A334" s="2"/>
      <c r="B334" s="47" t="s">
        <v>170</v>
      </c>
      <c r="C334" s="7"/>
      <c r="D334" s="7"/>
      <c r="E334" s="7"/>
      <c r="F334" s="7"/>
      <c r="G334" s="7"/>
      <c r="H334" s="42">
        <f>(H332-C332)*10000</f>
        <v>230.03724468934615</v>
      </c>
      <c r="I334" s="42">
        <f>(I332-D332)*10000</f>
        <v>262.6525254379214</v>
      </c>
      <c r="J334" s="56">
        <f>(J332-E332)*10000</f>
        <v>-85.6114313916273</v>
      </c>
      <c r="K334" s="124"/>
    </row>
    <row r="335">
      <c r="A335" s="2"/>
      <c r="B335" s="18" t="s">
        <v>436</v>
      </c>
      <c r="C335" s="39">
        <f>C239-C282</f>
        <v>10477</v>
      </c>
      <c r="D335" s="39">
        <f>D239-D282</f>
        <v>10260</v>
      </c>
      <c r="E335" s="39">
        <f>E239-E282</f>
        <v>11703</v>
      </c>
      <c r="F335" s="39">
        <f>F239-F282</f>
        <v>10930</v>
      </c>
      <c r="G335" s="39">
        <f>G239-G282</f>
        <v>43370</v>
      </c>
      <c r="H335" s="39">
        <f>H239-H282</f>
        <v>11741</v>
      </c>
      <c r="I335" s="39">
        <f>I239-I282</f>
        <v>12931</v>
      </c>
      <c r="J335" s="50">
        <f>J239-J282</f>
        <v>11996.844804398628</v>
      </c>
      <c r="K335" s="124"/>
    </row>
    <row r="336">
      <c r="A336" s="2"/>
      <c r="B336" s="47" t="s">
        <v>133</v>
      </c>
      <c r="C336" s="7"/>
      <c r="D336" s="7"/>
      <c r="E336" s="7"/>
      <c r="F336" s="7"/>
      <c r="G336" s="7"/>
      <c r="H336" s="40">
        <f>IF(OR(H335="",C335=""),"n.a.",IFERROR(IF(C335&lt;=0,"n.m.",IF(H335/C335&lt;=0,"n.m.",H335/C335-1)),"n.a."))</f>
        <v>0.12064522286914192</v>
      </c>
      <c r="I336" s="40">
        <f>IF(OR(I335="",D335=""),"n.a.",IFERROR(IF(D335&lt;=0,"n.m.",IF(I335/D335&lt;=0,"n.m.",I335/D335-1)),"n.a."))</f>
        <v>0.2603313840155945</v>
      </c>
      <c r="J336" s="45">
        <f>IF(OR(J335="",E335=""),"n.a.",IFERROR(IF(E335&lt;=0,"n.m.",IF(J335/E335&lt;=0,"n.m.",J335/E335-1)),"n.a."))</f>
        <v>0.02510850246933516</v>
      </c>
      <c r="K336" s="124"/>
    </row>
    <row r="337">
      <c r="A337" s="2"/>
      <c r="B337" s="47" t="s">
        <v>134</v>
      </c>
      <c r="C337" s="7"/>
      <c r="D337" s="41">
        <f>IF(OR(D335="",C335=""),"n.a.",IFERROR(D335-C335,"n.a."))</f>
        <v>-217</v>
      </c>
      <c r="E337" s="41">
        <f>IF(OR(E335="",D335=""),"n.a.",IFERROR(E335-D335,"n.a."))</f>
        <v>1443</v>
      </c>
      <c r="F337" s="41">
        <f>IF(OR(F335="",E335=""),"n.a.",IFERROR(F335-E335,"n.a."))</f>
        <v>-773</v>
      </c>
      <c r="G337" s="7"/>
      <c r="H337" s="41">
        <f>IF(OR(H335="",F335=""),"n.a.",IFERROR(H335-F335,"n.a."))</f>
        <v>811</v>
      </c>
      <c r="I337" s="41">
        <f>IF(OR(I335="",H335=""),"n.a.",IFERROR(I335-H335,"n.a."))</f>
        <v>1190</v>
      </c>
      <c r="J337" s="52">
        <f>IF(OR(J335="",I335=""),"n.a.",IFERROR(J335-I335,"n.a."))</f>
        <v>-934.1551956013718</v>
      </c>
      <c r="K337" s="124"/>
    </row>
    <row r="338">
      <c r="A338" s="2"/>
      <c r="B338" s="1" t="s">
        <v>437</v>
      </c>
      <c r="C338" s="7"/>
      <c r="D338" s="7"/>
      <c r="E338" s="7"/>
      <c r="F338" s="7"/>
      <c r="G338" s="7"/>
      <c r="H338" s="40">
        <f>H240-H283</f>
        <v>0.028864042992080563</v>
      </c>
      <c r="I338" s="40">
        <f>I240-I283</f>
        <v>0.06591061546033528</v>
      </c>
      <c r="J338" s="45">
        <f>J240-J283</f>
        <v>-0.00947678110793193</v>
      </c>
      <c r="K338" s="124"/>
    </row>
    <row r="339">
      <c r="A339" s="2"/>
      <c r="B339" s="1" t="s">
        <v>438</v>
      </c>
      <c r="C339" s="40">
        <f>C232/C239</f>
        <v>0.4886890643254151</v>
      </c>
      <c r="D339" s="40">
        <f>D232/D239</f>
        <v>0.46543745217359617</v>
      </c>
      <c r="E339" s="40">
        <f>E232/E239</f>
        <v>0.4754476584022039</v>
      </c>
      <c r="F339" s="40">
        <f>F232/F239</f>
        <v>0.4447773821694222</v>
      </c>
      <c r="G339" s="40">
        <f>G232/G239</f>
        <v>0.4686331202419162</v>
      </c>
      <c r="H339" s="40">
        <f>H232/H239</f>
        <v>0.479882399577167</v>
      </c>
      <c r="I339" s="40">
        <f>I232/I239</f>
        <v>0.49309208441599595</v>
      </c>
      <c r="J339" s="45">
        <f>J232/J239</f>
        <v>0.4582264284993007</v>
      </c>
      <c r="K339" s="124"/>
    </row>
    <row r="340">
      <c r="A340" s="2"/>
      <c r="B340" s="47" t="s">
        <v>169</v>
      </c>
      <c r="C340" s="7"/>
      <c r="D340" s="42">
        <f>(D339-C339)*10000</f>
        <v>-232.51612151818924</v>
      </c>
      <c r="E340" s="42">
        <f>(E339-D339)*10000</f>
        <v>100.1020622860771</v>
      </c>
      <c r="F340" s="42">
        <f>(F339-E339)*10000</f>
        <v>-306.7027623278168</v>
      </c>
      <c r="G340" s="7"/>
      <c r="H340" s="42">
        <f>(H339-F339)*10000</f>
        <v>351.050174077448</v>
      </c>
      <c r="I340" s="42">
        <f>(I339-H339)*10000</f>
        <v>132.0968483882895</v>
      </c>
      <c r="J340" s="56">
        <f>(J339-I339)*10000</f>
        <v>-348.6565591669527</v>
      </c>
      <c r="K340" s="124"/>
    </row>
    <row r="341">
      <c r="A341" s="2"/>
      <c r="B341" s="47" t="s">
        <v>170</v>
      </c>
      <c r="C341" s="7"/>
      <c r="D341" s="7"/>
      <c r="E341" s="7"/>
      <c r="F341" s="7"/>
      <c r="G341" s="7"/>
      <c r="H341" s="42">
        <f>(H339-C339)*10000</f>
        <v>-88.06664748248095</v>
      </c>
      <c r="I341" s="42">
        <f>(I339-D339)*10000</f>
        <v>276.54632242399776</v>
      </c>
      <c r="J341" s="56">
        <f>(J339-E339)*10000</f>
        <v>-172.212299029032</v>
      </c>
      <c r="K341" s="124"/>
    </row>
    <row r="342">
      <c r="A342" s="2"/>
      <c r="B342" s="2"/>
      <c r="C342" s="2"/>
      <c r="D342" s="2"/>
      <c r="E342" s="2"/>
      <c r="F342" s="2"/>
      <c r="G342" s="2"/>
      <c r="H342" s="2"/>
      <c r="I342" s="2"/>
      <c r="J342" s="2"/>
      <c r="K342" s="2"/>
    </row>
    <row r="343">
      <c r="A343" s="2"/>
      <c r="B343" s="138" t="s">
        <v>73</v>
      </c>
      <c r="C343" s="137"/>
      <c r="D343" s="137"/>
      <c r="E343" s="137"/>
      <c r="F343" s="137"/>
      <c r="G343" s="137"/>
      <c r="H343" s="137"/>
      <c r="I343" s="137"/>
      <c r="J343" s="137"/>
      <c r="K343" s="137"/>
    </row>
    <row r="344">
      <c r="B344" s="128" t="s">
        <v>74</v>
      </c>
      <c r="C344" s="130" t="s">
        <v>439</v>
      </c>
      <c r="D344" s="127"/>
      <c r="E344" s="127"/>
      <c r="F344" s="127"/>
      <c r="G344" s="127"/>
      <c r="H344" s="127"/>
      <c r="I344" s="127"/>
      <c r="J344" s="127"/>
      <c r="K344" s="127"/>
    </row>
    <row r="345">
      <c r="B345" s="128"/>
      <c r="C345" s="130" t="s">
        <v>440</v>
      </c>
      <c r="D345" s="127"/>
      <c r="E345" s="127"/>
      <c r="F345" s="127"/>
      <c r="G345" s="127"/>
      <c r="H345" s="127"/>
      <c r="I345" s="127"/>
      <c r="J345" s="127"/>
      <c r="K345" s="127"/>
    </row>
    <row r="346">
      <c r="B346" s="128"/>
      <c r="C346" s="130" t="s">
        <v>441</v>
      </c>
      <c r="D346" s="127"/>
      <c r="E346" s="127"/>
      <c r="F346" s="127"/>
      <c r="G346" s="127"/>
      <c r="H346" s="127"/>
      <c r="I346" s="127"/>
      <c r="J346" s="127"/>
      <c r="K346" s="127"/>
    </row>
    <row r="347">
      <c r="B347" s="128" t="s">
        <v>77</v>
      </c>
      <c r="C347" s="130" t="s">
        <v>442</v>
      </c>
      <c r="D347" s="127"/>
      <c r="E347" s="127"/>
      <c r="F347" s="127"/>
      <c r="G347" s="127"/>
      <c r="H347" s="127"/>
      <c r="I347" s="127"/>
      <c r="J347" s="127"/>
      <c r="K347" s="127"/>
    </row>
    <row r="348">
      <c r="B348" s="128"/>
      <c r="C348" s="130" t="s">
        <v>443</v>
      </c>
      <c r="D348" s="127"/>
      <c r="E348" s="127"/>
      <c r="F348" s="127"/>
      <c r="G348" s="127"/>
      <c r="H348" s="127"/>
      <c r="I348" s="127"/>
      <c r="J348" s="127"/>
      <c r="K348" s="127"/>
    </row>
    <row r="349">
      <c r="B349" s="128" t="s">
        <v>82</v>
      </c>
      <c r="C349" s="130" t="s">
        <v>444</v>
      </c>
      <c r="D349" s="127"/>
      <c r="E349" s="127"/>
      <c r="F349" s="127"/>
      <c r="G349" s="127"/>
      <c r="H349" s="127"/>
      <c r="I349" s="127"/>
      <c r="J349" s="127"/>
      <c r="K349" s="127"/>
    </row>
    <row r="350">
      <c r="B350" s="128"/>
      <c r="C350" s="130" t="s">
        <v>445</v>
      </c>
      <c r="D350" s="127"/>
      <c r="E350" s="127"/>
      <c r="F350" s="127"/>
      <c r="G350" s="127"/>
      <c r="H350" s="127"/>
      <c r="I350" s="127"/>
      <c r="J350" s="127"/>
      <c r="K350" s="127"/>
    </row>
    <row r="351">
      <c r="B351" s="128"/>
      <c r="C351" s="130" t="s">
        <v>446</v>
      </c>
      <c r="D351" s="127"/>
      <c r="E351" s="127"/>
      <c r="F351" s="127"/>
      <c r="G351" s="127"/>
      <c r="H351" s="127"/>
      <c r="I351" s="127"/>
      <c r="J351" s="127"/>
      <c r="K351" s="127"/>
    </row>
    <row r="352">
      <c r="B352" s="128"/>
      <c r="C352" s="130" t="s">
        <v>447</v>
      </c>
      <c r="D352" s="127"/>
      <c r="E352" s="127"/>
      <c r="F352" s="127"/>
      <c r="G352" s="127"/>
      <c r="H352" s="127"/>
      <c r="I352" s="127"/>
      <c r="J352" s="127"/>
      <c r="K352" s="127"/>
    </row>
    <row r="353">
      <c r="B353" s="128" t="s">
        <v>86</v>
      </c>
      <c r="C353" s="130" t="s">
        <v>448</v>
      </c>
      <c r="D353" s="127"/>
      <c r="E353" s="127"/>
      <c r="F353" s="127"/>
      <c r="G353" s="127"/>
      <c r="H353" s="127"/>
      <c r="I353" s="127"/>
      <c r="J353" s="127"/>
      <c r="K353" s="127"/>
    </row>
    <row r="354">
      <c r="B354" s="128"/>
      <c r="C354" s="130" t="s">
        <v>449</v>
      </c>
      <c r="D354" s="127"/>
      <c r="E354" s="127"/>
      <c r="F354" s="127"/>
      <c r="G354" s="127"/>
      <c r="H354" s="127"/>
      <c r="I354" s="127"/>
      <c r="J354" s="127"/>
      <c r="K354" s="127"/>
    </row>
    <row r="355">
      <c r="B355" s="128"/>
      <c r="C355" s="130" t="s">
        <v>450</v>
      </c>
      <c r="D355" s="127"/>
      <c r="E355" s="127"/>
      <c r="F355" s="127"/>
      <c r="G355" s="127"/>
      <c r="H355" s="127"/>
      <c r="I355" s="127"/>
      <c r="J355" s="127"/>
      <c r="K355" s="127"/>
    </row>
    <row r="356">
      <c r="B356" s="128" t="s">
        <v>92</v>
      </c>
      <c r="C356" s="130" t="s">
        <v>451</v>
      </c>
      <c r="D356" s="127"/>
      <c r="E356" s="127"/>
      <c r="F356" s="127"/>
      <c r="G356" s="127"/>
      <c r="H356" s="127"/>
      <c r="I356" s="127"/>
      <c r="J356" s="127"/>
      <c r="K356" s="127"/>
    </row>
    <row r="357">
      <c r="B357" s="128"/>
      <c r="C357" s="130" t="s">
        <v>452</v>
      </c>
      <c r="D357" s="127"/>
      <c r="E357" s="127"/>
      <c r="F357" s="127"/>
      <c r="G357" s="127"/>
      <c r="H357" s="127"/>
      <c r="I357" s="127"/>
      <c r="J357" s="127"/>
      <c r="K357" s="127"/>
    </row>
  </sheetData>
  <legacyDrawing r:id="rId2"/>
</worksheet>
</file>

<file path=xl/worksheets/sheet8.xml><?xml version="1.0" encoding="utf-8"?>
<worksheet xmlns="http://schemas.openxmlformats.org/spreadsheetml/2006/main" xmlns:r="http://schemas.openxmlformats.org/officeDocument/2006/relationships">
  <dimension ref="A1:K83"/>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453</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454</v>
      </c>
      <c r="C9" s="7"/>
      <c r="D9" s="7"/>
      <c r="E9" s="7"/>
      <c r="F9" s="7"/>
      <c r="G9" s="7"/>
      <c r="H9" s="7"/>
      <c r="I9" s="7"/>
      <c r="J9" s="46"/>
      <c r="K9" s="124"/>
    </row>
    <row r="10">
      <c r="A10" s="2"/>
      <c r="B10" s="3" t="s">
        <v>455</v>
      </c>
      <c r="C10" s="37">
        <v>24734</v>
      </c>
      <c r="D10" s="37">
        <v>26661</v>
      </c>
      <c r="E10" s="37">
        <v>25352</v>
      </c>
      <c r="F10" s="37">
        <v>28595</v>
      </c>
      <c r="G10" s="43">
        <f>F10</f>
        <v>28595</v>
      </c>
      <c r="H10" s="37">
        <v>27125</v>
      </c>
      <c r="I10" s="37">
        <v>28620</v>
      </c>
      <c r="J10" s="38">
        <f>I10</f>
        <v>28620</v>
      </c>
      <c r="K10" s="125" t="s">
        <v>127</v>
      </c>
    </row>
    <row r="11">
      <c r="A11" s="2"/>
      <c r="B11" s="3" t="s">
        <v>456</v>
      </c>
      <c r="C11" s="37">
        <v>248845</v>
      </c>
      <c r="D11" s="37">
        <v>239350</v>
      </c>
      <c r="E11" s="37">
        <v>221155</v>
      </c>
      <c r="F11" s="37">
        <v>203250</v>
      </c>
      <c r="G11" s="43">
        <f>F11</f>
        <v>203250</v>
      </c>
      <c r="H11" s="37">
        <v>215354</v>
      </c>
      <c r="I11" s="37">
        <v>201125</v>
      </c>
      <c r="J11" s="38">
        <f>J12-J10</f>
        <v>189338.28737394512</v>
      </c>
      <c r="K11" s="129" t="s">
        <v>457</v>
      </c>
    </row>
    <row r="12">
      <c r="A12" s="2"/>
      <c r="B12" s="18" t="s">
        <v>458</v>
      </c>
      <c r="C12" s="39">
        <f>C10+C11</f>
        <v>273579</v>
      </c>
      <c r="D12" s="39">
        <f>D10+D11</f>
        <v>266011</v>
      </c>
      <c r="E12" s="39">
        <f>E10+E11</f>
        <v>246507</v>
      </c>
      <c r="F12" s="39">
        <f>F10+F11</f>
        <v>231845</v>
      </c>
      <c r="G12" s="39">
        <f>G10+G11</f>
        <v>231845</v>
      </c>
      <c r="H12" s="39">
        <f>H10+H11</f>
        <v>242479</v>
      </c>
      <c r="I12" s="39">
        <f>I10+I11</f>
        <v>229745</v>
      </c>
      <c r="J12" s="50">
        <f>J69-J32</f>
        <v>217958.28737394512</v>
      </c>
      <c r="K12" s="129" t="s">
        <v>459</v>
      </c>
    </row>
    <row r="13">
      <c r="A13" s="2"/>
      <c r="B13" s="47" t="s">
        <v>133</v>
      </c>
      <c r="C13" s="7"/>
      <c r="D13" s="7"/>
      <c r="E13" s="7"/>
      <c r="F13" s="7"/>
      <c r="G13" s="7"/>
      <c r="H13" s="40">
        <f>IF(OR(H12="",C12=""),"n.a.",IFERROR(IF(C12&lt;=0,"n.m.",IF(H12/C12&lt;=0,"n.m.",H12/C12-1)),"n.a."))</f>
        <v>-0.11367831595261335</v>
      </c>
      <c r="I13" s="40">
        <f>IF(OR(I12="",D12=""),"n.a.",IFERROR(IF(D12&lt;=0,"n.m.",IF(I12/D12&lt;=0,"n.m.",I12/D12-1)),"n.a."))</f>
        <v>-0.1363327080459079</v>
      </c>
      <c r="J13" s="45">
        <f>IF(OR(J12="",E12=""),"n.a.",IFERROR(IF(E12&lt;=0,"n.m.",IF(J12/E12&lt;=0,"n.m.",J12/E12-1)),"n.a."))</f>
        <v>-0.11581298959483866</v>
      </c>
      <c r="K13" s="124"/>
    </row>
    <row r="14">
      <c r="A14" s="2"/>
      <c r="B14" s="47" t="s">
        <v>134</v>
      </c>
      <c r="C14" s="7"/>
      <c r="D14" s="41">
        <f>IF(OR(D12="",C12=""),"n.a.",IFERROR(D12-C12,"n.a."))</f>
        <v>-7568</v>
      </c>
      <c r="E14" s="41">
        <f>IF(OR(E12="",D12=""),"n.a.",IFERROR(E12-D12,"n.a."))</f>
        <v>-19504</v>
      </c>
      <c r="F14" s="41">
        <f>IF(OR(F12="",E12=""),"n.a.",IFERROR(F12-E12,"n.a."))</f>
        <v>-14662</v>
      </c>
      <c r="G14" s="7"/>
      <c r="H14" s="41">
        <f>IF(OR(H12="",F12=""),"n.a.",IFERROR(H12-F12,"n.a."))</f>
        <v>10634</v>
      </c>
      <c r="I14" s="41">
        <f>IF(OR(I12="",H12=""),"n.a.",IFERROR(I12-H12,"n.a."))</f>
        <v>-12734</v>
      </c>
      <c r="J14" s="52">
        <f>IF(OR(J12="",I12=""),"n.a.",IFERROR(J12-I12,"n.a."))</f>
        <v>-11786.712626054883</v>
      </c>
      <c r="K14" s="124"/>
    </row>
    <row r="15">
      <c r="A15" s="2"/>
      <c r="B15" s="3" t="s">
        <v>460</v>
      </c>
      <c r="C15" s="37">
        <v>7282</v>
      </c>
      <c r="D15" s="37">
        <v>9377</v>
      </c>
      <c r="E15" s="37">
        <v>8212</v>
      </c>
      <c r="F15" s="37">
        <v>7474</v>
      </c>
      <c r="G15" s="43">
        <f>F15</f>
        <v>7474</v>
      </c>
      <c r="H15" s="37">
        <v>7386</v>
      </c>
      <c r="I15" s="37">
        <v>9447</v>
      </c>
      <c r="J15" s="38">
        <f>I15</f>
        <v>9447</v>
      </c>
      <c r="K15" s="125" t="s">
        <v>127</v>
      </c>
    </row>
    <row r="16">
      <c r="A16" s="2"/>
      <c r="B16" s="3" t="s">
        <v>365</v>
      </c>
      <c r="C16" s="37">
        <v>328365</v>
      </c>
      <c r="D16" s="37">
        <v>352392</v>
      </c>
      <c r="E16" s="37">
        <v>325800</v>
      </c>
      <c r="F16" s="37">
        <v>316578</v>
      </c>
      <c r="G16" s="43">
        <f>F16</f>
        <v>316578</v>
      </c>
      <c r="H16" s="37">
        <v>383264</v>
      </c>
      <c r="I16" s="37">
        <v>412415</v>
      </c>
      <c r="J16" s="38">
        <f>I16</f>
        <v>412415</v>
      </c>
      <c r="K16" s="125" t="s">
        <v>127</v>
      </c>
    </row>
    <row r="17">
      <c r="A17" s="2"/>
      <c r="B17" s="3" t="s">
        <v>366</v>
      </c>
      <c r="C17" s="37">
        <v>339614</v>
      </c>
      <c r="D17" s="37">
        <v>356584</v>
      </c>
      <c r="E17" s="37">
        <v>335566</v>
      </c>
      <c r="F17" s="37">
        <v>366954</v>
      </c>
      <c r="G17" s="43">
        <f>F17</f>
        <v>366954</v>
      </c>
      <c r="H17" s="37">
        <v>364221</v>
      </c>
      <c r="I17" s="37">
        <v>358748</v>
      </c>
      <c r="J17" s="38">
        <f>I17</f>
        <v>358748</v>
      </c>
      <c r="K17" s="125" t="s">
        <v>127</v>
      </c>
    </row>
    <row r="18">
      <c r="A18" s="2"/>
      <c r="B18" s="3" t="s">
        <v>461</v>
      </c>
      <c r="C18" s="37">
        <v>36206</v>
      </c>
      <c r="D18" s="37">
        <v>42711</v>
      </c>
      <c r="E18" s="37">
        <v>42115</v>
      </c>
      <c r="F18" s="37">
        <v>40881</v>
      </c>
      <c r="G18" s="43">
        <f>F18</f>
        <v>40881</v>
      </c>
      <c r="H18" s="37">
        <v>48315</v>
      </c>
      <c r="I18" s="37">
        <v>45101</v>
      </c>
      <c r="J18" s="38">
        <f>I18</f>
        <v>45101</v>
      </c>
      <c r="K18" s="125" t="s">
        <v>127</v>
      </c>
    </row>
    <row r="19">
      <c r="A19" s="2"/>
      <c r="B19" s="3" t="s">
        <v>462</v>
      </c>
      <c r="C19" s="37">
        <v>388559</v>
      </c>
      <c r="D19" s="37">
        <v>388930</v>
      </c>
      <c r="E19" s="37">
        <v>404636</v>
      </c>
      <c r="F19" s="37">
        <v>402975</v>
      </c>
      <c r="G19" s="43">
        <f>F19</f>
        <v>402975</v>
      </c>
      <c r="H19" s="37">
        <v>386389</v>
      </c>
      <c r="I19" s="37">
        <v>363419</v>
      </c>
      <c r="J19" s="38">
        <f>I19</f>
        <v>363419</v>
      </c>
      <c r="K19" s="125" t="s">
        <v>127</v>
      </c>
    </row>
    <row r="20">
      <c r="A20" s="2"/>
      <c r="B20" s="3" t="s">
        <v>463</v>
      </c>
      <c r="C20" s="37">
        <v>550720</v>
      </c>
      <c r="D20" s="37">
        <v>541286</v>
      </c>
      <c r="E20" s="37">
        <v>531414</v>
      </c>
      <c r="F20" s="37">
        <v>522660</v>
      </c>
      <c r="G20" s="43">
        <f>F20</f>
        <v>522660</v>
      </c>
      <c r="H20" s="37">
        <v>514738</v>
      </c>
      <c r="I20" s="37">
        <v>505799</v>
      </c>
      <c r="J20" s="38">
        <f>I20</f>
        <v>505799</v>
      </c>
      <c r="K20" s="125" t="s">
        <v>127</v>
      </c>
    </row>
    <row r="21">
      <c r="A21" s="2"/>
      <c r="B21" s="24" t="s">
        <v>464</v>
      </c>
      <c r="C21" s="39">
        <f>C19+C20</f>
        <v>939279</v>
      </c>
      <c r="D21" s="39">
        <f>D19+D20</f>
        <v>930216</v>
      </c>
      <c r="E21" s="39">
        <f>E19+E20</f>
        <v>936050</v>
      </c>
      <c r="F21" s="39">
        <f>F19+F20</f>
        <v>925635</v>
      </c>
      <c r="G21" s="39">
        <f>G19+G20</f>
        <v>925635</v>
      </c>
      <c r="H21" s="39">
        <f>H19+H20</f>
        <v>901127</v>
      </c>
      <c r="I21" s="39">
        <f>I19+I20</f>
        <v>869218</v>
      </c>
      <c r="J21" s="50">
        <f>J19+J20</f>
        <v>869218</v>
      </c>
      <c r="K21" s="124"/>
    </row>
    <row r="22">
      <c r="A22" s="2"/>
      <c r="B22" s="3" t="s">
        <v>247</v>
      </c>
      <c r="C22" s="37">
        <v>1110625</v>
      </c>
      <c r="D22" s="37">
        <v>1147056</v>
      </c>
      <c r="E22" s="37">
        <v>1165900</v>
      </c>
      <c r="F22" s="37">
        <v>1185700</v>
      </c>
      <c r="G22" s="43">
        <f>F22</f>
        <v>1185700</v>
      </c>
      <c r="H22" s="37">
        <v>1205035</v>
      </c>
      <c r="I22" s="37">
        <v>1217619</v>
      </c>
      <c r="J22" s="75">
        <v>1245000</v>
      </c>
      <c r="K22" s="125" t="s">
        <v>127</v>
      </c>
    </row>
    <row r="23">
      <c r="A23" s="2"/>
      <c r="B23" s="47" t="s">
        <v>133</v>
      </c>
      <c r="C23" s="7"/>
      <c r="D23" s="7"/>
      <c r="E23" s="7"/>
      <c r="F23" s="7"/>
      <c r="G23" s="7"/>
      <c r="H23" s="40">
        <f>IF(OR(H22="",C22=""),"n.a.",IFERROR(IF(C22&lt;=0,"n.m.",IF(H22/C22&lt;=0,"n.m.",H22/C22-1)),"n.a."))</f>
        <v>0.0850061902082162</v>
      </c>
      <c r="I23" s="40">
        <f>IF(OR(I22="",D22=""),"n.a.",IFERROR(IF(D22&lt;=0,"n.m.",IF(I22/D22&lt;=0,"n.m.",I22/D22-1)),"n.a."))</f>
        <v>0.061516612963970374</v>
      </c>
      <c r="J23" s="45">
        <f>IF(OR(J22="",E22=""),"n.a.",IFERROR(IF(E22&lt;=0,"n.m.",IF(J22/E22&lt;=0,"n.m.",J22/E22-1)),"n.a."))</f>
        <v>0.06784458358349776</v>
      </c>
      <c r="K23" s="124"/>
    </row>
    <row r="24">
      <c r="A24" s="2"/>
      <c r="B24" s="47" t="s">
        <v>134</v>
      </c>
      <c r="C24" s="7"/>
      <c r="D24" s="41">
        <f>IF(OR(D22="",C22=""),"n.a.",IFERROR(D22-C22,"n.a."))</f>
        <v>36431</v>
      </c>
      <c r="E24" s="41">
        <f>IF(OR(E22="",D22=""),"n.a.",IFERROR(E22-D22,"n.a."))</f>
        <v>18844</v>
      </c>
      <c r="F24" s="41">
        <f>IF(OR(F22="",E22=""),"n.a.",IFERROR(F22-E22,"n.a."))</f>
        <v>19800</v>
      </c>
      <c r="G24" s="7"/>
      <c r="H24" s="41">
        <f>IF(OR(H22="",F22=""),"n.a.",IFERROR(H22-F22,"n.a."))</f>
        <v>19335</v>
      </c>
      <c r="I24" s="41">
        <f>IF(OR(I22="",H22=""),"n.a.",IFERROR(I22-H22,"n.a."))</f>
        <v>12584</v>
      </c>
      <c r="J24" s="52">
        <f>IF(OR(J22="",I22=""),"n.a.",IFERROR(J22-I22,"n.a."))</f>
        <v>27381</v>
      </c>
      <c r="K24" s="124"/>
    </row>
    <row r="25">
      <c r="A25" s="2"/>
      <c r="B25" s="3" t="s">
        <v>465</v>
      </c>
      <c r="C25" s="37">
        <v>-13256</v>
      </c>
      <c r="D25" s="37">
        <v>-13291</v>
      </c>
      <c r="E25" s="37">
        <v>-13252</v>
      </c>
      <c r="F25" s="37">
        <v>-13203</v>
      </c>
      <c r="G25" s="43">
        <f>F25</f>
        <v>-13203</v>
      </c>
      <c r="H25" s="37">
        <v>-13148</v>
      </c>
      <c r="I25" s="37">
        <v>-13114</v>
      </c>
      <c r="J25" s="48">
        <f>I25-('Income Statement'!J254-'Income Statement'!J248)</f>
        <v>-13105</v>
      </c>
      <c r="K25" s="125" t="s">
        <v>127</v>
      </c>
    </row>
    <row r="26">
      <c r="A26" s="2"/>
      <c r="B26" s="24" t="s">
        <v>466</v>
      </c>
      <c r="C26" s="39">
        <f>C22+C25</f>
        <v>1097369</v>
      </c>
      <c r="D26" s="39">
        <f>D22+D25</f>
        <v>1133765</v>
      </c>
      <c r="E26" s="39">
        <f>E22+E25</f>
        <v>1152648</v>
      </c>
      <c r="F26" s="39">
        <f>F22+F25</f>
        <v>1172497</v>
      </c>
      <c r="G26" s="39">
        <f>G22+G25</f>
        <v>1172497</v>
      </c>
      <c r="H26" s="39">
        <f>H22+H25</f>
        <v>1191887</v>
      </c>
      <c r="I26" s="39">
        <f>I22+I25</f>
        <v>1204505</v>
      </c>
      <c r="J26" s="50">
        <f>J22+J25</f>
        <v>1231895</v>
      </c>
      <c r="K26" s="124"/>
    </row>
    <row r="27">
      <c r="A27" s="2"/>
      <c r="B27" s="3" t="s">
        <v>467</v>
      </c>
      <c r="C27" s="37">
        <v>12151</v>
      </c>
      <c r="D27" s="37">
        <v>12254</v>
      </c>
      <c r="E27" s="37">
        <v>12348</v>
      </c>
      <c r="F27" s="37">
        <v>12516</v>
      </c>
      <c r="G27" s="43">
        <f>F27</f>
        <v>12516</v>
      </c>
      <c r="H27" s="37">
        <v>12539</v>
      </c>
      <c r="I27" s="37">
        <v>12788</v>
      </c>
      <c r="J27" s="38">
        <f>I27</f>
        <v>12788</v>
      </c>
      <c r="K27" s="125" t="s">
        <v>127</v>
      </c>
    </row>
    <row r="28">
      <c r="A28" s="2"/>
      <c r="B28" s="3" t="s">
        <v>468</v>
      </c>
      <c r="C28" s="37">
        <v>69021</v>
      </c>
      <c r="D28" s="37">
        <v>69021</v>
      </c>
      <c r="E28" s="37">
        <v>69021</v>
      </c>
      <c r="F28" s="37">
        <v>69021</v>
      </c>
      <c r="G28" s="43">
        <f>F28</f>
        <v>69021</v>
      </c>
      <c r="H28" s="37">
        <v>69021</v>
      </c>
      <c r="I28" s="37">
        <v>69021</v>
      </c>
      <c r="J28" s="38">
        <f>I28</f>
        <v>69021</v>
      </c>
      <c r="K28" s="125" t="s">
        <v>127</v>
      </c>
    </row>
    <row r="29">
      <c r="A29" s="2"/>
      <c r="B29" s="3" t="s">
        <v>469</v>
      </c>
      <c r="C29" s="37">
        <v>6867</v>
      </c>
      <c r="D29" s="37">
        <v>5401</v>
      </c>
      <c r="E29" s="37">
        <v>6831</v>
      </c>
      <c r="F29" s="37">
        <v>5165</v>
      </c>
      <c r="G29" s="43">
        <f>F29</f>
        <v>5165</v>
      </c>
      <c r="H29" s="37">
        <v>10944</v>
      </c>
      <c r="I29" s="37">
        <v>6535</v>
      </c>
      <c r="J29" s="38">
        <f>I29</f>
        <v>6535</v>
      </c>
      <c r="K29" s="125" t="s">
        <v>127</v>
      </c>
    </row>
    <row r="30">
      <c r="A30" s="2"/>
      <c r="B30" s="3" t="s">
        <v>470</v>
      </c>
      <c r="C30" s="37">
        <v>80329</v>
      </c>
      <c r="D30" s="37">
        <v>93964</v>
      </c>
      <c r="E30" s="37">
        <v>99863</v>
      </c>
      <c r="F30" s="37">
        <v>98186</v>
      </c>
      <c r="G30" s="43">
        <f>F30</f>
        <v>98186</v>
      </c>
      <c r="H30" s="37">
        <v>96082</v>
      </c>
      <c r="I30" s="37">
        <v>106269</v>
      </c>
      <c r="J30" s="38">
        <f>I30</f>
        <v>106269</v>
      </c>
      <c r="K30" s="125" t="s">
        <v>127</v>
      </c>
    </row>
    <row r="31">
      <c r="A31" s="2"/>
      <c r="B31" s="3" t="s">
        <v>471</v>
      </c>
      <c r="C31" s="37">
        <v>158977</v>
      </c>
      <c r="D31" s="37">
        <v>169102</v>
      </c>
      <c r="E31" s="37">
        <v>168188</v>
      </c>
      <c r="F31" s="37">
        <v>164986</v>
      </c>
      <c r="G31" s="43">
        <f>F31</f>
        <v>164986</v>
      </c>
      <c r="H31" s="37">
        <v>168921</v>
      </c>
      <c r="I31" s="37">
        <v>175164</v>
      </c>
      <c r="J31" s="38">
        <f>I31</f>
        <v>175164</v>
      </c>
      <c r="K31" s="125" t="s">
        <v>127</v>
      </c>
    </row>
    <row r="32">
      <c r="A32" s="2"/>
      <c r="B32" s="61" t="s">
        <v>472</v>
      </c>
      <c r="C32" s="41">
        <f>C15+C16+C17+C18+C21+C26+C27+C28+C29+C30+C31</f>
        <v>3075460</v>
      </c>
      <c r="D32" s="41">
        <f>D15+D16+D17+D18+D21+D26+D27+D28+D29+D30+D31</f>
        <v>3174787</v>
      </c>
      <c r="E32" s="41">
        <f>E15+E16+E17+E18+E21+E26+E27+E28+E29+E30+E31</f>
        <v>3156642</v>
      </c>
      <c r="F32" s="41">
        <f>F15+F16+F17+F18+F21+F26+F27+F28+F29+F30+F31</f>
        <v>3179893</v>
      </c>
      <c r="G32" s="41">
        <f>G15+G16+G17+G18+G21+G26+G27+G28+G29+G30+G31</f>
        <v>3179893</v>
      </c>
      <c r="H32" s="41">
        <f>H15+H16+H17+H18+H21+H26+H27+H28+H29+H30+H31</f>
        <v>3253707</v>
      </c>
      <c r="I32" s="41">
        <f>I15+I16+I17+I18+I21+I26+I27+I28+I29+I30+I31</f>
        <v>3269211</v>
      </c>
      <c r="J32" s="52">
        <f>J15+J16+J17+J18+J21+J26+J27+J28+J29+J30+J31</f>
        <v>3296601</v>
      </c>
      <c r="K32" s="124"/>
    </row>
    <row r="33">
      <c r="A33" s="2"/>
      <c r="B33" s="18" t="s">
        <v>473</v>
      </c>
      <c r="C33" s="39">
        <f>C12+C32</f>
        <v>3349039</v>
      </c>
      <c r="D33" s="39">
        <f>D12+D32</f>
        <v>3440798</v>
      </c>
      <c r="E33" s="39">
        <f>E12+E32</f>
        <v>3403149</v>
      </c>
      <c r="F33" s="39">
        <f>F12+F32</f>
        <v>3411738</v>
      </c>
      <c r="G33" s="39">
        <f>G12+G32</f>
        <v>3411738</v>
      </c>
      <c r="H33" s="39">
        <f>H12+H32</f>
        <v>3496186</v>
      </c>
      <c r="I33" s="39">
        <f>I12+I32</f>
        <v>3498956</v>
      </c>
      <c r="J33" s="50">
        <f>J12+J32</f>
        <v>3514559.287373945</v>
      </c>
      <c r="K33" s="124"/>
    </row>
    <row r="34">
      <c r="A34" s="2"/>
      <c r="B34" s="47" t="s">
        <v>133</v>
      </c>
      <c r="C34" s="7"/>
      <c r="D34" s="7"/>
      <c r="E34" s="7"/>
      <c r="F34" s="7"/>
      <c r="G34" s="7"/>
      <c r="H34" s="40">
        <f>IF(OR(H33="",C33=""),"n.a.",IFERROR(IF(C33&lt;=0,"n.m.",IF(H33/C33&lt;=0,"n.m.",H33/C33-1)),"n.a."))</f>
        <v>0.04393708165237853</v>
      </c>
      <c r="I34" s="40">
        <f>IF(OR(I33="",D33=""),"n.a.",IFERROR(IF(D33&lt;=0,"n.m.",IF(I33/D33&lt;=0,"n.m.",I33/D33-1)),"n.a."))</f>
        <v>0.01690247436786474</v>
      </c>
      <c r="J34" s="45">
        <f>IF(OR(J33="",E33=""),"n.a.",IFERROR(IF(E33&lt;=0,"n.m.",IF(J33/E33&lt;=0,"n.m.",J33/E33-1)),"n.a."))</f>
        <v>0.03273741096083227</v>
      </c>
      <c r="K34" s="124"/>
    </row>
    <row r="35">
      <c r="A35" s="2"/>
      <c r="B35" s="47" t="s">
        <v>134</v>
      </c>
      <c r="C35" s="7"/>
      <c r="D35" s="41">
        <f>IF(OR(D33="",C33=""),"n.a.",IFERROR(D33-C33,"n.a."))</f>
        <v>91759</v>
      </c>
      <c r="E35" s="41">
        <f>IF(OR(E33="",D33=""),"n.a.",IFERROR(E33-D33,"n.a."))</f>
        <v>-37649</v>
      </c>
      <c r="F35" s="41">
        <f>IF(OR(F33="",E33=""),"n.a.",IFERROR(F33-E33,"n.a."))</f>
        <v>8589</v>
      </c>
      <c r="G35" s="7"/>
      <c r="H35" s="41">
        <f>IF(OR(H33="",F33=""),"n.a.",IFERROR(H33-F33,"n.a."))</f>
        <v>84448</v>
      </c>
      <c r="I35" s="41">
        <f>IF(OR(I33="",H33=""),"n.a.",IFERROR(I33-H33,"n.a."))</f>
        <v>2770</v>
      </c>
      <c r="J35" s="52">
        <f>IF(OR(J33="",I33=""),"n.a.",IFERROR(J33-I33,"n.a."))</f>
        <v>15603.287373945117</v>
      </c>
      <c r="K35" s="124"/>
    </row>
    <row r="36">
      <c r="A36" s="2"/>
      <c r="B36" s="3" t="s">
        <v>474</v>
      </c>
      <c r="C36" s="37">
        <v>3349039</v>
      </c>
      <c r="D36" s="37">
        <v>3440798</v>
      </c>
      <c r="E36" s="37">
        <v>3403149</v>
      </c>
      <c r="F36" s="37">
        <v>3411738</v>
      </c>
      <c r="G36" s="43">
        <f>F36</f>
        <v>3411738</v>
      </c>
      <c r="H36" s="37">
        <v>3496186</v>
      </c>
      <c r="I36" s="37">
        <v>3498956</v>
      </c>
      <c r="J36" s="46"/>
      <c r="K36" s="125" t="s">
        <v>127</v>
      </c>
    </row>
    <row r="37">
      <c r="A37" s="2"/>
      <c r="B37" s="61" t="s">
        <v>167</v>
      </c>
      <c r="C37" s="41">
        <f>C33-C36</f>
        <v>0</v>
      </c>
      <c r="D37" s="41">
        <f>D33-D36</f>
        <v>0</v>
      </c>
      <c r="E37" s="41">
        <f>E33-E36</f>
        <v>0</v>
      </c>
      <c r="F37" s="41">
        <f>F33-F36</f>
        <v>0</v>
      </c>
      <c r="G37" s="41">
        <f>G33-G36</f>
        <v>0</v>
      </c>
      <c r="H37" s="41">
        <f>H33-H36</f>
        <v>0</v>
      </c>
      <c r="I37" s="41">
        <f>I33-I36</f>
        <v>0</v>
      </c>
      <c r="J37" s="46"/>
      <c r="K37" s="124"/>
    </row>
    <row r="38">
      <c r="A38" s="2"/>
      <c r="B38" s="18" t="s">
        <v>475</v>
      </c>
      <c r="C38" s="7"/>
      <c r="D38" s="7"/>
      <c r="E38" s="7"/>
      <c r="F38" s="7"/>
      <c r="G38" s="7"/>
      <c r="H38" s="7"/>
      <c r="I38" s="7"/>
      <c r="J38" s="46"/>
      <c r="K38" s="124"/>
    </row>
    <row r="39">
      <c r="A39" s="2"/>
      <c r="B39" s="3" t="s">
        <v>476</v>
      </c>
      <c r="C39" s="37">
        <v>513905</v>
      </c>
      <c r="D39" s="37">
        <v>514530</v>
      </c>
      <c r="E39" s="37">
        <v>510208</v>
      </c>
      <c r="F39" s="37">
        <v>517834</v>
      </c>
      <c r="G39" s="43">
        <f>F39</f>
        <v>517834</v>
      </c>
      <c r="H39" s="37">
        <v>529194</v>
      </c>
      <c r="I39" s="37">
        <v>529985</v>
      </c>
      <c r="J39" s="38">
        <f>J43*I39/I43</f>
        <v>533878.1230186399</v>
      </c>
      <c r="K39" s="125" t="s">
        <v>127</v>
      </c>
    </row>
    <row r="40">
      <c r="A40" s="2"/>
      <c r="B40" s="3" t="s">
        <v>477</v>
      </c>
      <c r="C40" s="37">
        <v>1346423</v>
      </c>
      <c r="D40" s="37">
        <v>1363483</v>
      </c>
      <c r="E40" s="37">
        <v>1354445</v>
      </c>
      <c r="F40" s="37">
        <v>1361177</v>
      </c>
      <c r="G40" s="43">
        <f>F40</f>
        <v>1361177</v>
      </c>
      <c r="H40" s="37">
        <v>1372969</v>
      </c>
      <c r="I40" s="37">
        <v>1357513</v>
      </c>
      <c r="J40" s="38">
        <f>J43*I40/I43</f>
        <v>1367484.9145040007</v>
      </c>
      <c r="K40" s="125" t="s">
        <v>127</v>
      </c>
    </row>
    <row r="41">
      <c r="A41" s="2"/>
      <c r="B41" s="3" t="s">
        <v>478</v>
      </c>
      <c r="C41" s="37">
        <v>16105</v>
      </c>
      <c r="D41" s="37">
        <v>14440</v>
      </c>
      <c r="E41" s="37">
        <v>14690</v>
      </c>
      <c r="F41" s="37">
        <v>14216</v>
      </c>
      <c r="G41" s="43">
        <f>F41</f>
        <v>14216</v>
      </c>
      <c r="H41" s="37">
        <v>14924</v>
      </c>
      <c r="I41" s="37">
        <v>14358</v>
      </c>
      <c r="J41" s="38">
        <f>J43*I41/I43</f>
        <v>14463.469891226414</v>
      </c>
      <c r="K41" s="125" t="s">
        <v>127</v>
      </c>
    </row>
    <row r="42">
      <c r="A42" s="2"/>
      <c r="B42" s="3" t="s">
        <v>479</v>
      </c>
      <c r="C42" s="37">
        <v>113131</v>
      </c>
      <c r="D42" s="37">
        <v>119160</v>
      </c>
      <c r="E42" s="37">
        <v>122865</v>
      </c>
      <c r="F42" s="37">
        <v>125502</v>
      </c>
      <c r="G42" s="43">
        <f>F42</f>
        <v>125502</v>
      </c>
      <c r="H42" s="37">
        <v>120576</v>
      </c>
      <c r="I42" s="37">
        <v>123268</v>
      </c>
      <c r="J42" s="38">
        <f>J43*I42/I43</f>
        <v>124173.492586133</v>
      </c>
      <c r="K42" s="125" t="s">
        <v>127</v>
      </c>
    </row>
    <row r="43">
      <c r="A43" s="2"/>
      <c r="B43" s="18" t="s">
        <v>480</v>
      </c>
      <c r="C43" s="39">
        <f>C39+C40+C41+C42</f>
        <v>1989564</v>
      </c>
      <c r="D43" s="39">
        <f>D39+D40+D41+D42</f>
        <v>2011613</v>
      </c>
      <c r="E43" s="39">
        <f>E39+E40+E41+E42</f>
        <v>2002208</v>
      </c>
      <c r="F43" s="39">
        <f>F39+F40+F41+F42</f>
        <v>2018729</v>
      </c>
      <c r="G43" s="39">
        <f>G39+G40+G41+G42</f>
        <v>2018729</v>
      </c>
      <c r="H43" s="39">
        <f>H39+H40+H41+H42</f>
        <v>2037663</v>
      </c>
      <c r="I43" s="39">
        <f>I39+I40+I41+I42</f>
        <v>2025124</v>
      </c>
      <c r="J43" s="72">
        <v>2040000</v>
      </c>
      <c r="K43" s="124"/>
    </row>
    <row r="44">
      <c r="A44" s="2"/>
      <c r="B44" s="47" t="s">
        <v>133</v>
      </c>
      <c r="C44" s="7"/>
      <c r="D44" s="7"/>
      <c r="E44" s="7"/>
      <c r="F44" s="7"/>
      <c r="G44" s="7"/>
      <c r="H44" s="40">
        <f>IF(OR(H43="",C43=""),"n.a.",IFERROR(IF(C43&lt;=0,"n.m.",IF(H43/C43&lt;=0,"n.m.",H43/C43-1)),"n.a."))</f>
        <v>0.024175648534050742</v>
      </c>
      <c r="I44" s="40">
        <f>IF(OR(I43="",D43=""),"n.a.",IFERROR(IF(D43&lt;=0,"n.m.",IF(I43/D43&lt;=0,"n.m.",I43/D43-1)),"n.a."))</f>
        <v>0.006716500639039502</v>
      </c>
      <c r="J44" s="45">
        <f>IF(OR(J43="",E43=""),"n.a.",IFERROR(IF(E43&lt;=0,"n.m.",IF(J43/E43&lt;=0,"n.m.",J43/E43-1)),"n.a."))</f>
        <v>0.018875161821349185</v>
      </c>
      <c r="K44" s="124"/>
    </row>
    <row r="45">
      <c r="A45" s="2"/>
      <c r="B45" s="47" t="s">
        <v>134</v>
      </c>
      <c r="C45" s="7"/>
      <c r="D45" s="41">
        <f>IF(OR(D43="",C43=""),"n.a.",IFERROR(D43-C43,"n.a."))</f>
        <v>22049</v>
      </c>
      <c r="E45" s="41">
        <f>IF(OR(E43="",D43=""),"n.a.",IFERROR(E43-D43,"n.a."))</f>
        <v>-9405</v>
      </c>
      <c r="F45" s="41">
        <f>IF(OR(F43="",E43=""),"n.a.",IFERROR(F43-E43,"n.a."))</f>
        <v>16521</v>
      </c>
      <c r="G45" s="7"/>
      <c r="H45" s="41">
        <f>IF(OR(H43="",F43=""),"n.a.",IFERROR(H43-F43,"n.a."))</f>
        <v>18934</v>
      </c>
      <c r="I45" s="41">
        <f>IF(OR(I43="",H43=""),"n.a.",IFERROR(I43-H43,"n.a."))</f>
        <v>-12539</v>
      </c>
      <c r="J45" s="52">
        <f>IF(OR(J43="",I43=""),"n.a.",IFERROR(J43-I43,"n.a."))</f>
        <v>14876</v>
      </c>
      <c r="K45" s="124"/>
    </row>
    <row r="46">
      <c r="A46" s="2"/>
      <c r="B46" s="3" t="s">
        <v>481</v>
      </c>
      <c r="C46" s="37">
        <v>376070</v>
      </c>
      <c r="D46" s="37">
        <v>399460</v>
      </c>
      <c r="E46" s="37">
        <v>342588</v>
      </c>
      <c r="F46" s="37">
        <v>344716</v>
      </c>
      <c r="G46" s="43">
        <f>F46</f>
        <v>344716</v>
      </c>
      <c r="H46" s="37">
        <v>353020</v>
      </c>
      <c r="I46" s="37">
        <v>332218</v>
      </c>
      <c r="J46" s="38">
        <f>I46</f>
        <v>332218</v>
      </c>
      <c r="K46" s="125" t="s">
        <v>127</v>
      </c>
    </row>
    <row r="47">
      <c r="A47" s="2"/>
      <c r="B47" s="3" t="s">
        <v>370</v>
      </c>
      <c r="C47" s="37">
        <v>105470</v>
      </c>
      <c r="D47" s="37">
        <v>107426</v>
      </c>
      <c r="E47" s="37">
        <v>117322</v>
      </c>
      <c r="F47" s="37">
        <v>105996</v>
      </c>
      <c r="G47" s="43">
        <f>F47</f>
        <v>105996</v>
      </c>
      <c r="H47" s="37">
        <v>129833</v>
      </c>
      <c r="I47" s="37">
        <v>123162</v>
      </c>
      <c r="J47" s="38">
        <f>I47</f>
        <v>123162</v>
      </c>
      <c r="K47" s="125" t="s">
        <v>127</v>
      </c>
    </row>
    <row r="48">
      <c r="A48" s="2"/>
      <c r="B48" s="3" t="s">
        <v>482</v>
      </c>
      <c r="C48" s="37">
        <v>35365</v>
      </c>
      <c r="D48" s="37">
        <v>41693</v>
      </c>
      <c r="E48" s="37">
        <v>40157</v>
      </c>
      <c r="F48" s="37">
        <v>42076</v>
      </c>
      <c r="G48" s="43">
        <f>F48</f>
        <v>42076</v>
      </c>
      <c r="H48" s="37">
        <v>43938</v>
      </c>
      <c r="I48" s="37">
        <v>42577</v>
      </c>
      <c r="J48" s="38">
        <f>I48</f>
        <v>42577</v>
      </c>
      <c r="K48" s="125" t="s">
        <v>127</v>
      </c>
    </row>
    <row r="49">
      <c r="A49" s="2"/>
      <c r="B49" s="3" t="s">
        <v>369</v>
      </c>
      <c r="C49" s="37">
        <v>41470</v>
      </c>
      <c r="D49" s="37">
        <v>47891</v>
      </c>
      <c r="E49" s="37">
        <v>54200</v>
      </c>
      <c r="F49" s="37">
        <v>48088</v>
      </c>
      <c r="G49" s="43">
        <f>F49</f>
        <v>48088</v>
      </c>
      <c r="H49" s="37">
        <v>57630</v>
      </c>
      <c r="I49" s="37">
        <v>59979</v>
      </c>
      <c r="J49" s="38">
        <f>I49</f>
        <v>59979</v>
      </c>
      <c r="K49" s="125" t="s">
        <v>127</v>
      </c>
    </row>
    <row r="50">
      <c r="A50" s="2"/>
      <c r="B50" s="3" t="s">
        <v>483</v>
      </c>
      <c r="C50" s="37">
        <v>203005</v>
      </c>
      <c r="D50" s="37">
        <v>221276</v>
      </c>
      <c r="E50" s="37">
        <v>232753</v>
      </c>
      <c r="F50" s="37">
        <v>231074</v>
      </c>
      <c r="G50" s="43">
        <f>F50</f>
        <v>231074</v>
      </c>
      <c r="H50" s="37">
        <v>247470</v>
      </c>
      <c r="I50" s="37">
        <v>274939</v>
      </c>
      <c r="J50" s="38">
        <f>I50</f>
        <v>274939</v>
      </c>
      <c r="K50" s="125" t="s">
        <v>127</v>
      </c>
    </row>
    <row r="51">
      <c r="A51" s="2"/>
      <c r="B51" s="3" t="s">
        <v>371</v>
      </c>
      <c r="C51" s="37">
        <v>304146</v>
      </c>
      <c r="D51" s="37">
        <v>313418</v>
      </c>
      <c r="E51" s="37">
        <v>311484</v>
      </c>
      <c r="F51" s="37">
        <v>317816</v>
      </c>
      <c r="G51" s="43">
        <f>F51</f>
        <v>317816</v>
      </c>
      <c r="H51" s="37">
        <v>325964</v>
      </c>
      <c r="I51" s="37">
        <v>339863</v>
      </c>
      <c r="J51" s="38">
        <f>I51</f>
        <v>339863</v>
      </c>
      <c r="K51" s="125" t="s">
        <v>127</v>
      </c>
    </row>
    <row r="52">
      <c r="A52" s="2"/>
      <c r="B52" s="18" t="s">
        <v>484</v>
      </c>
      <c r="C52" s="39">
        <f>C43+C46+C47+C48+C49+C50+C51</f>
        <v>3055090</v>
      </c>
      <c r="D52" s="39">
        <f>D43+D46+D47+D48+D49+D50+D51</f>
        <v>3142777</v>
      </c>
      <c r="E52" s="39">
        <f>E43+E46+E47+E48+E49+E50+E51</f>
        <v>3100712</v>
      </c>
      <c r="F52" s="39">
        <f>F43+F46+F47+F48+F49+F50+F51</f>
        <v>3108495</v>
      </c>
      <c r="G52" s="39">
        <f>G43+G46+G47+G48+G49+G50+G51</f>
        <v>3108495</v>
      </c>
      <c r="H52" s="39">
        <f>H43+H46+H47+H48+H49+H50+H51</f>
        <v>3195518</v>
      </c>
      <c r="I52" s="39">
        <f>I43+I46+I47+I48+I49+I50+I51</f>
        <v>3197862</v>
      </c>
      <c r="J52" s="50">
        <f>J43+J46+J47+J48+J49+J50+J51</f>
        <v>3212738</v>
      </c>
      <c r="K52" s="124"/>
    </row>
    <row r="53">
      <c r="A53" s="2"/>
      <c r="B53" s="3" t="s">
        <v>485</v>
      </c>
      <c r="C53" s="37">
        <v>3055090</v>
      </c>
      <c r="D53" s="37">
        <v>3142777</v>
      </c>
      <c r="E53" s="37">
        <v>3100712</v>
      </c>
      <c r="F53" s="37">
        <v>3108495</v>
      </c>
      <c r="G53" s="43">
        <f>F53</f>
        <v>3108495</v>
      </c>
      <c r="H53" s="37">
        <v>3195518</v>
      </c>
      <c r="I53" s="37">
        <v>3197862</v>
      </c>
      <c r="J53" s="46"/>
      <c r="K53" s="125" t="s">
        <v>127</v>
      </c>
    </row>
    <row r="54">
      <c r="A54" s="2"/>
      <c r="B54" s="61" t="s">
        <v>167</v>
      </c>
      <c r="C54" s="41">
        <f>C52-C53</f>
        <v>0</v>
      </c>
      <c r="D54" s="41">
        <f>D52-D53</f>
        <v>0</v>
      </c>
      <c r="E54" s="41">
        <f>E52-E53</f>
        <v>0</v>
      </c>
      <c r="F54" s="41">
        <f>F52-F53</f>
        <v>0</v>
      </c>
      <c r="G54" s="41">
        <f>G52-G53</f>
        <v>0</v>
      </c>
      <c r="H54" s="41">
        <f>H52-H53</f>
        <v>0</v>
      </c>
      <c r="I54" s="41">
        <f>I52-I53</f>
        <v>0</v>
      </c>
      <c r="J54" s="46"/>
      <c r="K54" s="124"/>
    </row>
    <row r="55">
      <c r="A55" s="2"/>
      <c r="B55" s="18" t="s">
        <v>486</v>
      </c>
      <c r="C55" s="7"/>
      <c r="D55" s="7"/>
      <c r="E55" s="7"/>
      <c r="F55" s="7"/>
      <c r="G55" s="7"/>
      <c r="H55" s="7"/>
      <c r="I55" s="7"/>
      <c r="J55" s="46"/>
      <c r="K55" s="124"/>
    </row>
    <row r="56">
      <c r="A56" s="2"/>
      <c r="B56" s="3" t="s">
        <v>487</v>
      </c>
      <c r="C56" s="37">
        <v>20499</v>
      </c>
      <c r="D56" s="37">
        <v>23495</v>
      </c>
      <c r="E56" s="37">
        <v>25992</v>
      </c>
      <c r="F56" s="37">
        <v>25992</v>
      </c>
      <c r="G56" s="43">
        <f>F56</f>
        <v>25992</v>
      </c>
      <c r="H56" s="37">
        <v>24996</v>
      </c>
      <c r="I56" s="37">
        <v>24996</v>
      </c>
      <c r="J56" s="38">
        <f>I56</f>
        <v>24996</v>
      </c>
      <c r="K56" s="125" t="s">
        <v>127</v>
      </c>
    </row>
    <row r="57">
      <c r="A57" s="2"/>
      <c r="B57" s="61" t="s">
        <v>488</v>
      </c>
      <c r="C57" s="44">
        <f>'Cash Flow Statement'!C28</f>
        <v>999</v>
      </c>
      <c r="D57" s="44">
        <f>'Cash Flow Statement'!D28</f>
        <v>1015</v>
      </c>
      <c r="E57" s="44">
        <f>'Cash Flow Statement'!E28</f>
        <v>1018</v>
      </c>
      <c r="F57" s="44">
        <f>'Cash Flow Statement'!F28</f>
        <v>969</v>
      </c>
      <c r="G57" s="44">
        <f>'Cash Flow Statement'!G28</f>
        <v>4001</v>
      </c>
      <c r="H57" s="44">
        <f>'Cash Flow Statement'!H28</f>
        <v>1032</v>
      </c>
      <c r="I57" s="44">
        <f>'Cash Flow Statement'!I28</f>
        <v>1118</v>
      </c>
      <c r="J57" s="71">
        <v>1000</v>
      </c>
      <c r="K57" s="124"/>
    </row>
    <row r="58">
      <c r="A58" s="2"/>
      <c r="B58" s="47" t="s">
        <v>133</v>
      </c>
      <c r="C58" s="7"/>
      <c r="D58" s="7"/>
      <c r="E58" s="7"/>
      <c r="F58" s="7"/>
      <c r="G58" s="7"/>
      <c r="H58" s="40">
        <f>IF(OR(H57="",C57=""),"n.a.",IFERROR(IF(C57&lt;=0,"n.m.",IF(H57/C57&lt;=0,"n.m.",H57/C57-1)),"n.a."))</f>
        <v>0.033033033033033066</v>
      </c>
      <c r="I58" s="40">
        <f>IF(OR(I57="",D57=""),"n.a.",IFERROR(IF(D57&lt;=0,"n.m.",IF(I57/D57&lt;=0,"n.m.",I57/D57-1)),"n.a."))</f>
        <v>0.10147783251231535</v>
      </c>
      <c r="J58" s="45">
        <f>IF(OR(J57="",E57=""),"n.a.",IFERROR(IF(E57&lt;=0,"n.m.",IF(J57/E57&lt;=0,"n.m.",J57/E57-1)),"n.a."))</f>
        <v>-0.017681728880157177</v>
      </c>
      <c r="K58" s="124"/>
    </row>
    <row r="59">
      <c r="A59" s="2"/>
      <c r="B59" s="47" t="s">
        <v>134</v>
      </c>
      <c r="C59" s="7"/>
      <c r="D59" s="41">
        <f>IF(OR(D57="",C57=""),"n.a.",IFERROR(D57-C57,"n.a."))</f>
        <v>16</v>
      </c>
      <c r="E59" s="41">
        <f>IF(OR(E57="",D57=""),"n.a.",IFERROR(E57-D57,"n.a."))</f>
        <v>3</v>
      </c>
      <c r="F59" s="41">
        <f>IF(OR(F57="",E57=""),"n.a.",IFERROR(F57-E57,"n.a."))</f>
        <v>-49</v>
      </c>
      <c r="G59" s="7"/>
      <c r="H59" s="41">
        <f>IF(OR(H57="",F57=""),"n.a.",IFERROR(H57-F57,"n.a."))</f>
        <v>63</v>
      </c>
      <c r="I59" s="41">
        <f>IF(OR(I57="",H57=""),"n.a.",IFERROR(I57-H57,"n.a."))</f>
        <v>86</v>
      </c>
      <c r="J59" s="52">
        <f>IF(OR(J57="",I57=""),"n.a.",IFERROR(J57-I57,"n.a."))</f>
        <v>-118</v>
      </c>
      <c r="K59" s="124"/>
    </row>
    <row r="60">
      <c r="A60" s="2"/>
      <c r="B60" s="3" t="s">
        <v>489</v>
      </c>
      <c r="C60" s="37">
        <v>41038</v>
      </c>
      <c r="D60" s="37">
        <v>36428</v>
      </c>
      <c r="E60" s="37">
        <v>31764</v>
      </c>
      <c r="F60" s="37">
        <v>26084</v>
      </c>
      <c r="G60" s="43">
        <f>F60</f>
        <v>26084</v>
      </c>
      <c r="H60" s="37">
        <v>18885</v>
      </c>
      <c r="I60" s="37">
        <v>13611</v>
      </c>
      <c r="J60" s="48">
        <f>I60-'Share Count'!J21+J57</f>
        <v>8611</v>
      </c>
      <c r="K60" s="125" t="s">
        <v>127</v>
      </c>
    </row>
    <row r="61">
      <c r="A61" s="2"/>
      <c r="B61" s="3" t="s">
        <v>490</v>
      </c>
      <c r="C61" s="37">
        <v>245683</v>
      </c>
      <c r="D61" s="37">
        <v>250602</v>
      </c>
      <c r="E61" s="37">
        <v>256426</v>
      </c>
      <c r="F61" s="37">
        <v>261693</v>
      </c>
      <c r="G61" s="43">
        <f>F61</f>
        <v>261693</v>
      </c>
      <c r="H61" s="37">
        <v>267765</v>
      </c>
      <c r="I61" s="37">
        <v>274520</v>
      </c>
      <c r="J61" s="48">
        <f>I61+'Income Statement'!J293-'Income Statement'!J296-'Share Count'!J46</f>
        <v>280247.28737394523</v>
      </c>
      <c r="K61" s="125" t="s">
        <v>127</v>
      </c>
    </row>
    <row r="62">
      <c r="A62" s="2"/>
      <c r="B62" s="61" t="s">
        <v>491</v>
      </c>
      <c r="C62" s="7"/>
      <c r="D62" s="41">
        <f>D65-C65</f>
        <v>767</v>
      </c>
      <c r="E62" s="41">
        <f>E65-D65</f>
        <v>759</v>
      </c>
      <c r="F62" s="41">
        <f>F65-E65</f>
        <v>1219</v>
      </c>
      <c r="G62" s="7"/>
      <c r="H62" s="41">
        <f>H65-F65</f>
        <v>-452</v>
      </c>
      <c r="I62" s="41">
        <f>I65-H65</f>
        <v>-1055</v>
      </c>
      <c r="J62" s="71">
        <v>0</v>
      </c>
      <c r="K62" s="124" t="s">
        <v>492</v>
      </c>
    </row>
    <row r="63">
      <c r="A63" s="2"/>
      <c r="B63" s="47" t="s">
        <v>133</v>
      </c>
      <c r="C63" s="7"/>
      <c r="D63" s="7"/>
      <c r="E63" s="7"/>
      <c r="F63" s="7"/>
      <c r="G63" s="7"/>
      <c r="H63" s="40" t="str">
        <f>IF(OR(H62="",C62=""),"n.a.",IFERROR(IF(C62&lt;=0,"n.m.",IF(H62/C62&lt;=0,"n.m.",H62/C62-1)),"n.a."))</f>
        <v>n.a.</v>
      </c>
      <c r="I63" s="40" t="str">
        <f>IF(OR(I62="",D62=""),"n.a.",IFERROR(IF(D62&lt;=0,"n.m.",IF(I62/D62&lt;=0,"n.m.",I62/D62-1)),"n.a."))</f>
        <v>n.m.</v>
      </c>
      <c r="J63" s="45" t="s">
        <v>194</v>
      </c>
      <c r="K63" s="124"/>
    </row>
    <row r="64">
      <c r="A64" s="2"/>
      <c r="B64" s="47" t="s">
        <v>134</v>
      </c>
      <c r="C64" s="7"/>
      <c r="D64" s="41" t="str">
        <f>IF(OR(D62="",C62=""),"n.a.",IFERROR(D62-C62,"n.a."))</f>
        <v>n.a.</v>
      </c>
      <c r="E64" s="41">
        <f>IF(OR(E62="",D62=""),"n.a.",IFERROR(E62-D62,"n.a."))</f>
        <v>-8</v>
      </c>
      <c r="F64" s="41">
        <f>IF(OR(F62="",E62=""),"n.a.",IFERROR(F62-E62,"n.a."))</f>
        <v>460</v>
      </c>
      <c r="G64" s="7"/>
      <c r="H64" s="41">
        <f>IF(OR(H62="",F62=""),"n.a.",IFERROR(H62-F62,"n.a."))</f>
        <v>-1671</v>
      </c>
      <c r="I64" s="41">
        <f>IF(OR(I62="",H62=""),"n.a.",IFERROR(I62-H62,"n.a."))</f>
        <v>-603</v>
      </c>
      <c r="J64" s="52" t="s">
        <v>194</v>
      </c>
      <c r="K64" s="124"/>
    </row>
    <row r="65">
      <c r="A65" s="2"/>
      <c r="B65" s="3" t="s">
        <v>493</v>
      </c>
      <c r="C65" s="37">
        <v>-13271</v>
      </c>
      <c r="D65" s="37">
        <v>-12504</v>
      </c>
      <c r="E65" s="37">
        <v>-11745</v>
      </c>
      <c r="F65" s="37">
        <v>-10526</v>
      </c>
      <c r="G65" s="43">
        <f>F65</f>
        <v>-10526</v>
      </c>
      <c r="H65" s="37">
        <v>-10978</v>
      </c>
      <c r="I65" s="37">
        <v>-12033</v>
      </c>
      <c r="J65" s="38">
        <f>I65+J62</f>
        <v>-12033</v>
      </c>
      <c r="K65" s="125" t="s">
        <v>127</v>
      </c>
    </row>
    <row r="66">
      <c r="A66" s="2"/>
      <c r="B66" s="18" t="s">
        <v>494</v>
      </c>
      <c r="C66" s="39">
        <f>C56+C60+C61+C65</f>
        <v>293949</v>
      </c>
      <c r="D66" s="39">
        <f>D56+D60+D61+D65</f>
        <v>298021</v>
      </c>
      <c r="E66" s="39">
        <f>E56+E60+E61+E65</f>
        <v>302437</v>
      </c>
      <c r="F66" s="39">
        <f>F56+F60+F61+F65</f>
        <v>303243</v>
      </c>
      <c r="G66" s="39">
        <f>G56+G60+G61+G65</f>
        <v>303243</v>
      </c>
      <c r="H66" s="39">
        <f>H56+H60+H61+H65</f>
        <v>300668</v>
      </c>
      <c r="I66" s="39">
        <f>I56+I60+I61+I65</f>
        <v>301094</v>
      </c>
      <c r="J66" s="50">
        <f>J56+J60+J61+J65</f>
        <v>301821.28737394523</v>
      </c>
      <c r="K66" s="124"/>
    </row>
    <row r="67">
      <c r="A67" s="2"/>
      <c r="B67" s="47" t="s">
        <v>133</v>
      </c>
      <c r="C67" s="7"/>
      <c r="D67" s="7"/>
      <c r="E67" s="7"/>
      <c r="F67" s="7"/>
      <c r="G67" s="7"/>
      <c r="H67" s="40">
        <f>IF(OR(H66="",C66=""),"n.a.",IFERROR(IF(C66&lt;=0,"n.m.",IF(H66/C66&lt;=0,"n.m.",H66/C66-1)),"n.a."))</f>
        <v>0.022857706608969686</v>
      </c>
      <c r="I67" s="40">
        <f>IF(OR(I66="",D66=""),"n.a.",IFERROR(IF(D66&lt;=0,"n.m.",IF(I66/D66&lt;=0,"n.m.",I66/D66-1)),"n.a."))</f>
        <v>0.010311353897879627</v>
      </c>
      <c r="J67" s="45">
        <f>IF(OR(J66="",E66=""),"n.a.",IFERROR(IF(E66&lt;=0,"n.m.",IF(J66/E66&lt;=0,"n.m.",J66/E66-1)),"n.a."))</f>
        <v>-0.0020358376324813854</v>
      </c>
      <c r="K67" s="124"/>
    </row>
    <row r="68">
      <c r="A68" s="2"/>
      <c r="B68" s="47" t="s">
        <v>134</v>
      </c>
      <c r="C68" s="7"/>
      <c r="D68" s="41">
        <f>IF(OR(D66="",C66=""),"n.a.",IFERROR(D66-C66,"n.a."))</f>
        <v>4072</v>
      </c>
      <c r="E68" s="41">
        <f>IF(OR(E66="",D66=""),"n.a.",IFERROR(E66-D66,"n.a."))</f>
        <v>4416</v>
      </c>
      <c r="F68" s="41">
        <f>IF(OR(F66="",E66=""),"n.a.",IFERROR(F66-E66,"n.a."))</f>
        <v>806</v>
      </c>
      <c r="G68" s="7"/>
      <c r="H68" s="41">
        <f>IF(OR(H66="",F66=""),"n.a.",IFERROR(H66-F66,"n.a."))</f>
        <v>-2575</v>
      </c>
      <c r="I68" s="41">
        <f>IF(OR(I66="",H66=""),"n.a.",IFERROR(I66-H66,"n.a."))</f>
        <v>426</v>
      </c>
      <c r="J68" s="52">
        <f>IF(OR(J66="",I66=""),"n.a.",IFERROR(J66-I66,"n.a."))</f>
        <v>727.2873739452334</v>
      </c>
      <c r="K68" s="124"/>
    </row>
    <row r="69">
      <c r="A69" s="2"/>
      <c r="B69" s="18" t="s">
        <v>495</v>
      </c>
      <c r="C69" s="39">
        <f>C52+C66</f>
        <v>3349039</v>
      </c>
      <c r="D69" s="39">
        <f>D52+D66</f>
        <v>3440798</v>
      </c>
      <c r="E69" s="39">
        <f>E52+E66</f>
        <v>3403149</v>
      </c>
      <c r="F69" s="39">
        <f>F52+F66</f>
        <v>3411738</v>
      </c>
      <c r="G69" s="39">
        <f>G52+G66</f>
        <v>3411738</v>
      </c>
      <c r="H69" s="39">
        <f>H52+H66</f>
        <v>3496186</v>
      </c>
      <c r="I69" s="39">
        <f>I52+I66</f>
        <v>3498956</v>
      </c>
      <c r="J69" s="50">
        <f>J52+J66</f>
        <v>3514559.287373945</v>
      </c>
      <c r="K69" s="124"/>
    </row>
    <row r="70">
      <c r="A70" s="2"/>
      <c r="B70" s="69" t="s">
        <v>496</v>
      </c>
      <c r="C70" s="36">
        <f>C33-C52-C66</f>
        <v>0</v>
      </c>
      <c r="D70" s="36">
        <f>D33-D52-D66</f>
        <v>0</v>
      </c>
      <c r="E70" s="36">
        <f>E33-E52-E66</f>
        <v>0</v>
      </c>
      <c r="F70" s="36">
        <f>F33-F52-F66</f>
        <v>0</v>
      </c>
      <c r="G70" s="36">
        <f>G33-G52-G66</f>
        <v>0</v>
      </c>
      <c r="H70" s="36">
        <f>H33-H52-H66</f>
        <v>0</v>
      </c>
      <c r="I70" s="36">
        <f>I33-I52-I66</f>
        <v>0</v>
      </c>
      <c r="J70" s="74">
        <f>J33-J52-J66</f>
        <v>0</v>
      </c>
      <c r="K70" s="124"/>
    </row>
    <row r="71">
      <c r="A71" s="2"/>
      <c r="B71" s="18" t="s">
        <v>497</v>
      </c>
      <c r="C71" s="7"/>
      <c r="D71" s="7"/>
      <c r="E71" s="7"/>
      <c r="F71" s="7"/>
      <c r="G71" s="7"/>
      <c r="H71" s="7"/>
      <c r="I71" s="7"/>
      <c r="J71" s="46"/>
      <c r="K71" s="124"/>
    </row>
    <row r="72">
      <c r="A72" s="2"/>
      <c r="B72" s="1" t="s">
        <v>498</v>
      </c>
      <c r="C72" s="40">
        <f>C22/C43</f>
        <v>0.55822531971829</v>
      </c>
      <c r="D72" s="40">
        <f>D22/D43</f>
        <v>0.5702170347875063</v>
      </c>
      <c r="E72" s="40">
        <f>E22/E43</f>
        <v>0.5823071329252505</v>
      </c>
      <c r="F72" s="40">
        <f>F22/F43</f>
        <v>0.587349763143047</v>
      </c>
      <c r="G72" s="40">
        <f>G22/G43</f>
        <v>0.587349763143047</v>
      </c>
      <c r="H72" s="40">
        <f>H22/H43</f>
        <v>0.5913809103860648</v>
      </c>
      <c r="I72" s="40">
        <f>I22/I43</f>
        <v>0.6012565156503997</v>
      </c>
      <c r="J72" s="45">
        <f>J22/J43</f>
        <v>0.6102941176470589</v>
      </c>
      <c r="K72" s="124"/>
    </row>
    <row r="73">
      <c r="A73" s="2"/>
      <c r="B73" s="47" t="s">
        <v>169</v>
      </c>
      <c r="C73" s="7"/>
      <c r="D73" s="42">
        <f>(D72-C72)*10000</f>
        <v>119.91715069216258</v>
      </c>
      <c r="E73" s="42">
        <f>(E72-D72)*10000</f>
        <v>120.90098137744198</v>
      </c>
      <c r="F73" s="42">
        <f>(F72-E72)*10000</f>
        <v>50.426302177964956</v>
      </c>
      <c r="G73" s="7"/>
      <c r="H73" s="42">
        <f>(H72-F72)*10000</f>
        <v>40.31147243017785</v>
      </c>
      <c r="I73" s="42">
        <f>(I72-H72)*10000</f>
        <v>98.75605264334952</v>
      </c>
      <c r="J73" s="56">
        <f>(J72-I72)*10000</f>
        <v>90.3760199665915</v>
      </c>
      <c r="K73" s="124"/>
    </row>
    <row r="74">
      <c r="A74" s="2"/>
      <c r="B74" s="47" t="s">
        <v>170</v>
      </c>
      <c r="C74" s="7"/>
      <c r="D74" s="7"/>
      <c r="E74" s="7"/>
      <c r="F74" s="7"/>
      <c r="G74" s="7"/>
      <c r="H74" s="42">
        <f>(H72-C72)*10000</f>
        <v>331.5559066777474</v>
      </c>
      <c r="I74" s="42">
        <f>(I72-D72)*10000</f>
        <v>310.3948086289343</v>
      </c>
      <c r="J74" s="56">
        <f>(J72-E72)*10000</f>
        <v>279.8698472180838</v>
      </c>
      <c r="K74" s="124"/>
    </row>
    <row r="75">
      <c r="A75" s="2"/>
      <c r="B75" s="1" t="s">
        <v>499</v>
      </c>
      <c r="C75" s="40">
        <f>C66/C33</f>
        <v>0.08777114867877024</v>
      </c>
      <c r="D75" s="40">
        <f>D66/D33</f>
        <v>0.08661391921292677</v>
      </c>
      <c r="E75" s="40">
        <f>E66/E33</f>
        <v>0.08886974975236171</v>
      </c>
      <c r="F75" s="40">
        <f>F66/F33</f>
        <v>0.08888226469910644</v>
      </c>
      <c r="G75" s="40">
        <f>G66/G33</f>
        <v>0.08888226469910644</v>
      </c>
      <c r="H75" s="40">
        <f>H66/H33</f>
        <v>0.08599885704021468</v>
      </c>
      <c r="I75" s="40">
        <f>I66/I33</f>
        <v>0.08605252538185676</v>
      </c>
      <c r="J75" s="45">
        <f>J66/J33</f>
        <v>0.08587742094954502</v>
      </c>
      <c r="K75" s="124"/>
    </row>
    <row r="76">
      <c r="A76" s="2"/>
      <c r="B76" s="47" t="s">
        <v>169</v>
      </c>
      <c r="C76" s="7"/>
      <c r="D76" s="42">
        <f>(D75-C75)*10000</f>
        <v>-11.572294658434707</v>
      </c>
      <c r="E76" s="42">
        <f>(E75-D75)*10000</f>
        <v>22.558305394349414</v>
      </c>
      <c r="F76" s="42">
        <f>(F75-E75)*10000</f>
        <v>0.12514946744729416</v>
      </c>
      <c r="G76" s="7"/>
      <c r="H76" s="42">
        <f>(H75-F75)*10000</f>
        <v>-28.83407658891765</v>
      </c>
      <c r="I76" s="42">
        <f>(I75-H75)*10000</f>
        <v>0.5366834164208245</v>
      </c>
      <c r="J76" s="56">
        <f>(J75-I75)*10000</f>
        <v>-1.7510443231173733</v>
      </c>
      <c r="K76" s="124"/>
    </row>
    <row r="77">
      <c r="A77" s="2"/>
      <c r="B77" s="47" t="s">
        <v>170</v>
      </c>
      <c r="C77" s="7"/>
      <c r="D77" s="7"/>
      <c r="E77" s="7"/>
      <c r="F77" s="7"/>
      <c r="G77" s="7"/>
      <c r="H77" s="42">
        <f>(H75-C75)*10000</f>
        <v>-17.72291638555565</v>
      </c>
      <c r="I77" s="42">
        <f>(I75-D75)*10000</f>
        <v>-5.613938310700117</v>
      </c>
      <c r="J77" s="56">
        <f>(J75-E75)*10000</f>
        <v>-29.923288028166905</v>
      </c>
      <c r="K77" s="124"/>
    </row>
    <row r="78">
      <c r="A78" s="2"/>
      <c r="B78" s="2" t="s">
        <v>500</v>
      </c>
      <c r="C78" s="49">
        <f>(C66-C56)/'Share Count'!C16</f>
        <v>36.1702296035488</v>
      </c>
      <c r="D78" s="49">
        <f>(D66-D56)/'Share Count'!D16</f>
        <v>36.915131350453784</v>
      </c>
      <c r="E78" s="49">
        <f>(E66-E56)/'Share Count'!E16</f>
        <v>37.71716278281133</v>
      </c>
      <c r="F78" s="49">
        <f>(F66-F56)/'Share Count'!F16</f>
        <v>38.44053665127685</v>
      </c>
      <c r="G78" s="49">
        <f>(G66-G56)/'Share Count'!G16</f>
        <v>38.44053665127685</v>
      </c>
      <c r="H78" s="49">
        <f>(H66-H56)/'Share Count'!H16</f>
        <v>38.66417333333704</v>
      </c>
      <c r="I78" s="49">
        <f>(I66-I56)/'Share Count'!I16</f>
        <v>39.341590221622376</v>
      </c>
      <c r="J78" s="57">
        <f>(J66-J56)/'Share Count'!J16</f>
        <v>39.99136138652085</v>
      </c>
      <c r="K78" s="124"/>
    </row>
    <row r="79">
      <c r="A79" s="2"/>
      <c r="B79" s="2"/>
      <c r="C79" s="2"/>
      <c r="D79" s="2"/>
      <c r="E79" s="2"/>
      <c r="F79" s="2"/>
      <c r="G79" s="2"/>
      <c r="H79" s="2"/>
      <c r="I79" s="2"/>
      <c r="J79" s="2"/>
      <c r="K79" s="2"/>
    </row>
    <row r="80">
      <c r="A80" s="2"/>
      <c r="B80" s="138" t="s">
        <v>73</v>
      </c>
      <c r="C80" s="137"/>
      <c r="D80" s="137"/>
      <c r="E80" s="137"/>
      <c r="F80" s="137"/>
      <c r="G80" s="137"/>
      <c r="H80" s="137"/>
      <c r="I80" s="137"/>
      <c r="J80" s="137"/>
      <c r="K80" s="137"/>
    </row>
    <row r="81">
      <c r="B81" s="128" t="s">
        <v>74</v>
      </c>
      <c r="C81" s="130" t="s">
        <v>501</v>
      </c>
      <c r="D81" s="127"/>
      <c r="E81" s="127"/>
      <c r="F81" s="127"/>
      <c r="G81" s="127"/>
      <c r="H81" s="127"/>
      <c r="I81" s="127"/>
      <c r="J81" s="127"/>
      <c r="K81" s="127"/>
    </row>
    <row r="82">
      <c r="B82" s="128" t="s">
        <v>77</v>
      </c>
      <c r="C82" s="130" t="s">
        <v>502</v>
      </c>
      <c r="D82" s="127"/>
      <c r="E82" s="127"/>
      <c r="F82" s="127"/>
      <c r="G82" s="127"/>
      <c r="H82" s="127"/>
      <c r="I82" s="127"/>
      <c r="J82" s="127"/>
      <c r="K82" s="127"/>
    </row>
    <row r="83">
      <c r="B83" s="128"/>
      <c r="C83" s="130" t="s">
        <v>503</v>
      </c>
      <c r="D83" s="127"/>
      <c r="E83" s="127"/>
      <c r="F83" s="127"/>
      <c r="G83" s="127"/>
      <c r="H83" s="127"/>
      <c r="I83" s="127"/>
      <c r="J83" s="127"/>
      <c r="K83" s="127"/>
    </row>
  </sheetData>
  <legacyDrawing r:id="rId2"/>
</worksheet>
</file>

<file path=xl/worksheets/sheet9.xml><?xml version="1.0" encoding="utf-8"?>
<worksheet xmlns="http://schemas.openxmlformats.org/spreadsheetml/2006/main" xmlns:r="http://schemas.openxmlformats.org/officeDocument/2006/relationships">
  <dimension ref="A1:K173"/>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504</v>
      </c>
      <c r="C3" s="2"/>
      <c r="D3" s="2"/>
      <c r="E3" s="2"/>
      <c r="F3" s="2"/>
      <c r="G3" s="2"/>
      <c r="H3" s="2"/>
      <c r="I3" s="2"/>
      <c r="J3" s="2"/>
      <c r="K3" s="2"/>
    </row>
    <row r="4">
      <c r="A4" s="2"/>
      <c r="B4" s="1" t="s">
        <v>2</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18" t="s">
        <v>505</v>
      </c>
      <c r="C9" s="7"/>
      <c r="D9" s="7"/>
      <c r="E9" s="7"/>
      <c r="F9" s="7"/>
      <c r="G9" s="7"/>
      <c r="H9" s="7"/>
      <c r="I9" s="7"/>
      <c r="J9" s="46"/>
      <c r="K9" s="124"/>
    </row>
    <row r="10">
      <c r="A10" s="2"/>
      <c r="B10" s="3" t="s">
        <v>226</v>
      </c>
      <c r="C10" s="43">
        <f>C127</f>
        <v>7360</v>
      </c>
      <c r="D10" s="43">
        <f>D127-C127</f>
        <v>7170</v>
      </c>
      <c r="E10" s="43">
        <f>E127-D127</f>
        <v>8451</v>
      </c>
      <c r="F10" s="43">
        <f>F127-E127</f>
        <v>7528</v>
      </c>
      <c r="G10" s="43">
        <f>SUM(C10:F10)</f>
        <v>30509</v>
      </c>
      <c r="H10" s="43">
        <f>H127</f>
        <v>8584</v>
      </c>
      <c r="I10" s="43">
        <f>I127-H127</f>
        <v>9074</v>
      </c>
      <c r="J10" s="48">
        <f>'Income Statement'!J293</f>
        <v>8399.829085083715</v>
      </c>
      <c r="K10" s="129" t="s">
        <v>506</v>
      </c>
    </row>
    <row r="11">
      <c r="A11" s="2"/>
      <c r="B11" s="47" t="s">
        <v>133</v>
      </c>
      <c r="C11" s="7"/>
      <c r="D11" s="7"/>
      <c r="E11" s="7"/>
      <c r="F11" s="7"/>
      <c r="G11" s="7"/>
      <c r="H11" s="40">
        <f>IF(OR(H10="",C10=""),"n.a.",IFERROR(IF(C10&lt;=0,"n.m.",IF(H10/C10&lt;=0,"n.m.",H10/C10-1)),"n.a."))</f>
        <v>0.16630434782608705</v>
      </c>
      <c r="I11" s="40">
        <f>IF(OR(I10="",D10=""),"n.a.",IFERROR(IF(D10&lt;=0,"n.m.",IF(I10/D10&lt;=0,"n.m.",I10/D10-1)),"n.a."))</f>
        <v>0.2655509065550907</v>
      </c>
      <c r="J11" s="45" t="s">
        <v>48</v>
      </c>
      <c r="K11" s="124"/>
    </row>
    <row r="12">
      <c r="A12" s="2"/>
      <c r="B12" s="47" t="s">
        <v>134</v>
      </c>
      <c r="C12" s="7"/>
      <c r="D12" s="41">
        <f>IF(OR(D10="",C10=""),"n.a.",IFERROR(D10-C10,"n.a."))</f>
        <v>-190</v>
      </c>
      <c r="E12" s="41">
        <f>IF(OR(E10="",D10=""),"n.a.",IFERROR(E10-D10,"n.a."))</f>
        <v>1281</v>
      </c>
      <c r="F12" s="41">
        <f>IF(OR(F10="",E10=""),"n.a.",IFERROR(F10-E10,"n.a."))</f>
        <v>-923</v>
      </c>
      <c r="G12" s="7"/>
      <c r="H12" s="41">
        <f>IF(OR(H10="",F10=""),"n.a.",IFERROR(H10-F10,"n.a."))</f>
        <v>1056</v>
      </c>
      <c r="I12" s="41">
        <f>IF(OR(I10="",H10=""),"n.a.",IFERROR(I10-H10,"n.a."))</f>
        <v>490</v>
      </c>
      <c r="J12" s="52">
        <f>IF(OR(J10="",I10=""),"n.a.",IFERROR(J10-I10,"n.a."))</f>
        <v>-674.1709149162853</v>
      </c>
      <c r="K12" s="124"/>
    </row>
    <row r="13">
      <c r="A13" s="2"/>
      <c r="B13" s="3" t="s">
        <v>221</v>
      </c>
      <c r="C13" s="43">
        <f>C128</f>
        <v>1480</v>
      </c>
      <c r="D13" s="43">
        <f>D128-C128</f>
        <v>1592</v>
      </c>
      <c r="E13" s="43">
        <f>E128-D128</f>
        <v>1295</v>
      </c>
      <c r="F13" s="43">
        <f>F128-E128</f>
        <v>1308</v>
      </c>
      <c r="G13" s="43">
        <f>SUM(C13:F13)</f>
        <v>5675</v>
      </c>
      <c r="H13" s="43">
        <f>H128</f>
        <v>1337</v>
      </c>
      <c r="I13" s="43">
        <f>I128-H128</f>
        <v>1366</v>
      </c>
      <c r="J13" s="48">
        <f>'Income Statement'!J254</f>
        <v>1391</v>
      </c>
      <c r="K13" s="124"/>
    </row>
    <row r="14">
      <c r="A14" s="2"/>
      <c r="B14" s="47" t="s">
        <v>133</v>
      </c>
      <c r="C14" s="7"/>
      <c r="D14" s="7"/>
      <c r="E14" s="7"/>
      <c r="F14" s="7"/>
      <c r="G14" s="7"/>
      <c r="H14" s="40">
        <f>IF(OR(H13="",C13=""),"n.a.",IFERROR(IF(C13&lt;=0,"n.m.",IF(H13/C13&lt;=0,"n.m.",H13/C13-1)),"n.a."))</f>
        <v>-0.09662162162162158</v>
      </c>
      <c r="I14" s="40">
        <f>IF(OR(I13="",D13=""),"n.a.",IFERROR(IF(D13&lt;=0,"n.m.",IF(I13/D13&lt;=0,"n.m.",I13/D13-1)),"n.a."))</f>
        <v>-0.1419597989949749</v>
      </c>
      <c r="J14" s="45">
        <f>IF(OR(J13="",E13=""),"n.a.",IFERROR(IF(E13&lt;=0,"n.m.",IF(J13/E13&lt;=0,"n.m.",J13/E13-1)),"n.a."))</f>
        <v>0.07413127413127407</v>
      </c>
      <c r="K14" s="124"/>
    </row>
    <row r="15">
      <c r="A15" s="2"/>
      <c r="B15" s="47" t="s">
        <v>134</v>
      </c>
      <c r="C15" s="7"/>
      <c r="D15" s="41">
        <f>IF(OR(D13="",C13=""),"n.a.",IFERROR(D13-C13,"n.a."))</f>
        <v>112</v>
      </c>
      <c r="E15" s="41">
        <f>IF(OR(E13="",D13=""),"n.a.",IFERROR(E13-D13,"n.a."))</f>
        <v>-297</v>
      </c>
      <c r="F15" s="41">
        <f>IF(OR(F13="",E13=""),"n.a.",IFERROR(F13-E13,"n.a."))</f>
        <v>13</v>
      </c>
      <c r="G15" s="7"/>
      <c r="H15" s="41">
        <f>IF(OR(H13="",F13=""),"n.a.",IFERROR(H13-F13,"n.a."))</f>
        <v>29</v>
      </c>
      <c r="I15" s="41">
        <f>IF(OR(I13="",H13=""),"n.a.",IFERROR(I13-H13,"n.a."))</f>
        <v>29</v>
      </c>
      <c r="J15" s="52">
        <f>IF(OR(J13="",I13=""),"n.a.",IFERROR(J13-I13,"n.a."))</f>
        <v>25</v>
      </c>
      <c r="K15" s="124"/>
    </row>
    <row r="16">
      <c r="A16" s="2"/>
      <c r="B16" s="3" t="s">
        <v>507</v>
      </c>
      <c r="C16" s="43">
        <f>C129</f>
        <v>2</v>
      </c>
      <c r="D16" s="43">
        <f>D129-C129</f>
        <v>18</v>
      </c>
      <c r="E16" s="43">
        <f>E129-D129</f>
        <v>3</v>
      </c>
      <c r="F16" s="43">
        <f>F129-E129</f>
        <v>-3</v>
      </c>
      <c r="G16" s="43">
        <f>SUM(C16:F16)</f>
        <v>20</v>
      </c>
      <c r="H16" s="43">
        <f>H129</f>
        <v>-3</v>
      </c>
      <c r="I16" s="43">
        <f>I129-H129</f>
        <v>-16</v>
      </c>
      <c r="J16" s="75">
        <v>0</v>
      </c>
      <c r="K16" s="124" t="s">
        <v>508</v>
      </c>
    </row>
    <row r="17">
      <c r="A17" s="2"/>
      <c r="B17" s="47" t="s">
        <v>133</v>
      </c>
      <c r="C17" s="7"/>
      <c r="D17" s="7"/>
      <c r="E17" s="7"/>
      <c r="F17" s="7"/>
      <c r="G17" s="7"/>
      <c r="H17" s="40" t="str">
        <f>IF(OR(H16="",C16=""),"n.a.",IFERROR(IF(C16&lt;=0,"n.m.",IF(H16/C16&lt;=0,"n.m.",H16/C16-1)),"n.a."))</f>
        <v>n.m.</v>
      </c>
      <c r="I17" s="40" t="str">
        <f>IF(OR(I16="",D16=""),"n.a.",IFERROR(IF(D16&lt;=0,"n.m.",IF(I16/D16&lt;=0,"n.m.",I16/D16-1)),"n.a."))</f>
        <v>n.m.</v>
      </c>
      <c r="J17" s="45" t="s">
        <v>194</v>
      </c>
      <c r="K17" s="124"/>
    </row>
    <row r="18">
      <c r="A18" s="2"/>
      <c r="B18" s="47" t="s">
        <v>134</v>
      </c>
      <c r="C18" s="7"/>
      <c r="D18" s="41">
        <f>IF(OR(D16="",C16=""),"n.a.",IFERROR(D16-C16,"n.a."))</f>
        <v>16</v>
      </c>
      <c r="E18" s="41">
        <f>IF(OR(E16="",D16=""),"n.a.",IFERROR(E16-D16,"n.a."))</f>
        <v>-15</v>
      </c>
      <c r="F18" s="41">
        <f>IF(OR(F16="",E16=""),"n.a.",IFERROR(F16-E16,"n.a."))</f>
        <v>-6</v>
      </c>
      <c r="G18" s="7"/>
      <c r="H18" s="41">
        <f>IF(OR(H16="",F16=""),"n.a.",IFERROR(H16-F16,"n.a."))</f>
        <v>0</v>
      </c>
      <c r="I18" s="41">
        <f>IF(OR(I16="",H16=""),"n.a.",IFERROR(I16-H16,"n.a."))</f>
        <v>-13</v>
      </c>
      <c r="J18" s="52" t="s">
        <v>194</v>
      </c>
      <c r="K18" s="124"/>
    </row>
    <row r="19">
      <c r="A19" s="2"/>
      <c r="B19" s="3" t="s">
        <v>509</v>
      </c>
      <c r="C19" s="43">
        <f>C130</f>
        <v>565</v>
      </c>
      <c r="D19" s="43">
        <f>D130-C130</f>
        <v>571</v>
      </c>
      <c r="E19" s="43">
        <f>E130-D130</f>
        <v>584</v>
      </c>
      <c r="F19" s="43">
        <f>F130-E130</f>
        <v>594</v>
      </c>
      <c r="G19" s="43">
        <f>SUM(C19:F19)</f>
        <v>2314</v>
      </c>
      <c r="H19" s="43">
        <f>H130</f>
        <v>605</v>
      </c>
      <c r="I19" s="43">
        <f>I130-H130</f>
        <v>612</v>
      </c>
      <c r="J19" s="75">
        <v>610</v>
      </c>
      <c r="K19" s="124"/>
    </row>
    <row r="20">
      <c r="A20" s="2"/>
      <c r="B20" s="47" t="s">
        <v>133</v>
      </c>
      <c r="C20" s="7"/>
      <c r="D20" s="7"/>
      <c r="E20" s="7"/>
      <c r="F20" s="7"/>
      <c r="G20" s="7"/>
      <c r="H20" s="40">
        <f>IF(OR(H19="",C19=""),"n.a.",IFERROR(IF(C19&lt;=0,"n.m.",IF(H19/C19&lt;=0,"n.m.",H19/C19-1)),"n.a."))</f>
        <v>0.07079646017699126</v>
      </c>
      <c r="I20" s="40">
        <f>IF(OR(I19="",D19=""),"n.a.",IFERROR(IF(D19&lt;=0,"n.m.",IF(I19/D19&lt;=0,"n.m.",I19/D19-1)),"n.a."))</f>
        <v>0.07180385288966717</v>
      </c>
      <c r="J20" s="45">
        <f>IF(OR(J19="",E19=""),"n.a.",IFERROR(IF(E19&lt;=0,"n.m.",IF(J19/E19&lt;=0,"n.m.",J19/E19-1)),"n.a."))</f>
        <v>0.044520547945205546</v>
      </c>
      <c r="K20" s="124"/>
    </row>
    <row r="21">
      <c r="A21" s="2"/>
      <c r="B21" s="47" t="s">
        <v>134</v>
      </c>
      <c r="C21" s="7"/>
      <c r="D21" s="41">
        <f>IF(OR(D19="",C19=""),"n.a.",IFERROR(D19-C19,"n.a."))</f>
        <v>6</v>
      </c>
      <c r="E21" s="41">
        <f>IF(OR(E19="",D19=""),"n.a.",IFERROR(E19-D19,"n.a."))</f>
        <v>13</v>
      </c>
      <c r="F21" s="41">
        <f>IF(OR(F19="",E19=""),"n.a.",IFERROR(F19-E19,"n.a."))</f>
        <v>10</v>
      </c>
      <c r="G21" s="7"/>
      <c r="H21" s="41">
        <f>IF(OR(H19="",F19=""),"n.a.",IFERROR(H19-F19,"n.a."))</f>
        <v>11</v>
      </c>
      <c r="I21" s="41">
        <f>IF(OR(I19="",H19=""),"n.a.",IFERROR(I19-H19,"n.a."))</f>
        <v>7</v>
      </c>
      <c r="J21" s="52">
        <f>IF(OR(J19="",I19=""),"n.a.",IFERROR(J19-I19,"n.a."))</f>
        <v>-2</v>
      </c>
      <c r="K21" s="124"/>
    </row>
    <row r="22">
      <c r="A22" s="2"/>
      <c r="B22" s="3" t="s">
        <v>510</v>
      </c>
      <c r="C22" s="43">
        <f>C131</f>
        <v>-85</v>
      </c>
      <c r="D22" s="43">
        <f>D131-C131</f>
        <v>-61</v>
      </c>
      <c r="E22" s="43">
        <f>E131-D131</f>
        <v>-518</v>
      </c>
      <c r="F22" s="43">
        <f>F131-E131</f>
        <v>-195</v>
      </c>
      <c r="G22" s="43">
        <f>SUM(C22:F22)</f>
        <v>-859</v>
      </c>
      <c r="H22" s="43">
        <f>H131</f>
        <v>-200</v>
      </c>
      <c r="I22" s="43">
        <f>I131-H131</f>
        <v>-105</v>
      </c>
      <c r="J22" s="75">
        <v>0</v>
      </c>
      <c r="K22" s="124" t="s">
        <v>508</v>
      </c>
    </row>
    <row r="23">
      <c r="A23" s="2"/>
      <c r="B23" s="47" t="s">
        <v>133</v>
      </c>
      <c r="C23" s="7"/>
      <c r="D23" s="7"/>
      <c r="E23" s="7"/>
      <c r="F23" s="7"/>
      <c r="G23" s="7"/>
      <c r="H23" s="40" t="str">
        <f>IF(OR(H22="",C22=""),"n.a.",IFERROR(IF(C22&lt;=0,"n.m.",IF(H22/C22&lt;=0,"n.m.",H22/C22-1)),"n.a."))</f>
        <v>n.m.</v>
      </c>
      <c r="I23" s="40" t="str">
        <f>IF(OR(I22="",D22=""),"n.a.",IFERROR(IF(D22&lt;=0,"n.m.",IF(I22/D22&lt;=0,"n.m.",I22/D22-1)),"n.a."))</f>
        <v>n.m.</v>
      </c>
      <c r="J23" s="45" t="s">
        <v>194</v>
      </c>
      <c r="K23" s="124"/>
    </row>
    <row r="24">
      <c r="A24" s="2"/>
      <c r="B24" s="47" t="s">
        <v>134</v>
      </c>
      <c r="C24" s="7"/>
      <c r="D24" s="41">
        <f>IF(OR(D22="",C22=""),"n.a.",IFERROR(D22-C22,"n.a."))</f>
        <v>24</v>
      </c>
      <c r="E24" s="41">
        <f>IF(OR(E22="",D22=""),"n.a.",IFERROR(E22-D22,"n.a."))</f>
        <v>-457</v>
      </c>
      <c r="F24" s="41">
        <f>IF(OR(F22="",E22=""),"n.a.",IFERROR(F22-E22,"n.a."))</f>
        <v>323</v>
      </c>
      <c r="G24" s="7"/>
      <c r="H24" s="41">
        <f>IF(OR(H22="",F22=""),"n.a.",IFERROR(H22-F22,"n.a."))</f>
        <v>-5</v>
      </c>
      <c r="I24" s="41">
        <f>IF(OR(I22="",H22=""),"n.a.",IFERROR(I22-H22,"n.a."))</f>
        <v>95</v>
      </c>
      <c r="J24" s="52" t="s">
        <v>194</v>
      </c>
      <c r="K24" s="124"/>
    </row>
    <row r="25">
      <c r="A25" s="2"/>
      <c r="B25" s="3" t="s">
        <v>511</v>
      </c>
      <c r="C25" s="43">
        <f>C132</f>
        <v>-40</v>
      </c>
      <c r="D25" s="43">
        <f>D132-C132</f>
        <v>-9</v>
      </c>
      <c r="E25" s="43">
        <f>E132-D132</f>
        <v>-206</v>
      </c>
      <c r="F25" s="43">
        <f>F132-E132</f>
        <v>550</v>
      </c>
      <c r="G25" s="43">
        <f>SUM(C25:F25)</f>
        <v>295</v>
      </c>
      <c r="H25" s="43">
        <f>H132</f>
        <v>101</v>
      </c>
      <c r="I25" s="43">
        <f>I132-H132</f>
        <v>511</v>
      </c>
      <c r="J25" s="75">
        <v>0</v>
      </c>
      <c r="K25" s="124" t="s">
        <v>508</v>
      </c>
    </row>
    <row r="26">
      <c r="A26" s="2"/>
      <c r="B26" s="47" t="s">
        <v>133</v>
      </c>
      <c r="C26" s="7"/>
      <c r="D26" s="7"/>
      <c r="E26" s="7"/>
      <c r="F26" s="7"/>
      <c r="G26" s="7"/>
      <c r="H26" s="40" t="str">
        <f>IF(OR(H25="",C25=""),"n.a.",IFERROR(IF(C25&lt;=0,"n.m.",IF(H25/C25&lt;=0,"n.m.",H25/C25-1)),"n.a."))</f>
        <v>n.m.</v>
      </c>
      <c r="I26" s="40" t="str">
        <f>IF(OR(I25="",D25=""),"n.a.",IFERROR(IF(D25&lt;=0,"n.m.",IF(I25/D25&lt;=0,"n.m.",I25/D25-1)),"n.a."))</f>
        <v>n.m.</v>
      </c>
      <c r="J26" s="45" t="s">
        <v>194</v>
      </c>
      <c r="K26" s="124"/>
    </row>
    <row r="27">
      <c r="A27" s="2"/>
      <c r="B27" s="47" t="s">
        <v>134</v>
      </c>
      <c r="C27" s="7"/>
      <c r="D27" s="41">
        <f>IF(OR(D25="",C25=""),"n.a.",IFERROR(D25-C25,"n.a."))</f>
        <v>31</v>
      </c>
      <c r="E27" s="41">
        <f>IF(OR(E25="",D25=""),"n.a.",IFERROR(E25-D25,"n.a."))</f>
        <v>-197</v>
      </c>
      <c r="F27" s="41">
        <f>IF(OR(F25="",E25=""),"n.a.",IFERROR(F25-E25,"n.a."))</f>
        <v>756</v>
      </c>
      <c r="G27" s="7"/>
      <c r="H27" s="41">
        <f>IF(OR(H25="",F25=""),"n.a.",IFERROR(H25-F25,"n.a."))</f>
        <v>-449</v>
      </c>
      <c r="I27" s="41">
        <f>IF(OR(I25="",H25=""),"n.a.",IFERROR(I25-H25,"n.a."))</f>
        <v>410</v>
      </c>
      <c r="J27" s="52" t="s">
        <v>194</v>
      </c>
      <c r="K27" s="124"/>
    </row>
    <row r="28">
      <c r="A28" s="2"/>
      <c r="B28" s="3" t="s">
        <v>512</v>
      </c>
      <c r="C28" s="43">
        <f>C133</f>
        <v>999</v>
      </c>
      <c r="D28" s="43">
        <f>D133-C133</f>
        <v>1015</v>
      </c>
      <c r="E28" s="43">
        <f>E133-D133</f>
        <v>1018</v>
      </c>
      <c r="F28" s="43">
        <f>F133-E133</f>
        <v>969</v>
      </c>
      <c r="G28" s="43">
        <f>SUM(C28:F28)</f>
        <v>4001</v>
      </c>
      <c r="H28" s="43">
        <f>H133</f>
        <v>1032</v>
      </c>
      <c r="I28" s="43">
        <f>I133-H133</f>
        <v>1118</v>
      </c>
      <c r="J28" s="48">
        <f>'Balance Sheet'!J57</f>
        <v>1000</v>
      </c>
      <c r="K28" s="124"/>
    </row>
    <row r="29">
      <c r="A29" s="2"/>
      <c r="B29" s="47" t="s">
        <v>133</v>
      </c>
      <c r="C29" s="7"/>
      <c r="D29" s="7"/>
      <c r="E29" s="7"/>
      <c r="F29" s="7"/>
      <c r="G29" s="7"/>
      <c r="H29" s="40">
        <f>IF(OR(H28="",C28=""),"n.a.",IFERROR(IF(C28&lt;=0,"n.m.",IF(H28/C28&lt;=0,"n.m.",H28/C28-1)),"n.a."))</f>
        <v>0.033033033033033066</v>
      </c>
      <c r="I29" s="40">
        <f>IF(OR(I28="",D28=""),"n.a.",IFERROR(IF(D28&lt;=0,"n.m.",IF(I28/D28&lt;=0,"n.m.",I28/D28-1)),"n.a."))</f>
        <v>0.10147783251231535</v>
      </c>
      <c r="J29" s="45">
        <f>IF(OR(J28="",E28=""),"n.a.",IFERROR(IF(E28&lt;=0,"n.m.",IF(J28/E28&lt;=0,"n.m.",J28/E28-1)),"n.a."))</f>
        <v>-0.017681728880157177</v>
      </c>
      <c r="K29" s="124"/>
    </row>
    <row r="30">
      <c r="A30" s="2"/>
      <c r="B30" s="47" t="s">
        <v>134</v>
      </c>
      <c r="C30" s="7"/>
      <c r="D30" s="41">
        <f>IF(OR(D28="",C28=""),"n.a.",IFERROR(D28-C28,"n.a."))</f>
        <v>16</v>
      </c>
      <c r="E30" s="41">
        <f>IF(OR(E28="",D28=""),"n.a.",IFERROR(E28-D28,"n.a."))</f>
        <v>3</v>
      </c>
      <c r="F30" s="41">
        <f>IF(OR(F28="",E28=""),"n.a.",IFERROR(F28-E28,"n.a."))</f>
        <v>-49</v>
      </c>
      <c r="G30" s="7"/>
      <c r="H30" s="41">
        <f>IF(OR(H28="",F28=""),"n.a.",IFERROR(H28-F28,"n.a."))</f>
        <v>63</v>
      </c>
      <c r="I30" s="41">
        <f>IF(OR(I28="",H28=""),"n.a.",IFERROR(I28-H28,"n.a."))</f>
        <v>86</v>
      </c>
      <c r="J30" s="52">
        <f>IF(OR(J28="",I28=""),"n.a.",IFERROR(J28-I28,"n.a."))</f>
        <v>-118</v>
      </c>
      <c r="K30" s="124"/>
    </row>
    <row r="31">
      <c r="A31" s="2"/>
      <c r="B31" s="3" t="s">
        <v>513</v>
      </c>
      <c r="C31" s="43">
        <f>C134</f>
        <v>-10970</v>
      </c>
      <c r="D31" s="43">
        <f>D134-C134</f>
        <v>-14879</v>
      </c>
      <c r="E31" s="43">
        <f>E134-D134</f>
        <v>30536</v>
      </c>
      <c r="F31" s="43">
        <f>F134-E134</f>
        <v>-39714</v>
      </c>
      <c r="G31" s="43">
        <f>SUM(C31:F31)</f>
        <v>-35027</v>
      </c>
      <c r="H31" s="43">
        <f>H134</f>
        <v>20230</v>
      </c>
      <c r="I31" s="43">
        <f>I134-H134</f>
        <v>2917</v>
      </c>
      <c r="J31" s="75">
        <v>0</v>
      </c>
      <c r="K31" s="124" t="s">
        <v>508</v>
      </c>
    </row>
    <row r="32">
      <c r="A32" s="2"/>
      <c r="B32" s="47" t="s">
        <v>133</v>
      </c>
      <c r="C32" s="7"/>
      <c r="D32" s="7"/>
      <c r="E32" s="7"/>
      <c r="F32" s="7"/>
      <c r="G32" s="7"/>
      <c r="H32" s="40" t="str">
        <f>IF(OR(H31="",C31=""),"n.a.",IFERROR(IF(C31&lt;=0,"n.m.",IF(H31/C31&lt;=0,"n.m.",H31/C31-1)),"n.a."))</f>
        <v>n.m.</v>
      </c>
      <c r="I32" s="40" t="str">
        <f>IF(OR(I31="",D31=""),"n.a.",IFERROR(IF(D31&lt;=0,"n.m.",IF(I31/D31&lt;=0,"n.m.",I31/D31-1)),"n.a."))</f>
        <v>n.m.</v>
      </c>
      <c r="J32" s="45" t="s">
        <v>194</v>
      </c>
      <c r="K32" s="124"/>
    </row>
    <row r="33">
      <c r="A33" s="2"/>
      <c r="B33" s="47" t="s">
        <v>134</v>
      </c>
      <c r="C33" s="7"/>
      <c r="D33" s="41">
        <f>IF(OR(D31="",C31=""),"n.a.",IFERROR(D31-C31,"n.a."))</f>
        <v>-3909</v>
      </c>
      <c r="E33" s="41">
        <f>IF(OR(E31="",D31=""),"n.a.",IFERROR(E31-D31,"n.a."))</f>
        <v>45415</v>
      </c>
      <c r="F33" s="41">
        <f>IF(OR(F31="",E31=""),"n.a.",IFERROR(F31-E31,"n.a."))</f>
        <v>-70250</v>
      </c>
      <c r="G33" s="7"/>
      <c r="H33" s="41">
        <f>IF(OR(H31="",F31=""),"n.a.",IFERROR(H31-F31,"n.a."))</f>
        <v>59944</v>
      </c>
      <c r="I33" s="41">
        <f>IF(OR(I31="",H31=""),"n.a.",IFERROR(I31-H31,"n.a."))</f>
        <v>-17313</v>
      </c>
      <c r="J33" s="52" t="s">
        <v>194</v>
      </c>
      <c r="K33" s="124"/>
    </row>
    <row r="34">
      <c r="A34" s="2"/>
      <c r="B34" s="3" t="s">
        <v>514</v>
      </c>
      <c r="C34" s="43">
        <f>C135</f>
        <v>2599</v>
      </c>
      <c r="D34" s="43">
        <f>D135-C135</f>
        <v>1481</v>
      </c>
      <c r="E34" s="43">
        <f>E135-D135</f>
        <v>-1408</v>
      </c>
      <c r="F34" s="43">
        <f>F135-E135</f>
        <v>1543</v>
      </c>
      <c r="G34" s="43">
        <f>SUM(C34:F34)</f>
        <v>4215</v>
      </c>
      <c r="H34" s="43">
        <f>H135</f>
        <v>-5763</v>
      </c>
      <c r="I34" s="43">
        <f>I135-H135</f>
        <v>4233</v>
      </c>
      <c r="J34" s="75">
        <v>0</v>
      </c>
      <c r="K34" s="124" t="s">
        <v>508</v>
      </c>
    </row>
    <row r="35">
      <c r="A35" s="2"/>
      <c r="B35" s="47" t="s">
        <v>133</v>
      </c>
      <c r="C35" s="7"/>
      <c r="D35" s="7"/>
      <c r="E35" s="7"/>
      <c r="F35" s="7"/>
      <c r="G35" s="7"/>
      <c r="H35" s="40" t="str">
        <f>IF(OR(H34="",C34=""),"n.a.",IFERROR(IF(C34&lt;=0,"n.m.",IF(H34/C34&lt;=0,"n.m.",H34/C34-1)),"n.a."))</f>
        <v>n.m.</v>
      </c>
      <c r="I35" s="40">
        <f>IF(OR(I34="",D34=""),"n.a.",IFERROR(IF(D34&lt;=0,"n.m.",IF(I34/D34&lt;=0,"n.m.",I34/D34-1)),"n.a."))</f>
        <v>1.8582039162727888</v>
      </c>
      <c r="J35" s="45" t="s">
        <v>194</v>
      </c>
      <c r="K35" s="124"/>
    </row>
    <row r="36">
      <c r="A36" s="2"/>
      <c r="B36" s="47" t="s">
        <v>134</v>
      </c>
      <c r="C36" s="7"/>
      <c r="D36" s="41">
        <f>IF(OR(D34="",C34=""),"n.a.",IFERROR(D34-C34,"n.a."))</f>
        <v>-1118</v>
      </c>
      <c r="E36" s="41">
        <f>IF(OR(E34="",D34=""),"n.a.",IFERROR(E34-D34,"n.a."))</f>
        <v>-2889</v>
      </c>
      <c r="F36" s="41">
        <f>IF(OR(F34="",E34=""),"n.a.",IFERROR(F34-E34,"n.a."))</f>
        <v>2951</v>
      </c>
      <c r="G36" s="7"/>
      <c r="H36" s="41">
        <f>IF(OR(H34="",F34=""),"n.a.",IFERROR(H34-F34,"n.a."))</f>
        <v>-7306</v>
      </c>
      <c r="I36" s="41">
        <f>IF(OR(I34="",H34=""),"n.a.",IFERROR(I34-H34,"n.a."))</f>
        <v>9996</v>
      </c>
      <c r="J36" s="52" t="s">
        <v>194</v>
      </c>
      <c r="K36" s="124"/>
    </row>
    <row r="37">
      <c r="A37" s="2"/>
      <c r="B37" s="3" t="s">
        <v>515</v>
      </c>
      <c r="C37" s="43">
        <f>C136</f>
        <v>4198</v>
      </c>
      <c r="D37" s="43">
        <f>D136-C136</f>
        <v>-23505</v>
      </c>
      <c r="E37" s="43">
        <f>E136-D136</f>
        <v>-5236</v>
      </c>
      <c r="F37" s="43">
        <f>F136-E136</f>
        <v>4959</v>
      </c>
      <c r="G37" s="43">
        <f>SUM(C37:F37)</f>
        <v>-19584</v>
      </c>
      <c r="H37" s="43">
        <f>H136</f>
        <v>1068</v>
      </c>
      <c r="I37" s="43">
        <f>I136-H136</f>
        <v>-18937</v>
      </c>
      <c r="J37" s="75">
        <v>0</v>
      </c>
      <c r="K37" s="124" t="s">
        <v>508</v>
      </c>
    </row>
    <row r="38">
      <c r="A38" s="2"/>
      <c r="B38" s="47" t="s">
        <v>133</v>
      </c>
      <c r="C38" s="7"/>
      <c r="D38" s="7"/>
      <c r="E38" s="7"/>
      <c r="F38" s="7"/>
      <c r="G38" s="7"/>
      <c r="H38" s="40">
        <f>IF(OR(H37="",C37=""),"n.a.",IFERROR(IF(C37&lt;=0,"n.m.",IF(H37/C37&lt;=0,"n.m.",H37/C37-1)),"n.a."))</f>
        <v>-0.7455931395902811</v>
      </c>
      <c r="I38" s="40" t="str">
        <f>IF(OR(I37="",D37=""),"n.a.",IFERROR(IF(D37&lt;=0,"n.m.",IF(I37/D37&lt;=0,"n.m.",I37/D37-1)),"n.a."))</f>
        <v>n.m.</v>
      </c>
      <c r="J38" s="45" t="s">
        <v>194</v>
      </c>
      <c r="K38" s="124"/>
    </row>
    <row r="39">
      <c r="A39" s="2"/>
      <c r="B39" s="47" t="s">
        <v>134</v>
      </c>
      <c r="C39" s="7"/>
      <c r="D39" s="41">
        <f>IF(OR(D37="",C37=""),"n.a.",IFERROR(D37-C37,"n.a."))</f>
        <v>-27703</v>
      </c>
      <c r="E39" s="41">
        <f>IF(OR(E37="",D37=""),"n.a.",IFERROR(E37-D37,"n.a."))</f>
        <v>18269</v>
      </c>
      <c r="F39" s="41">
        <f>IF(OR(F37="",E37=""),"n.a.",IFERROR(F37-E37,"n.a."))</f>
        <v>10195</v>
      </c>
      <c r="G39" s="7"/>
      <c r="H39" s="41">
        <f>IF(OR(H37="",F37=""),"n.a.",IFERROR(H37-F37,"n.a."))</f>
        <v>-3891</v>
      </c>
      <c r="I39" s="41">
        <f>IF(OR(I37="",H37=""),"n.a.",IFERROR(I37-H37,"n.a."))</f>
        <v>-20005</v>
      </c>
      <c r="J39" s="52" t="s">
        <v>194</v>
      </c>
      <c r="K39" s="124"/>
    </row>
    <row r="40">
      <c r="A40" s="2"/>
      <c r="B40" s="3" t="s">
        <v>516</v>
      </c>
      <c r="C40" s="43">
        <f>C137</f>
        <v>-8308</v>
      </c>
      <c r="D40" s="43">
        <f>D137-C137</f>
        <v>17747</v>
      </c>
      <c r="E40" s="43">
        <f>E137-D137</f>
        <v>10800</v>
      </c>
      <c r="F40" s="43">
        <f>F137-E137</f>
        <v>-2924</v>
      </c>
      <c r="G40" s="43">
        <f>SUM(C40:F40)</f>
        <v>17315</v>
      </c>
      <c r="H40" s="43">
        <f>H137</f>
        <v>14541</v>
      </c>
      <c r="I40" s="43">
        <f>I137-H137</f>
        <v>27130</v>
      </c>
      <c r="J40" s="75">
        <v>0</v>
      </c>
      <c r="K40" s="124" t="s">
        <v>508</v>
      </c>
    </row>
    <row r="41">
      <c r="A41" s="2"/>
      <c r="B41" s="47" t="s">
        <v>133</v>
      </c>
      <c r="C41" s="7"/>
      <c r="D41" s="7"/>
      <c r="E41" s="7"/>
      <c r="F41" s="7"/>
      <c r="G41" s="7"/>
      <c r="H41" s="40" t="str">
        <f>IF(OR(H40="",C40=""),"n.a.",IFERROR(IF(C40&lt;=0,"n.m.",IF(H40/C40&lt;=0,"n.m.",H40/C40-1)),"n.a."))</f>
        <v>n.m.</v>
      </c>
      <c r="I41" s="40">
        <f>IF(OR(I40="",D40=""),"n.a.",IFERROR(IF(D40&lt;=0,"n.m.",IF(I40/D40&lt;=0,"n.m.",I40/D40-1)),"n.a."))</f>
        <v>0.5287090775905787</v>
      </c>
      <c r="J41" s="45" t="s">
        <v>194</v>
      </c>
      <c r="K41" s="124"/>
    </row>
    <row r="42">
      <c r="A42" s="2"/>
      <c r="B42" s="47" t="s">
        <v>134</v>
      </c>
      <c r="C42" s="7"/>
      <c r="D42" s="41">
        <f>IF(OR(D40="",C40=""),"n.a.",IFERROR(D40-C40,"n.a."))</f>
        <v>26055</v>
      </c>
      <c r="E42" s="41">
        <f>IF(OR(E40="",D40=""),"n.a.",IFERROR(E40-D40,"n.a."))</f>
        <v>-6947</v>
      </c>
      <c r="F42" s="41">
        <f>IF(OR(F40="",E40=""),"n.a.",IFERROR(F40-E40,"n.a."))</f>
        <v>-13724</v>
      </c>
      <c r="G42" s="7"/>
      <c r="H42" s="41">
        <f>IF(OR(H40="",F40=""),"n.a.",IFERROR(H40-F40,"n.a."))</f>
        <v>17465</v>
      </c>
      <c r="I42" s="41">
        <f>IF(OR(I40="",H40=""),"n.a.",IFERROR(I40-H40,"n.a."))</f>
        <v>12589</v>
      </c>
      <c r="J42" s="52" t="s">
        <v>194</v>
      </c>
      <c r="K42" s="124"/>
    </row>
    <row r="43">
      <c r="A43" s="2"/>
      <c r="B43" s="3" t="s">
        <v>517</v>
      </c>
      <c r="C43" s="43">
        <f>C138</f>
        <v>16</v>
      </c>
      <c r="D43" s="43">
        <f>D138-C138</f>
        <v>-272</v>
      </c>
      <c r="E43" s="43">
        <f>E138-D138</f>
        <v>1555</v>
      </c>
      <c r="F43" s="43">
        <f>F138-E138</f>
        <v>2440</v>
      </c>
      <c r="G43" s="43">
        <f>SUM(C43:F43)</f>
        <v>3739</v>
      </c>
      <c r="H43" s="43">
        <f>H138</f>
        <v>238</v>
      </c>
      <c r="I43" s="43">
        <f>I138-H138</f>
        <v>1140</v>
      </c>
      <c r="J43" s="75">
        <v>0</v>
      </c>
      <c r="K43" s="124" t="s">
        <v>508</v>
      </c>
    </row>
    <row r="44">
      <c r="A44" s="2"/>
      <c r="B44" s="47" t="s">
        <v>133</v>
      </c>
      <c r="C44" s="7"/>
      <c r="D44" s="7"/>
      <c r="E44" s="7"/>
      <c r="F44" s="7"/>
      <c r="G44" s="7"/>
      <c r="H44" s="40">
        <f>IF(OR(H43="",C43=""),"n.a.",IFERROR(IF(C43&lt;=0,"n.m.",IF(H43/C43&lt;=0,"n.m.",H43/C43-1)),"n.a."))</f>
        <v>13.875</v>
      </c>
      <c r="I44" s="40" t="str">
        <f>IF(OR(I43="",D43=""),"n.a.",IFERROR(IF(D43&lt;=0,"n.m.",IF(I43/D43&lt;=0,"n.m.",I43/D43-1)),"n.a."))</f>
        <v>n.m.</v>
      </c>
      <c r="J44" s="45" t="s">
        <v>194</v>
      </c>
      <c r="K44" s="124"/>
    </row>
    <row r="45">
      <c r="A45" s="2"/>
      <c r="B45" s="47" t="s">
        <v>134</v>
      </c>
      <c r="C45" s="7"/>
      <c r="D45" s="41">
        <f>IF(OR(D43="",C43=""),"n.a.",IFERROR(D43-C43,"n.a."))</f>
        <v>-288</v>
      </c>
      <c r="E45" s="41">
        <f>IF(OR(E43="",D43=""),"n.a.",IFERROR(E43-D43,"n.a."))</f>
        <v>1827</v>
      </c>
      <c r="F45" s="41">
        <f>IF(OR(F43="",E43=""),"n.a.",IFERROR(F43-E43,"n.a."))</f>
        <v>885</v>
      </c>
      <c r="G45" s="7"/>
      <c r="H45" s="41">
        <f>IF(OR(H43="",F43=""),"n.a.",IFERROR(H43-F43,"n.a."))</f>
        <v>-2202</v>
      </c>
      <c r="I45" s="41">
        <f>IF(OR(I43="",H43=""),"n.a.",IFERROR(I43-H43,"n.a."))</f>
        <v>902</v>
      </c>
      <c r="J45" s="52" t="s">
        <v>194</v>
      </c>
      <c r="K45" s="124"/>
    </row>
    <row r="46">
      <c r="A46" s="2"/>
      <c r="B46" s="18" t="s">
        <v>518</v>
      </c>
      <c r="C46" s="39">
        <f>C10+C13+C16+C19+C22+C25+C28+C31+C34+C37+C40+C43</f>
        <v>-2184</v>
      </c>
      <c r="D46" s="39">
        <f>D10+D13+D16+D19+D22+D25+D28+D31+D34+D37+D40+D43</f>
        <v>-9132</v>
      </c>
      <c r="E46" s="39">
        <f>E10+E13+E16+E19+E22+E25+E28+E31+E34+E37+E40+E43</f>
        <v>46874</v>
      </c>
      <c r="F46" s="39">
        <f>F10+F13+F16+F19+F22+F25+F28+F31+F34+F37+F40+F43</f>
        <v>-22945</v>
      </c>
      <c r="G46" s="39">
        <f>G10+G13+G16+G19+G22+G25+G28+G31+G34+G37+G40+G43</f>
        <v>12613</v>
      </c>
      <c r="H46" s="39">
        <f>H10+H13+H16+H19+H22+H25+H28+H31+H34+H37+H40+H43</f>
        <v>41770</v>
      </c>
      <c r="I46" s="39">
        <f>I10+I13+I16+I19+I22+I25+I28+I31+I34+I37+I40+I43</f>
        <v>29043</v>
      </c>
      <c r="J46" s="50">
        <f>J10+J13+J16+J19+J22+J25+J28+J31+J34+J37+J40+J43</f>
        <v>11400.829085083715</v>
      </c>
      <c r="K46" s="129" t="s">
        <v>519</v>
      </c>
    </row>
    <row r="47">
      <c r="A47" s="2"/>
      <c r="B47" s="47" t="s">
        <v>133</v>
      </c>
      <c r="C47" s="7"/>
      <c r="D47" s="7"/>
      <c r="E47" s="7"/>
      <c r="F47" s="7"/>
      <c r="G47" s="7"/>
      <c r="H47" s="40" t="str">
        <f>IF(OR(H46="",C46=""),"n.a.",IFERROR(IF(C46&lt;=0,"n.m.",IF(H46/C46&lt;=0,"n.m.",H46/C46-1)),"n.a."))</f>
        <v>n.m.</v>
      </c>
      <c r="I47" s="40" t="str">
        <f>IF(OR(I46="",D46=""),"n.a.",IFERROR(IF(D46&lt;=0,"n.m.",IF(I46/D46&lt;=0,"n.m.",I46/D46-1)),"n.a."))</f>
        <v>n.m.</v>
      </c>
      <c r="J47" s="45" t="s">
        <v>48</v>
      </c>
      <c r="K47" s="124"/>
    </row>
    <row r="48">
      <c r="A48" s="2"/>
      <c r="B48" s="47" t="s">
        <v>134</v>
      </c>
      <c r="C48" s="7"/>
      <c r="D48" s="41">
        <f>IF(OR(D46="",C46=""),"n.a.",IFERROR(D46-C46,"n.a."))</f>
        <v>-6948</v>
      </c>
      <c r="E48" s="41">
        <f>IF(OR(E46="",D46=""),"n.a.",IFERROR(E46-D46,"n.a."))</f>
        <v>56006</v>
      </c>
      <c r="F48" s="41">
        <f>IF(OR(F46="",E46=""),"n.a.",IFERROR(F46-E46,"n.a."))</f>
        <v>-69819</v>
      </c>
      <c r="G48" s="7"/>
      <c r="H48" s="41">
        <f>IF(OR(H46="",F46=""),"n.a.",IFERROR(H46-F46,"n.a."))</f>
        <v>64715</v>
      </c>
      <c r="I48" s="41">
        <f>IF(OR(I46="",H46=""),"n.a.",IFERROR(I46-H46,"n.a."))</f>
        <v>-12727</v>
      </c>
      <c r="J48" s="52">
        <f>IF(OR(J46="",I46=""),"n.a.",IFERROR(J46-I46,"n.a."))</f>
        <v>-17642.170914916285</v>
      </c>
      <c r="K48" s="124"/>
    </row>
    <row r="49">
      <c r="A49" s="2"/>
      <c r="B49" s="18" t="s">
        <v>520</v>
      </c>
      <c r="C49" s="7"/>
      <c r="D49" s="7"/>
      <c r="E49" s="7"/>
      <c r="F49" s="7"/>
      <c r="G49" s="7"/>
      <c r="H49" s="7"/>
      <c r="I49" s="7"/>
      <c r="J49" s="46"/>
      <c r="K49" s="124"/>
    </row>
    <row r="50">
      <c r="A50" s="2"/>
      <c r="B50" s="3" t="s">
        <v>521</v>
      </c>
      <c r="C50" s="43">
        <f>C140</f>
        <v>-910</v>
      </c>
      <c r="D50" s="43">
        <f>D140-C140</f>
        <v>-2095</v>
      </c>
      <c r="E50" s="43">
        <f>E140-D140</f>
        <v>1165</v>
      </c>
      <c r="F50" s="43">
        <f>F140-E140</f>
        <v>738</v>
      </c>
      <c r="G50" s="43">
        <f>SUM(C50:F50)</f>
        <v>-1102</v>
      </c>
      <c r="H50" s="43">
        <f>H140</f>
        <v>88</v>
      </c>
      <c r="I50" s="43">
        <f>I140-H140</f>
        <v>-2061</v>
      </c>
      <c r="J50" s="75">
        <v>0</v>
      </c>
      <c r="K50" s="124" t="s">
        <v>508</v>
      </c>
    </row>
    <row r="51">
      <c r="A51" s="2"/>
      <c r="B51" s="47" t="s">
        <v>133</v>
      </c>
      <c r="C51" s="7"/>
      <c r="D51" s="7"/>
      <c r="E51" s="7"/>
      <c r="F51" s="7"/>
      <c r="G51" s="7"/>
      <c r="H51" s="40" t="str">
        <f>IF(OR(H50="",C50=""),"n.a.",IFERROR(IF(C50&lt;=0,"n.m.",IF(H50/C50&lt;=0,"n.m.",H50/C50-1)),"n.a."))</f>
        <v>n.m.</v>
      </c>
      <c r="I51" s="40" t="str">
        <f>IF(OR(I50="",D50=""),"n.a.",IFERROR(IF(D50&lt;=0,"n.m.",IF(I50/D50&lt;=0,"n.m.",I50/D50-1)),"n.a."))</f>
        <v>n.m.</v>
      </c>
      <c r="J51" s="45" t="s">
        <v>194</v>
      </c>
      <c r="K51" s="124"/>
    </row>
    <row r="52">
      <c r="A52" s="2"/>
      <c r="B52" s="47" t="s">
        <v>134</v>
      </c>
      <c r="C52" s="7"/>
      <c r="D52" s="41">
        <f>IF(OR(D50="",C50=""),"n.a.",IFERROR(D50-C50,"n.a."))</f>
        <v>-1185</v>
      </c>
      <c r="E52" s="41">
        <f>IF(OR(E50="",D50=""),"n.a.",IFERROR(E50-D50,"n.a."))</f>
        <v>3260</v>
      </c>
      <c r="F52" s="41">
        <f>IF(OR(F50="",E50=""),"n.a.",IFERROR(F50-E50,"n.a."))</f>
        <v>-427</v>
      </c>
      <c r="G52" s="7"/>
      <c r="H52" s="41">
        <f>IF(OR(H50="",F50=""),"n.a.",IFERROR(H50-F50,"n.a."))</f>
        <v>-650</v>
      </c>
      <c r="I52" s="41">
        <f>IF(OR(I50="",H50=""),"n.a.",IFERROR(I50-H50,"n.a."))</f>
        <v>-2149</v>
      </c>
      <c r="J52" s="52" t="s">
        <v>194</v>
      </c>
      <c r="K52" s="124"/>
    </row>
    <row r="53">
      <c r="A53" s="2"/>
      <c r="B53" s="3" t="s">
        <v>365</v>
      </c>
      <c r="C53" s="43">
        <f>C141</f>
        <v>-53656</v>
      </c>
      <c r="D53" s="43">
        <f>D141-C141</f>
        <v>-28014</v>
      </c>
      <c r="E53" s="43">
        <f>E141-D141</f>
        <v>26592</v>
      </c>
      <c r="F53" s="43">
        <f>F141-E141</f>
        <v>9222</v>
      </c>
      <c r="G53" s="43">
        <f>SUM(C53:F53)</f>
        <v>-45856</v>
      </c>
      <c r="H53" s="43">
        <f>H141</f>
        <v>-66686</v>
      </c>
      <c r="I53" s="43">
        <f>I141-H141</f>
        <v>-29151</v>
      </c>
      <c r="J53" s="75">
        <v>0</v>
      </c>
      <c r="K53" s="124" t="s">
        <v>508</v>
      </c>
    </row>
    <row r="54">
      <c r="A54" s="2"/>
      <c r="B54" s="47" t="s">
        <v>133</v>
      </c>
      <c r="C54" s="7"/>
      <c r="D54" s="7"/>
      <c r="E54" s="7"/>
      <c r="F54" s="7"/>
      <c r="G54" s="7"/>
      <c r="H54" s="40" t="str">
        <f>IF(OR(H53="",C53=""),"n.a.",IFERROR(IF(C53&lt;=0,"n.m.",IF(H53/C53&lt;=0,"n.m.",H53/C53-1)),"n.a."))</f>
        <v>n.m.</v>
      </c>
      <c r="I54" s="40" t="str">
        <f>IF(OR(I53="",D53=""),"n.a.",IFERROR(IF(D53&lt;=0,"n.m.",IF(I53/D53&lt;=0,"n.m.",I53/D53-1)),"n.a."))</f>
        <v>n.m.</v>
      </c>
      <c r="J54" s="45" t="s">
        <v>194</v>
      </c>
      <c r="K54" s="124"/>
    </row>
    <row r="55">
      <c r="A55" s="2"/>
      <c r="B55" s="47" t="s">
        <v>134</v>
      </c>
      <c r="C55" s="7"/>
      <c r="D55" s="41">
        <f>IF(OR(D53="",C53=""),"n.a.",IFERROR(D53-C53,"n.a."))</f>
        <v>25642</v>
      </c>
      <c r="E55" s="41">
        <f>IF(OR(E53="",D53=""),"n.a.",IFERROR(E53-D53,"n.a."))</f>
        <v>54606</v>
      </c>
      <c r="F55" s="41">
        <f>IF(OR(F53="",E53=""),"n.a.",IFERROR(F53-E53,"n.a."))</f>
        <v>-17370</v>
      </c>
      <c r="G55" s="7"/>
      <c r="H55" s="41">
        <f>IF(OR(H53="",F53=""),"n.a.",IFERROR(H53-F53,"n.a."))</f>
        <v>-75908</v>
      </c>
      <c r="I55" s="41">
        <f>IF(OR(I53="",H53=""),"n.a.",IFERROR(I53-H53,"n.a."))</f>
        <v>37535</v>
      </c>
      <c r="J55" s="52" t="s">
        <v>194</v>
      </c>
      <c r="K55" s="124"/>
    </row>
    <row r="56">
      <c r="A56" s="2"/>
      <c r="B56" s="3" t="s">
        <v>522</v>
      </c>
      <c r="C56" s="43">
        <f>C142</f>
        <v>26392</v>
      </c>
      <c r="D56" s="43">
        <f>D142-C142</f>
        <v>35172</v>
      </c>
      <c r="E56" s="43">
        <f>E142-D142</f>
        <v>35222</v>
      </c>
      <c r="F56" s="43">
        <f>F142-E142</f>
        <v>32993</v>
      </c>
      <c r="G56" s="43">
        <f>SUM(C56:F56)</f>
        <v>129779</v>
      </c>
      <c r="H56" s="43">
        <f>H142</f>
        <v>69557</v>
      </c>
      <c r="I56" s="43">
        <f>I142-H142</f>
        <v>51851</v>
      </c>
      <c r="J56" s="75">
        <v>0</v>
      </c>
      <c r="K56" s="124" t="s">
        <v>508</v>
      </c>
    </row>
    <row r="57">
      <c r="A57" s="2"/>
      <c r="B57" s="47" t="s">
        <v>133</v>
      </c>
      <c r="C57" s="7"/>
      <c r="D57" s="7"/>
      <c r="E57" s="7"/>
      <c r="F57" s="7"/>
      <c r="G57" s="7"/>
      <c r="H57" s="40">
        <f>IF(OR(H56="",C56=""),"n.a.",IFERROR(IF(C56&lt;=0,"n.m.",IF(H56/C56&lt;=0,"n.m.",H56/C56-1)),"n.a."))</f>
        <v>1.6355334949984845</v>
      </c>
      <c r="I57" s="40">
        <f>IF(OR(I56="",D56=""),"n.a.",IFERROR(IF(D56&lt;=0,"n.m.",IF(I56/D56&lt;=0,"n.m.",I56/D56-1)),"n.a."))</f>
        <v>0.47421244171500065</v>
      </c>
      <c r="J57" s="45" t="s">
        <v>194</v>
      </c>
      <c r="K57" s="124"/>
    </row>
    <row r="58">
      <c r="A58" s="2"/>
      <c r="B58" s="47" t="s">
        <v>134</v>
      </c>
      <c r="C58" s="7"/>
      <c r="D58" s="41">
        <f>IF(OR(D56="",C56=""),"n.a.",IFERROR(D56-C56,"n.a."))</f>
        <v>8780</v>
      </c>
      <c r="E58" s="41">
        <f>IF(OR(E56="",D56=""),"n.a.",IFERROR(E56-D56,"n.a."))</f>
        <v>50</v>
      </c>
      <c r="F58" s="41">
        <f>IF(OR(F56="",E56=""),"n.a.",IFERROR(F56-E56,"n.a."))</f>
        <v>-2229</v>
      </c>
      <c r="G58" s="7"/>
      <c r="H58" s="41">
        <f>IF(OR(H56="",F56=""),"n.a.",IFERROR(H56-F56,"n.a."))</f>
        <v>36564</v>
      </c>
      <c r="I58" s="41">
        <f>IF(OR(I56="",H56=""),"n.a.",IFERROR(I56-H56,"n.a."))</f>
        <v>-17706</v>
      </c>
      <c r="J58" s="52" t="s">
        <v>194</v>
      </c>
      <c r="K58" s="124"/>
    </row>
    <row r="59">
      <c r="A59" s="2"/>
      <c r="B59" s="3" t="s">
        <v>523</v>
      </c>
      <c r="C59" s="43">
        <f>C143</f>
        <v>20719</v>
      </c>
      <c r="D59" s="43">
        <f>D143-C143</f>
        <v>19753</v>
      </c>
      <c r="E59" s="43">
        <f>E143-D143</f>
        <v>23309</v>
      </c>
      <c r="F59" s="43">
        <f>F143-E143</f>
        <v>36532</v>
      </c>
      <c r="G59" s="43">
        <f>SUM(C59:F59)</f>
        <v>100313</v>
      </c>
      <c r="H59" s="43">
        <f>H143</f>
        <v>27061</v>
      </c>
      <c r="I59" s="43">
        <f>I143-H143</f>
        <v>27819</v>
      </c>
      <c r="J59" s="75">
        <v>0</v>
      </c>
      <c r="K59" s="124" t="s">
        <v>508</v>
      </c>
    </row>
    <row r="60">
      <c r="A60" s="2"/>
      <c r="B60" s="47" t="s">
        <v>133</v>
      </c>
      <c r="C60" s="7"/>
      <c r="D60" s="7"/>
      <c r="E60" s="7"/>
      <c r="F60" s="7"/>
      <c r="G60" s="7"/>
      <c r="H60" s="40">
        <f>IF(OR(H59="",C59=""),"n.a.",IFERROR(IF(C59&lt;=0,"n.m.",IF(H59/C59&lt;=0,"n.m.",H59/C59-1)),"n.a."))</f>
        <v>0.30609585404701</v>
      </c>
      <c r="I60" s="40">
        <f>IF(OR(I59="",D59=""),"n.a.",IFERROR(IF(D59&lt;=0,"n.m.",IF(I59/D59&lt;=0,"n.m.",I59/D59-1)),"n.a."))</f>
        <v>0.40834303650078474</v>
      </c>
      <c r="J60" s="45" t="s">
        <v>194</v>
      </c>
      <c r="K60" s="124"/>
    </row>
    <row r="61">
      <c r="A61" s="2"/>
      <c r="B61" s="47" t="s">
        <v>134</v>
      </c>
      <c r="C61" s="7"/>
      <c r="D61" s="41">
        <f>IF(OR(D59="",C59=""),"n.a.",IFERROR(D59-C59,"n.a."))</f>
        <v>-966</v>
      </c>
      <c r="E61" s="41">
        <f>IF(OR(E59="",D59=""),"n.a.",IFERROR(E59-D59,"n.a."))</f>
        <v>3556</v>
      </c>
      <c r="F61" s="41">
        <f>IF(OR(F59="",E59=""),"n.a.",IFERROR(F59-E59,"n.a."))</f>
        <v>13223</v>
      </c>
      <c r="G61" s="7"/>
      <c r="H61" s="41">
        <f>IF(OR(H59="",F59=""),"n.a.",IFERROR(H59-F59,"n.a."))</f>
        <v>-9471</v>
      </c>
      <c r="I61" s="41">
        <f>IF(OR(I59="",H59=""),"n.a.",IFERROR(I59-H59,"n.a."))</f>
        <v>758</v>
      </c>
      <c r="J61" s="52" t="s">
        <v>194</v>
      </c>
      <c r="K61" s="124"/>
    </row>
    <row r="62">
      <c r="A62" s="2"/>
      <c r="B62" s="3" t="s">
        <v>524</v>
      </c>
      <c r="C62" s="43">
        <f>C144</f>
        <v>-72075</v>
      </c>
      <c r="D62" s="43">
        <f>D144-C144</f>
        <v>-51563</v>
      </c>
      <c r="E62" s="43">
        <f>E144-D144</f>
        <v>-73066</v>
      </c>
      <c r="F62" s="43">
        <f>F144-E144</f>
        <v>-66779</v>
      </c>
      <c r="G62" s="43">
        <f>SUM(C62:F62)</f>
        <v>-263483</v>
      </c>
      <c r="H62" s="43">
        <f>H144</f>
        <v>-82182</v>
      </c>
      <c r="I62" s="43">
        <f>I144-H144</f>
        <v>-57990</v>
      </c>
      <c r="J62" s="75">
        <v>0</v>
      </c>
      <c r="K62" s="124" t="s">
        <v>508</v>
      </c>
    </row>
    <row r="63">
      <c r="A63" s="2"/>
      <c r="B63" s="47" t="s">
        <v>133</v>
      </c>
      <c r="C63" s="7"/>
      <c r="D63" s="7"/>
      <c r="E63" s="7"/>
      <c r="F63" s="7"/>
      <c r="G63" s="7"/>
      <c r="H63" s="40" t="str">
        <f>IF(OR(H62="",C62=""),"n.a.",IFERROR(IF(C62&lt;=0,"n.m.",IF(H62/C62&lt;=0,"n.m.",H62/C62-1)),"n.a."))</f>
        <v>n.m.</v>
      </c>
      <c r="I63" s="40" t="str">
        <f>IF(OR(I62="",D62=""),"n.a.",IFERROR(IF(D62&lt;=0,"n.m.",IF(I62/D62&lt;=0,"n.m.",I62/D62-1)),"n.a."))</f>
        <v>n.m.</v>
      </c>
      <c r="J63" s="45" t="s">
        <v>194</v>
      </c>
      <c r="K63" s="124"/>
    </row>
    <row r="64">
      <c r="A64" s="2"/>
      <c r="B64" s="47" t="s">
        <v>134</v>
      </c>
      <c r="C64" s="7"/>
      <c r="D64" s="41">
        <f>IF(OR(D62="",C62=""),"n.a.",IFERROR(D62-C62,"n.a."))</f>
        <v>20512</v>
      </c>
      <c r="E64" s="41">
        <f>IF(OR(E62="",D62=""),"n.a.",IFERROR(E62-D62,"n.a."))</f>
        <v>-21503</v>
      </c>
      <c r="F64" s="41">
        <f>IF(OR(F62="",E62=""),"n.a.",IFERROR(F62-E62,"n.a."))</f>
        <v>6287</v>
      </c>
      <c r="G64" s="7"/>
      <c r="H64" s="41">
        <f>IF(OR(H62="",F62=""),"n.a.",IFERROR(H62-F62,"n.a."))</f>
        <v>-15403</v>
      </c>
      <c r="I64" s="41">
        <f>IF(OR(I62="",H62=""),"n.a.",IFERROR(I62-H62,"n.a."))</f>
        <v>24192</v>
      </c>
      <c r="J64" s="52" t="s">
        <v>194</v>
      </c>
      <c r="K64" s="124"/>
    </row>
    <row r="65">
      <c r="A65" s="2"/>
      <c r="B65" s="3" t="s">
        <v>525</v>
      </c>
      <c r="C65" s="43">
        <f>C145</f>
        <v>7666</v>
      </c>
      <c r="D65" s="43">
        <f>D145-C145</f>
        <v>9116</v>
      </c>
      <c r="E65" s="43">
        <f>E145-D145</f>
        <v>9545</v>
      </c>
      <c r="F65" s="43">
        <f>F145-E145</f>
        <v>8467</v>
      </c>
      <c r="G65" s="43">
        <f>SUM(C65:F65)</f>
        <v>34794</v>
      </c>
      <c r="H65" s="43">
        <f>H145</f>
        <v>7652</v>
      </c>
      <c r="I65" s="43">
        <f>I145-H145</f>
        <v>8640</v>
      </c>
      <c r="J65" s="75">
        <v>0</v>
      </c>
      <c r="K65" s="124" t="s">
        <v>508</v>
      </c>
    </row>
    <row r="66">
      <c r="A66" s="2"/>
      <c r="B66" s="47" t="s">
        <v>133</v>
      </c>
      <c r="C66" s="7"/>
      <c r="D66" s="7"/>
      <c r="E66" s="7"/>
      <c r="F66" s="7"/>
      <c r="G66" s="7"/>
      <c r="H66" s="40">
        <f>IF(OR(H65="",C65=""),"n.a.",IFERROR(IF(C65&lt;=0,"n.m.",IF(H65/C65&lt;=0,"n.m.",H65/C65-1)),"n.a."))</f>
        <v>-0.0018262457605009441</v>
      </c>
      <c r="I66" s="40">
        <f>IF(OR(I65="",D65=""),"n.a.",IFERROR(IF(D65&lt;=0,"n.m.",IF(I65/D65&lt;=0,"n.m.",I65/D65-1)),"n.a."))</f>
        <v>-0.05221588415971923</v>
      </c>
      <c r="J66" s="45" t="s">
        <v>194</v>
      </c>
      <c r="K66" s="124"/>
    </row>
    <row r="67">
      <c r="A67" s="2"/>
      <c r="B67" s="47" t="s">
        <v>134</v>
      </c>
      <c r="C67" s="7"/>
      <c r="D67" s="41">
        <f>IF(OR(D65="",C65=""),"n.a.",IFERROR(D65-C65,"n.a."))</f>
        <v>1450</v>
      </c>
      <c r="E67" s="41">
        <f>IF(OR(E65="",D65=""),"n.a.",IFERROR(E65-D65,"n.a."))</f>
        <v>429</v>
      </c>
      <c r="F67" s="41">
        <f>IF(OR(F65="",E65=""),"n.a.",IFERROR(F65-E65,"n.a."))</f>
        <v>-1078</v>
      </c>
      <c r="G67" s="7"/>
      <c r="H67" s="41">
        <f>IF(OR(H65="",F65=""),"n.a.",IFERROR(H65-F65,"n.a."))</f>
        <v>-815</v>
      </c>
      <c r="I67" s="41">
        <f>IF(OR(I65="",H65=""),"n.a.",IFERROR(I65-H65,"n.a."))</f>
        <v>988</v>
      </c>
      <c r="J67" s="52" t="s">
        <v>194</v>
      </c>
      <c r="K67" s="124"/>
    </row>
    <row r="68">
      <c r="A68" s="2"/>
      <c r="B68" s="3" t="s">
        <v>526</v>
      </c>
      <c r="C68" s="43">
        <f>C146</f>
        <v>2232</v>
      </c>
      <c r="D68" s="43">
        <f>D146-C146</f>
        <v>1819</v>
      </c>
      <c r="E68" s="43">
        <f>E146-D146</f>
        <v>2667</v>
      </c>
      <c r="F68" s="43">
        <f>F146-E146</f>
        <v>2874</v>
      </c>
      <c r="G68" s="43">
        <f>SUM(C68:F68)</f>
        <v>9592</v>
      </c>
      <c r="H68" s="43">
        <f>H146</f>
        <v>2717</v>
      </c>
      <c r="I68" s="43">
        <f>I146-H146</f>
        <v>4603</v>
      </c>
      <c r="J68" s="75">
        <v>0</v>
      </c>
      <c r="K68" s="124" t="s">
        <v>508</v>
      </c>
    </row>
    <row r="69">
      <c r="A69" s="2"/>
      <c r="B69" s="47" t="s">
        <v>133</v>
      </c>
      <c r="C69" s="7"/>
      <c r="D69" s="7"/>
      <c r="E69" s="7"/>
      <c r="F69" s="7"/>
      <c r="G69" s="7"/>
      <c r="H69" s="40">
        <f>IF(OR(H68="",C68=""),"n.a.",IFERROR(IF(C68&lt;=0,"n.m.",IF(H68/C68&lt;=0,"n.m.",H68/C68-1)),"n.a."))</f>
        <v>0.2172939068100359</v>
      </c>
      <c r="I69" s="40">
        <f>IF(OR(I68="",D68=""),"n.a.",IFERROR(IF(D68&lt;=0,"n.m.",IF(I68/D68&lt;=0,"n.m.",I68/D68-1)),"n.a."))</f>
        <v>1.5305112699285321</v>
      </c>
      <c r="J69" s="45" t="s">
        <v>194</v>
      </c>
      <c r="K69" s="124"/>
    </row>
    <row r="70">
      <c r="A70" s="2"/>
      <c r="B70" s="47" t="s">
        <v>134</v>
      </c>
      <c r="C70" s="7"/>
      <c r="D70" s="41">
        <f>IF(OR(D68="",C68=""),"n.a.",IFERROR(D68-C68,"n.a."))</f>
        <v>-413</v>
      </c>
      <c r="E70" s="41">
        <f>IF(OR(E68="",D68=""),"n.a.",IFERROR(E68-D68,"n.a."))</f>
        <v>848</v>
      </c>
      <c r="F70" s="41">
        <f>IF(OR(F68="",E68=""),"n.a.",IFERROR(F68-E68,"n.a."))</f>
        <v>207</v>
      </c>
      <c r="G70" s="7"/>
      <c r="H70" s="41">
        <f>IF(OR(H68="",F68=""),"n.a.",IFERROR(H68-F68,"n.a."))</f>
        <v>-157</v>
      </c>
      <c r="I70" s="41">
        <f>IF(OR(I68="",H68=""),"n.a.",IFERROR(I68-H68,"n.a."))</f>
        <v>1886</v>
      </c>
      <c r="J70" s="52" t="s">
        <v>194</v>
      </c>
      <c r="K70" s="124"/>
    </row>
    <row r="71">
      <c r="A71" s="2"/>
      <c r="B71" s="3" t="s">
        <v>527</v>
      </c>
      <c r="C71" s="43">
        <f>C147</f>
        <v>-9379</v>
      </c>
      <c r="D71" s="43">
        <f>D147-C147</f>
        <v>-1757</v>
      </c>
      <c r="E71" s="43">
        <f>E147-D147</f>
        <v>-1351</v>
      </c>
      <c r="F71" s="43">
        <f>F147-E147</f>
        <v>-1828</v>
      </c>
      <c r="G71" s="43">
        <f>SUM(C71:F71)</f>
        <v>-14315</v>
      </c>
      <c r="H71" s="43">
        <f>H147</f>
        <v>-1666</v>
      </c>
      <c r="I71" s="43">
        <f>I147-H147</f>
        <v>-2482</v>
      </c>
      <c r="J71" s="75">
        <v>0</v>
      </c>
      <c r="K71" s="124" t="s">
        <v>508</v>
      </c>
    </row>
    <row r="72">
      <c r="A72" s="2"/>
      <c r="B72" s="47" t="s">
        <v>133</v>
      </c>
      <c r="C72" s="7"/>
      <c r="D72" s="7"/>
      <c r="E72" s="7"/>
      <c r="F72" s="7"/>
      <c r="G72" s="7"/>
      <c r="H72" s="40" t="str">
        <f>IF(OR(H71="",C71=""),"n.a.",IFERROR(IF(C71&lt;=0,"n.m.",IF(H71/C71&lt;=0,"n.m.",H71/C71-1)),"n.a."))</f>
        <v>n.m.</v>
      </c>
      <c r="I72" s="40" t="str">
        <f>IF(OR(I71="",D71=""),"n.a.",IFERROR(IF(D71&lt;=0,"n.m.",IF(I71/D71&lt;=0,"n.m.",I71/D71-1)),"n.a."))</f>
        <v>n.m.</v>
      </c>
      <c r="J72" s="45" t="s">
        <v>194</v>
      </c>
      <c r="K72" s="124"/>
    </row>
    <row r="73">
      <c r="A73" s="2"/>
      <c r="B73" s="47" t="s">
        <v>134</v>
      </c>
      <c r="C73" s="7"/>
      <c r="D73" s="41">
        <f>IF(OR(D71="",C71=""),"n.a.",IFERROR(D71-C71,"n.a."))</f>
        <v>7622</v>
      </c>
      <c r="E73" s="41">
        <f>IF(OR(E71="",D71=""),"n.a.",IFERROR(E71-D71,"n.a."))</f>
        <v>406</v>
      </c>
      <c r="F73" s="41">
        <f>IF(OR(F71="",E71=""),"n.a.",IFERROR(F71-E71,"n.a."))</f>
        <v>-477</v>
      </c>
      <c r="G73" s="7"/>
      <c r="H73" s="41">
        <f>IF(OR(H71="",F71=""),"n.a.",IFERROR(H71-F71,"n.a."))</f>
        <v>162</v>
      </c>
      <c r="I73" s="41">
        <f>IF(OR(I71="",H71=""),"n.a.",IFERROR(I71-H71,"n.a."))</f>
        <v>-816</v>
      </c>
      <c r="J73" s="52" t="s">
        <v>194</v>
      </c>
      <c r="K73" s="124"/>
    </row>
    <row r="74">
      <c r="A74" s="2"/>
      <c r="B74" s="3" t="s">
        <v>528</v>
      </c>
      <c r="C74" s="43">
        <f>C148</f>
        <v>-9200</v>
      </c>
      <c r="D74" s="43">
        <f>D148-C148</f>
        <v>-37886</v>
      </c>
      <c r="E74" s="43">
        <f>E148-D148</f>
        <v>-21586</v>
      </c>
      <c r="F74" s="43">
        <f>F148-E148</f>
        <v>-21876</v>
      </c>
      <c r="G74" s="43">
        <f>SUM(C74:F74)</f>
        <v>-90548</v>
      </c>
      <c r="H74" s="43">
        <f>H148</f>
        <v>-21705</v>
      </c>
      <c r="I74" s="43">
        <f>I148-H148</f>
        <v>-15936</v>
      </c>
      <c r="J74" s="48">
        <f>-('Balance Sheet'!J22-'Balance Sheet'!I22)-'Income Statement'!J248</f>
        <v>-28781</v>
      </c>
      <c r="K74" s="124"/>
    </row>
    <row r="75">
      <c r="A75" s="2"/>
      <c r="B75" s="47" t="s">
        <v>133</v>
      </c>
      <c r="C75" s="7"/>
      <c r="D75" s="7"/>
      <c r="E75" s="7"/>
      <c r="F75" s="7"/>
      <c r="G75" s="7"/>
      <c r="H75" s="40" t="str">
        <f>IF(OR(H74="",C74=""),"n.a.",IFERROR(IF(C74&lt;=0,"n.m.",IF(H74/C74&lt;=0,"n.m.",H74/C74-1)),"n.a."))</f>
        <v>n.m.</v>
      </c>
      <c r="I75" s="40" t="str">
        <f>IF(OR(I74="",D74=""),"n.a.",IFERROR(IF(D74&lt;=0,"n.m.",IF(I74/D74&lt;=0,"n.m.",I74/D74-1)),"n.a."))</f>
        <v>n.m.</v>
      </c>
      <c r="J75" s="45" t="str">
        <f>IF(OR(J74="",E74=""),"n.a.",IFERROR(IF(E74&lt;=0,"n.m.",IF(J74/E74&lt;=0,"n.m.",J74/E74-1)),"n.a."))</f>
        <v>n.m.</v>
      </c>
      <c r="K75" s="124"/>
    </row>
    <row r="76">
      <c r="A76" s="2"/>
      <c r="B76" s="47" t="s">
        <v>134</v>
      </c>
      <c r="C76" s="7"/>
      <c r="D76" s="41">
        <f>IF(OR(D74="",C74=""),"n.a.",IFERROR(D74-C74,"n.a."))</f>
        <v>-28686</v>
      </c>
      <c r="E76" s="41">
        <f>IF(OR(E74="",D74=""),"n.a.",IFERROR(E74-D74,"n.a."))</f>
        <v>16300</v>
      </c>
      <c r="F76" s="41">
        <f>IF(OR(F74="",E74=""),"n.a.",IFERROR(F74-E74,"n.a."))</f>
        <v>-290</v>
      </c>
      <c r="G76" s="7"/>
      <c r="H76" s="41">
        <f>IF(OR(H74="",F74=""),"n.a.",IFERROR(H74-F74,"n.a."))</f>
        <v>171</v>
      </c>
      <c r="I76" s="41">
        <f>IF(OR(I74="",H74=""),"n.a.",IFERROR(I74-H74,"n.a."))</f>
        <v>5769</v>
      </c>
      <c r="J76" s="52">
        <f>IF(OR(J74="",I74=""),"n.a.",IFERROR(J74-I74,"n.a."))</f>
        <v>-12845</v>
      </c>
      <c r="K76" s="124"/>
    </row>
    <row r="77">
      <c r="A77" s="2"/>
      <c r="B77" s="3" t="s">
        <v>529</v>
      </c>
      <c r="C77" s="43">
        <f>C149</f>
        <v>-799</v>
      </c>
      <c r="D77" s="43">
        <f>D149-C149</f>
        <v>-1463</v>
      </c>
      <c r="E77" s="43">
        <f>E149-D149</f>
        <v>-554</v>
      </c>
      <c r="F77" s="43">
        <f>F149-E149</f>
        <v>-1515</v>
      </c>
      <c r="G77" s="43">
        <f>SUM(C77:F77)</f>
        <v>-4331</v>
      </c>
      <c r="H77" s="43">
        <f>H149</f>
        <v>-1287</v>
      </c>
      <c r="I77" s="43">
        <f>I149-H149</f>
        <v>-2050</v>
      </c>
      <c r="J77" s="38">
        <f>-J19</f>
        <v>-610</v>
      </c>
      <c r="K77" s="124" t="s">
        <v>530</v>
      </c>
    </row>
    <row r="78">
      <c r="A78" s="2"/>
      <c r="B78" s="47" t="s">
        <v>133</v>
      </c>
      <c r="C78" s="7"/>
      <c r="D78" s="7"/>
      <c r="E78" s="7"/>
      <c r="F78" s="7"/>
      <c r="G78" s="7"/>
      <c r="H78" s="40" t="str">
        <f>IF(OR(H77="",C77=""),"n.a.",IFERROR(IF(C77&lt;=0,"n.m.",IF(H77/C77&lt;=0,"n.m.",H77/C77-1)),"n.a."))</f>
        <v>n.m.</v>
      </c>
      <c r="I78" s="40" t="str">
        <f>IF(OR(I77="",D77=""),"n.a.",IFERROR(IF(D77&lt;=0,"n.m.",IF(I77/D77&lt;=0,"n.m.",I77/D77-1)),"n.a."))</f>
        <v>n.m.</v>
      </c>
      <c r="J78" s="45" t="str">
        <f>IF(OR(J77="",E77=""),"n.a.",IFERROR(IF(E77&lt;=0,"n.m.",IF(J77/E77&lt;=0,"n.m.",J77/E77-1)),"n.a."))</f>
        <v>n.m.</v>
      </c>
      <c r="K78" s="124"/>
    </row>
    <row r="79">
      <c r="A79" s="2"/>
      <c r="B79" s="47" t="s">
        <v>134</v>
      </c>
      <c r="C79" s="7"/>
      <c r="D79" s="41">
        <f>IF(OR(D77="",C77=""),"n.a.",IFERROR(D77-C77,"n.a."))</f>
        <v>-664</v>
      </c>
      <c r="E79" s="41">
        <f>IF(OR(E77="",D77=""),"n.a.",IFERROR(E77-D77,"n.a."))</f>
        <v>909</v>
      </c>
      <c r="F79" s="41">
        <f>IF(OR(F77="",E77=""),"n.a.",IFERROR(F77-E77,"n.a."))</f>
        <v>-961</v>
      </c>
      <c r="G79" s="7"/>
      <c r="H79" s="41">
        <f>IF(OR(H77="",F77=""),"n.a.",IFERROR(H77-F77,"n.a."))</f>
        <v>228</v>
      </c>
      <c r="I79" s="41">
        <f>IF(OR(I77="",H77=""),"n.a.",IFERROR(I77-H77,"n.a."))</f>
        <v>-763</v>
      </c>
      <c r="J79" s="52">
        <f>IF(OR(J77="",I77=""),"n.a.",IFERROR(J77-I77,"n.a."))</f>
        <v>1440</v>
      </c>
      <c r="K79" s="124"/>
    </row>
    <row r="80">
      <c r="A80" s="2"/>
      <c r="B80" s="18" t="s">
        <v>531</v>
      </c>
      <c r="C80" s="39">
        <f>C50+C53+C56+C59+C62+C65+C68+C71+C74+C77</f>
        <v>-89010</v>
      </c>
      <c r="D80" s="39">
        <f>D50+D53+D56+D59+D62+D65+D68+D71+D74+D77</f>
        <v>-56918</v>
      </c>
      <c r="E80" s="39">
        <f>E50+E53+E56+E59+E62+E65+E68+E71+E74+E77</f>
        <v>1943</v>
      </c>
      <c r="F80" s="39">
        <f>F50+F53+F56+F59+F62+F65+F68+F71+F74+F77</f>
        <v>-1172</v>
      </c>
      <c r="G80" s="39">
        <f>G50+G53+G56+G59+G62+G65+G68+G71+G74+G77</f>
        <v>-145157</v>
      </c>
      <c r="H80" s="39">
        <f>H50+H53+H56+H59+H62+H65+H68+H71+H74+H77</f>
        <v>-66451</v>
      </c>
      <c r="I80" s="39">
        <f>I50+I53+I56+I59+I62+I65+I68+I71+I74+I77</f>
        <v>-16757</v>
      </c>
      <c r="J80" s="50">
        <f>J50+J53+J56+J59+J62+J65+J68+J71+J74+J77</f>
        <v>-29391</v>
      </c>
      <c r="K80" s="124"/>
    </row>
    <row r="81">
      <c r="A81" s="2"/>
      <c r="B81" s="18" t="s">
        <v>532</v>
      </c>
      <c r="C81" s="7"/>
      <c r="D81" s="7"/>
      <c r="E81" s="7"/>
      <c r="F81" s="7"/>
      <c r="G81" s="7"/>
      <c r="H81" s="7"/>
      <c r="I81" s="7"/>
      <c r="J81" s="46"/>
      <c r="K81" s="124"/>
    </row>
    <row r="82">
      <c r="A82" s="2"/>
      <c r="B82" s="3" t="s">
        <v>246</v>
      </c>
      <c r="C82" s="43">
        <f>C150</f>
        <v>24097</v>
      </c>
      <c r="D82" s="43">
        <f>D150-C150</f>
        <v>22049</v>
      </c>
      <c r="E82" s="43">
        <f>E150-D150</f>
        <v>-9405</v>
      </c>
      <c r="F82" s="43">
        <f>F150-E150</f>
        <v>16521</v>
      </c>
      <c r="G82" s="43">
        <f>SUM(C82:F82)</f>
        <v>53262</v>
      </c>
      <c r="H82" s="43">
        <f>H150</f>
        <v>18934</v>
      </c>
      <c r="I82" s="43">
        <f>I150-H150</f>
        <v>-12539</v>
      </c>
      <c r="J82" s="48">
        <f>'Balance Sheet'!J43-'Balance Sheet'!I43</f>
        <v>14876</v>
      </c>
      <c r="K82" s="124"/>
    </row>
    <row r="83">
      <c r="A83" s="2"/>
      <c r="B83" s="47" t="s">
        <v>133</v>
      </c>
      <c r="C83" s="7"/>
      <c r="D83" s="7"/>
      <c r="E83" s="7"/>
      <c r="F83" s="7"/>
      <c r="G83" s="7"/>
      <c r="H83" s="40">
        <f>IF(OR(H82="",C82=""),"n.a.",IFERROR(IF(C82&lt;=0,"n.m.",IF(H82/C82&lt;=0,"n.m.",H82/C82-1)),"n.a."))</f>
        <v>-0.2142590363945719</v>
      </c>
      <c r="I83" s="40" t="str">
        <f>IF(OR(I82="",D82=""),"n.a.",IFERROR(IF(D82&lt;=0,"n.m.",IF(I82/D82&lt;=0,"n.m.",I82/D82-1)),"n.a."))</f>
        <v>n.m.</v>
      </c>
      <c r="J83" s="45" t="str">
        <f>IF(OR(J82="",E82=""),"n.a.",IFERROR(IF(E82&lt;=0,"n.m.",IF(J82/E82&lt;=0,"n.m.",J82/E82-1)),"n.a."))</f>
        <v>n.m.</v>
      </c>
      <c r="K83" s="124"/>
    </row>
    <row r="84">
      <c r="A84" s="2"/>
      <c r="B84" s="47" t="s">
        <v>134</v>
      </c>
      <c r="C84" s="7"/>
      <c r="D84" s="41">
        <f>IF(OR(D82="",C82=""),"n.a.",IFERROR(D82-C82,"n.a."))</f>
        <v>-2048</v>
      </c>
      <c r="E84" s="41">
        <f>IF(OR(E82="",D82=""),"n.a.",IFERROR(E82-D82,"n.a."))</f>
        <v>-31454</v>
      </c>
      <c r="F84" s="41">
        <f>IF(OR(F82="",E82=""),"n.a.",IFERROR(F82-E82,"n.a."))</f>
        <v>25926</v>
      </c>
      <c r="G84" s="7"/>
      <c r="H84" s="41">
        <f>IF(OR(H82="",F82=""),"n.a.",IFERROR(H82-F82,"n.a."))</f>
        <v>2413</v>
      </c>
      <c r="I84" s="41">
        <f>IF(OR(I82="",H82=""),"n.a.",IFERROR(I82-H82,"n.a."))</f>
        <v>-31473</v>
      </c>
      <c r="J84" s="52">
        <f>IF(OR(J82="",I82=""),"n.a.",IFERROR(J82-I82,"n.a."))</f>
        <v>27415</v>
      </c>
      <c r="K84" s="124"/>
    </row>
    <row r="85">
      <c r="A85" s="2"/>
      <c r="B85" s="3" t="s">
        <v>481</v>
      </c>
      <c r="C85" s="43">
        <f>C151</f>
        <v>44312</v>
      </c>
      <c r="D85" s="43">
        <f>D151-C151</f>
        <v>27377</v>
      </c>
      <c r="E85" s="43">
        <f>E151-D151</f>
        <v>-56872</v>
      </c>
      <c r="F85" s="43">
        <f>F151-E151</f>
        <v>2128</v>
      </c>
      <c r="G85" s="43">
        <f>SUM(C85:F85)</f>
        <v>16945</v>
      </c>
      <c r="H85" s="43">
        <f>H151</f>
        <v>8304</v>
      </c>
      <c r="I85" s="43">
        <f>I151-H151</f>
        <v>-20802</v>
      </c>
      <c r="J85" s="75">
        <v>0</v>
      </c>
      <c r="K85" s="124" t="s">
        <v>508</v>
      </c>
    </row>
    <row r="86">
      <c r="A86" s="2"/>
      <c r="B86" s="47" t="s">
        <v>133</v>
      </c>
      <c r="C86" s="7"/>
      <c r="D86" s="7"/>
      <c r="E86" s="7"/>
      <c r="F86" s="7"/>
      <c r="G86" s="7"/>
      <c r="H86" s="40">
        <f>IF(OR(H85="",C85=""),"n.a.",IFERROR(IF(C85&lt;=0,"n.m.",IF(H85/C85&lt;=0,"n.m.",H85/C85-1)),"n.a."))</f>
        <v>-0.812601552626828</v>
      </c>
      <c r="I86" s="40" t="str">
        <f>IF(OR(I85="",D85=""),"n.a.",IFERROR(IF(D85&lt;=0,"n.m.",IF(I85/D85&lt;=0,"n.m.",I85/D85-1)),"n.a."))</f>
        <v>n.m.</v>
      </c>
      <c r="J86" s="45" t="s">
        <v>194</v>
      </c>
      <c r="K86" s="124"/>
    </row>
    <row r="87">
      <c r="A87" s="2"/>
      <c r="B87" s="47" t="s">
        <v>134</v>
      </c>
      <c r="C87" s="7"/>
      <c r="D87" s="41">
        <f>IF(OR(D85="",C85=""),"n.a.",IFERROR(D85-C85,"n.a."))</f>
        <v>-16935</v>
      </c>
      <c r="E87" s="41">
        <f>IF(OR(E85="",D85=""),"n.a.",IFERROR(E85-D85,"n.a."))</f>
        <v>-84249</v>
      </c>
      <c r="F87" s="41">
        <f>IF(OR(F85="",E85=""),"n.a.",IFERROR(F85-E85,"n.a."))</f>
        <v>59000</v>
      </c>
      <c r="G87" s="7"/>
      <c r="H87" s="41">
        <f>IF(OR(H85="",F85=""),"n.a.",IFERROR(H85-F85,"n.a."))</f>
        <v>6176</v>
      </c>
      <c r="I87" s="41">
        <f>IF(OR(I85="",H85=""),"n.a.",IFERROR(I85-H85,"n.a."))</f>
        <v>-29106</v>
      </c>
      <c r="J87" s="52" t="s">
        <v>194</v>
      </c>
      <c r="K87" s="124"/>
    </row>
    <row r="88">
      <c r="A88" s="2"/>
      <c r="B88" s="3" t="s">
        <v>369</v>
      </c>
      <c r="C88" s="43">
        <f>C152</f>
        <v>-1921</v>
      </c>
      <c r="D88" s="43">
        <f>D152-C152</f>
        <v>6421</v>
      </c>
      <c r="E88" s="43">
        <f>E152-D152</f>
        <v>6302</v>
      </c>
      <c r="F88" s="43">
        <f>F152-E152</f>
        <v>-6112</v>
      </c>
      <c r="G88" s="43">
        <f>SUM(C88:F88)</f>
        <v>4690</v>
      </c>
      <c r="H88" s="43">
        <f>H152</f>
        <v>10551</v>
      </c>
      <c r="I88" s="43">
        <f>I152-H152</f>
        <v>2349</v>
      </c>
      <c r="J88" s="75">
        <v>0</v>
      </c>
      <c r="K88" s="124" t="s">
        <v>508</v>
      </c>
    </row>
    <row r="89">
      <c r="A89" s="2"/>
      <c r="B89" s="47" t="s">
        <v>133</v>
      </c>
      <c r="C89" s="7"/>
      <c r="D89" s="7"/>
      <c r="E89" s="7"/>
      <c r="F89" s="7"/>
      <c r="G89" s="7"/>
      <c r="H89" s="40" t="str">
        <f>IF(OR(H88="",C88=""),"n.a.",IFERROR(IF(C88&lt;=0,"n.m.",IF(H88/C88&lt;=0,"n.m.",H88/C88-1)),"n.a."))</f>
        <v>n.m.</v>
      </c>
      <c r="I89" s="40">
        <f>IF(OR(I88="",D88=""),"n.a.",IFERROR(IF(D88&lt;=0,"n.m.",IF(I88/D88&lt;=0,"n.m.",I88/D88-1)),"n.a."))</f>
        <v>-0.6341691325338732</v>
      </c>
      <c r="J89" s="45" t="s">
        <v>194</v>
      </c>
      <c r="K89" s="124"/>
    </row>
    <row r="90">
      <c r="A90" s="2"/>
      <c r="B90" s="47" t="s">
        <v>134</v>
      </c>
      <c r="C90" s="7"/>
      <c r="D90" s="41">
        <f>IF(OR(D88="",C88=""),"n.a.",IFERROR(D88-C88,"n.a."))</f>
        <v>8342</v>
      </c>
      <c r="E90" s="41">
        <f>IF(OR(E88="",D88=""),"n.a.",IFERROR(E88-D88,"n.a."))</f>
        <v>-119</v>
      </c>
      <c r="F90" s="41">
        <f>IF(OR(F88="",E88=""),"n.a.",IFERROR(F88-E88,"n.a."))</f>
        <v>-12414</v>
      </c>
      <c r="G90" s="7"/>
      <c r="H90" s="41">
        <f>IF(OR(H88="",F88=""),"n.a.",IFERROR(H88-F88,"n.a."))</f>
        <v>16663</v>
      </c>
      <c r="I90" s="41">
        <f>IF(OR(I88="",H88=""),"n.a.",IFERROR(I88-H88,"n.a."))</f>
        <v>-8202</v>
      </c>
      <c r="J90" s="52" t="s">
        <v>194</v>
      </c>
      <c r="K90" s="124"/>
    </row>
    <row r="91">
      <c r="A91" s="2"/>
      <c r="B91" s="3" t="s">
        <v>533</v>
      </c>
      <c r="C91" s="43">
        <f>C153</f>
        <v>33640</v>
      </c>
      <c r="D91" s="43">
        <f>D153-C153</f>
        <v>23286</v>
      </c>
      <c r="E91" s="43">
        <f>E153-D153</f>
        <v>18929</v>
      </c>
      <c r="F91" s="43">
        <f>F153-E153</f>
        <v>24012</v>
      </c>
      <c r="G91" s="43">
        <f>SUM(C91:F91)</f>
        <v>99867</v>
      </c>
      <c r="H91" s="43">
        <f>H153</f>
        <v>35520</v>
      </c>
      <c r="I91" s="43">
        <f>I153-H153</f>
        <v>41846</v>
      </c>
      <c r="J91" s="75">
        <v>0</v>
      </c>
      <c r="K91" s="124" t="s">
        <v>508</v>
      </c>
    </row>
    <row r="92">
      <c r="A92" s="2"/>
      <c r="B92" s="47" t="s">
        <v>133</v>
      </c>
      <c r="C92" s="7"/>
      <c r="D92" s="7"/>
      <c r="E92" s="7"/>
      <c r="F92" s="7"/>
      <c r="G92" s="7"/>
      <c r="H92" s="40">
        <f>IF(OR(H91="",C91=""),"n.a.",IFERROR(IF(C91&lt;=0,"n.m.",IF(H91/C91&lt;=0,"n.m.",H91/C91-1)),"n.a."))</f>
        <v>0.05588585017835901</v>
      </c>
      <c r="I92" s="40">
        <f>IF(OR(I91="",D91=""),"n.a.",IFERROR(IF(D91&lt;=0,"n.m.",IF(I91/D91&lt;=0,"n.m.",I91/D91-1)),"n.a."))</f>
        <v>0.7970454350253371</v>
      </c>
      <c r="J92" s="45" t="s">
        <v>194</v>
      </c>
      <c r="K92" s="124"/>
    </row>
    <row r="93">
      <c r="A93" s="2"/>
      <c r="B93" s="47" t="s">
        <v>134</v>
      </c>
      <c r="C93" s="7"/>
      <c r="D93" s="41">
        <f>IF(OR(D91="",C91=""),"n.a.",IFERROR(D91-C91,"n.a."))</f>
        <v>-10354</v>
      </c>
      <c r="E93" s="41">
        <f>IF(OR(E91="",D91=""),"n.a.",IFERROR(E91-D91,"n.a."))</f>
        <v>-4357</v>
      </c>
      <c r="F93" s="41">
        <f>IF(OR(F91="",E91=""),"n.a.",IFERROR(F91-E91,"n.a."))</f>
        <v>5083</v>
      </c>
      <c r="G93" s="7"/>
      <c r="H93" s="41">
        <f>IF(OR(H91="",F91=""),"n.a.",IFERROR(H91-F91,"n.a."))</f>
        <v>11508</v>
      </c>
      <c r="I93" s="41">
        <f>IF(OR(I91="",H91=""),"n.a.",IFERROR(I91-H91,"n.a."))</f>
        <v>6326</v>
      </c>
      <c r="J93" s="52" t="s">
        <v>194</v>
      </c>
      <c r="K93" s="124"/>
    </row>
    <row r="94">
      <c r="A94" s="2"/>
      <c r="B94" s="3" t="s">
        <v>534</v>
      </c>
      <c r="C94" s="43">
        <f>C154</f>
        <v>-16333</v>
      </c>
      <c r="D94" s="43">
        <f>D154-C154</f>
        <v>-19631</v>
      </c>
      <c r="E94" s="43">
        <f>E154-D154</f>
        <v>-21929</v>
      </c>
      <c r="F94" s="43">
        <f>F154-E154</f>
        <v>-18138</v>
      </c>
      <c r="G94" s="43">
        <f>SUM(C94:F94)</f>
        <v>-76031</v>
      </c>
      <c r="H94" s="43">
        <f>H154</f>
        <v>-24777</v>
      </c>
      <c r="I94" s="43">
        <f>I154-H154</f>
        <v>-27223</v>
      </c>
      <c r="J94" s="75">
        <v>0</v>
      </c>
      <c r="K94" s="124" t="s">
        <v>508</v>
      </c>
    </row>
    <row r="95">
      <c r="A95" s="2"/>
      <c r="B95" s="47" t="s">
        <v>133</v>
      </c>
      <c r="C95" s="7"/>
      <c r="D95" s="7"/>
      <c r="E95" s="7"/>
      <c r="F95" s="7"/>
      <c r="G95" s="7"/>
      <c r="H95" s="40" t="str">
        <f>IF(OR(H94="",C94=""),"n.a.",IFERROR(IF(C94&lt;=0,"n.m.",IF(H94/C94&lt;=0,"n.m.",H94/C94-1)),"n.a."))</f>
        <v>n.m.</v>
      </c>
      <c r="I95" s="40" t="str">
        <f>IF(OR(I94="",D94=""),"n.a.",IFERROR(IF(D94&lt;=0,"n.m.",IF(I94/D94&lt;=0,"n.m.",I94/D94-1)),"n.a."))</f>
        <v>n.m.</v>
      </c>
      <c r="J95" s="45" t="s">
        <v>194</v>
      </c>
      <c r="K95" s="124"/>
    </row>
    <row r="96">
      <c r="A96" s="2"/>
      <c r="B96" s="47" t="s">
        <v>134</v>
      </c>
      <c r="C96" s="7"/>
      <c r="D96" s="41">
        <f>IF(OR(D94="",C94=""),"n.a.",IFERROR(D94-C94,"n.a."))</f>
        <v>-3298</v>
      </c>
      <c r="E96" s="41">
        <f>IF(OR(E94="",D94=""),"n.a.",IFERROR(E94-D94,"n.a."))</f>
        <v>-2298</v>
      </c>
      <c r="F96" s="41">
        <f>IF(OR(F94="",E94=""),"n.a.",IFERROR(F94-E94,"n.a."))</f>
        <v>3791</v>
      </c>
      <c r="G96" s="7"/>
      <c r="H96" s="41">
        <f>IF(OR(H94="",F94=""),"n.a.",IFERROR(H94-F94,"n.a."))</f>
        <v>-6639</v>
      </c>
      <c r="I96" s="41">
        <f>IF(OR(I94="",H94=""),"n.a.",IFERROR(I94-H94,"n.a."))</f>
        <v>-2446</v>
      </c>
      <c r="J96" s="52" t="s">
        <v>194</v>
      </c>
      <c r="K96" s="124"/>
    </row>
    <row r="97">
      <c r="A97" s="2"/>
      <c r="B97" s="3" t="s">
        <v>535</v>
      </c>
      <c r="C97" s="43">
        <f>C155</f>
        <v>0</v>
      </c>
      <c r="D97" s="43">
        <f>D155-C155</f>
        <v>2996</v>
      </c>
      <c r="E97" s="43">
        <f>E155-D155</f>
        <v>2497</v>
      </c>
      <c r="F97" s="43">
        <f>F155-E155</f>
        <v>0</v>
      </c>
      <c r="G97" s="43">
        <f>SUM(C97:F97)</f>
        <v>5493</v>
      </c>
      <c r="H97" s="43">
        <f>H155</f>
        <v>0</v>
      </c>
      <c r="I97" s="43">
        <f>I155-H155</f>
        <v>0</v>
      </c>
      <c r="J97" s="75">
        <v>0</v>
      </c>
      <c r="K97" s="124" t="s">
        <v>536</v>
      </c>
    </row>
    <row r="98">
      <c r="A98" s="2"/>
      <c r="B98" s="47" t="s">
        <v>133</v>
      </c>
      <c r="C98" s="7"/>
      <c r="D98" s="7"/>
      <c r="E98" s="7"/>
      <c r="F98" s="7"/>
      <c r="G98" s="7"/>
      <c r="H98" s="40" t="str">
        <f>IF(OR(H97="",C97=""),"n.a.",IFERROR(IF(C97&lt;=0,"n.m.",IF(H97/C97&lt;=0,"n.m.",H97/C97-1)),"n.a."))</f>
        <v>n.m.</v>
      </c>
      <c r="I98" s="40" t="str">
        <f>IF(OR(I97="",D97=""),"n.a.",IFERROR(IF(D97&lt;=0,"n.m.",IF(I97/D97&lt;=0,"n.m.",I97/D97-1)),"n.a."))</f>
        <v>n.m.</v>
      </c>
      <c r="J98" s="45" t="s">
        <v>194</v>
      </c>
      <c r="K98" s="124"/>
    </row>
    <row r="99">
      <c r="A99" s="2"/>
      <c r="B99" s="47" t="s">
        <v>134</v>
      </c>
      <c r="C99" s="7"/>
      <c r="D99" s="41">
        <f>IF(OR(D97="",C97=""),"n.a.",IFERROR(D97-C97,"n.a."))</f>
        <v>2996</v>
      </c>
      <c r="E99" s="41">
        <f>IF(OR(E97="",D97=""),"n.a.",IFERROR(E97-D97,"n.a."))</f>
        <v>-499</v>
      </c>
      <c r="F99" s="41">
        <f>IF(OR(F97="",E97=""),"n.a.",IFERROR(F97-E97,"n.a."))</f>
        <v>-2497</v>
      </c>
      <c r="G99" s="7"/>
      <c r="H99" s="41">
        <f>IF(OR(H97="",F97=""),"n.a.",IFERROR(H97-F97,"n.a."))</f>
        <v>0</v>
      </c>
      <c r="I99" s="41">
        <f>IF(OR(I97="",H97=""),"n.a.",IFERROR(I97-H97,"n.a."))</f>
        <v>0</v>
      </c>
      <c r="J99" s="52" t="s">
        <v>194</v>
      </c>
      <c r="K99" s="124"/>
    </row>
    <row r="100">
      <c r="A100" s="2"/>
      <c r="B100" s="3" t="s">
        <v>537</v>
      </c>
      <c r="C100" s="43">
        <f>C156</f>
        <v>-2669</v>
      </c>
      <c r="D100" s="43">
        <f>D156-C156</f>
        <v>0</v>
      </c>
      <c r="E100" s="43">
        <f>E156-D156</f>
        <v>0</v>
      </c>
      <c r="F100" s="43">
        <f>F156-E156</f>
        <v>0</v>
      </c>
      <c r="G100" s="43">
        <f>SUM(C100:F100)</f>
        <v>-2669</v>
      </c>
      <c r="H100" s="43">
        <f>H156</f>
        <v>-1000</v>
      </c>
      <c r="I100" s="43">
        <f>I156-H156</f>
        <v>0</v>
      </c>
      <c r="J100" s="75">
        <v>0</v>
      </c>
      <c r="K100" s="124" t="s">
        <v>508</v>
      </c>
    </row>
    <row r="101">
      <c r="A101" s="2"/>
      <c r="B101" s="47" t="s">
        <v>133</v>
      </c>
      <c r="C101" s="7"/>
      <c r="D101" s="7"/>
      <c r="E101" s="7"/>
      <c r="F101" s="7"/>
      <c r="G101" s="7"/>
      <c r="H101" s="40" t="str">
        <f>IF(OR(H100="",C100=""),"n.a.",IFERROR(IF(C100&lt;=0,"n.m.",IF(H100/C100&lt;=0,"n.m.",H100/C100-1)),"n.a."))</f>
        <v>n.m.</v>
      </c>
      <c r="I101" s="40" t="str">
        <f>IF(OR(I100="",D100=""),"n.a.",IFERROR(IF(D100&lt;=0,"n.m.",IF(I100/D100&lt;=0,"n.m.",I100/D100-1)),"n.a."))</f>
        <v>n.m.</v>
      </c>
      <c r="J101" s="45" t="s">
        <v>194</v>
      </c>
      <c r="K101" s="124"/>
    </row>
    <row r="102">
      <c r="A102" s="2"/>
      <c r="B102" s="47" t="s">
        <v>134</v>
      </c>
      <c r="C102" s="7"/>
      <c r="D102" s="41">
        <f>IF(OR(D100="",C100=""),"n.a.",IFERROR(D100-C100,"n.a."))</f>
        <v>2669</v>
      </c>
      <c r="E102" s="41">
        <f>IF(OR(E100="",D100=""),"n.a.",IFERROR(E100-D100,"n.a."))</f>
        <v>0</v>
      </c>
      <c r="F102" s="41">
        <f>IF(OR(F100="",E100=""),"n.a.",IFERROR(F100-E100,"n.a."))</f>
        <v>0</v>
      </c>
      <c r="G102" s="7"/>
      <c r="H102" s="41">
        <f>IF(OR(H100="",F100=""),"n.a.",IFERROR(H100-F100,"n.a."))</f>
        <v>-1000</v>
      </c>
      <c r="I102" s="41">
        <f>IF(OR(I100="",H100=""),"n.a.",IFERROR(I100-H100,"n.a."))</f>
        <v>1000</v>
      </c>
      <c r="J102" s="52" t="s">
        <v>194</v>
      </c>
      <c r="K102" s="124"/>
    </row>
    <row r="103">
      <c r="A103" s="2"/>
      <c r="B103" s="3" t="s">
        <v>538</v>
      </c>
      <c r="C103" s="43">
        <f>C157</f>
        <v>-4521</v>
      </c>
      <c r="D103" s="43">
        <f>D157-C157</f>
        <v>-5302</v>
      </c>
      <c r="E103" s="43">
        <f>E157-D157</f>
        <v>-5300</v>
      </c>
      <c r="F103" s="43">
        <f>F157-E157</f>
        <v>-6310</v>
      </c>
      <c r="G103" s="43">
        <f>SUM(C103:F103)</f>
        <v>-21433</v>
      </c>
      <c r="H103" s="43">
        <f>H157</f>
        <v>-7240</v>
      </c>
      <c r="I103" s="43">
        <f>I157-H157</f>
        <v>-6006</v>
      </c>
      <c r="J103" s="48">
        <f>-'Share Count'!J21</f>
        <v>-6000</v>
      </c>
      <c r="K103" s="124"/>
    </row>
    <row r="104">
      <c r="A104" s="2"/>
      <c r="B104" s="47" t="s">
        <v>133</v>
      </c>
      <c r="C104" s="7"/>
      <c r="D104" s="7"/>
      <c r="E104" s="7"/>
      <c r="F104" s="7"/>
      <c r="G104" s="7"/>
      <c r="H104" s="40" t="str">
        <f>IF(OR(H103="",C103=""),"n.a.",IFERROR(IF(C103&lt;=0,"n.m.",IF(H103/C103&lt;=0,"n.m.",H103/C103-1)),"n.a."))</f>
        <v>n.m.</v>
      </c>
      <c r="I104" s="40" t="str">
        <f>IF(OR(I103="",D103=""),"n.a.",IFERROR(IF(D103&lt;=0,"n.m.",IF(I103/D103&lt;=0,"n.m.",I103/D103-1)),"n.a."))</f>
        <v>n.m.</v>
      </c>
      <c r="J104" s="45" t="str">
        <f>IF(OR(J103="",E103=""),"n.a.",IFERROR(IF(E103&lt;=0,"n.m.",IF(J103/E103&lt;=0,"n.m.",J103/E103-1)),"n.a."))</f>
        <v>n.m.</v>
      </c>
      <c r="K104" s="124"/>
    </row>
    <row r="105">
      <c r="A105" s="2"/>
      <c r="B105" s="47" t="s">
        <v>134</v>
      </c>
      <c r="C105" s="7"/>
      <c r="D105" s="41">
        <f>IF(OR(D103="",C103=""),"n.a.",IFERROR(D103-C103,"n.a."))</f>
        <v>-781</v>
      </c>
      <c r="E105" s="41">
        <f>IF(OR(E103="",D103=""),"n.a.",IFERROR(E103-D103,"n.a."))</f>
        <v>2</v>
      </c>
      <c r="F105" s="41">
        <f>IF(OR(F103="",E103=""),"n.a.",IFERROR(F103-E103,"n.a."))</f>
        <v>-1010</v>
      </c>
      <c r="G105" s="7"/>
      <c r="H105" s="41">
        <f>IF(OR(H103="",F103=""),"n.a.",IFERROR(H103-F103,"n.a."))</f>
        <v>-930</v>
      </c>
      <c r="I105" s="41">
        <f>IF(OR(I103="",H103=""),"n.a.",IFERROR(I103-H103,"n.a."))</f>
        <v>1234</v>
      </c>
      <c r="J105" s="52">
        <f>IF(OR(J103="",I103=""),"n.a.",IFERROR(J103-I103,"n.a."))</f>
        <v>6</v>
      </c>
      <c r="K105" s="124"/>
    </row>
    <row r="106">
      <c r="A106" s="2"/>
      <c r="B106" s="3" t="s">
        <v>539</v>
      </c>
      <c r="C106" s="43">
        <f>C158</f>
        <v>-2552</v>
      </c>
      <c r="D106" s="43">
        <f>D158-C158</f>
        <v>-2200</v>
      </c>
      <c r="E106" s="43">
        <f>E158-D158</f>
        <v>-2451</v>
      </c>
      <c r="F106" s="43">
        <f>F158-E158</f>
        <v>-2360</v>
      </c>
      <c r="G106" s="43">
        <f>SUM(C106:F106)</f>
        <v>-9563</v>
      </c>
      <c r="H106" s="43">
        <f>H158</f>
        <v>-2626</v>
      </c>
      <c r="I106" s="43">
        <f>I158-H158</f>
        <v>-2330</v>
      </c>
      <c r="J106" s="48">
        <f>-('Income Statement'!J296+'Share Count'!J46)</f>
        <v>-2672.5417111384877</v>
      </c>
      <c r="K106" s="124"/>
    </row>
    <row r="107">
      <c r="A107" s="2"/>
      <c r="B107" s="47" t="s">
        <v>133</v>
      </c>
      <c r="C107" s="7"/>
      <c r="D107" s="7"/>
      <c r="E107" s="7"/>
      <c r="F107" s="7"/>
      <c r="G107" s="7"/>
      <c r="H107" s="40" t="str">
        <f>IF(OR(H106="",C106=""),"n.a.",IFERROR(IF(C106&lt;=0,"n.m.",IF(H106/C106&lt;=0,"n.m.",H106/C106-1)),"n.a."))</f>
        <v>n.m.</v>
      </c>
      <c r="I107" s="40" t="str">
        <f>IF(OR(I106="",D106=""),"n.a.",IFERROR(IF(D106&lt;=0,"n.m.",IF(I106/D106&lt;=0,"n.m.",I106/D106-1)),"n.a."))</f>
        <v>n.m.</v>
      </c>
      <c r="J107" s="45" t="str">
        <f>IF(OR(J106="",E106=""),"n.a.",IFERROR(IF(E106&lt;=0,"n.m.",IF(J106/E106&lt;=0,"n.m.",J106/E106-1)),"n.a."))</f>
        <v>n.m.</v>
      </c>
      <c r="K107" s="124"/>
    </row>
    <row r="108">
      <c r="A108" s="2"/>
      <c r="B108" s="47" t="s">
        <v>134</v>
      </c>
      <c r="C108" s="7"/>
      <c r="D108" s="41">
        <f>IF(OR(D106="",C106=""),"n.a.",IFERROR(D106-C106,"n.a."))</f>
        <v>352</v>
      </c>
      <c r="E108" s="41">
        <f>IF(OR(E106="",D106=""),"n.a.",IFERROR(E106-D106,"n.a."))</f>
        <v>-251</v>
      </c>
      <c r="F108" s="41">
        <f>IF(OR(F106="",E106=""),"n.a.",IFERROR(F106-E106,"n.a."))</f>
        <v>91</v>
      </c>
      <c r="G108" s="7"/>
      <c r="H108" s="41">
        <f>IF(OR(H106="",F106=""),"n.a.",IFERROR(H106-F106,"n.a."))</f>
        <v>-266</v>
      </c>
      <c r="I108" s="41">
        <f>IF(OR(I106="",H106=""),"n.a.",IFERROR(I106-H106,"n.a."))</f>
        <v>296</v>
      </c>
      <c r="J108" s="52">
        <f>IF(OR(J106="",I106=""),"n.a.",IFERROR(J106-I106,"n.a."))</f>
        <v>-342.5417111384877</v>
      </c>
      <c r="K108" s="124"/>
    </row>
    <row r="109">
      <c r="A109" s="2"/>
      <c r="B109" s="3" t="s">
        <v>540</v>
      </c>
      <c r="C109" s="43">
        <f>C159</f>
        <v>-1221</v>
      </c>
      <c r="D109" s="43">
        <f>D159-C159</f>
        <v>63</v>
      </c>
      <c r="E109" s="43">
        <f>E159-D159</f>
        <v>239</v>
      </c>
      <c r="F109" s="43">
        <f>F159-E159</f>
        <v>306</v>
      </c>
      <c r="G109" s="43">
        <f>SUM(C109:F109)</f>
        <v>-613</v>
      </c>
      <c r="H109" s="43">
        <f>H159</f>
        <v>-1751</v>
      </c>
      <c r="I109" s="43">
        <f>I159-H159</f>
        <v>-26</v>
      </c>
      <c r="J109" s="75">
        <v>0</v>
      </c>
      <c r="K109" s="124" t="s">
        <v>508</v>
      </c>
    </row>
    <row r="110">
      <c r="A110" s="2"/>
      <c r="B110" s="47" t="s">
        <v>133</v>
      </c>
      <c r="C110" s="7"/>
      <c r="D110" s="7"/>
      <c r="E110" s="7"/>
      <c r="F110" s="7"/>
      <c r="G110" s="7"/>
      <c r="H110" s="40" t="str">
        <f>IF(OR(H109="",C109=""),"n.a.",IFERROR(IF(C109&lt;=0,"n.m.",IF(H109/C109&lt;=0,"n.m.",H109/C109-1)),"n.a."))</f>
        <v>n.m.</v>
      </c>
      <c r="I110" s="40" t="str">
        <f>IF(OR(I109="",D109=""),"n.a.",IFERROR(IF(D109&lt;=0,"n.m.",IF(I109/D109&lt;=0,"n.m.",I109/D109-1)),"n.a."))</f>
        <v>n.m.</v>
      </c>
      <c r="J110" s="45" t="s">
        <v>194</v>
      </c>
      <c r="K110" s="124"/>
    </row>
    <row r="111">
      <c r="A111" s="2"/>
      <c r="B111" s="47" t="s">
        <v>134</v>
      </c>
      <c r="C111" s="7"/>
      <c r="D111" s="41">
        <f>IF(OR(D109="",C109=""),"n.a.",IFERROR(D109-C109,"n.a."))</f>
        <v>1284</v>
      </c>
      <c r="E111" s="41">
        <f>IF(OR(E109="",D109=""),"n.a.",IFERROR(E109-D109,"n.a."))</f>
        <v>176</v>
      </c>
      <c r="F111" s="41">
        <f>IF(OR(F109="",E109=""),"n.a.",IFERROR(F109-E109,"n.a."))</f>
        <v>67</v>
      </c>
      <c r="G111" s="7"/>
      <c r="H111" s="41">
        <f>IF(OR(H109="",F109=""),"n.a.",IFERROR(H109-F109,"n.a."))</f>
        <v>-2057</v>
      </c>
      <c r="I111" s="41">
        <f>IF(OR(I109="",H109=""),"n.a.",IFERROR(I109-H109,"n.a."))</f>
        <v>1725</v>
      </c>
      <c r="J111" s="52" t="s">
        <v>194</v>
      </c>
      <c r="K111" s="124"/>
    </row>
    <row r="112">
      <c r="A112" s="2"/>
      <c r="B112" s="18" t="s">
        <v>541</v>
      </c>
      <c r="C112" s="39">
        <f>C82+C85+C88+C91+C94+C97+C100+C103+C106+C109</f>
        <v>72832</v>
      </c>
      <c r="D112" s="39">
        <f>D82+D85+D88+D91+D94+D97+D100+D103+D106+D109</f>
        <v>55059</v>
      </c>
      <c r="E112" s="39">
        <f>E82+E85+E88+E91+E94+E97+E100+E103+E106+E109</f>
        <v>-67990</v>
      </c>
      <c r="F112" s="39">
        <f>F82+F85+F88+F91+F94+F97+F100+F103+F106+F109</f>
        <v>10047</v>
      </c>
      <c r="G112" s="39">
        <f>G82+G85+G88+G91+G94+G97+G100+G103+G106+G109</f>
        <v>69948</v>
      </c>
      <c r="H112" s="39">
        <f>H82+H85+H88+H91+H94+H97+H100+H103+H106+H109</f>
        <v>35915</v>
      </c>
      <c r="I112" s="39">
        <f>I82+I85+I88+I91+I94+I97+I100+I103+I106+I109</f>
        <v>-24731</v>
      </c>
      <c r="J112" s="50">
        <f>J82+J85+J88+J91+J94+J97+J100+J103+J106+J109</f>
        <v>6203.458288861512</v>
      </c>
      <c r="K112" s="124"/>
    </row>
    <row r="113">
      <c r="A113" s="2"/>
      <c r="B113" s="3" t="s">
        <v>542</v>
      </c>
      <c r="C113" s="43">
        <f>C160</f>
        <v>1827</v>
      </c>
      <c r="D113" s="43">
        <f>D160-C160</f>
        <v>3423</v>
      </c>
      <c r="E113" s="43">
        <f>E160-D160</f>
        <v>-331</v>
      </c>
      <c r="F113" s="43">
        <f>F160-E160</f>
        <v>-592</v>
      </c>
      <c r="G113" s="43">
        <f>SUM(C113:F113)</f>
        <v>4327</v>
      </c>
      <c r="H113" s="43">
        <f>H160</f>
        <v>-600</v>
      </c>
      <c r="I113" s="43">
        <f>I160-H160</f>
        <v>-289</v>
      </c>
      <c r="J113" s="75">
        <v>0</v>
      </c>
      <c r="K113" s="124" t="s">
        <v>508</v>
      </c>
    </row>
    <row r="114">
      <c r="A114" s="2"/>
      <c r="B114" s="47" t="s">
        <v>133</v>
      </c>
      <c r="C114" s="7"/>
      <c r="D114" s="7"/>
      <c r="E114" s="7"/>
      <c r="F114" s="7"/>
      <c r="G114" s="7"/>
      <c r="H114" s="40" t="str">
        <f>IF(OR(H113="",C113=""),"n.a.",IFERROR(IF(C113&lt;=0,"n.m.",IF(H113/C113&lt;=0,"n.m.",H113/C113-1)),"n.a."))</f>
        <v>n.m.</v>
      </c>
      <c r="I114" s="40" t="str">
        <f>IF(OR(I113="",D113=""),"n.a.",IFERROR(IF(D113&lt;=0,"n.m.",IF(I113/D113&lt;=0,"n.m.",I113/D113-1)),"n.a."))</f>
        <v>n.m.</v>
      </c>
      <c r="J114" s="45" t="s">
        <v>194</v>
      </c>
      <c r="K114" s="124"/>
    </row>
    <row r="115">
      <c r="A115" s="2"/>
      <c r="B115" s="47" t="s">
        <v>134</v>
      </c>
      <c r="C115" s="7"/>
      <c r="D115" s="41">
        <f>IF(OR(D113="",C113=""),"n.a.",IFERROR(D113-C113,"n.a."))</f>
        <v>1596</v>
      </c>
      <c r="E115" s="41">
        <f>IF(OR(E113="",D113=""),"n.a.",IFERROR(E113-D113,"n.a."))</f>
        <v>-3754</v>
      </c>
      <c r="F115" s="41">
        <f>IF(OR(F113="",E113=""),"n.a.",IFERROR(F113-E113,"n.a."))</f>
        <v>-261</v>
      </c>
      <c r="G115" s="7"/>
      <c r="H115" s="41">
        <f>IF(OR(H113="",F113=""),"n.a.",IFERROR(H113-F113,"n.a."))</f>
        <v>-8</v>
      </c>
      <c r="I115" s="41">
        <f>IF(OR(I113="",H113=""),"n.a.",IFERROR(I113-H113,"n.a."))</f>
        <v>311</v>
      </c>
      <c r="J115" s="52" t="s">
        <v>194</v>
      </c>
      <c r="K115" s="124"/>
    </row>
    <row r="116">
      <c r="A116" s="2"/>
      <c r="B116" s="18" t="s">
        <v>543</v>
      </c>
      <c r="C116" s="39">
        <f>C46+C80+C112+C113</f>
        <v>-16535</v>
      </c>
      <c r="D116" s="39">
        <f>D46+D80+D112+D113</f>
        <v>-7568</v>
      </c>
      <c r="E116" s="39">
        <f>E46+E80+E112+E113</f>
        <v>-19504</v>
      </c>
      <c r="F116" s="39">
        <f>F46+F80+F112+F113</f>
        <v>-14662</v>
      </c>
      <c r="G116" s="39">
        <f>G46+G80+G112+G113</f>
        <v>-58269</v>
      </c>
      <c r="H116" s="39">
        <f>H46+H80+H112+H113</f>
        <v>10634</v>
      </c>
      <c r="I116" s="39">
        <f>I46+I80+I112+I113</f>
        <v>-12734</v>
      </c>
      <c r="J116" s="50">
        <f>J46+J80+J112+J113</f>
        <v>-11786.712626054774</v>
      </c>
      <c r="K116" s="124"/>
    </row>
    <row r="117">
      <c r="A117" s="2"/>
      <c r="B117" s="3" t="s">
        <v>544</v>
      </c>
      <c r="C117" s="43">
        <f>C161</f>
        <v>290114</v>
      </c>
      <c r="D117" s="58">
        <f>'Balance Sheet'!C12</f>
        <v>273579</v>
      </c>
      <c r="E117" s="58">
        <f>'Balance Sheet'!D12</f>
        <v>266011</v>
      </c>
      <c r="F117" s="58">
        <f>'Balance Sheet'!E12</f>
        <v>246507</v>
      </c>
      <c r="G117" s="43">
        <f>C161</f>
        <v>290114</v>
      </c>
      <c r="H117" s="58">
        <f>'Balance Sheet'!F12</f>
        <v>231845</v>
      </c>
      <c r="I117" s="58">
        <f>'Balance Sheet'!H12</f>
        <v>242479</v>
      </c>
      <c r="J117" s="48">
        <f>'Balance Sheet'!I12</f>
        <v>229745</v>
      </c>
      <c r="K117" s="124"/>
    </row>
    <row r="118">
      <c r="A118" s="2"/>
      <c r="B118" s="18" t="s">
        <v>545</v>
      </c>
      <c r="C118" s="39">
        <f>C117+C116</f>
        <v>273579</v>
      </c>
      <c r="D118" s="39">
        <f>D117+D116</f>
        <v>266011</v>
      </c>
      <c r="E118" s="39">
        <f>E117+E116</f>
        <v>246507</v>
      </c>
      <c r="F118" s="39">
        <f>F117+F116</f>
        <v>231845</v>
      </c>
      <c r="G118" s="39">
        <f>G117+G116</f>
        <v>231845</v>
      </c>
      <c r="H118" s="39">
        <f>H117+H116</f>
        <v>242479</v>
      </c>
      <c r="I118" s="39">
        <f>I117+I116</f>
        <v>229745</v>
      </c>
      <c r="J118" s="50">
        <f>J117+J116</f>
        <v>217958.28737394523</v>
      </c>
      <c r="K118" s="124"/>
    </row>
    <row r="119">
      <c r="A119" s="2"/>
      <c r="B119" s="69" t="s">
        <v>546</v>
      </c>
      <c r="C119" s="85">
        <f>C118-'Balance Sheet'!C12</f>
        <v>0</v>
      </c>
      <c r="D119" s="85">
        <f>D118-'Balance Sheet'!D12</f>
        <v>0</v>
      </c>
      <c r="E119" s="85">
        <f>E118-'Balance Sheet'!E12</f>
        <v>0</v>
      </c>
      <c r="F119" s="85">
        <f>F118-'Balance Sheet'!F12</f>
        <v>0</v>
      </c>
      <c r="G119" s="85">
        <f>G118-'Balance Sheet'!G12</f>
        <v>0</v>
      </c>
      <c r="H119" s="85">
        <f>H118-'Balance Sheet'!H12</f>
        <v>0</v>
      </c>
      <c r="I119" s="85">
        <f>I118-'Balance Sheet'!I12</f>
        <v>0</v>
      </c>
      <c r="J119" s="78">
        <f>J118-'Balance Sheet'!J12</f>
        <v>0</v>
      </c>
      <c r="K119" s="124"/>
    </row>
    <row r="120">
      <c r="A120" s="2"/>
      <c r="B120" s="61" t="s">
        <v>547</v>
      </c>
      <c r="C120" s="41">
        <f>C46-C121</f>
        <v>0</v>
      </c>
      <c r="D120" s="41">
        <f>D46-D121</f>
        <v>0</v>
      </c>
      <c r="E120" s="41">
        <f>E46-E121</f>
        <v>0</v>
      </c>
      <c r="F120" s="41">
        <f>F46-F121</f>
        <v>0</v>
      </c>
      <c r="G120" s="41">
        <f>G46-G121</f>
        <v>0</v>
      </c>
      <c r="H120" s="41">
        <f>H46-H121</f>
        <v>0</v>
      </c>
      <c r="I120" s="41">
        <f>I46-I121</f>
        <v>0</v>
      </c>
      <c r="J120" s="46"/>
      <c r="K120" s="124"/>
    </row>
    <row r="121">
      <c r="A121" s="2"/>
      <c r="B121" s="3" t="s">
        <v>548</v>
      </c>
      <c r="C121" s="43">
        <f>C139</f>
        <v>-2184</v>
      </c>
      <c r="D121" s="43">
        <f>D139-C139</f>
        <v>-9132</v>
      </c>
      <c r="E121" s="43">
        <f>E139-D139</f>
        <v>46874</v>
      </c>
      <c r="F121" s="43">
        <f>F139-E139</f>
        <v>-22945</v>
      </c>
      <c r="G121" s="43">
        <f>SUM(C121:F121)</f>
        <v>12613</v>
      </c>
      <c r="H121" s="43">
        <f>H139</f>
        <v>41770</v>
      </c>
      <c r="I121" s="43">
        <f>I139-H139</f>
        <v>29043</v>
      </c>
      <c r="J121" s="46"/>
      <c r="K121" s="124"/>
    </row>
    <row r="122">
      <c r="A122" s="2"/>
      <c r="B122" s="146" t="s">
        <v>549</v>
      </c>
      <c r="C122" s="144">
        <f>C10-'Income Statement'!C293</f>
        <v>0</v>
      </c>
      <c r="D122" s="144">
        <f>D10-'Income Statement'!D293</f>
        <v>0</v>
      </c>
      <c r="E122" s="144">
        <f>E10-'Income Statement'!E293</f>
        <v>119</v>
      </c>
      <c r="F122" s="144">
        <f>F10-'Income Statement'!F293</f>
        <v>-119</v>
      </c>
      <c r="G122" s="144">
        <f>G10-'Income Statement'!G293</f>
        <v>0</v>
      </c>
      <c r="H122" s="144">
        <f>H10-'Income Statement'!H293</f>
        <v>0</v>
      </c>
      <c r="I122" s="144">
        <f>I10-'Income Statement'!I293</f>
        <v>0</v>
      </c>
      <c r="J122" s="145">
        <f>J10-'Income Statement'!J293</f>
        <v>0</v>
      </c>
      <c r="K122" s="125" t="s">
        <v>550</v>
      </c>
    </row>
    <row r="123">
      <c r="A123" s="2"/>
      <c r="B123" s="2" t="s">
        <v>551</v>
      </c>
      <c r="C123" s="7"/>
      <c r="D123" s="7"/>
      <c r="E123" s="7"/>
      <c r="F123" s="7"/>
      <c r="G123" s="7"/>
      <c r="H123" s="7"/>
      <c r="I123" s="7"/>
      <c r="J123" s="46"/>
      <c r="K123" s="124"/>
    </row>
    <row r="124">
      <c r="A124" s="2"/>
      <c r="C124" s="7"/>
      <c r="D124" s="7"/>
      <c r="E124" s="7"/>
      <c r="F124" s="7"/>
      <c r="G124" s="7"/>
      <c r="H124" s="7"/>
      <c r="I124" s="7"/>
      <c r="J124" s="46"/>
      <c r="K124" s="124"/>
    </row>
    <row r="125">
      <c r="A125" s="2"/>
      <c r="B125" s="18" t="s">
        <v>552</v>
      </c>
      <c r="J125" s="46"/>
      <c r="K125" s="124"/>
    </row>
    <row r="126">
      <c r="A126" s="2"/>
      <c r="B126" s="1" t="s">
        <v>553</v>
      </c>
      <c r="C126" s="80" t="s">
        <v>554</v>
      </c>
      <c r="D126" s="80" t="s">
        <v>555</v>
      </c>
      <c r="E126" s="80" t="s">
        <v>556</v>
      </c>
      <c r="F126" s="80" t="s">
        <v>557</v>
      </c>
      <c r="G126" s="80" t="s">
        <v>557</v>
      </c>
      <c r="H126" s="80" t="s">
        <v>558</v>
      </c>
      <c r="I126" s="80" t="s">
        <v>559</v>
      </c>
      <c r="J126" s="46"/>
      <c r="K126" s="136"/>
    </row>
    <row r="127">
      <c r="A127" s="2"/>
      <c r="B127" s="3" t="s">
        <v>226</v>
      </c>
      <c r="C127" s="37">
        <v>7360</v>
      </c>
      <c r="D127" s="37">
        <v>14530</v>
      </c>
      <c r="E127" s="37">
        <v>22981</v>
      </c>
      <c r="F127" s="37">
        <v>30509</v>
      </c>
      <c r="G127" s="43">
        <f>F127</f>
        <v>30509</v>
      </c>
      <c r="H127" s="37">
        <v>8584</v>
      </c>
      <c r="I127" s="37">
        <v>17658</v>
      </c>
      <c r="J127" s="46"/>
      <c r="K127" s="125" t="s">
        <v>560</v>
      </c>
    </row>
    <row r="128">
      <c r="A128" s="2"/>
      <c r="B128" s="3" t="s">
        <v>221</v>
      </c>
      <c r="C128" s="37">
        <v>1480</v>
      </c>
      <c r="D128" s="37">
        <v>3072</v>
      </c>
      <c r="E128" s="37">
        <v>4367</v>
      </c>
      <c r="F128" s="37">
        <v>5675</v>
      </c>
      <c r="G128" s="43">
        <f>F128</f>
        <v>5675</v>
      </c>
      <c r="H128" s="37">
        <v>1337</v>
      </c>
      <c r="I128" s="37">
        <v>2703</v>
      </c>
      <c r="J128" s="46"/>
      <c r="K128" s="125" t="s">
        <v>560</v>
      </c>
    </row>
    <row r="129">
      <c r="A129" s="2"/>
      <c r="B129" s="3" t="s">
        <v>507</v>
      </c>
      <c r="C129" s="37">
        <v>2</v>
      </c>
      <c r="D129" s="37">
        <v>20</v>
      </c>
      <c r="E129" s="37">
        <v>23</v>
      </c>
      <c r="F129" s="37">
        <v>20</v>
      </c>
      <c r="G129" s="43">
        <f>F129</f>
        <v>20</v>
      </c>
      <c r="H129" s="37">
        <v>-3</v>
      </c>
      <c r="I129" s="37">
        <v>-19</v>
      </c>
      <c r="J129" s="46"/>
      <c r="K129" s="125" t="s">
        <v>560</v>
      </c>
    </row>
    <row r="130">
      <c r="A130" s="2"/>
      <c r="B130" s="3" t="s">
        <v>509</v>
      </c>
      <c r="C130" s="37">
        <v>565</v>
      </c>
      <c r="D130" s="37">
        <v>1136</v>
      </c>
      <c r="E130" s="37">
        <v>1720</v>
      </c>
      <c r="F130" s="37">
        <v>2314</v>
      </c>
      <c r="G130" s="43">
        <f>F130</f>
        <v>2314</v>
      </c>
      <c r="H130" s="37">
        <v>605</v>
      </c>
      <c r="I130" s="37">
        <v>1217</v>
      </c>
      <c r="J130" s="46"/>
      <c r="K130" s="125" t="s">
        <v>560</v>
      </c>
    </row>
    <row r="131">
      <c r="A131" s="2"/>
      <c r="B131" s="3" t="s">
        <v>510</v>
      </c>
      <c r="C131" s="37">
        <v>-85</v>
      </c>
      <c r="D131" s="37">
        <v>-146</v>
      </c>
      <c r="E131" s="37">
        <v>-664</v>
      </c>
      <c r="F131" s="37">
        <v>-859</v>
      </c>
      <c r="G131" s="43">
        <f>F131</f>
        <v>-859</v>
      </c>
      <c r="H131" s="37">
        <v>-200</v>
      </c>
      <c r="I131" s="37">
        <v>-305</v>
      </c>
      <c r="J131" s="46"/>
      <c r="K131" s="125" t="s">
        <v>560</v>
      </c>
    </row>
    <row r="132">
      <c r="A132" s="2"/>
      <c r="B132" s="3" t="s">
        <v>511</v>
      </c>
      <c r="C132" s="37">
        <v>-40</v>
      </c>
      <c r="D132" s="37">
        <v>-49</v>
      </c>
      <c r="E132" s="37">
        <v>-255</v>
      </c>
      <c r="F132" s="37">
        <v>295</v>
      </c>
      <c r="G132" s="43">
        <f>F132</f>
        <v>295</v>
      </c>
      <c r="H132" s="37">
        <v>101</v>
      </c>
      <c r="I132" s="37">
        <v>612</v>
      </c>
      <c r="J132" s="46"/>
      <c r="K132" s="125" t="s">
        <v>560</v>
      </c>
    </row>
    <row r="133">
      <c r="A133" s="2"/>
      <c r="B133" s="3" t="s">
        <v>512</v>
      </c>
      <c r="C133" s="37">
        <v>999</v>
      </c>
      <c r="D133" s="37">
        <v>2014</v>
      </c>
      <c r="E133" s="37">
        <v>3032</v>
      </c>
      <c r="F133" s="37">
        <v>4001</v>
      </c>
      <c r="G133" s="43">
        <f>F133</f>
        <v>4001</v>
      </c>
      <c r="H133" s="37">
        <v>1032</v>
      </c>
      <c r="I133" s="37">
        <v>2150</v>
      </c>
      <c r="J133" s="46"/>
      <c r="K133" s="125" t="s">
        <v>560</v>
      </c>
    </row>
    <row r="134">
      <c r="A134" s="2"/>
      <c r="B134" s="3" t="s">
        <v>513</v>
      </c>
      <c r="C134" s="37">
        <v>-10970</v>
      </c>
      <c r="D134" s="37">
        <v>-25849</v>
      </c>
      <c r="E134" s="37">
        <v>4687</v>
      </c>
      <c r="F134" s="37">
        <v>-35027</v>
      </c>
      <c r="G134" s="43">
        <f>F134</f>
        <v>-35027</v>
      </c>
      <c r="H134" s="37">
        <v>20230</v>
      </c>
      <c r="I134" s="37">
        <v>23147</v>
      </c>
      <c r="J134" s="46"/>
      <c r="K134" s="125" t="s">
        <v>560</v>
      </c>
    </row>
    <row r="135">
      <c r="A135" s="2"/>
      <c r="B135" s="3" t="s">
        <v>514</v>
      </c>
      <c r="C135" s="37">
        <v>2599</v>
      </c>
      <c r="D135" s="37">
        <v>4080</v>
      </c>
      <c r="E135" s="37">
        <v>2672</v>
      </c>
      <c r="F135" s="37">
        <v>4215</v>
      </c>
      <c r="G135" s="43">
        <f>F135</f>
        <v>4215</v>
      </c>
      <c r="H135" s="37">
        <v>-5763</v>
      </c>
      <c r="I135" s="37">
        <v>-1530</v>
      </c>
      <c r="J135" s="46"/>
      <c r="K135" s="125" t="s">
        <v>560</v>
      </c>
    </row>
    <row r="136">
      <c r="A136" s="2"/>
      <c r="B136" s="3" t="s">
        <v>515</v>
      </c>
      <c r="C136" s="37">
        <v>4198</v>
      </c>
      <c r="D136" s="37">
        <v>-19307</v>
      </c>
      <c r="E136" s="37">
        <v>-24543</v>
      </c>
      <c r="F136" s="37">
        <v>-19584</v>
      </c>
      <c r="G136" s="43">
        <f>F136</f>
        <v>-19584</v>
      </c>
      <c r="H136" s="37">
        <v>1068</v>
      </c>
      <c r="I136" s="37">
        <v>-17869</v>
      </c>
      <c r="J136" s="46"/>
      <c r="K136" s="125" t="s">
        <v>560</v>
      </c>
    </row>
    <row r="137">
      <c r="A137" s="2"/>
      <c r="B137" s="3" t="s">
        <v>516</v>
      </c>
      <c r="C137" s="37">
        <v>-8308</v>
      </c>
      <c r="D137" s="37">
        <v>9439</v>
      </c>
      <c r="E137" s="37">
        <v>20239</v>
      </c>
      <c r="F137" s="37">
        <v>17315</v>
      </c>
      <c r="G137" s="43">
        <f>F137</f>
        <v>17315</v>
      </c>
      <c r="H137" s="37">
        <v>14541</v>
      </c>
      <c r="I137" s="37">
        <v>41671</v>
      </c>
      <c r="J137" s="46"/>
      <c r="K137" s="125" t="s">
        <v>560</v>
      </c>
    </row>
    <row r="138">
      <c r="A138" s="2"/>
      <c r="B138" s="3" t="s">
        <v>517</v>
      </c>
      <c r="C138" s="37">
        <v>16</v>
      </c>
      <c r="D138" s="37">
        <v>-256</v>
      </c>
      <c r="E138" s="37">
        <v>1299</v>
      </c>
      <c r="F138" s="37">
        <v>3739</v>
      </c>
      <c r="G138" s="43">
        <f>F138</f>
        <v>3739</v>
      </c>
      <c r="H138" s="37">
        <v>238</v>
      </c>
      <c r="I138" s="37">
        <v>1378</v>
      </c>
      <c r="J138" s="46"/>
      <c r="K138" s="125" t="s">
        <v>560</v>
      </c>
    </row>
    <row r="139">
      <c r="A139" s="2"/>
      <c r="B139" s="3" t="s">
        <v>561</v>
      </c>
      <c r="C139" s="37">
        <v>-2184</v>
      </c>
      <c r="D139" s="37">
        <v>-11316</v>
      </c>
      <c r="E139" s="37">
        <v>35558</v>
      </c>
      <c r="F139" s="37">
        <v>12613</v>
      </c>
      <c r="G139" s="43">
        <f>F139</f>
        <v>12613</v>
      </c>
      <c r="H139" s="37">
        <v>41770</v>
      </c>
      <c r="I139" s="37">
        <v>70813</v>
      </c>
      <c r="J139" s="46"/>
      <c r="K139" s="125" t="s">
        <v>560</v>
      </c>
    </row>
    <row r="140">
      <c r="A140" s="2"/>
      <c r="B140" s="3" t="s">
        <v>521</v>
      </c>
      <c r="C140" s="37">
        <v>-910</v>
      </c>
      <c r="D140" s="37">
        <v>-3005</v>
      </c>
      <c r="E140" s="37">
        <v>-1840</v>
      </c>
      <c r="F140" s="37">
        <v>-1102</v>
      </c>
      <c r="G140" s="43">
        <f>F140</f>
        <v>-1102</v>
      </c>
      <c r="H140" s="37">
        <v>88</v>
      </c>
      <c r="I140" s="37">
        <v>-1973</v>
      </c>
      <c r="J140" s="46"/>
      <c r="K140" s="125" t="s">
        <v>560</v>
      </c>
    </row>
    <row r="141">
      <c r="A141" s="2"/>
      <c r="B141" s="3" t="s">
        <v>365</v>
      </c>
      <c r="C141" s="37">
        <v>-53656</v>
      </c>
      <c r="D141" s="37">
        <v>-81670</v>
      </c>
      <c r="E141" s="37">
        <v>-55078</v>
      </c>
      <c r="F141" s="37">
        <v>-45856</v>
      </c>
      <c r="G141" s="43">
        <f>F141</f>
        <v>-45856</v>
      </c>
      <c r="H141" s="37">
        <v>-66686</v>
      </c>
      <c r="I141" s="37">
        <v>-95837</v>
      </c>
      <c r="J141" s="46"/>
      <c r="K141" s="125" t="s">
        <v>560</v>
      </c>
    </row>
    <row r="142">
      <c r="A142" s="2"/>
      <c r="B142" s="3" t="s">
        <v>522</v>
      </c>
      <c r="C142" s="37">
        <v>26392</v>
      </c>
      <c r="D142" s="37">
        <v>61564</v>
      </c>
      <c r="E142" s="37">
        <v>96786</v>
      </c>
      <c r="F142" s="37">
        <v>129779</v>
      </c>
      <c r="G142" s="43">
        <f>F142</f>
        <v>129779</v>
      </c>
      <c r="H142" s="37">
        <v>69557</v>
      </c>
      <c r="I142" s="37">
        <v>121408</v>
      </c>
      <c r="J142" s="46"/>
      <c r="K142" s="125" t="s">
        <v>560</v>
      </c>
    </row>
    <row r="143">
      <c r="A143" s="2"/>
      <c r="B143" s="3" t="s">
        <v>523</v>
      </c>
      <c r="C143" s="37">
        <v>20719</v>
      </c>
      <c r="D143" s="37">
        <v>40472</v>
      </c>
      <c r="E143" s="37">
        <v>63781</v>
      </c>
      <c r="F143" s="37">
        <v>100313</v>
      </c>
      <c r="G143" s="43">
        <f>F143</f>
        <v>100313</v>
      </c>
      <c r="H143" s="37">
        <v>27061</v>
      </c>
      <c r="I143" s="37">
        <v>54880</v>
      </c>
      <c r="J143" s="46"/>
      <c r="K143" s="125" t="s">
        <v>560</v>
      </c>
    </row>
    <row r="144">
      <c r="A144" s="2"/>
      <c r="B144" s="3" t="s">
        <v>524</v>
      </c>
      <c r="C144" s="37">
        <v>-72075</v>
      </c>
      <c r="D144" s="37">
        <v>-123638</v>
      </c>
      <c r="E144" s="37">
        <v>-196704</v>
      </c>
      <c r="F144" s="37">
        <v>-263483</v>
      </c>
      <c r="G144" s="43">
        <f>F144</f>
        <v>-263483</v>
      </c>
      <c r="H144" s="37">
        <v>-82182</v>
      </c>
      <c r="I144" s="37">
        <v>-140172</v>
      </c>
      <c r="J144" s="46"/>
      <c r="K144" s="125" t="s">
        <v>560</v>
      </c>
    </row>
    <row r="145">
      <c r="A145" s="2"/>
      <c r="B145" s="3" t="s">
        <v>525</v>
      </c>
      <c r="C145" s="37">
        <v>7666</v>
      </c>
      <c r="D145" s="37">
        <v>16782</v>
      </c>
      <c r="E145" s="37">
        <v>26327</v>
      </c>
      <c r="F145" s="37">
        <v>34794</v>
      </c>
      <c r="G145" s="43">
        <f>F145</f>
        <v>34794</v>
      </c>
      <c r="H145" s="37">
        <v>7652</v>
      </c>
      <c r="I145" s="37">
        <v>16292</v>
      </c>
      <c r="J145" s="46"/>
      <c r="K145" s="125" t="s">
        <v>560</v>
      </c>
    </row>
    <row r="146">
      <c r="A146" s="2"/>
      <c r="B146" s="3" t="s">
        <v>526</v>
      </c>
      <c r="C146" s="37">
        <v>2232</v>
      </c>
      <c r="D146" s="37">
        <v>4051</v>
      </c>
      <c r="E146" s="37">
        <v>6718</v>
      </c>
      <c r="F146" s="37">
        <v>9592</v>
      </c>
      <c r="G146" s="43">
        <f>F146</f>
        <v>9592</v>
      </c>
      <c r="H146" s="37">
        <v>2717</v>
      </c>
      <c r="I146" s="37">
        <v>7320</v>
      </c>
      <c r="J146" s="46"/>
      <c r="K146" s="125" t="s">
        <v>560</v>
      </c>
    </row>
    <row r="147">
      <c r="A147" s="2"/>
      <c r="B147" s="3" t="s">
        <v>527</v>
      </c>
      <c r="C147" s="37">
        <v>-9379</v>
      </c>
      <c r="D147" s="37">
        <v>-11136</v>
      </c>
      <c r="E147" s="37">
        <v>-12487</v>
      </c>
      <c r="F147" s="37">
        <v>-14315</v>
      </c>
      <c r="G147" s="43">
        <f>F147</f>
        <v>-14315</v>
      </c>
      <c r="H147" s="37">
        <v>-1666</v>
      </c>
      <c r="I147" s="37">
        <v>-4148</v>
      </c>
      <c r="J147" s="46"/>
      <c r="K147" s="125" t="s">
        <v>560</v>
      </c>
    </row>
    <row r="148">
      <c r="A148" s="2"/>
      <c r="B148" s="3" t="s">
        <v>528</v>
      </c>
      <c r="C148" s="37">
        <v>-9200</v>
      </c>
      <c r="D148" s="37">
        <v>-47086</v>
      </c>
      <c r="E148" s="37">
        <v>-68672</v>
      </c>
      <c r="F148" s="37">
        <v>-90548</v>
      </c>
      <c r="G148" s="43">
        <f>F148</f>
        <v>-90548</v>
      </c>
      <c r="H148" s="37">
        <v>-21705</v>
      </c>
      <c r="I148" s="37">
        <v>-37641</v>
      </c>
      <c r="J148" s="46"/>
      <c r="K148" s="125" t="s">
        <v>560</v>
      </c>
    </row>
    <row r="149">
      <c r="A149" s="2"/>
      <c r="B149" s="3" t="s">
        <v>529</v>
      </c>
      <c r="C149" s="37">
        <v>-799</v>
      </c>
      <c r="D149" s="37">
        <v>-2262</v>
      </c>
      <c r="E149" s="37">
        <v>-2816</v>
      </c>
      <c r="F149" s="37">
        <v>-4331</v>
      </c>
      <c r="G149" s="43">
        <f>F149</f>
        <v>-4331</v>
      </c>
      <c r="H149" s="37">
        <v>-1287</v>
      </c>
      <c r="I149" s="37">
        <v>-3337</v>
      </c>
      <c r="J149" s="46"/>
      <c r="K149" s="125" t="s">
        <v>560</v>
      </c>
    </row>
    <row r="150">
      <c r="A150" s="2"/>
      <c r="B150" s="3" t="s">
        <v>246</v>
      </c>
      <c r="C150" s="37">
        <v>24097</v>
      </c>
      <c r="D150" s="37">
        <v>46146</v>
      </c>
      <c r="E150" s="37">
        <v>36741</v>
      </c>
      <c r="F150" s="37">
        <v>53262</v>
      </c>
      <c r="G150" s="43">
        <f>F150</f>
        <v>53262</v>
      </c>
      <c r="H150" s="37">
        <v>18934</v>
      </c>
      <c r="I150" s="37">
        <v>6395</v>
      </c>
      <c r="J150" s="46"/>
      <c r="K150" s="125" t="s">
        <v>560</v>
      </c>
    </row>
    <row r="151">
      <c r="A151" s="2"/>
      <c r="B151" s="3" t="s">
        <v>481</v>
      </c>
      <c r="C151" s="37">
        <v>44312</v>
      </c>
      <c r="D151" s="37">
        <v>71689</v>
      </c>
      <c r="E151" s="37">
        <v>14817</v>
      </c>
      <c r="F151" s="37">
        <v>16945</v>
      </c>
      <c r="G151" s="43">
        <f>F151</f>
        <v>16945</v>
      </c>
      <c r="H151" s="37">
        <v>8304</v>
      </c>
      <c r="I151" s="37">
        <v>-12498</v>
      </c>
      <c r="J151" s="46"/>
      <c r="K151" s="125" t="s">
        <v>560</v>
      </c>
    </row>
    <row r="152">
      <c r="A152" s="2"/>
      <c r="B152" s="3" t="s">
        <v>369</v>
      </c>
      <c r="C152" s="37">
        <v>-1921</v>
      </c>
      <c r="D152" s="37">
        <v>4500</v>
      </c>
      <c r="E152" s="37">
        <v>10802</v>
      </c>
      <c r="F152" s="37">
        <v>4690</v>
      </c>
      <c r="G152" s="43">
        <f>F152</f>
        <v>4690</v>
      </c>
      <c r="H152" s="37">
        <v>10551</v>
      </c>
      <c r="I152" s="37">
        <v>12900</v>
      </c>
      <c r="J152" s="46"/>
      <c r="K152" s="125" t="s">
        <v>560</v>
      </c>
    </row>
    <row r="153">
      <c r="A153" s="2"/>
      <c r="B153" s="3" t="s">
        <v>533</v>
      </c>
      <c r="C153" s="37">
        <v>33640</v>
      </c>
      <c r="D153" s="37">
        <v>56926</v>
      </c>
      <c r="E153" s="37">
        <v>75855</v>
      </c>
      <c r="F153" s="37">
        <v>99867</v>
      </c>
      <c r="G153" s="43">
        <f>F153</f>
        <v>99867</v>
      </c>
      <c r="H153" s="37">
        <v>35520</v>
      </c>
      <c r="I153" s="37">
        <v>77366</v>
      </c>
      <c r="J153" s="46"/>
      <c r="K153" s="125" t="s">
        <v>560</v>
      </c>
    </row>
    <row r="154">
      <c r="A154" s="2"/>
      <c r="B154" s="3" t="s">
        <v>534</v>
      </c>
      <c r="C154" s="37">
        <v>-16333</v>
      </c>
      <c r="D154" s="37">
        <v>-35964</v>
      </c>
      <c r="E154" s="37">
        <v>-57893</v>
      </c>
      <c r="F154" s="37">
        <v>-76031</v>
      </c>
      <c r="G154" s="43">
        <f>F154</f>
        <v>-76031</v>
      </c>
      <c r="H154" s="37">
        <v>-24777</v>
      </c>
      <c r="I154" s="37">
        <v>-52000</v>
      </c>
      <c r="J154" s="46"/>
      <c r="K154" s="125" t="s">
        <v>560</v>
      </c>
    </row>
    <row r="155">
      <c r="A155" s="2"/>
      <c r="B155" s="3" t="s">
        <v>535</v>
      </c>
      <c r="D155" s="37">
        <v>2996</v>
      </c>
      <c r="E155" s="37">
        <v>5493</v>
      </c>
      <c r="F155" s="37">
        <v>5493</v>
      </c>
      <c r="G155" s="43">
        <f>F155</f>
        <v>5493</v>
      </c>
      <c r="I155" s="37">
        <v>0</v>
      </c>
      <c r="J155" s="46"/>
      <c r="K155" s="125" t="s">
        <v>562</v>
      </c>
    </row>
    <row r="156">
      <c r="A156" s="2"/>
      <c r="B156" s="3" t="s">
        <v>537</v>
      </c>
      <c r="C156" s="37">
        <v>-2669</v>
      </c>
      <c r="D156" s="37">
        <v>-2669</v>
      </c>
      <c r="E156" s="37">
        <v>-2669</v>
      </c>
      <c r="F156" s="37">
        <v>-2669</v>
      </c>
      <c r="G156" s="43">
        <f>F156</f>
        <v>-2669</v>
      </c>
      <c r="H156" s="37">
        <v>-1000</v>
      </c>
      <c r="I156" s="37">
        <v>-1000</v>
      </c>
      <c r="J156" s="46"/>
      <c r="K156" s="125" t="s">
        <v>560</v>
      </c>
    </row>
    <row r="157">
      <c r="A157" s="2"/>
      <c r="B157" s="3" t="s">
        <v>538</v>
      </c>
      <c r="C157" s="37">
        <v>-4521</v>
      </c>
      <c r="D157" s="37">
        <v>-9823</v>
      </c>
      <c r="E157" s="37">
        <v>-15123</v>
      </c>
      <c r="F157" s="37">
        <v>-21433</v>
      </c>
      <c r="G157" s="43">
        <f>F157</f>
        <v>-21433</v>
      </c>
      <c r="H157" s="37">
        <v>-7240</v>
      </c>
      <c r="I157" s="37">
        <v>-13246</v>
      </c>
      <c r="J157" s="46"/>
      <c r="K157" s="125" t="s">
        <v>560</v>
      </c>
    </row>
    <row r="158">
      <c r="A158" s="2"/>
      <c r="B158" s="3" t="s">
        <v>539</v>
      </c>
      <c r="C158" s="37">
        <v>-2552</v>
      </c>
      <c r="D158" s="37">
        <v>-4752</v>
      </c>
      <c r="E158" s="37">
        <v>-7203</v>
      </c>
      <c r="F158" s="37">
        <v>-9563</v>
      </c>
      <c r="G158" s="43">
        <f>F158</f>
        <v>-9563</v>
      </c>
      <c r="H158" s="37">
        <v>-2626</v>
      </c>
      <c r="I158" s="37">
        <v>-4956</v>
      </c>
      <c r="J158" s="46"/>
      <c r="K158" s="125" t="s">
        <v>560</v>
      </c>
    </row>
    <row r="159">
      <c r="A159" s="2"/>
      <c r="B159" s="3" t="s">
        <v>540</v>
      </c>
      <c r="C159" s="37">
        <v>-1221</v>
      </c>
      <c r="D159" s="37">
        <v>-1158</v>
      </c>
      <c r="E159" s="37">
        <v>-919</v>
      </c>
      <c r="F159" s="37">
        <v>-613</v>
      </c>
      <c r="G159" s="43">
        <f>F159</f>
        <v>-613</v>
      </c>
      <c r="H159" s="37">
        <v>-1751</v>
      </c>
      <c r="I159" s="37">
        <v>-1777</v>
      </c>
      <c r="J159" s="46"/>
      <c r="K159" s="125" t="s">
        <v>560</v>
      </c>
    </row>
    <row r="160">
      <c r="A160" s="2"/>
      <c r="B160" s="3" t="s">
        <v>542</v>
      </c>
      <c r="C160" s="37">
        <v>1827</v>
      </c>
      <c r="D160" s="37">
        <v>5250</v>
      </c>
      <c r="E160" s="37">
        <v>4919</v>
      </c>
      <c r="F160" s="37">
        <v>4327</v>
      </c>
      <c r="G160" s="43">
        <f>F160</f>
        <v>4327</v>
      </c>
      <c r="H160" s="37">
        <v>-600</v>
      </c>
      <c r="I160" s="37">
        <v>-889</v>
      </c>
      <c r="J160" s="46"/>
      <c r="K160" s="125" t="s">
        <v>560</v>
      </c>
    </row>
    <row r="161">
      <c r="A161" s="2"/>
      <c r="B161" s="3" t="s">
        <v>563</v>
      </c>
      <c r="C161" s="37">
        <v>290114</v>
      </c>
      <c r="D161" s="37">
        <v>290114</v>
      </c>
      <c r="E161" s="37">
        <v>290114</v>
      </c>
      <c r="F161" s="37">
        <v>290114</v>
      </c>
      <c r="G161" s="43">
        <f>F161</f>
        <v>290114</v>
      </c>
      <c r="H161" s="37">
        <v>231845</v>
      </c>
      <c r="I161" s="37">
        <v>231845</v>
      </c>
      <c r="J161" s="2"/>
      <c r="K161" s="125" t="s">
        <v>560</v>
      </c>
    </row>
    <row r="162">
      <c r="A162" s="2"/>
      <c r="B162" s="2"/>
      <c r="C162" s="2"/>
      <c r="D162" s="2"/>
      <c r="E162" s="2"/>
      <c r="F162" s="2"/>
      <c r="G162" s="2"/>
      <c r="H162" s="2"/>
      <c r="I162" s="2"/>
      <c r="J162" s="2"/>
      <c r="K162" s="2"/>
    </row>
    <row r="163">
      <c r="B163" s="142" t="s">
        <v>73</v>
      </c>
      <c r="C163" s="127"/>
      <c r="D163" s="127"/>
      <c r="E163" s="127"/>
      <c r="F163" s="127"/>
      <c r="G163" s="127"/>
      <c r="H163" s="127"/>
      <c r="I163" s="127"/>
      <c r="J163" s="127"/>
      <c r="K163" s="127"/>
    </row>
    <row r="164">
      <c r="B164" s="128" t="s">
        <v>74</v>
      </c>
      <c r="C164" s="130" t="s">
        <v>564</v>
      </c>
      <c r="D164" s="127"/>
      <c r="E164" s="127"/>
      <c r="F164" s="127"/>
      <c r="G164" s="127"/>
      <c r="H164" s="127"/>
      <c r="I164" s="127"/>
      <c r="J164" s="127"/>
      <c r="K164" s="127"/>
    </row>
    <row r="165">
      <c r="B165" s="128"/>
      <c r="C165" s="130" t="s">
        <v>565</v>
      </c>
      <c r="D165" s="127"/>
      <c r="E165" s="127"/>
      <c r="F165" s="127"/>
      <c r="G165" s="127"/>
      <c r="H165" s="127"/>
      <c r="I165" s="127"/>
      <c r="J165" s="127"/>
      <c r="K165" s="127"/>
    </row>
    <row r="166">
      <c r="B166" s="128"/>
      <c r="C166" s="130" t="s">
        <v>566</v>
      </c>
      <c r="D166" s="127"/>
      <c r="E166" s="127"/>
      <c r="F166" s="127"/>
      <c r="G166" s="127"/>
      <c r="H166" s="127"/>
      <c r="I166" s="127"/>
      <c r="J166" s="127"/>
      <c r="K166" s="127"/>
    </row>
    <row r="167">
      <c r="B167" s="128"/>
      <c r="C167" s="130" t="s">
        <v>567</v>
      </c>
      <c r="D167" s="127"/>
      <c r="E167" s="127"/>
      <c r="F167" s="127"/>
      <c r="G167" s="127"/>
      <c r="H167" s="127"/>
      <c r="I167" s="127"/>
      <c r="J167" s="127"/>
      <c r="K167" s="127"/>
    </row>
    <row r="168">
      <c r="B168" s="128"/>
      <c r="C168" s="130" t="s">
        <v>568</v>
      </c>
      <c r="D168" s="127"/>
      <c r="E168" s="127"/>
      <c r="F168" s="127"/>
      <c r="G168" s="127"/>
      <c r="H168" s="127"/>
      <c r="I168" s="127"/>
      <c r="J168" s="127"/>
      <c r="K168" s="127"/>
    </row>
    <row r="169">
      <c r="B169" s="128" t="s">
        <v>77</v>
      </c>
      <c r="C169" s="130" t="s">
        <v>569</v>
      </c>
      <c r="D169" s="127"/>
      <c r="E169" s="127"/>
      <c r="F169" s="127"/>
      <c r="G169" s="127"/>
      <c r="H169" s="127"/>
      <c r="I169" s="127"/>
      <c r="J169" s="127"/>
      <c r="K169" s="127"/>
    </row>
    <row r="170">
      <c r="B170" s="128"/>
      <c r="C170" s="130" t="s">
        <v>570</v>
      </c>
      <c r="D170" s="127"/>
      <c r="E170" s="127"/>
      <c r="F170" s="127"/>
      <c r="G170" s="127"/>
      <c r="H170" s="127"/>
      <c r="I170" s="127"/>
      <c r="J170" s="127"/>
      <c r="K170" s="127"/>
    </row>
    <row r="171">
      <c r="B171" s="128"/>
      <c r="C171" s="130" t="s">
        <v>571</v>
      </c>
      <c r="D171" s="127"/>
      <c r="E171" s="127"/>
      <c r="F171" s="127"/>
      <c r="G171" s="127"/>
      <c r="H171" s="127"/>
      <c r="I171" s="127"/>
      <c r="J171" s="127"/>
      <c r="K171" s="127"/>
    </row>
    <row r="172">
      <c r="B172" s="128"/>
      <c r="C172" s="130" t="s">
        <v>572</v>
      </c>
      <c r="D172" s="127"/>
      <c r="E172" s="127"/>
      <c r="F172" s="127"/>
      <c r="G172" s="127"/>
      <c r="H172" s="127"/>
      <c r="I172" s="127"/>
      <c r="J172" s="127"/>
      <c r="K172" s="127"/>
    </row>
    <row r="173">
      <c r="B173" s="128"/>
      <c r="C173" s="130" t="s">
        <v>573</v>
      </c>
      <c r="D173" s="127"/>
      <c r="E173" s="127"/>
      <c r="F173" s="127"/>
      <c r="G173" s="127"/>
      <c r="H173" s="127"/>
      <c r="I173" s="127"/>
      <c r="J173" s="127"/>
      <c r="K173" s="127"/>
    </row>
  </sheetData>
  <legacyDrawing r:id="rId2"/>
</worksheet>
</file>

<file path=xl/worksheets/sheet10.xml><?xml version="1.0" encoding="utf-8"?>
<worksheet xmlns="http://schemas.openxmlformats.org/spreadsheetml/2006/main" xmlns:r="http://schemas.openxmlformats.org/officeDocument/2006/relationships">
  <dimension ref="A1:K52"/>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574</v>
      </c>
      <c r="C3" s="2"/>
      <c r="D3" s="2"/>
      <c r="E3" s="2"/>
      <c r="F3" s="2"/>
      <c r="G3" s="2"/>
      <c r="H3" s="2"/>
      <c r="I3" s="2"/>
      <c r="J3" s="2"/>
      <c r="K3" s="2"/>
    </row>
    <row r="4">
      <c r="A4" s="2"/>
      <c r="B4" s="1" t="s">
        <v>575</v>
      </c>
      <c r="C4" s="2"/>
      <c r="D4" s="2"/>
      <c r="E4" s="2"/>
      <c r="F4" s="2"/>
      <c r="G4" s="2"/>
      <c r="H4" s="2"/>
      <c r="I4" s="2"/>
      <c r="J4" s="2"/>
      <c r="K4" s="2"/>
    </row>
    <row r="5">
      <c r="A5" s="2"/>
      <c r="B5" s="16" t="s">
        <v>3</v>
      </c>
      <c r="C5" s="9" t="s">
        <v>105</v>
      </c>
      <c r="D5" s="9" t="s">
        <v>106</v>
      </c>
      <c r="E5" s="9" t="s">
        <v>9</v>
      </c>
      <c r="F5" s="9" t="s">
        <v>107</v>
      </c>
      <c r="G5" s="9" t="s">
        <v>108</v>
      </c>
      <c r="H5" s="9" t="s">
        <v>109</v>
      </c>
      <c r="I5" s="9" t="s">
        <v>11</v>
      </c>
      <c r="J5" s="9" t="s">
        <v>4</v>
      </c>
      <c r="K5" s="134" t="s">
        <v>12</v>
      </c>
    </row>
    <row r="6">
      <c r="A6" s="2"/>
      <c r="B6" s="12" t="s">
        <v>13</v>
      </c>
      <c r="C6" s="20">
        <v>45747</v>
      </c>
      <c r="D6" s="20">
        <v>45838</v>
      </c>
      <c r="E6" s="20">
        <v>45930</v>
      </c>
      <c r="F6" s="20">
        <v>46022</v>
      </c>
      <c r="G6" s="20">
        <v>46022</v>
      </c>
      <c r="H6" s="20">
        <v>46112</v>
      </c>
      <c r="I6" s="20">
        <v>46203</v>
      </c>
      <c r="J6" s="20">
        <v>46295</v>
      </c>
      <c r="K6" s="133"/>
    </row>
    <row r="7">
      <c r="A7" s="2"/>
      <c r="B7" s="6" t="s">
        <v>14</v>
      </c>
      <c r="C7" s="10">
        <f>C6-EOMONTH(C6,-3)</f>
        <v>90</v>
      </c>
      <c r="D7" s="10">
        <f>D6-C6</f>
        <v>91</v>
      </c>
      <c r="E7" s="10">
        <f>E6-D6</f>
        <v>92</v>
      </c>
      <c r="F7" s="10">
        <f>F6-E6</f>
        <v>92</v>
      </c>
      <c r="G7" s="10">
        <f>G6-EOMONTH(G6,-12)</f>
        <v>365</v>
      </c>
      <c r="H7" s="10">
        <f>H6-F6</f>
        <v>90</v>
      </c>
      <c r="I7" s="10">
        <f>I6-H6</f>
        <v>91</v>
      </c>
      <c r="J7" s="10">
        <f>J6-I6</f>
        <v>92</v>
      </c>
      <c r="K7" s="126"/>
    </row>
    <row r="8">
      <c r="A8" s="2"/>
      <c r="B8" s="2"/>
      <c r="C8" s="2"/>
      <c r="D8" s="2"/>
      <c r="E8" s="2"/>
      <c r="F8" s="2"/>
      <c r="G8" s="2"/>
      <c r="H8" s="2"/>
      <c r="I8" s="2"/>
      <c r="J8" s="2"/>
      <c r="K8" s="124"/>
    </row>
    <row r="9">
      <c r="A9" s="2"/>
      <c r="B9" s="3" t="s">
        <v>576</v>
      </c>
      <c r="C9" s="37">
        <v>7610.862311</v>
      </c>
      <c r="D9" s="43">
        <f>C16</f>
        <v>7560.084716</v>
      </c>
      <c r="E9" s="43">
        <f>D16</f>
        <v>7436.679485</v>
      </c>
      <c r="F9" s="43">
        <f>E16</f>
        <v>7329.421929</v>
      </c>
      <c r="G9" s="43">
        <f>C9</f>
        <v>7610.862311</v>
      </c>
      <c r="H9" s="43">
        <f>F16</f>
        <v>7212.464345</v>
      </c>
      <c r="I9" s="43">
        <f>H16</f>
        <v>7129.908032</v>
      </c>
      <c r="J9" s="38">
        <f>I16</f>
        <v>7017.96746</v>
      </c>
      <c r="K9" s="125" t="s">
        <v>577</v>
      </c>
    </row>
    <row r="10">
      <c r="A10" s="2"/>
      <c r="B10" s="3" t="s">
        <v>578</v>
      </c>
      <c r="C10" s="43" t="s">
        <v>116</v>
      </c>
      <c r="D10" s="43" t="s">
        <v>116</v>
      </c>
      <c r="E10" s="43" t="s">
        <v>116</v>
      </c>
      <c r="F10" s="43" t="s">
        <v>116</v>
      </c>
      <c r="G10" s="37">
        <v>-451.9</v>
      </c>
      <c r="H10" s="43" t="s">
        <v>116</v>
      </c>
      <c r="I10" s="43" t="s">
        <v>116</v>
      </c>
      <c r="J10" s="38">
        <f>-J21/J24</f>
        <v>-100.84033613445378</v>
      </c>
      <c r="K10" s="125" t="s">
        <v>579</v>
      </c>
    </row>
    <row r="11">
      <c r="A11" s="2"/>
      <c r="B11" s="47" t="s">
        <v>133</v>
      </c>
      <c r="C11" s="7"/>
      <c r="D11" s="7"/>
      <c r="E11" s="7"/>
      <c r="F11" s="7"/>
      <c r="G11" s="7"/>
      <c r="H11" s="40" t="str">
        <f>IF(OR(H10="",C10=""),"n.a.",IFERROR(IF(C10&lt;=0,"n.m.",IF(H10/C10&lt;=0,"n.m.",H10/C10-1)),"n.a."))</f>
        <v>n.a.</v>
      </c>
      <c r="I11" s="40" t="str">
        <f>IF(OR(I10="",D10=""),"n.a.",IFERROR(IF(D10&lt;=0,"n.m.",IF(I10/D10&lt;=0,"n.m.",I10/D10-1)),"n.a."))</f>
        <v>n.a.</v>
      </c>
      <c r="J11" s="45" t="str">
        <f>IF(OR(J10="",E10=""),"n.a.",IFERROR(IF(E10&lt;=0,"n.m.",IF(J10/E10&lt;=0,"n.m.",J10/E10-1)),"n.a."))</f>
        <v>n.a.</v>
      </c>
      <c r="K11" s="124"/>
    </row>
    <row r="12">
      <c r="A12" s="2"/>
      <c r="B12" s="47" t="s">
        <v>134</v>
      </c>
      <c r="C12" s="7"/>
      <c r="D12" s="41" t="str">
        <f>IF(OR(D10="",C10=""),"n.a.",IFERROR(D10-C10,"n.a."))</f>
        <v>n.a.</v>
      </c>
      <c r="E12" s="41" t="str">
        <f>IF(OR(E10="",D10=""),"n.a.",IFERROR(E10-D10,"n.a."))</f>
        <v>n.a.</v>
      </c>
      <c r="F12" s="41" t="str">
        <f>IF(OR(F10="",E10=""),"n.a.",IFERROR(F10-E10,"n.a."))</f>
        <v>n.a.</v>
      </c>
      <c r="G12" s="7"/>
      <c r="H12" s="41" t="str">
        <f>IF(OR(H10="",F10=""),"n.a.",IFERROR(H10-F10,"n.a."))</f>
        <v>n.a.</v>
      </c>
      <c r="I12" s="41" t="str">
        <f>IF(OR(I10="",H10=""),"n.a.",IFERROR(I10-H10,"n.a."))</f>
        <v>n.a.</v>
      </c>
      <c r="J12" s="52" t="str">
        <f>IF(OR(J10="",I10=""),"n.a.",IFERROR(J10-I10,"n.a."))</f>
        <v>n.a.</v>
      </c>
      <c r="K12" s="124"/>
    </row>
    <row r="13">
      <c r="A13" s="2"/>
      <c r="B13" s="3" t="s">
        <v>580</v>
      </c>
      <c r="C13" s="43" t="s">
        <v>116</v>
      </c>
      <c r="D13" s="43" t="s">
        <v>116</v>
      </c>
      <c r="E13" s="43" t="s">
        <v>116</v>
      </c>
      <c r="F13" s="43" t="s">
        <v>116</v>
      </c>
      <c r="G13" s="37">
        <v>53.5</v>
      </c>
      <c r="H13" s="43" t="s">
        <v>116</v>
      </c>
      <c r="I13" s="43" t="s">
        <v>116</v>
      </c>
      <c r="J13" s="75">
        <v>5</v>
      </c>
      <c r="K13" s="125" t="s">
        <v>579</v>
      </c>
    </row>
    <row r="14">
      <c r="A14" s="2"/>
      <c r="B14" s="47" t="s">
        <v>133</v>
      </c>
      <c r="C14" s="7"/>
      <c r="D14" s="7"/>
      <c r="E14" s="7"/>
      <c r="F14" s="7"/>
      <c r="G14" s="7"/>
      <c r="H14" s="40" t="str">
        <f>IF(OR(H13="",C13=""),"n.a.",IFERROR(IF(C13&lt;=0,"n.m.",IF(H13/C13&lt;=0,"n.m.",H13/C13-1)),"n.a."))</f>
        <v>n.a.</v>
      </c>
      <c r="I14" s="40" t="str">
        <f>IF(OR(I13="",D13=""),"n.a.",IFERROR(IF(D13&lt;=0,"n.m.",IF(I13/D13&lt;=0,"n.m.",I13/D13-1)),"n.a."))</f>
        <v>n.a.</v>
      </c>
      <c r="J14" s="45" t="str">
        <f>IF(OR(J13="",E13=""),"n.a.",IFERROR(IF(E13&lt;=0,"n.m.",IF(J13/E13&lt;=0,"n.m.",J13/E13-1)),"n.a."))</f>
        <v>n.a.</v>
      </c>
      <c r="K14" s="124"/>
    </row>
    <row r="15">
      <c r="A15" s="2"/>
      <c r="B15" s="47" t="s">
        <v>134</v>
      </c>
      <c r="C15" s="7"/>
      <c r="D15" s="41" t="str">
        <f>IF(OR(D13="",C13=""),"n.a.",IFERROR(D13-C13,"n.a."))</f>
        <v>n.a.</v>
      </c>
      <c r="E15" s="41" t="str">
        <f>IF(OR(E13="",D13=""),"n.a.",IFERROR(E13-D13,"n.a."))</f>
        <v>n.a.</v>
      </c>
      <c r="F15" s="41" t="str">
        <f>IF(OR(F13="",E13=""),"n.a.",IFERROR(F13-E13,"n.a."))</f>
        <v>n.a.</v>
      </c>
      <c r="G15" s="7"/>
      <c r="H15" s="41" t="str">
        <f>IF(OR(H13="",F13=""),"n.a.",IFERROR(H13-F13,"n.a."))</f>
        <v>n.a.</v>
      </c>
      <c r="I15" s="41" t="str">
        <f>IF(OR(I13="",H13=""),"n.a.",IFERROR(I13-H13,"n.a."))</f>
        <v>n.a.</v>
      </c>
      <c r="J15" s="52" t="str">
        <f>IF(OR(J13="",I13=""),"n.a.",IFERROR(J13-I13,"n.a."))</f>
        <v>n.a.</v>
      </c>
      <c r="K15" s="124"/>
    </row>
    <row r="16">
      <c r="A16" s="2"/>
      <c r="B16" s="18" t="s">
        <v>581</v>
      </c>
      <c r="C16" s="68">
        <v>7560.084716</v>
      </c>
      <c r="D16" s="68">
        <v>7436.679485</v>
      </c>
      <c r="E16" s="68">
        <v>7329.421929</v>
      </c>
      <c r="F16" s="68">
        <v>7212.464345</v>
      </c>
      <c r="G16" s="39">
        <f>F16</f>
        <v>7212.464345</v>
      </c>
      <c r="H16" s="68">
        <v>7129.908032</v>
      </c>
      <c r="I16" s="68">
        <v>7017.96746</v>
      </c>
      <c r="J16" s="50">
        <f>J9+J10+J13</f>
        <v>6922.127123865546</v>
      </c>
      <c r="K16" s="125" t="s">
        <v>127</v>
      </c>
    </row>
    <row r="17">
      <c r="A17" s="2"/>
      <c r="B17" s="47" t="s">
        <v>133</v>
      </c>
      <c r="C17" s="7"/>
      <c r="D17" s="7"/>
      <c r="E17" s="7"/>
      <c r="F17" s="7"/>
      <c r="G17" s="7"/>
      <c r="H17" s="40">
        <f>IF(OR(H16="",C16=""),"n.a.",IFERROR(IF(C16&lt;=0,"n.m.",IF(H16/C16&lt;=0,"n.m.",H16/C16-1)),"n.a."))</f>
        <v>-0.056901040154958005</v>
      </c>
      <c r="I17" s="40">
        <f>IF(OR(I16="",D16=""),"n.a.",IFERROR(IF(D16&lt;=0,"n.m.",IF(I16/D16&lt;=0,"n.m.",I16/D16-1)),"n.a."))</f>
        <v>-0.056303626617841274</v>
      </c>
      <c r="J17" s="45">
        <f>IF(OR(J16="",E16=""),"n.a.",IFERROR(IF(E16&lt;=0,"n.m.",IF(J16/E16&lt;=0,"n.m.",J16/E16-1)),"n.a."))</f>
        <v>-0.05556984017019517</v>
      </c>
      <c r="K17" s="124"/>
    </row>
    <row r="18">
      <c r="A18" s="2"/>
      <c r="B18" s="47" t="s">
        <v>134</v>
      </c>
      <c r="C18" s="7"/>
      <c r="D18" s="41">
        <f>IF(OR(D16="",C16=""),"n.a.",IFERROR(D16-C16,"n.a."))</f>
        <v>-123.40523100000064</v>
      </c>
      <c r="E18" s="41">
        <f>IF(OR(E16="",D16=""),"n.a.",IFERROR(E16-D16,"n.a."))</f>
        <v>-107.25755599999957</v>
      </c>
      <c r="F18" s="41">
        <f>IF(OR(F16="",E16=""),"n.a.",IFERROR(F16-E16,"n.a."))</f>
        <v>-116.95758399999977</v>
      </c>
      <c r="G18" s="7"/>
      <c r="H18" s="41">
        <f>IF(OR(H16="",F16=""),"n.a.",IFERROR(H16-F16,"n.a."))</f>
        <v>-82.55631300000005</v>
      </c>
      <c r="I18" s="41">
        <f>IF(OR(I16="",H16=""),"n.a.",IFERROR(I16-H16,"n.a."))</f>
        <v>-111.94057200000043</v>
      </c>
      <c r="J18" s="52">
        <f>IF(OR(J16="",I16=""),"n.a.",IFERROR(J16-I16,"n.a."))</f>
        <v>-95.84033613445354</v>
      </c>
      <c r="K18" s="124"/>
    </row>
    <row r="19">
      <c r="A19" s="2"/>
      <c r="B19" s="61" t="s">
        <v>582</v>
      </c>
      <c r="C19" s="41">
        <f>C16-C9</f>
        <v>-50.777594999999565</v>
      </c>
      <c r="D19" s="41">
        <f>D16-D9</f>
        <v>-123.40523100000064</v>
      </c>
      <c r="E19" s="41">
        <f>E16-E9</f>
        <v>-107.25755599999957</v>
      </c>
      <c r="F19" s="41">
        <f>F16-F9</f>
        <v>-116.95758399999977</v>
      </c>
      <c r="G19" s="41">
        <f>G16-G9</f>
        <v>-398.39796599999954</v>
      </c>
      <c r="H19" s="41">
        <f>H16-H9</f>
        <v>-82.55631300000005</v>
      </c>
      <c r="I19" s="41">
        <f>I16-I9</f>
        <v>-111.94057200000043</v>
      </c>
      <c r="J19" s="52">
        <f>J16-J9</f>
        <v>-95.84033613445354</v>
      </c>
      <c r="K19" s="124"/>
    </row>
    <row r="20">
      <c r="A20" s="2"/>
      <c r="B20" s="61" t="s">
        <v>583</v>
      </c>
      <c r="C20" s="7"/>
      <c r="D20" s="7"/>
      <c r="E20" s="7"/>
      <c r="F20" s="7"/>
      <c r="G20" s="41">
        <f>ROUND(G9+G10+G13-G16,1)</f>
        <v>0</v>
      </c>
      <c r="H20" s="7"/>
      <c r="I20" s="7"/>
      <c r="J20" s="46"/>
      <c r="K20" s="124"/>
    </row>
    <row r="21">
      <c r="A21" s="2"/>
      <c r="B21" s="3" t="s">
        <v>584</v>
      </c>
      <c r="C21" s="58">
        <f>-'Cash Flow Statement'!C103</f>
        <v>4521</v>
      </c>
      <c r="D21" s="58">
        <f>-'Cash Flow Statement'!D103</f>
        <v>5302</v>
      </c>
      <c r="E21" s="58">
        <f>-'Cash Flow Statement'!E103</f>
        <v>5300</v>
      </c>
      <c r="F21" s="58">
        <f>-'Cash Flow Statement'!F103</f>
        <v>6310</v>
      </c>
      <c r="G21" s="58">
        <f>-'Cash Flow Statement'!G103</f>
        <v>21433</v>
      </c>
      <c r="H21" s="58">
        <f>-'Cash Flow Statement'!H103</f>
        <v>7240</v>
      </c>
      <c r="I21" s="58">
        <f>-'Cash Flow Statement'!I103</f>
        <v>6006</v>
      </c>
      <c r="J21" s="75">
        <v>6000</v>
      </c>
      <c r="K21" s="124"/>
    </row>
    <row r="22">
      <c r="A22" s="2"/>
      <c r="B22" s="47" t="s">
        <v>133</v>
      </c>
      <c r="C22" s="7"/>
      <c r="D22" s="7"/>
      <c r="E22" s="7"/>
      <c r="F22" s="7"/>
      <c r="G22" s="7"/>
      <c r="H22" s="40">
        <f>IF(OR(H21="",C21=""),"n.a.",IFERROR(IF(C21&lt;=0,"n.m.",IF(H21/C21&lt;=0,"n.m.",H21/C21-1)),"n.a."))</f>
        <v>0.6014156160141562</v>
      </c>
      <c r="I22" s="40">
        <f>IF(OR(I21="",D21=""),"n.a.",IFERROR(IF(D21&lt;=0,"n.m.",IF(I21/D21&lt;=0,"n.m.",I21/D21-1)),"n.a."))</f>
        <v>0.13278008298755184</v>
      </c>
      <c r="J22" s="45">
        <f>IF(OR(J21="",E21=""),"n.a.",IFERROR(IF(E21&lt;=0,"n.m.",IF(J21/E21&lt;=0,"n.m.",J21/E21-1)),"n.a."))</f>
        <v>0.13207547169811318</v>
      </c>
      <c r="K22" s="124"/>
    </row>
    <row r="23">
      <c r="A23" s="2"/>
      <c r="B23" s="47" t="s">
        <v>134</v>
      </c>
      <c r="C23" s="7"/>
      <c r="D23" s="41">
        <f>IF(OR(D21="",C21=""),"n.a.",IFERROR(D21-C21,"n.a."))</f>
        <v>781</v>
      </c>
      <c r="E23" s="41">
        <f>IF(OR(E21="",D21=""),"n.a.",IFERROR(E21-D21,"n.a."))</f>
        <v>-2</v>
      </c>
      <c r="F23" s="41">
        <f>IF(OR(F21="",E21=""),"n.a.",IFERROR(F21-E21,"n.a."))</f>
        <v>1010</v>
      </c>
      <c r="G23" s="7"/>
      <c r="H23" s="41">
        <f>IF(OR(H21="",F21=""),"n.a.",IFERROR(H21-F21,"n.a."))</f>
        <v>930</v>
      </c>
      <c r="I23" s="41">
        <f>IF(OR(I21="",H21=""),"n.a.",IFERROR(I21-H21,"n.a."))</f>
        <v>-1234</v>
      </c>
      <c r="J23" s="52">
        <f>IF(OR(J21="",I21=""),"n.a.",IFERROR(J21-I21,"n.a."))</f>
        <v>-6</v>
      </c>
      <c r="K23" s="124"/>
    </row>
    <row r="24">
      <c r="A24" s="2"/>
      <c r="B24" s="3" t="s">
        <v>585</v>
      </c>
      <c r="C24" s="63" t="s">
        <v>116</v>
      </c>
      <c r="D24" s="63" t="s">
        <v>116</v>
      </c>
      <c r="E24" s="63" t="s">
        <v>116</v>
      </c>
      <c r="F24" s="63" t="s">
        <v>116</v>
      </c>
      <c r="G24" s="63">
        <f>G21/-G10</f>
        <v>47.42863465368445</v>
      </c>
      <c r="H24" s="63" t="s">
        <v>116</v>
      </c>
      <c r="I24" s="63" t="s">
        <v>116</v>
      </c>
      <c r="J24" s="66">
        <v>59.5</v>
      </c>
      <c r="K24" s="124"/>
    </row>
    <row r="25">
      <c r="A25" s="2"/>
      <c r="B25" s="47" t="s">
        <v>133</v>
      </c>
      <c r="C25" s="7"/>
      <c r="D25" s="7"/>
      <c r="E25" s="7"/>
      <c r="F25" s="7"/>
      <c r="G25" s="7"/>
      <c r="H25" s="40" t="str">
        <f>IF(OR(H24="",C24=""),"n.a.",IFERROR(IF(C24&lt;=0,"n.m.",IF(H24/C24&lt;=0,"n.m.",H24/C24-1)),"n.a."))</f>
        <v>n.a.</v>
      </c>
      <c r="I25" s="40" t="str">
        <f>IF(OR(I24="",D24=""),"n.a.",IFERROR(IF(D24&lt;=0,"n.m.",IF(I24/D24&lt;=0,"n.m.",I24/D24-1)),"n.a."))</f>
        <v>n.a.</v>
      </c>
      <c r="J25" s="45" t="str">
        <f>IF(OR(J24="",E24=""),"n.a.",IFERROR(IF(E24&lt;=0,"n.m.",IF(J24/E24&lt;=0,"n.m.",J24/E24-1)),"n.a."))</f>
        <v>n.a.</v>
      </c>
      <c r="K25" s="124"/>
    </row>
    <row r="26">
      <c r="A26" s="2"/>
      <c r="B26" s="47" t="s">
        <v>134</v>
      </c>
      <c r="C26" s="7"/>
      <c r="D26" s="41" t="str">
        <f>IF(OR(D24="",C24=""),"n.a.",IFERROR(D24-C24,"n.a."))</f>
        <v>n.a.</v>
      </c>
      <c r="E26" s="41" t="str">
        <f>IF(OR(E24="",D24=""),"n.a.",IFERROR(E24-D24,"n.a."))</f>
        <v>n.a.</v>
      </c>
      <c r="F26" s="41" t="str">
        <f>IF(OR(F24="",E24=""),"n.a.",IFERROR(F24-E24,"n.a."))</f>
        <v>n.a.</v>
      </c>
      <c r="G26" s="7"/>
      <c r="H26" s="41" t="str">
        <f>IF(OR(H24="",F24=""),"n.a.",IFERROR(H24-F24,"n.a."))</f>
        <v>n.a.</v>
      </c>
      <c r="I26" s="41" t="str">
        <f>IF(OR(I24="",H24=""),"n.a.",IFERROR(I24-H24,"n.a."))</f>
        <v>n.a.</v>
      </c>
      <c r="J26" s="52" t="str">
        <f>IF(OR(J24="",I24=""),"n.a.",IFERROR(J24-I24,"n.a."))</f>
        <v>n.a.</v>
      </c>
      <c r="K26" s="124"/>
    </row>
    <row r="27">
      <c r="A27" s="2"/>
      <c r="B27" s="3" t="s">
        <v>586</v>
      </c>
      <c r="C27" s="7"/>
      <c r="D27" s="7"/>
      <c r="E27" s="7"/>
      <c r="F27" s="7"/>
      <c r="G27" s="7"/>
      <c r="H27" s="7"/>
      <c r="I27" s="37">
        <v>6992.748365</v>
      </c>
      <c r="J27" s="46"/>
      <c r="K27" s="125" t="s">
        <v>587</v>
      </c>
    </row>
    <row r="28">
      <c r="A28" s="2"/>
      <c r="B28" s="18" t="s">
        <v>588</v>
      </c>
      <c r="C28" s="7"/>
      <c r="D28" s="7"/>
      <c r="E28" s="7"/>
      <c r="F28" s="7"/>
      <c r="G28" s="7"/>
      <c r="H28" s="7"/>
      <c r="I28" s="7"/>
      <c r="J28" s="46"/>
      <c r="K28" s="124"/>
    </row>
    <row r="29">
      <c r="A29" s="2"/>
      <c r="B29" s="3" t="s">
        <v>589</v>
      </c>
      <c r="C29" s="43">
        <f>(C9+C16)/2</f>
        <v>7585.4735135</v>
      </c>
      <c r="D29" s="43">
        <f>(D9+D16)/2</f>
        <v>7498.3821005</v>
      </c>
      <c r="E29" s="43">
        <f>(E9+E16)/2</f>
        <v>7383.050707</v>
      </c>
      <c r="F29" s="43">
        <f>(F9+F16)/2</f>
        <v>7270.943137</v>
      </c>
      <c r="G29" s="7"/>
      <c r="H29" s="43">
        <f>(H9+H16)/2</f>
        <v>7171.1861885</v>
      </c>
      <c r="I29" s="43">
        <f>(I9+I16)/2</f>
        <v>7073.937746</v>
      </c>
      <c r="J29" s="38">
        <f>(J9+J16)/2</f>
        <v>6970.047291932773</v>
      </c>
      <c r="K29" s="124"/>
    </row>
    <row r="30">
      <c r="A30" s="2"/>
      <c r="B30" s="3" t="s">
        <v>590</v>
      </c>
      <c r="C30" s="58">
        <f>'Income Statement'!C306-C29</f>
        <v>92.42648649999956</v>
      </c>
      <c r="D30" s="58">
        <f>'Income Statement'!D306-D29</f>
        <v>82.81789949999984</v>
      </c>
      <c r="E30" s="58">
        <f>'Income Statement'!E306-E29</f>
        <v>82.94929299999967</v>
      </c>
      <c r="F30" s="58">
        <f>'Income Statement'!F306-F29</f>
        <v>93.95686299999943</v>
      </c>
      <c r="G30" s="7"/>
      <c r="H30" s="58">
        <f>'Income Statement'!H306-H29</f>
        <v>84.91381150000052</v>
      </c>
      <c r="I30" s="58">
        <f>'Income Statement'!I306-I29</f>
        <v>77.26225400000021</v>
      </c>
      <c r="J30" s="38">
        <f>AVERAGE(E30,F30,H30,I30)</f>
        <v>84.77055537499996</v>
      </c>
      <c r="K30" s="124"/>
    </row>
    <row r="31">
      <c r="A31" s="2"/>
      <c r="B31" s="47" t="s">
        <v>133</v>
      </c>
      <c r="C31" s="7"/>
      <c r="D31" s="7"/>
      <c r="E31" s="7"/>
      <c r="F31" s="7"/>
      <c r="G31" s="7"/>
      <c r="H31" s="40">
        <f>IF(OR(H30="",C30=""),"n.a.",IFERROR(IF(C30&lt;=0,"n.m.",IF(H30/C30&lt;=0,"n.m.",H30/C30-1)),"n.a."))</f>
        <v>-0.08128270677041338</v>
      </c>
      <c r="I31" s="40">
        <f>IF(OR(I30="",D30=""),"n.a.",IFERROR(IF(D30&lt;=0,"n.m.",IF(I30/D30&lt;=0,"n.m.",I30/D30-1)),"n.a."))</f>
        <v>-0.06708266610890845</v>
      </c>
      <c r="J31" s="45">
        <f>IF(OR(J30="",E30=""),"n.a.",IFERROR(IF(E30&lt;=0,"n.m.",IF(J30/E30&lt;=0,"n.m.",J30/E30-1)),"n.a."))</f>
        <v>0.02195633391354268</v>
      </c>
      <c r="K31" s="124"/>
    </row>
    <row r="32">
      <c r="A32" s="2"/>
      <c r="B32" s="47" t="s">
        <v>134</v>
      </c>
      <c r="C32" s="7"/>
      <c r="D32" s="41">
        <f>IF(OR(D30="",C30=""),"n.a.",IFERROR(D30-C30,"n.a."))</f>
        <v>-9.608586999999716</v>
      </c>
      <c r="E32" s="41">
        <f>IF(OR(E30="",D30=""),"n.a.",IFERROR(E30-D30,"n.a."))</f>
        <v>0.13139349999983096</v>
      </c>
      <c r="F32" s="41">
        <f>IF(OR(F30="",E30=""),"n.a.",IFERROR(F30-E30,"n.a."))</f>
        <v>11.00756999999976</v>
      </c>
      <c r="G32" s="7"/>
      <c r="H32" s="41">
        <f>IF(OR(H30="",F30=""),"n.a.",IFERROR(H30-F30,"n.a."))</f>
        <v>-9.04305149999891</v>
      </c>
      <c r="I32" s="41">
        <f>IF(OR(I30="",H30=""),"n.a.",IFERROR(I30-H30,"n.a."))</f>
        <v>-7.651557500000308</v>
      </c>
      <c r="J32" s="52">
        <f>IF(OR(J30="",I30=""),"n.a.",IFERROR(J30-I30,"n.a."))</f>
        <v>7.508301374999746</v>
      </c>
      <c r="K32" s="124"/>
    </row>
    <row r="33">
      <c r="A33" s="2"/>
      <c r="B33" s="3" t="s">
        <v>591</v>
      </c>
      <c r="C33" s="58">
        <f>'Income Statement'!C306</f>
        <v>7677.9</v>
      </c>
      <c r="D33" s="58">
        <f>'Income Statement'!D306</f>
        <v>7581.2</v>
      </c>
      <c r="E33" s="58">
        <f>'Income Statement'!E306</f>
        <v>7466</v>
      </c>
      <c r="F33" s="58">
        <f>'Income Statement'!F306</f>
        <v>7364.9</v>
      </c>
      <c r="G33" s="58">
        <f>'Income Statement'!G306</f>
        <v>7521.9</v>
      </c>
      <c r="H33" s="58">
        <f>'Income Statement'!H306</f>
        <v>7256.1</v>
      </c>
      <c r="I33" s="58">
        <f>'Income Statement'!I306</f>
        <v>7151.2</v>
      </c>
      <c r="J33" s="38">
        <f>J29+J30</f>
        <v>7054.817847307773</v>
      </c>
      <c r="K33" s="124"/>
    </row>
    <row r="34">
      <c r="A34" s="2"/>
      <c r="B34" s="47" t="s">
        <v>133</v>
      </c>
      <c r="C34" s="7"/>
      <c r="D34" s="7"/>
      <c r="E34" s="7"/>
      <c r="F34" s="7"/>
      <c r="G34" s="7"/>
      <c r="H34" s="40">
        <f>IF(OR(H33="",C33=""),"n.a.",IFERROR(IF(C33&lt;=0,"n.m.",IF(H33/C33&lt;=0,"n.m.",H33/C33-1)),"n.a."))</f>
        <v>-0.054936896807720736</v>
      </c>
      <c r="I34" s="40">
        <f>IF(OR(I33="",D33=""),"n.a.",IFERROR(IF(D33&lt;=0,"n.m.",IF(I33/D33&lt;=0,"n.m.",I33/D33-1)),"n.a."))</f>
        <v>-0.0567192528887247</v>
      </c>
      <c r="J34" s="45">
        <f>IF(OR(J33="",E33=""),"n.a.",IFERROR(IF(E33&lt;=0,"n.m.",IF(J33/E33&lt;=0,"n.m.",J33/E33-1)),"n.a."))</f>
        <v>-0.05507395562446116</v>
      </c>
      <c r="K34" s="124"/>
    </row>
    <row r="35">
      <c r="A35" s="2"/>
      <c r="B35" s="47" t="s">
        <v>134</v>
      </c>
      <c r="C35" s="7"/>
      <c r="D35" s="41">
        <f>IF(OR(D33="",C33=""),"n.a.",IFERROR(D33-C33,"n.a."))</f>
        <v>-96.69999999999982</v>
      </c>
      <c r="E35" s="41">
        <f>IF(OR(E33="",D33=""),"n.a.",IFERROR(E33-D33,"n.a."))</f>
        <v>-115.19999999999982</v>
      </c>
      <c r="F35" s="41">
        <f>IF(OR(F33="",E33=""),"n.a.",IFERROR(F33-E33,"n.a."))</f>
        <v>-101.10000000000036</v>
      </c>
      <c r="G35" s="7"/>
      <c r="H35" s="41">
        <f>IF(OR(H33="",F33=""),"n.a.",IFERROR(H33-F33,"n.a."))</f>
        <v>-108.79999999999927</v>
      </c>
      <c r="I35" s="41">
        <f>IF(OR(I33="",H33=""),"n.a.",IFERROR(I33-H33,"n.a."))</f>
        <v>-104.90000000000055</v>
      </c>
      <c r="J35" s="52">
        <f>IF(OR(J33="",I33=""),"n.a.",IFERROR(J33-I33,"n.a."))</f>
        <v>-96.38215269222655</v>
      </c>
      <c r="K35" s="124"/>
    </row>
    <row r="36">
      <c r="A36" s="2"/>
      <c r="B36" s="3" t="s">
        <v>592</v>
      </c>
      <c r="C36" s="58">
        <f>'Income Statement'!C307-'Income Statement'!C306</f>
        <v>92.90000000000055</v>
      </c>
      <c r="D36" s="58">
        <f>'Income Statement'!D307-'Income Statement'!D306</f>
        <v>70.40000000000055</v>
      </c>
      <c r="E36" s="58">
        <f>'Income Statement'!E307-'Income Statement'!E306</f>
        <v>161.10000000000036</v>
      </c>
      <c r="F36" s="58">
        <f>'Income Statement'!F307-'Income Statement'!F306</f>
        <v>182</v>
      </c>
      <c r="G36" s="58">
        <f>'Income Statement'!G307-'Income Statement'!G306</f>
        <v>159</v>
      </c>
      <c r="H36" s="58">
        <f>'Income Statement'!H307-'Income Statement'!H306</f>
        <v>161.39999999999964</v>
      </c>
      <c r="I36" s="58">
        <f>'Income Statement'!I307-'Income Statement'!I306</f>
        <v>143</v>
      </c>
      <c r="J36" s="75">
        <v>145</v>
      </c>
      <c r="K36" s="124"/>
    </row>
    <row r="37">
      <c r="A37" s="2"/>
      <c r="B37" s="47" t="s">
        <v>133</v>
      </c>
      <c r="C37" s="7"/>
      <c r="D37" s="7"/>
      <c r="E37" s="7"/>
      <c r="F37" s="7"/>
      <c r="G37" s="7"/>
      <c r="H37" s="40">
        <f>IF(OR(H36="",C36=""),"n.a.",IFERROR(IF(C36&lt;=0,"n.m.",IF(H36/C36&lt;=0,"n.m.",H36/C36-1)),"n.a."))</f>
        <v>0.7373519913885758</v>
      </c>
      <c r="I37" s="40">
        <f>IF(OR(I36="",D36=""),"n.a.",IFERROR(IF(D36&lt;=0,"n.m.",IF(I36/D36&lt;=0,"n.m.",I36/D36-1)),"n.a."))</f>
        <v>1.0312499999999845</v>
      </c>
      <c r="J37" s="45">
        <f>IF(OR(J36="",E36=""),"n.a.",IFERROR(IF(E36&lt;=0,"n.m.",IF(J36/E36&lt;=0,"n.m.",J36/E36-1)),"n.a."))</f>
        <v>-0.09993792675357127</v>
      </c>
      <c r="K37" s="124"/>
    </row>
    <row r="38">
      <c r="A38" s="2"/>
      <c r="B38" s="47" t="s">
        <v>134</v>
      </c>
      <c r="C38" s="7"/>
      <c r="D38" s="41">
        <f>IF(OR(D36="",C36=""),"n.a.",IFERROR(D36-C36,"n.a."))</f>
        <v>-22.5</v>
      </c>
      <c r="E38" s="41">
        <f>IF(OR(E36="",D36=""),"n.a.",IFERROR(E36-D36,"n.a."))</f>
        <v>90.69999999999982</v>
      </c>
      <c r="F38" s="41">
        <f>IF(OR(F36="",E36=""),"n.a.",IFERROR(F36-E36,"n.a."))</f>
        <v>20.899999999999636</v>
      </c>
      <c r="G38" s="7"/>
      <c r="H38" s="41">
        <f>IF(OR(H36="",F36=""),"n.a.",IFERROR(H36-F36,"n.a."))</f>
        <v>-20.600000000000364</v>
      </c>
      <c r="I38" s="41">
        <f>IF(OR(I36="",H36=""),"n.a.",IFERROR(I36-H36,"n.a."))</f>
        <v>-18.399999999999636</v>
      </c>
      <c r="J38" s="52">
        <f>IF(OR(J36="",I36=""),"n.a.",IFERROR(J36-I36,"n.a."))</f>
        <v>2</v>
      </c>
      <c r="K38" s="124"/>
    </row>
    <row r="39">
      <c r="A39" s="2"/>
      <c r="B39" s="18" t="s">
        <v>593</v>
      </c>
      <c r="C39" s="65">
        <f>'Income Statement'!C307</f>
        <v>7770.8</v>
      </c>
      <c r="D39" s="65">
        <f>'Income Statement'!D307</f>
        <v>7651.6</v>
      </c>
      <c r="E39" s="65">
        <f>'Income Statement'!E307</f>
        <v>7627.1</v>
      </c>
      <c r="F39" s="65">
        <f>'Income Statement'!F307</f>
        <v>7546.9</v>
      </c>
      <c r="G39" s="65">
        <f>'Income Statement'!G307</f>
        <v>7680.9</v>
      </c>
      <c r="H39" s="65">
        <f>'Income Statement'!H307</f>
        <v>7417.5</v>
      </c>
      <c r="I39" s="65">
        <f>'Income Statement'!I307</f>
        <v>7294.2</v>
      </c>
      <c r="J39" s="50">
        <f>J33+J36</f>
        <v>7199.817847307773</v>
      </c>
      <c r="K39" s="124"/>
    </row>
    <row r="40">
      <c r="A40" s="2"/>
      <c r="B40" s="47" t="s">
        <v>133</v>
      </c>
      <c r="C40" s="7"/>
      <c r="D40" s="7"/>
      <c r="E40" s="7"/>
      <c r="F40" s="7"/>
      <c r="G40" s="7"/>
      <c r="H40" s="40">
        <f>IF(OR(H39="",C39=""),"n.a.",IFERROR(IF(C39&lt;=0,"n.m.",IF(H39/C39&lt;=0,"n.m.",H39/C39-1)),"n.a."))</f>
        <v>-0.0454650743810161</v>
      </c>
      <c r="I40" s="40">
        <f>IF(OR(I39="",D39=""),"n.a.",IFERROR(IF(D39&lt;=0,"n.m.",IF(I39/D39&lt;=0,"n.m.",I39/D39-1)),"n.a."))</f>
        <v>-0.04670918500705745</v>
      </c>
      <c r="J40" s="45">
        <f>IF(OR(J39="",E39=""),"n.a.",IFERROR(IF(E39&lt;=0,"n.m.",IF(J39/E39&lt;=0,"n.m.",J39/E39-1)),"n.a."))</f>
        <v>-0.05602157473905245</v>
      </c>
      <c r="K40" s="124"/>
    </row>
    <row r="41">
      <c r="A41" s="2"/>
      <c r="B41" s="47" t="s">
        <v>134</v>
      </c>
      <c r="C41" s="7"/>
      <c r="D41" s="41">
        <f>IF(OR(D39="",C39=""),"n.a.",IFERROR(D39-C39,"n.a."))</f>
        <v>-119.19999999999982</v>
      </c>
      <c r="E41" s="41">
        <f>IF(OR(E39="",D39=""),"n.a.",IFERROR(E39-D39,"n.a."))</f>
        <v>-24.5</v>
      </c>
      <c r="F41" s="41">
        <f>IF(OR(F39="",E39=""),"n.a.",IFERROR(F39-E39,"n.a."))</f>
        <v>-80.20000000000073</v>
      </c>
      <c r="G41" s="7"/>
      <c r="H41" s="41">
        <f>IF(OR(H39="",F39=""),"n.a.",IFERROR(H39-F39,"n.a."))</f>
        <v>-129.39999999999964</v>
      </c>
      <c r="I41" s="41">
        <f>IF(OR(I39="",H39=""),"n.a.",IFERROR(I39-H39,"n.a."))</f>
        <v>-123.30000000000018</v>
      </c>
      <c r="J41" s="52">
        <f>IF(OR(J39="",I39=""),"n.a.",IFERROR(J39-I39,"n.a."))</f>
        <v>-94.38215269222655</v>
      </c>
      <c r="K41" s="124"/>
    </row>
    <row r="42">
      <c r="A42" s="2"/>
      <c r="B42" s="18" t="s">
        <v>594</v>
      </c>
      <c r="C42" s="7"/>
      <c r="D42" s="7"/>
      <c r="E42" s="7"/>
      <c r="F42" s="7"/>
      <c r="G42" s="7"/>
      <c r="H42" s="7"/>
      <c r="I42" s="7"/>
      <c r="J42" s="46"/>
      <c r="K42" s="124"/>
    </row>
    <row r="43">
      <c r="A43" s="2"/>
      <c r="B43" s="3" t="s">
        <v>595</v>
      </c>
      <c r="C43" s="64">
        <v>0.26</v>
      </c>
      <c r="D43" s="64">
        <v>0.26</v>
      </c>
      <c r="E43" s="64">
        <v>0.28</v>
      </c>
      <c r="F43" s="64">
        <v>0.28</v>
      </c>
      <c r="G43" s="64">
        <v>1.08</v>
      </c>
      <c r="H43" s="64">
        <v>0.28</v>
      </c>
      <c r="I43" s="64">
        <v>0.28</v>
      </c>
      <c r="J43" s="66">
        <v>0.32</v>
      </c>
      <c r="K43" s="125" t="s">
        <v>127</v>
      </c>
    </row>
    <row r="44">
      <c r="A44" s="2"/>
      <c r="B44" s="47" t="s">
        <v>133</v>
      </c>
      <c r="C44" s="7"/>
      <c r="D44" s="7"/>
      <c r="E44" s="7"/>
      <c r="F44" s="7"/>
      <c r="G44" s="7"/>
      <c r="H44" s="40">
        <f>IF(OR(H43="",C43=""),"n.a.",IFERROR(IF(C43&lt;=0,"n.m.",IF(H43/C43&lt;=0,"n.m.",H43/C43-1)),"n.a."))</f>
        <v>0.0769230769230771</v>
      </c>
      <c r="I44" s="40">
        <f>IF(OR(I43="",D43=""),"n.a.",IFERROR(IF(D43&lt;=0,"n.m.",IF(I43/D43&lt;=0,"n.m.",I43/D43-1)),"n.a."))</f>
        <v>0.0769230769230771</v>
      </c>
      <c r="J44" s="45">
        <f>IF(OR(J43="",E43=""),"n.a.",IFERROR(IF(E43&lt;=0,"n.m.",IF(J43/E43&lt;=0,"n.m.",J43/E43-1)),"n.a."))</f>
        <v>0.1428571428571428</v>
      </c>
      <c r="K44" s="124"/>
    </row>
    <row r="45">
      <c r="A45" s="2"/>
      <c r="B45" s="47" t="s">
        <v>134</v>
      </c>
      <c r="C45" s="7"/>
      <c r="D45" s="41">
        <f>IF(OR(D43="",C43=""),"n.a.",IFERROR(D43-C43,"n.a."))</f>
        <v>0</v>
      </c>
      <c r="E45" s="41">
        <f>IF(OR(E43="",D43=""),"n.a.",IFERROR(E43-D43,"n.a."))</f>
        <v>0.020000000000000018</v>
      </c>
      <c r="F45" s="41">
        <f>IF(OR(F43="",E43=""),"n.a.",IFERROR(F43-E43,"n.a."))</f>
        <v>0</v>
      </c>
      <c r="G45" s="7"/>
      <c r="H45" s="41">
        <f>IF(OR(H43="",F43=""),"n.a.",IFERROR(H43-F43,"n.a."))</f>
        <v>0</v>
      </c>
      <c r="I45" s="41">
        <f>IF(OR(I43="",H43=""),"n.a.",IFERROR(I43-H43,"n.a."))</f>
        <v>0</v>
      </c>
      <c r="J45" s="52">
        <f>IF(OR(J43="",I43=""),"n.a.",IFERROR(J43-I43,"n.a."))</f>
        <v>0.03999999999999998</v>
      </c>
      <c r="K45" s="124"/>
    </row>
    <row r="46">
      <c r="A46" s="2"/>
      <c r="B46" s="3" t="s">
        <v>596</v>
      </c>
      <c r="C46" s="7"/>
      <c r="D46" s="7"/>
      <c r="E46" s="7"/>
      <c r="F46" s="7"/>
      <c r="G46" s="7"/>
      <c r="H46" s="7"/>
      <c r="I46" s="7"/>
      <c r="J46" s="38">
        <f>J43*J33</f>
        <v>2257.5417111384877</v>
      </c>
      <c r="K46" s="124" t="s">
        <v>597</v>
      </c>
    </row>
    <row r="47">
      <c r="A47" s="2"/>
      <c r="B47" s="3" t="s">
        <v>47</v>
      </c>
      <c r="C47" s="58">
        <f>'Income Statement'!C299</f>
        <v>6954</v>
      </c>
      <c r="D47" s="58">
        <f>'Income Statement'!D299</f>
        <v>6879</v>
      </c>
      <c r="E47" s="58">
        <f>'Income Statement'!E299</f>
        <v>7903</v>
      </c>
      <c r="F47" s="58">
        <f>'Income Statement'!F299</f>
        <v>7319</v>
      </c>
      <c r="G47" s="58">
        <f>'Income Statement'!G299</f>
        <v>29055</v>
      </c>
      <c r="H47" s="58">
        <f>'Income Statement'!H299</f>
        <v>8155</v>
      </c>
      <c r="I47" s="58">
        <f>'Income Statement'!I299</f>
        <v>8748</v>
      </c>
      <c r="J47" s="48">
        <f>'Income Statement'!J299</f>
        <v>7984.829085083715</v>
      </c>
      <c r="K47" s="124"/>
    </row>
    <row r="48">
      <c r="A48" s="2"/>
      <c r="B48" s="3" t="s">
        <v>411</v>
      </c>
      <c r="C48" s="58">
        <f>'Income Statement'!C302</f>
        <v>0</v>
      </c>
      <c r="D48" s="58">
        <f>'Income Statement'!D302</f>
        <v>0</v>
      </c>
      <c r="E48" s="58">
        <f>'Income Statement'!E302</f>
        <v>56</v>
      </c>
      <c r="F48" s="58">
        <f>'Income Statement'!F302</f>
        <v>56</v>
      </c>
      <c r="G48" s="58">
        <f>'Income Statement'!G302</f>
        <v>224</v>
      </c>
      <c r="H48" s="58">
        <f>'Income Statement'!H302</f>
        <v>56</v>
      </c>
      <c r="I48" s="58">
        <f>'Income Statement'!I302</f>
        <v>56</v>
      </c>
      <c r="J48" s="48">
        <f>'Income Statement'!J302</f>
        <v>56</v>
      </c>
      <c r="K48" s="124"/>
    </row>
    <row r="49">
      <c r="A49" s="2"/>
      <c r="B49" s="18" t="s">
        <v>598</v>
      </c>
      <c r="C49" s="59">
        <f>(C47+C48)/C39</f>
        <v>0.8948885571627117</v>
      </c>
      <c r="D49" s="59">
        <f>(D47+D48)/D39</f>
        <v>0.8990276543468032</v>
      </c>
      <c r="E49" s="59">
        <f>(E47+E48)/E39</f>
        <v>1.043515884149939</v>
      </c>
      <c r="F49" s="59">
        <f>(F47+F48)/F39</f>
        <v>0.9772224357020763</v>
      </c>
      <c r="G49" s="59">
        <f>(G47+G48)/G39</f>
        <v>3.811923081930503</v>
      </c>
      <c r="H49" s="59">
        <f>(H47+H48)/H39</f>
        <v>1.1069767441860465</v>
      </c>
      <c r="I49" s="59">
        <f>(I47+I48)/I39</f>
        <v>1.2069863727345014</v>
      </c>
      <c r="J49" s="89">
        <f>(J47+J48)/J39</f>
        <v>1.116810071534021</v>
      </c>
      <c r="K49" s="124"/>
    </row>
    <row r="50">
      <c r="A50" s="2"/>
      <c r="B50" s="61" t="s">
        <v>599</v>
      </c>
      <c r="C50" s="60">
        <f>C49-'Income Statement'!C309</f>
        <v>0</v>
      </c>
      <c r="D50" s="60">
        <f>D49-'Income Statement'!D309</f>
        <v>0</v>
      </c>
      <c r="E50" s="60">
        <f>E49-'Income Statement'!E309</f>
        <v>0</v>
      </c>
      <c r="F50" s="60">
        <f>F49-'Income Statement'!F309</f>
        <v>0</v>
      </c>
      <c r="G50" s="60">
        <f>G49-'Income Statement'!G309</f>
        <v>0</v>
      </c>
      <c r="H50" s="60">
        <f>H49-'Income Statement'!H309</f>
        <v>0</v>
      </c>
      <c r="I50" s="60">
        <f>I49-'Income Statement'!I309</f>
        <v>0</v>
      </c>
      <c r="J50" s="67">
        <f>J49-'Income Statement'!J309</f>
        <v>0</v>
      </c>
      <c r="K50" s="124"/>
    </row>
    <row r="51">
      <c r="A51" s="2"/>
      <c r="B51" s="2"/>
      <c r="C51" s="2"/>
      <c r="D51" s="2"/>
      <c r="E51" s="2"/>
      <c r="F51" s="2"/>
      <c r="G51" s="2"/>
      <c r="H51" s="2"/>
      <c r="I51" s="2"/>
      <c r="J51" s="2"/>
      <c r="K51" s="2"/>
    </row>
    <row r="52">
      <c r="A52" s="2"/>
      <c r="B52" s="2"/>
      <c r="C52" s="2"/>
      <c r="D52" s="2"/>
      <c r="E52" s="2"/>
      <c r="F52" s="2"/>
      <c r="G52" s="2"/>
      <c r="H52" s="2"/>
      <c r="I52" s="2"/>
      <c r="J52" s="2"/>
      <c r="K52" s="2"/>
    </row>
  </sheetData>
  <legacyDrawing r:id="rId2"/>
</worksheet>
</file>

<file path=xl/worksheets/sheet11.xml><?xml version="1.0" encoding="utf-8"?>
<worksheet xmlns="http://schemas.openxmlformats.org/spreadsheetml/2006/main" xmlns:r="http://schemas.openxmlformats.org/officeDocument/2006/relationships">
  <dimension ref="A1:K39"/>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600</v>
      </c>
      <c r="C3" s="2"/>
      <c r="D3" s="2"/>
      <c r="E3" s="2"/>
      <c r="F3" s="2"/>
      <c r="G3" s="2"/>
      <c r="H3" s="2"/>
      <c r="I3" s="2"/>
      <c r="J3" s="2"/>
      <c r="K3" s="2"/>
    </row>
    <row r="4">
      <c r="A4" s="2"/>
      <c r="B4" s="1" t="s">
        <v>2</v>
      </c>
      <c r="C4" s="2"/>
      <c r="D4" s="2"/>
      <c r="E4" s="2"/>
      <c r="F4" s="2"/>
      <c r="G4" s="2"/>
      <c r="H4" s="2"/>
      <c r="I4" s="2"/>
      <c r="J4" s="2"/>
      <c r="K4" s="2"/>
    </row>
    <row r="5">
      <c r="A5" s="2"/>
      <c r="B5" s="16" t="s">
        <v>3</v>
      </c>
      <c r="C5" s="9" t="s">
        <v>4</v>
      </c>
      <c r="D5" s="25"/>
      <c r="E5" s="25"/>
      <c r="F5" s="25"/>
      <c r="G5" s="25"/>
      <c r="H5" s="25"/>
      <c r="I5" s="25"/>
      <c r="J5" s="25"/>
      <c r="K5" s="134" t="s">
        <v>12</v>
      </c>
    </row>
    <row r="6">
      <c r="A6" s="2"/>
      <c r="B6" s="12" t="s">
        <v>13</v>
      </c>
      <c r="C6" s="20">
        <v>46295</v>
      </c>
      <c r="D6" s="21"/>
      <c r="E6" s="21"/>
      <c r="F6" s="21"/>
      <c r="G6" s="21"/>
      <c r="H6" s="21"/>
      <c r="I6" s="21"/>
      <c r="J6" s="21"/>
      <c r="K6" s="133"/>
    </row>
    <row r="7">
      <c r="A7" s="2"/>
      <c r="B7" s="6" t="s">
        <v>14</v>
      </c>
      <c r="C7" s="10">
        <f>C6-EOMONTH(C6,-3)</f>
        <v>92</v>
      </c>
      <c r="D7" s="14"/>
      <c r="E7" s="14"/>
      <c r="F7" s="14"/>
      <c r="G7" s="14"/>
      <c r="H7" s="14"/>
      <c r="I7" s="14"/>
      <c r="J7" s="14"/>
      <c r="K7" s="126"/>
    </row>
    <row r="8">
      <c r="A8" s="2"/>
      <c r="B8" s="2"/>
      <c r="C8" s="2"/>
      <c r="D8" s="2"/>
      <c r="E8" s="2"/>
      <c r="F8" s="2"/>
      <c r="G8" s="2"/>
      <c r="H8" s="2"/>
      <c r="I8" s="2"/>
      <c r="J8" s="2"/>
      <c r="K8" s="124"/>
    </row>
    <row r="9" ht="25.5">
      <c r="A9" s="2"/>
      <c r="B9" s="18" t="s">
        <v>34</v>
      </c>
      <c r="C9" s="4" t="s">
        <v>601</v>
      </c>
      <c r="D9" s="4" t="s">
        <v>3</v>
      </c>
      <c r="E9" s="4" t="s">
        <v>602</v>
      </c>
      <c r="F9" s="4" t="s">
        <v>603</v>
      </c>
      <c r="G9" s="4" t="s">
        <v>604</v>
      </c>
      <c r="H9" s="4" t="s">
        <v>605</v>
      </c>
      <c r="I9" s="4" t="s">
        <v>606</v>
      </c>
      <c r="J9" s="4" t="s">
        <v>607</v>
      </c>
      <c r="K9" s="124"/>
    </row>
    <row r="10">
      <c r="A10" s="2"/>
      <c r="B10" s="18" t="s">
        <v>608</v>
      </c>
      <c r="C10" s="2"/>
      <c r="D10" s="2"/>
      <c r="E10" s="2"/>
      <c r="F10" s="2"/>
      <c r="G10" s="2"/>
      <c r="H10" s="2"/>
      <c r="I10" s="2"/>
      <c r="J10" s="2"/>
      <c r="K10" s="124"/>
    </row>
    <row r="11">
      <c r="A11" s="2"/>
      <c r="B11" s="3" t="s">
        <v>609</v>
      </c>
      <c r="C11" s="27">
        <v>46036</v>
      </c>
      <c r="D11" s="118" t="s">
        <v>610</v>
      </c>
      <c r="E11" s="23">
        <v>0.05</v>
      </c>
      <c r="F11" s="23">
        <v>0.07</v>
      </c>
      <c r="G11" s="11">
        <f>AVERAGE(E11,F11)</f>
        <v>0.060000000000000005</v>
      </c>
      <c r="H11" s="2"/>
      <c r="I11" s="118" t="str">
        <f>IF(H11="","Pending",IF(J11="Actual",IF(H11&gt;F11,"Beat",IF(H11&lt;E11,"Miss","In line")),IF(H11&gt;F11,"Above",IF(H11&lt;E11,"Below","Within"))))</f>
        <v>Pending</v>
      </c>
      <c r="J11" s="118" t="s">
        <v>611</v>
      </c>
      <c r="K11" s="125" t="s">
        <v>612</v>
      </c>
    </row>
    <row r="12">
      <c r="A12" s="2"/>
      <c r="B12" s="3" t="s">
        <v>609</v>
      </c>
      <c r="C12" s="27">
        <v>46127</v>
      </c>
      <c r="D12" s="118" t="s">
        <v>610</v>
      </c>
      <c r="E12" s="23">
        <v>0.06</v>
      </c>
      <c r="F12" s="23">
        <v>0.08</v>
      </c>
      <c r="G12" s="11">
        <f>AVERAGE(E12,F12)</f>
        <v>0.07</v>
      </c>
      <c r="H12" s="2"/>
      <c r="I12" s="118" t="str">
        <f>IF(H12="","Pending",IF(J12="Actual",IF(H12&gt;F12,"Beat",IF(H12&lt;E12,"Miss","In line")),IF(H12&gt;F12,"Above",IF(H12&lt;E12,"Below","Within"))))</f>
        <v>Pending</v>
      </c>
      <c r="J12" s="118" t="s">
        <v>611</v>
      </c>
      <c r="K12" s="125" t="s">
        <v>613</v>
      </c>
    </row>
    <row r="13">
      <c r="A13" s="2"/>
      <c r="B13" s="3" t="s">
        <v>614</v>
      </c>
      <c r="C13" s="27">
        <v>46217</v>
      </c>
      <c r="D13" s="118" t="s">
        <v>610</v>
      </c>
      <c r="E13" s="23">
        <v>0.07</v>
      </c>
      <c r="F13" s="23">
        <v>0.08</v>
      </c>
      <c r="G13" s="11">
        <f>AVERAGE(E13,F13)</f>
        <v>0.07500000000000001</v>
      </c>
      <c r="H13" s="2"/>
      <c r="I13" s="118" t="str">
        <f>IF(H13="","Pending",IF(J13="Actual",IF(H13&gt;F13,"Beat",IF(H13&lt;E13,"Miss","In line")),IF(H13&gt;F13,"Above",IF(H13&lt;E13,"Below","Within"))))</f>
        <v>Pending</v>
      </c>
      <c r="J13" s="118" t="s">
        <v>611</v>
      </c>
      <c r="K13" s="125" t="s">
        <v>612</v>
      </c>
    </row>
    <row r="14">
      <c r="A14" s="2"/>
      <c r="B14" s="3" t="s">
        <v>615</v>
      </c>
      <c r="C14" s="27">
        <v>46279</v>
      </c>
      <c r="D14" s="118" t="s">
        <v>610</v>
      </c>
      <c r="E14" s="23">
        <v>0.07</v>
      </c>
      <c r="F14" s="23">
        <v>0.08</v>
      </c>
      <c r="G14" s="11">
        <f>AVERAGE(E14,F14)</f>
        <v>0.07500000000000001</v>
      </c>
      <c r="H14" s="2"/>
      <c r="I14" s="118" t="str">
        <f>IF(H14="","Pending",IF(J14="Actual",IF(H14&gt;F14,"Beat",IF(H14&lt;E14,"Miss","In line")),IF(H14&gt;F14,"Above",IF(H14&lt;E14,"Below","Within"))))</f>
        <v>Pending</v>
      </c>
      <c r="J14" s="118" t="s">
        <v>611</v>
      </c>
      <c r="K14" s="125" t="s">
        <v>616</v>
      </c>
    </row>
    <row r="15">
      <c r="A15" s="2"/>
      <c r="B15" s="3" t="s">
        <v>617</v>
      </c>
      <c r="C15" s="27">
        <v>46217</v>
      </c>
      <c r="D15" s="118" t="s">
        <v>610</v>
      </c>
      <c r="E15" s="23">
        <v>0.03</v>
      </c>
      <c r="F15" s="23">
        <v>0.04</v>
      </c>
      <c r="G15" s="11">
        <f>AVERAGE(E15,F15)</f>
        <v>0.035</v>
      </c>
      <c r="H15" s="2"/>
      <c r="I15" s="118" t="str">
        <f>IF(H15="","Pending",IF(J15="Actual",IF(H15&gt;F15,"Beat",IF(H15&lt;E15,"Miss","In line")),IF(H15&gt;F15,"Above",IF(H15&lt;E15,"Below","Within"))))</f>
        <v>Pending</v>
      </c>
      <c r="J15" s="118" t="s">
        <v>611</v>
      </c>
      <c r="K15" s="125" t="s">
        <v>612</v>
      </c>
    </row>
    <row r="16">
      <c r="A16" s="2"/>
      <c r="B16" s="3" t="s">
        <v>618</v>
      </c>
      <c r="C16" s="27">
        <v>46127</v>
      </c>
      <c r="D16" s="118" t="s">
        <v>610</v>
      </c>
      <c r="E16" s="23">
        <v>0.2</v>
      </c>
      <c r="F16" s="23">
        <v>0.21</v>
      </c>
      <c r="G16" s="11">
        <f>AVERAGE(E16,F16)</f>
        <v>0.20500000000000002</v>
      </c>
      <c r="H16" s="2"/>
      <c r="I16" s="118" t="str">
        <f>IF(H16="","Pending",IF(J16="Actual",IF(H16&gt;F16,"Beat",IF(H16&lt;E16,"Miss","In line")),IF(H16&gt;F16,"Above",IF(H16&lt;E16,"Below","Within"))))</f>
        <v>Pending</v>
      </c>
      <c r="J16" s="118" t="s">
        <v>611</v>
      </c>
      <c r="K16" s="125" t="s">
        <v>613</v>
      </c>
    </row>
    <row r="17">
      <c r="A17" s="2"/>
      <c r="B17" s="3" t="s">
        <v>619</v>
      </c>
      <c r="C17" s="27">
        <v>46279</v>
      </c>
      <c r="D17" s="118" t="s">
        <v>620</v>
      </c>
      <c r="E17" s="13">
        <v>1600</v>
      </c>
      <c r="F17" s="13">
        <v>1800</v>
      </c>
      <c r="G17" s="15">
        <f>AVERAGE(E17,F17)</f>
        <v>1700</v>
      </c>
      <c r="H17" s="5">
        <f>'Income Statement'!J183</f>
        <v>1800</v>
      </c>
      <c r="I17" s="118" t="str">
        <f>IF(H17="","Pending",IF(J17="Actual",IF(H17&gt;F17,"Beat",IF(H17&lt;E17,"Miss","In line")),IF(H17&gt;F17,"Above",IF(H17&lt;E17,"Below","Within"))))</f>
        <v>Within</v>
      </c>
      <c r="J17" s="118" t="s">
        <v>621</v>
      </c>
      <c r="K17" s="125" t="s">
        <v>622</v>
      </c>
    </row>
    <row r="18">
      <c r="A18" s="2"/>
      <c r="B18" s="3" t="s">
        <v>623</v>
      </c>
      <c r="C18" s="2"/>
      <c r="D18" s="118"/>
      <c r="E18" s="23">
        <v>-0.02</v>
      </c>
      <c r="F18" s="23">
        <v>0.02</v>
      </c>
      <c r="G18" s="2"/>
      <c r="H18" s="2"/>
      <c r="I18" s="118"/>
      <c r="J18" s="118"/>
      <c r="K18" s="124"/>
    </row>
    <row r="19">
      <c r="A19" s="2"/>
      <c r="B19" s="3" t="s">
        <v>624</v>
      </c>
      <c r="C19" s="27">
        <v>46279</v>
      </c>
      <c r="D19" s="118" t="s">
        <v>620</v>
      </c>
      <c r="E19" s="5">
        <f>'Segment - Global Markets'!E22*(1+E18)</f>
        <v>5241.04</v>
      </c>
      <c r="F19" s="5">
        <f>'Segment - Global Markets'!E22*(1+F18)</f>
        <v>5454.96</v>
      </c>
      <c r="G19" s="15">
        <f>AVERAGE(E19,F19)</f>
        <v>5348</v>
      </c>
      <c r="H19" s="5">
        <f>'Segment - Global Markets'!J22</f>
        <v>5550</v>
      </c>
      <c r="I19" s="118" t="str">
        <f>IF(H19="","Pending",IF(J19="Actual",IF(H19&gt;F19,"Beat",IF(H19&lt;E19,"Miss","In line")),IF(H19&gt;F19,"Above",IF(H19&lt;E19,"Below","Within"))))</f>
        <v>Above</v>
      </c>
      <c r="J19" s="118" t="s">
        <v>621</v>
      </c>
      <c r="K19" s="125" t="s">
        <v>622</v>
      </c>
    </row>
    <row r="20">
      <c r="A20" s="2"/>
      <c r="B20" s="3" t="s">
        <v>625</v>
      </c>
      <c r="C20" s="2"/>
      <c r="D20" s="118"/>
      <c r="E20" s="23">
        <v>0.1</v>
      </c>
      <c r="F20" s="23">
        <v>0.15</v>
      </c>
      <c r="G20" s="2"/>
      <c r="H20" s="2"/>
      <c r="I20" s="118"/>
      <c r="J20" s="118"/>
      <c r="K20" s="124"/>
    </row>
    <row r="21">
      <c r="A21" s="2"/>
      <c r="B21" s="3" t="s">
        <v>626</v>
      </c>
      <c r="C21" s="27">
        <v>46279</v>
      </c>
      <c r="D21" s="118" t="s">
        <v>620</v>
      </c>
      <c r="E21" s="5">
        <f>'Income Statement'!E169*(1+E20)</f>
        <v>4369.200000000001</v>
      </c>
      <c r="F21" s="5">
        <f>'Income Statement'!E169*(1+F20)</f>
        <v>4567.799999999999</v>
      </c>
      <c r="G21" s="15">
        <f>AVERAGE(E21,F21)</f>
        <v>4468.5</v>
      </c>
      <c r="H21" s="5">
        <f>'Income Statement'!J169</f>
        <v>4574.927333165754</v>
      </c>
      <c r="I21" s="118" t="str">
        <f>IF(H21="","Pending",IF(J21="Actual",IF(H21&gt;F21,"Beat",IF(H21&lt;E21,"Miss","In line")),IF(H21&gt;F21,"Above",IF(H21&lt;E21,"Below","Within"))))</f>
        <v>Above</v>
      </c>
      <c r="J21" s="118" t="s">
        <v>621</v>
      </c>
      <c r="K21" s="125" t="s">
        <v>616</v>
      </c>
    </row>
    <row r="22">
      <c r="A22" s="2"/>
      <c r="B22" s="18" t="s">
        <v>627</v>
      </c>
      <c r="C22" s="2"/>
      <c r="D22" s="118"/>
      <c r="E22" s="2"/>
      <c r="F22" s="2"/>
      <c r="G22" s="2"/>
      <c r="H22" s="2"/>
      <c r="I22" s="118"/>
      <c r="J22" s="118"/>
      <c r="K22" s="124"/>
    </row>
    <row r="23">
      <c r="A23" s="2"/>
      <c r="B23" s="3" t="s">
        <v>628</v>
      </c>
      <c r="C23" s="2"/>
      <c r="D23" s="118"/>
      <c r="E23" s="2"/>
      <c r="F23" s="2"/>
      <c r="G23" s="2"/>
      <c r="H23" s="13">
        <v>1403</v>
      </c>
      <c r="I23" s="118"/>
      <c r="J23" s="118"/>
      <c r="K23" s="125" t="s">
        <v>629</v>
      </c>
    </row>
    <row r="24">
      <c r="A24" s="2"/>
      <c r="B24" s="3" t="s">
        <v>630</v>
      </c>
      <c r="C24" s="27">
        <v>45908</v>
      </c>
      <c r="D24" s="118" t="s">
        <v>631</v>
      </c>
      <c r="E24" s="23">
        <v>0.1</v>
      </c>
      <c r="F24" s="23">
        <v>0.15</v>
      </c>
      <c r="G24" s="11">
        <f>AVERAGE(E24,F24)</f>
        <v>0.125</v>
      </c>
      <c r="H24" s="29">
        <f>'Income Statement'!E183/H23-1</f>
        <v>0.4347826086956521</v>
      </c>
      <c r="I24" s="118" t="str">
        <f>IF(H24="","Pending",IF(J24="Actual",IF(H24&gt;F24,"Beat",IF(H24&lt;E24,"Miss","In line")),IF(H24&gt;F24,"Above",IF(H24&lt;E24,"Below","Within"))))</f>
        <v>Beat</v>
      </c>
      <c r="J24" s="118" t="s">
        <v>632</v>
      </c>
      <c r="K24" s="125" t="s">
        <v>633</v>
      </c>
    </row>
    <row r="25">
      <c r="A25" s="2"/>
      <c r="B25" s="3" t="s">
        <v>634</v>
      </c>
      <c r="C25" s="2"/>
      <c r="D25" s="118"/>
      <c r="E25" s="2"/>
      <c r="F25" s="2"/>
      <c r="G25" s="2"/>
      <c r="H25" s="13">
        <v>4938</v>
      </c>
      <c r="I25" s="118"/>
      <c r="J25" s="118"/>
      <c r="K25" s="125" t="s">
        <v>635</v>
      </c>
    </row>
    <row r="26">
      <c r="A26" s="2"/>
      <c r="B26" s="3" t="s">
        <v>636</v>
      </c>
      <c r="C26" s="27">
        <v>45908</v>
      </c>
      <c r="D26" s="118" t="s">
        <v>631</v>
      </c>
      <c r="E26" s="23">
        <v>0.03</v>
      </c>
      <c r="F26" s="23">
        <v>0.06</v>
      </c>
      <c r="G26" s="11">
        <f>AVERAGE(E26,F26)</f>
        <v>0.045</v>
      </c>
      <c r="H26" s="29">
        <f>'Segment - Global Markets'!E22/H25-1</f>
        <v>0.08302956662616445</v>
      </c>
      <c r="I26" s="118" t="str">
        <f>IF(H26="","Pending",IF(J26="Actual",IF(H26&gt;F26,"Beat",IF(H26&lt;E26,"Miss","In line")),IF(H26&gt;F26,"Above",IF(H26&lt;E26,"Below","Within"))))</f>
        <v>Beat</v>
      </c>
      <c r="J26" s="118" t="s">
        <v>632</v>
      </c>
      <c r="K26" s="125" t="s">
        <v>633</v>
      </c>
    </row>
    <row r="27">
      <c r="A27" s="2"/>
      <c r="B27" s="3" t="s">
        <v>637</v>
      </c>
      <c r="C27" s="2"/>
      <c r="D27" s="118"/>
      <c r="E27" s="2"/>
      <c r="F27" s="2"/>
      <c r="G27" s="2"/>
      <c r="H27" s="13">
        <v>1654</v>
      </c>
      <c r="I27" s="118"/>
      <c r="J27" s="118"/>
      <c r="K27" s="125" t="s">
        <v>638</v>
      </c>
    </row>
    <row r="28">
      <c r="A28" s="2"/>
      <c r="B28" s="3" t="s">
        <v>639</v>
      </c>
      <c r="C28" s="27">
        <v>46001</v>
      </c>
      <c r="D28" s="118" t="s">
        <v>640</v>
      </c>
      <c r="E28" s="23">
        <v>-0.02</v>
      </c>
      <c r="F28" s="23">
        <v>0.02</v>
      </c>
      <c r="G28" s="11">
        <f>AVERAGE(E28,F28)</f>
        <v>0</v>
      </c>
      <c r="H28" s="29">
        <f>'Income Statement'!F183/H27-1</f>
        <v>0.007255139056831839</v>
      </c>
      <c r="I28" s="118" t="str">
        <f>IF(H28="","Pending",IF(J28="Actual",IF(H28&gt;F28,"Beat",IF(H28&lt;E28,"Miss","In line")),IF(H28&gt;F28,"Above",IF(H28&lt;E28,"Below","Within"))))</f>
        <v>In line</v>
      </c>
      <c r="J28" s="118" t="s">
        <v>632</v>
      </c>
      <c r="K28" s="125" t="s">
        <v>641</v>
      </c>
    </row>
    <row r="29">
      <c r="A29" s="2"/>
      <c r="B29" s="3" t="s">
        <v>642</v>
      </c>
      <c r="C29" s="2"/>
      <c r="D29" s="118"/>
      <c r="E29" s="2"/>
      <c r="F29" s="2"/>
      <c r="G29" s="2"/>
      <c r="H29" s="13">
        <v>4123</v>
      </c>
      <c r="I29" s="118"/>
      <c r="J29" s="118"/>
      <c r="K29" s="125" t="s">
        <v>643</v>
      </c>
    </row>
    <row r="30">
      <c r="A30" s="2"/>
      <c r="B30" s="3" t="s">
        <v>644</v>
      </c>
      <c r="C30" s="27">
        <v>46001</v>
      </c>
      <c r="D30" s="118" t="s">
        <v>640</v>
      </c>
      <c r="E30" s="23">
        <v>0.08</v>
      </c>
      <c r="F30" s="23">
        <v>0.1</v>
      </c>
      <c r="G30" s="11">
        <f>AVERAGE(E30,F30)</f>
        <v>0.09</v>
      </c>
      <c r="H30" s="29">
        <f>'Segment - Global Markets'!F22/H29-1</f>
        <v>0.09944215377152554</v>
      </c>
      <c r="I30" s="118" t="str">
        <f>IF(H30="","Pending",IF(J30="Actual",IF(H30&gt;F30,"Beat",IF(H30&lt;E30,"Miss","In line")),IF(H30&gt;F30,"Above",IF(H30&lt;E30,"Below","Within"))))</f>
        <v>In line</v>
      </c>
      <c r="J30" s="118" t="s">
        <v>632</v>
      </c>
      <c r="K30" s="125" t="s">
        <v>641</v>
      </c>
    </row>
    <row r="31">
      <c r="A31" s="2"/>
      <c r="B31" s="3" t="s">
        <v>645</v>
      </c>
      <c r="C31" s="27">
        <v>46036</v>
      </c>
      <c r="D31" s="118" t="s">
        <v>646</v>
      </c>
      <c r="E31" s="23">
        <v>0.035</v>
      </c>
      <c r="F31" s="23">
        <v>0.045</v>
      </c>
      <c r="G31" s="11">
        <f>AVERAGE(E31,F31)</f>
        <v>0.04</v>
      </c>
      <c r="H31" s="29">
        <f>'Income Statement'!H282/'Income Statement'!C282-1</f>
        <v>0.04282498593134498</v>
      </c>
      <c r="I31" s="118" t="str">
        <f>IF(H31="","Pending",IF(J31="Actual",IF(H31&gt;F31,"Beat",IF(H31&lt;E31,"Miss","In line")),IF(H31&gt;F31,"Above",IF(H31&lt;E31,"Below","Within"))))</f>
        <v>In line</v>
      </c>
      <c r="J31" s="118" t="s">
        <v>632</v>
      </c>
      <c r="K31" s="125" t="s">
        <v>613</v>
      </c>
    </row>
    <row r="32">
      <c r="A32" s="2"/>
      <c r="B32" s="3" t="s">
        <v>647</v>
      </c>
      <c r="C32" s="27">
        <v>46182</v>
      </c>
      <c r="D32" s="118" t="s">
        <v>648</v>
      </c>
      <c r="E32" s="23">
        <v>0.15</v>
      </c>
      <c r="F32" s="23">
        <v>0.15</v>
      </c>
      <c r="G32" s="11">
        <f>AVERAGE(E32,F32)</f>
        <v>0.15</v>
      </c>
      <c r="H32" s="29">
        <f>'Segment - Global Markets'!I22/'Segment - Global Markets'!D22-1</f>
        <v>0.3301728945900726</v>
      </c>
      <c r="I32" s="118" t="str">
        <f>IF(H32="","Pending",IF(J32="Actual",IF(H32&gt;F32,"Beat",IF(H32&lt;E32,"Miss","In line")),IF(H32&gt;F32,"Above",IF(H32&lt;E32,"Below","Within"))))</f>
        <v>Beat</v>
      </c>
      <c r="J32" s="118" t="s">
        <v>632</v>
      </c>
      <c r="K32" s="125" t="s">
        <v>649</v>
      </c>
    </row>
    <row r="33">
      <c r="A33" s="2"/>
      <c r="B33" s="3" t="s">
        <v>650</v>
      </c>
      <c r="C33" s="27">
        <v>46182</v>
      </c>
      <c r="D33" s="118" t="s">
        <v>648</v>
      </c>
      <c r="E33" s="13">
        <v>1800</v>
      </c>
      <c r="F33" s="13">
        <v>1800</v>
      </c>
      <c r="G33" s="15">
        <f>AVERAGE(E33,F33)</f>
        <v>1800</v>
      </c>
      <c r="H33" s="5">
        <f>'Income Statement'!I183</f>
        <v>2138</v>
      </c>
      <c r="I33" s="118" t="str">
        <f>IF(H33="","Pending",IF(J33="Actual",IF(H33&gt;F33,"Beat",IF(H33&lt;E33,"Miss","In line")),IF(H33&gt;F33,"Above",IF(H33&lt;E33,"Below","Within"))))</f>
        <v>Beat</v>
      </c>
      <c r="J33" s="118" t="s">
        <v>632</v>
      </c>
      <c r="K33" s="125" t="s">
        <v>649</v>
      </c>
    </row>
    <row r="34">
      <c r="A34" s="2"/>
      <c r="B34" s="24" t="s">
        <v>651</v>
      </c>
      <c r="C34" s="2"/>
      <c r="D34" s="2"/>
      <c r="E34" s="2"/>
      <c r="F34" s="2"/>
      <c r="G34" s="2"/>
      <c r="H34" s="22">
        <f>COUNTIF(I24:I33,"Beat")</f>
        <v>4</v>
      </c>
      <c r="I34" s="2"/>
      <c r="J34" s="2"/>
      <c r="K34" s="124"/>
    </row>
    <row r="35">
      <c r="A35" s="2"/>
      <c r="B35" s="3" t="s">
        <v>652</v>
      </c>
      <c r="C35" s="2"/>
      <c r="D35" s="2"/>
      <c r="E35" s="2"/>
      <c r="F35" s="2"/>
      <c r="G35" s="2"/>
      <c r="H35" s="26">
        <f>COUNTIF(I24:I33,"In line")</f>
        <v>3</v>
      </c>
      <c r="I35" s="2"/>
      <c r="J35" s="2"/>
      <c r="K35" s="124"/>
    </row>
    <row r="36">
      <c r="A36" s="2"/>
      <c r="B36" s="3" t="s">
        <v>653</v>
      </c>
      <c r="C36" s="2"/>
      <c r="D36" s="2"/>
      <c r="E36" s="2"/>
      <c r="F36" s="2"/>
      <c r="G36" s="2"/>
      <c r="H36" s="26">
        <f>COUNTIF(I24:I33,"Miss")</f>
        <v>0</v>
      </c>
      <c r="I36" s="2"/>
      <c r="J36" s="2"/>
      <c r="K36" s="124"/>
    </row>
    <row r="37">
      <c r="A37" s="2"/>
      <c r="B37" s="1" t="s">
        <v>654</v>
      </c>
      <c r="C37" s="2"/>
      <c r="D37" s="2"/>
      <c r="E37" s="2"/>
      <c r="F37" s="2"/>
      <c r="G37" s="2"/>
      <c r="H37" s="2"/>
      <c r="I37" s="2"/>
      <c r="J37" s="2"/>
      <c r="K37" s="124"/>
    </row>
    <row r="38">
      <c r="A38" s="2"/>
      <c r="B38" s="2"/>
      <c r="C38" s="2"/>
      <c r="D38" s="2"/>
      <c r="E38" s="2"/>
      <c r="F38" s="2"/>
      <c r="G38" s="2"/>
      <c r="H38" s="2"/>
      <c r="I38" s="2"/>
      <c r="J38" s="2"/>
      <c r="K38" s="2"/>
    </row>
    <row r="39">
      <c r="A39" s="2"/>
      <c r="B39" s="2"/>
      <c r="C39" s="2"/>
      <c r="D39" s="2"/>
      <c r="E39" s="2"/>
      <c r="F39" s="2"/>
      <c r="G39" s="2"/>
      <c r="H39" s="2"/>
      <c r="I39" s="2"/>
      <c r="J39" s="2"/>
      <c r="K39" s="2"/>
    </row>
  </sheetData>
  <legacyDrawing r:id="rId2"/>
</worksheet>
</file>

<file path=xl/worksheets/sheet12.xml><?xml version="1.0" encoding="utf-8"?>
<worksheet xmlns="http://schemas.openxmlformats.org/spreadsheetml/2006/main" xmlns:r="http://schemas.openxmlformats.org/officeDocument/2006/relationships">
  <dimension ref="A1:K141"/>
  <sheetViews>
    <sheetView showGridLines="0" workbookViewId="0"/>
  </sheetViews>
  <sheetFormatPr defaultColWidth="8.42578125" defaultRowHeight="15"/>
  <cols>
    <col min="1" max="1" width="2" customWidth="1"/>
    <col min="2" max="2" width="36" customWidth="1"/>
    <col min="3" max="10" width="12" customWidth="1"/>
    <col min="11" max="11" width="26"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655</v>
      </c>
      <c r="C3" s="2"/>
      <c r="D3" s="2"/>
      <c r="E3" s="2"/>
      <c r="F3" s="2"/>
      <c r="G3" s="2"/>
      <c r="H3" s="2"/>
      <c r="I3" s="2"/>
      <c r="J3" s="2"/>
      <c r="K3" s="2"/>
    </row>
    <row r="4">
      <c r="A4" s="2"/>
      <c r="B4" s="1" t="s">
        <v>656</v>
      </c>
      <c r="C4" s="2"/>
      <c r="D4" s="2"/>
      <c r="E4" s="2"/>
      <c r="F4" s="2"/>
      <c r="G4" s="2"/>
      <c r="H4" s="2"/>
      <c r="I4" s="2"/>
      <c r="J4" s="2"/>
      <c r="K4" s="2"/>
    </row>
    <row r="5">
      <c r="A5" s="2"/>
      <c r="B5" s="16" t="s">
        <v>3</v>
      </c>
      <c r="C5" s="9" t="s">
        <v>4</v>
      </c>
      <c r="D5" s="25"/>
      <c r="E5" s="25"/>
      <c r="F5" s="25"/>
      <c r="G5" s="25"/>
      <c r="H5" s="25"/>
      <c r="I5" s="25"/>
      <c r="J5" s="25"/>
      <c r="K5" s="134" t="s">
        <v>12</v>
      </c>
    </row>
    <row r="6">
      <c r="A6" s="2"/>
      <c r="B6" s="12" t="s">
        <v>13</v>
      </c>
      <c r="C6" s="20">
        <v>46295</v>
      </c>
      <c r="D6" s="21"/>
      <c r="E6" s="21"/>
      <c r="F6" s="21"/>
      <c r="G6" s="21"/>
      <c r="H6" s="21"/>
      <c r="I6" s="21"/>
      <c r="J6" s="21"/>
      <c r="K6" s="133"/>
    </row>
    <row r="7">
      <c r="A7" s="2"/>
      <c r="B7" s="6" t="s">
        <v>14</v>
      </c>
      <c r="C7" s="10">
        <f>C6-EOMONTH(C6,-3)</f>
        <v>92</v>
      </c>
      <c r="D7" s="14"/>
      <c r="E7" s="14"/>
      <c r="F7" s="14"/>
      <c r="G7" s="14"/>
      <c r="H7" s="14"/>
      <c r="I7" s="14"/>
      <c r="J7" s="14"/>
      <c r="K7" s="126"/>
    </row>
    <row r="8">
      <c r="A8" s="2"/>
      <c r="B8" s="2"/>
      <c r="C8" s="2"/>
      <c r="D8" s="2"/>
      <c r="E8" s="2"/>
      <c r="F8" s="2"/>
      <c r="G8" s="2"/>
      <c r="H8" s="2"/>
      <c r="I8" s="2"/>
      <c r="J8" s="2"/>
      <c r="K8" s="124"/>
    </row>
    <row r="9">
      <c r="A9" s="2"/>
      <c r="B9" s="18" t="s">
        <v>657</v>
      </c>
      <c r="C9" s="2"/>
      <c r="D9" s="2"/>
      <c r="E9" s="2"/>
      <c r="F9" s="2"/>
      <c r="G9" s="2"/>
      <c r="H9" s="2"/>
      <c r="I9" s="2"/>
      <c r="J9" s="2"/>
      <c r="K9" s="124"/>
    </row>
    <row r="10">
      <c r="A10" s="2"/>
      <c r="B10" s="3" t="s">
        <v>658</v>
      </c>
      <c r="C10" s="62" t="s">
        <v>659</v>
      </c>
      <c r="D10" s="2"/>
      <c r="E10" s="2"/>
      <c r="F10" s="2"/>
      <c r="G10" s="2"/>
      <c r="H10" s="2"/>
      <c r="I10" s="2"/>
      <c r="J10" s="2"/>
      <c r="K10" s="125" t="s">
        <v>660</v>
      </c>
    </row>
    <row r="11">
      <c r="A11" s="2"/>
      <c r="B11" s="3" t="s">
        <v>661</v>
      </c>
      <c r="C11" s="62" t="s">
        <v>662</v>
      </c>
      <c r="D11" s="2"/>
      <c r="E11" s="2"/>
      <c r="F11" s="2"/>
      <c r="G11" s="2"/>
      <c r="H11" s="2"/>
      <c r="I11" s="2"/>
      <c r="J11" s="2"/>
      <c r="K11" s="125" t="s">
        <v>660</v>
      </c>
    </row>
    <row r="12">
      <c r="A12" s="2"/>
      <c r="B12" s="3" t="s">
        <v>663</v>
      </c>
      <c r="C12" s="62" t="s">
        <v>16</v>
      </c>
      <c r="D12" s="2"/>
      <c r="E12" s="2"/>
      <c r="F12" s="2"/>
      <c r="G12" s="2"/>
      <c r="H12" s="2"/>
      <c r="I12" s="2"/>
      <c r="J12" s="2"/>
      <c r="K12" s="125" t="s">
        <v>660</v>
      </c>
    </row>
    <row r="13">
      <c r="A13" s="2"/>
      <c r="B13" s="3" t="s">
        <v>664</v>
      </c>
      <c r="C13" s="62" t="s">
        <v>665</v>
      </c>
      <c r="D13" s="2"/>
      <c r="E13" s="2"/>
      <c r="F13" s="2"/>
      <c r="G13" s="2"/>
      <c r="H13" s="2"/>
      <c r="I13" s="2"/>
      <c r="J13" s="2"/>
      <c r="K13" s="125" t="s">
        <v>660</v>
      </c>
    </row>
    <row r="14">
      <c r="A14" s="2"/>
      <c r="B14" s="3" t="s">
        <v>666</v>
      </c>
      <c r="C14" s="27">
        <v>46295</v>
      </c>
      <c r="D14" s="2"/>
      <c r="E14" s="2"/>
      <c r="F14" s="2"/>
      <c r="G14" s="2"/>
      <c r="H14" s="2"/>
      <c r="I14" s="2"/>
      <c r="J14" s="2"/>
      <c r="K14" s="125" t="s">
        <v>660</v>
      </c>
    </row>
    <row r="15">
      <c r="A15" s="2"/>
      <c r="B15" s="3" t="s">
        <v>667</v>
      </c>
      <c r="C15" s="27">
        <v>46306</v>
      </c>
      <c r="D15" s="2"/>
      <c r="E15" s="2"/>
      <c r="F15" s="2"/>
      <c r="G15" s="2"/>
      <c r="H15" s="2"/>
      <c r="I15" s="2"/>
      <c r="J15" s="2"/>
      <c r="K15" s="125" t="s">
        <v>660</v>
      </c>
    </row>
    <row r="16">
      <c r="A16" s="2"/>
      <c r="B16" s="3" t="s">
        <v>668</v>
      </c>
      <c r="C16" s="73">
        <v>18</v>
      </c>
      <c r="D16" s="2"/>
      <c r="E16" s="2"/>
      <c r="F16" s="2"/>
      <c r="G16" s="2"/>
      <c r="H16" s="2"/>
      <c r="I16" s="2"/>
      <c r="J16" s="2"/>
      <c r="K16" s="125" t="s">
        <v>660</v>
      </c>
    </row>
    <row r="17">
      <c r="A17" s="2"/>
      <c r="B17" s="3" t="s">
        <v>669</v>
      </c>
      <c r="C17" s="17">
        <v>1.1</v>
      </c>
      <c r="D17" s="2"/>
      <c r="E17" s="2"/>
      <c r="F17" s="2"/>
      <c r="G17" s="2"/>
      <c r="H17" s="2"/>
      <c r="I17" s="2"/>
      <c r="J17" s="2"/>
      <c r="K17" s="125" t="s">
        <v>660</v>
      </c>
    </row>
    <row r="18">
      <c r="A18" s="2"/>
      <c r="B18" s="3" t="s">
        <v>670</v>
      </c>
      <c r="C18" s="62" t="s">
        <v>671</v>
      </c>
      <c r="D18" s="2"/>
      <c r="E18" s="2"/>
      <c r="F18" s="2"/>
      <c r="G18" s="2"/>
      <c r="H18" s="2"/>
      <c r="I18" s="2"/>
      <c r="J18" s="2"/>
      <c r="K18" s="125" t="s">
        <v>660</v>
      </c>
    </row>
    <row r="19">
      <c r="A19" s="2"/>
      <c r="B19" s="3" t="s">
        <v>672</v>
      </c>
      <c r="C19" s="13">
        <v>30539.53</v>
      </c>
      <c r="D19" s="2"/>
      <c r="E19" s="2"/>
      <c r="F19" s="2"/>
      <c r="G19" s="2"/>
      <c r="H19" s="2"/>
      <c r="I19" s="2"/>
      <c r="J19" s="2"/>
      <c r="K19" s="125" t="s">
        <v>660</v>
      </c>
    </row>
    <row r="20">
      <c r="A20" s="2"/>
      <c r="B20" s="3" t="s">
        <v>673</v>
      </c>
      <c r="C20" s="62" t="s">
        <v>674</v>
      </c>
      <c r="D20" s="2"/>
      <c r="E20" s="2"/>
      <c r="F20" s="2"/>
      <c r="G20" s="2"/>
      <c r="H20" s="2"/>
      <c r="I20" s="2"/>
      <c r="J20" s="2"/>
      <c r="K20" s="125" t="s">
        <v>660</v>
      </c>
    </row>
    <row r="21">
      <c r="A21" s="2"/>
      <c r="B21" s="3" t="s">
        <v>675</v>
      </c>
      <c r="C21" s="62" t="s">
        <v>676</v>
      </c>
      <c r="D21" s="2"/>
      <c r="E21" s="2"/>
      <c r="F21" s="2"/>
      <c r="G21" s="2"/>
      <c r="H21" s="2"/>
      <c r="I21" s="2"/>
      <c r="J21" s="2"/>
      <c r="K21" s="125" t="s">
        <v>660</v>
      </c>
    </row>
    <row r="22">
      <c r="A22" s="2"/>
      <c r="B22" s="3" t="s">
        <v>677</v>
      </c>
      <c r="C22" s="62" t="s">
        <v>678</v>
      </c>
      <c r="D22" s="2"/>
      <c r="E22" s="2"/>
      <c r="F22" s="2"/>
      <c r="G22" s="2"/>
      <c r="H22" s="2"/>
      <c r="I22" s="2"/>
      <c r="J22" s="2"/>
      <c r="K22" s="125" t="s">
        <v>660</v>
      </c>
    </row>
    <row r="23">
      <c r="A23" s="2"/>
      <c r="B23" s="3" t="s">
        <v>679</v>
      </c>
      <c r="C23" s="62" t="s">
        <v>680</v>
      </c>
      <c r="D23" s="2"/>
      <c r="E23" s="2"/>
      <c r="F23" s="2"/>
      <c r="G23" s="2"/>
      <c r="H23" s="2"/>
      <c r="I23" s="2"/>
      <c r="J23" s="2"/>
      <c r="K23" s="125" t="s">
        <v>660</v>
      </c>
    </row>
    <row r="24">
      <c r="A24" s="2"/>
      <c r="B24" s="3" t="s">
        <v>681</v>
      </c>
      <c r="C24" s="62" t="s">
        <v>674</v>
      </c>
      <c r="D24" s="2"/>
      <c r="E24" s="2"/>
      <c r="F24" s="2"/>
      <c r="G24" s="2"/>
      <c r="H24" s="2"/>
      <c r="I24" s="2"/>
      <c r="J24" s="2"/>
      <c r="K24" s="125" t="s">
        <v>660</v>
      </c>
    </row>
    <row r="25">
      <c r="A25" s="2"/>
      <c r="B25" s="3" t="s">
        <v>682</v>
      </c>
      <c r="C25" s="62" t="s">
        <v>683</v>
      </c>
      <c r="D25" s="2"/>
      <c r="E25" s="2"/>
      <c r="F25" s="2"/>
      <c r="G25" s="2"/>
      <c r="H25" s="2"/>
      <c r="I25" s="2"/>
      <c r="J25" s="2"/>
      <c r="K25" s="125" t="s">
        <v>660</v>
      </c>
    </row>
    <row r="26">
      <c r="A26" s="2"/>
      <c r="B26" s="3" t="s">
        <v>684</v>
      </c>
      <c r="C26" s="62" t="s">
        <v>674</v>
      </c>
      <c r="D26" s="2"/>
      <c r="E26" s="2"/>
      <c r="F26" s="2"/>
      <c r="G26" s="2"/>
      <c r="H26" s="2"/>
      <c r="I26" s="2"/>
      <c r="J26" s="2"/>
      <c r="K26" s="125" t="s">
        <v>660</v>
      </c>
    </row>
    <row r="27">
      <c r="A27" s="2"/>
      <c r="B27" s="3" t="s">
        <v>685</v>
      </c>
      <c r="C27" s="62" t="s">
        <v>686</v>
      </c>
      <c r="D27" s="2"/>
      <c r="E27" s="2"/>
      <c r="F27" s="2"/>
      <c r="G27" s="2"/>
      <c r="H27" s="2"/>
      <c r="I27" s="2"/>
      <c r="J27" s="2"/>
      <c r="K27" s="125" t="s">
        <v>660</v>
      </c>
    </row>
    <row r="28">
      <c r="A28" s="2"/>
      <c r="B28" s="18" t="s">
        <v>687</v>
      </c>
      <c r="C28" s="2"/>
      <c r="D28" s="2"/>
      <c r="E28" s="2"/>
      <c r="F28" s="2"/>
      <c r="G28" s="2"/>
      <c r="H28" s="2"/>
      <c r="I28" s="2"/>
      <c r="J28" s="2"/>
      <c r="K28" s="124"/>
    </row>
    <row r="29">
      <c r="A29" s="2"/>
      <c r="B29" s="3" t="s">
        <v>661</v>
      </c>
      <c r="C29" s="62" t="s">
        <v>662</v>
      </c>
      <c r="D29" s="2"/>
      <c r="E29" s="2"/>
      <c r="F29" s="2"/>
      <c r="G29" s="2"/>
      <c r="H29" s="2"/>
      <c r="I29" s="2"/>
      <c r="J29" s="2"/>
      <c r="K29" s="125" t="s">
        <v>660</v>
      </c>
    </row>
    <row r="30">
      <c r="A30" s="2"/>
      <c r="B30" s="3" t="s">
        <v>688</v>
      </c>
      <c r="C30" s="62" t="s">
        <v>16</v>
      </c>
      <c r="D30" s="2"/>
      <c r="E30" s="2"/>
      <c r="F30" s="2"/>
      <c r="G30" s="2"/>
      <c r="H30" s="2"/>
      <c r="I30" s="2"/>
      <c r="J30" s="2"/>
      <c r="K30" s="125" t="s">
        <v>660</v>
      </c>
    </row>
    <row r="31">
      <c r="A31" s="2"/>
      <c r="B31" s="3" t="s">
        <v>689</v>
      </c>
      <c r="C31" s="62" t="s">
        <v>690</v>
      </c>
      <c r="D31" s="2"/>
      <c r="E31" s="2"/>
      <c r="F31" s="2"/>
      <c r="G31" s="2"/>
      <c r="H31" s="2"/>
      <c r="I31" s="2"/>
      <c r="J31" s="2"/>
      <c r="K31" s="125" t="s">
        <v>660</v>
      </c>
    </row>
    <row r="32">
      <c r="A32" s="2"/>
      <c r="B32" s="3" t="s">
        <v>691</v>
      </c>
      <c r="C32" s="62">
        <v>19049</v>
      </c>
      <c r="D32" s="2"/>
      <c r="E32" s="2"/>
      <c r="F32" s="2"/>
      <c r="G32" s="2"/>
      <c r="H32" s="2"/>
      <c r="I32" s="2"/>
      <c r="J32" s="2"/>
      <c r="K32" s="125" t="s">
        <v>660</v>
      </c>
    </row>
    <row r="33">
      <c r="A33" s="2"/>
      <c r="B33" s="3" t="s">
        <v>692</v>
      </c>
      <c r="C33" s="62" t="s">
        <v>693</v>
      </c>
      <c r="D33" s="2"/>
      <c r="E33" s="2"/>
      <c r="F33" s="2"/>
      <c r="G33" s="2"/>
      <c r="H33" s="2"/>
      <c r="I33" s="2"/>
      <c r="J33" s="2"/>
      <c r="K33" s="125" t="s">
        <v>660</v>
      </c>
    </row>
    <row r="34">
      <c r="A34" s="2"/>
      <c r="B34" s="3" t="s">
        <v>694</v>
      </c>
      <c r="C34" s="2"/>
      <c r="D34" s="2"/>
      <c r="E34" s="2"/>
      <c r="F34" s="2"/>
      <c r="G34" s="2"/>
      <c r="H34" s="2"/>
      <c r="I34" s="2"/>
      <c r="J34" s="2"/>
      <c r="K34" s="125" t="s">
        <v>695</v>
      </c>
    </row>
    <row r="35">
      <c r="A35" s="2"/>
      <c r="B35" s="3" t="s">
        <v>696</v>
      </c>
      <c r="C35" s="62" t="s">
        <v>665</v>
      </c>
      <c r="D35" s="2"/>
      <c r="E35" s="2"/>
      <c r="F35" s="2"/>
      <c r="G35" s="2"/>
      <c r="H35" s="2"/>
      <c r="I35" s="2"/>
      <c r="J35" s="2"/>
      <c r="K35" s="125" t="s">
        <v>660</v>
      </c>
    </row>
    <row r="36">
      <c r="A36" s="2"/>
      <c r="B36" s="3" t="s">
        <v>697</v>
      </c>
      <c r="C36" s="27">
        <v>46295</v>
      </c>
      <c r="D36" s="2"/>
      <c r="E36" s="2"/>
      <c r="F36" s="2"/>
      <c r="G36" s="2"/>
      <c r="H36" s="2"/>
      <c r="I36" s="2"/>
      <c r="J36" s="2"/>
      <c r="K36" s="125" t="s">
        <v>660</v>
      </c>
    </row>
    <row r="37">
      <c r="A37" s="2"/>
      <c r="B37" s="3" t="s">
        <v>698</v>
      </c>
      <c r="C37" s="27">
        <v>46309</v>
      </c>
      <c r="D37" s="2"/>
      <c r="E37" s="2"/>
      <c r="F37" s="2"/>
      <c r="G37" s="2"/>
      <c r="H37" s="2"/>
      <c r="I37" s="2"/>
      <c r="J37" s="2"/>
      <c r="K37" s="125" t="s">
        <v>660</v>
      </c>
    </row>
    <row r="38">
      <c r="A38" s="2"/>
      <c r="B38" s="3" t="s">
        <v>699</v>
      </c>
      <c r="C38" s="62" t="s">
        <v>700</v>
      </c>
      <c r="D38" s="2"/>
      <c r="E38" s="2"/>
      <c r="F38" s="2"/>
      <c r="G38" s="2"/>
      <c r="H38" s="2"/>
      <c r="I38" s="2"/>
      <c r="J38" s="2"/>
      <c r="K38" s="125" t="s">
        <v>660</v>
      </c>
    </row>
    <row r="39">
      <c r="A39" s="2"/>
      <c r="B39" s="3" t="s">
        <v>701</v>
      </c>
      <c r="C39" s="73">
        <v>25</v>
      </c>
      <c r="D39" s="2"/>
      <c r="E39" s="2"/>
      <c r="F39" s="2"/>
      <c r="G39" s="2"/>
      <c r="H39" s="2"/>
      <c r="I39" s="2"/>
      <c r="J39" s="2"/>
      <c r="K39" s="125" t="s">
        <v>660</v>
      </c>
    </row>
    <row r="40">
      <c r="A40" s="2"/>
      <c r="B40" s="3" t="s">
        <v>702</v>
      </c>
      <c r="C40" s="17">
        <v>1.1</v>
      </c>
      <c r="D40" s="2"/>
      <c r="E40" s="2"/>
      <c r="F40" s="2"/>
      <c r="G40" s="2"/>
      <c r="H40" s="2"/>
      <c r="I40" s="2"/>
      <c r="J40" s="2"/>
      <c r="K40" s="125" t="s">
        <v>660</v>
      </c>
    </row>
    <row r="41">
      <c r="A41" s="2"/>
      <c r="B41" s="3" t="s">
        <v>703</v>
      </c>
      <c r="C41" s="17">
        <v>1.1</v>
      </c>
      <c r="D41" s="2"/>
      <c r="E41" s="2"/>
      <c r="F41" s="2"/>
      <c r="G41" s="2"/>
      <c r="H41" s="2"/>
      <c r="I41" s="2"/>
      <c r="J41" s="2"/>
      <c r="K41" s="125" t="s">
        <v>660</v>
      </c>
    </row>
    <row r="42">
      <c r="A42" s="2"/>
      <c r="B42" s="3" t="s">
        <v>704</v>
      </c>
      <c r="C42" s="17">
        <v>1.25</v>
      </c>
      <c r="D42" s="2"/>
      <c r="E42" s="2"/>
      <c r="F42" s="2"/>
      <c r="G42" s="2"/>
      <c r="H42" s="2"/>
      <c r="I42" s="2"/>
      <c r="J42" s="2"/>
      <c r="K42" s="125" t="s">
        <v>660</v>
      </c>
    </row>
    <row r="43">
      <c r="A43" s="2"/>
      <c r="B43" s="3" t="s">
        <v>705</v>
      </c>
      <c r="C43" s="17">
        <v>1.01</v>
      </c>
      <c r="D43" s="2"/>
      <c r="E43" s="2"/>
      <c r="F43" s="2"/>
      <c r="G43" s="2"/>
      <c r="H43" s="2"/>
      <c r="I43" s="2"/>
      <c r="J43" s="2"/>
      <c r="K43" s="125" t="s">
        <v>660</v>
      </c>
    </row>
    <row r="44">
      <c r="A44" s="2"/>
      <c r="B44" s="3" t="s">
        <v>706</v>
      </c>
      <c r="C44" s="17">
        <v>0.05</v>
      </c>
      <c r="D44" s="2"/>
      <c r="E44" s="2"/>
      <c r="F44" s="2"/>
      <c r="G44" s="2"/>
      <c r="H44" s="2"/>
      <c r="I44" s="2"/>
      <c r="J44" s="2"/>
      <c r="K44" s="125" t="s">
        <v>660</v>
      </c>
    </row>
    <row r="45">
      <c r="A45" s="2"/>
      <c r="B45" s="3" t="s">
        <v>707</v>
      </c>
      <c r="C45" s="73">
        <v>18</v>
      </c>
      <c r="D45" s="2"/>
      <c r="E45" s="2"/>
      <c r="F45" s="2"/>
      <c r="G45" s="2"/>
      <c r="H45" s="2"/>
      <c r="I45" s="2"/>
      <c r="J45" s="2"/>
      <c r="K45" s="125" t="s">
        <v>660</v>
      </c>
    </row>
    <row r="46">
      <c r="A46" s="2"/>
      <c r="B46" s="3" t="s">
        <v>708</v>
      </c>
      <c r="C46" s="2"/>
      <c r="D46" s="2"/>
      <c r="E46" s="2"/>
      <c r="F46" s="2"/>
      <c r="G46" s="2"/>
      <c r="H46" s="2"/>
      <c r="I46" s="2"/>
      <c r="J46" s="2"/>
      <c r="K46" s="125" t="s">
        <v>695</v>
      </c>
    </row>
    <row r="47">
      <c r="A47" s="2"/>
      <c r="B47" s="3" t="s">
        <v>709</v>
      </c>
      <c r="C47" s="2"/>
      <c r="D47" s="2"/>
      <c r="E47" s="2"/>
      <c r="F47" s="2"/>
      <c r="G47" s="2"/>
      <c r="H47" s="2"/>
      <c r="I47" s="2"/>
      <c r="J47" s="2"/>
      <c r="K47" s="125" t="s">
        <v>695</v>
      </c>
    </row>
    <row r="48">
      <c r="A48" s="2"/>
      <c r="B48" s="3" t="s">
        <v>710</v>
      </c>
      <c r="C48" s="2"/>
      <c r="D48" s="2"/>
      <c r="E48" s="2"/>
      <c r="F48" s="2"/>
      <c r="G48" s="2"/>
      <c r="H48" s="2"/>
      <c r="I48" s="2"/>
      <c r="J48" s="2"/>
      <c r="K48" s="125" t="s">
        <v>695</v>
      </c>
    </row>
    <row r="49">
      <c r="A49" s="2"/>
      <c r="B49" s="3" t="s">
        <v>711</v>
      </c>
      <c r="C49" s="17">
        <v>1.1</v>
      </c>
      <c r="D49" s="2"/>
      <c r="E49" s="2"/>
      <c r="F49" s="2"/>
      <c r="G49" s="2"/>
      <c r="H49" s="2"/>
      <c r="I49" s="2"/>
      <c r="J49" s="2"/>
      <c r="K49" s="125" t="s">
        <v>660</v>
      </c>
    </row>
    <row r="50">
      <c r="A50" s="2"/>
      <c r="B50" s="3" t="s">
        <v>712</v>
      </c>
      <c r="C50" s="17">
        <v>1.11</v>
      </c>
      <c r="D50" s="2"/>
      <c r="E50" s="2"/>
      <c r="F50" s="2"/>
      <c r="G50" s="2"/>
      <c r="H50" s="2"/>
      <c r="I50" s="2"/>
      <c r="J50" s="2"/>
      <c r="K50" s="125" t="s">
        <v>660</v>
      </c>
    </row>
    <row r="51">
      <c r="A51" s="2"/>
      <c r="B51" s="3" t="s">
        <v>713</v>
      </c>
      <c r="C51" s="17">
        <v>1.25</v>
      </c>
      <c r="D51" s="2"/>
      <c r="E51" s="2"/>
      <c r="F51" s="2"/>
      <c r="G51" s="2"/>
      <c r="H51" s="2"/>
      <c r="I51" s="2"/>
      <c r="J51" s="2"/>
      <c r="K51" s="125" t="s">
        <v>660</v>
      </c>
    </row>
    <row r="52">
      <c r="A52" s="2"/>
      <c r="B52" s="3" t="s">
        <v>714</v>
      </c>
      <c r="C52" s="17">
        <v>1.01</v>
      </c>
      <c r="D52" s="2"/>
      <c r="E52" s="2"/>
      <c r="F52" s="2"/>
      <c r="G52" s="2"/>
      <c r="H52" s="2"/>
      <c r="I52" s="2"/>
      <c r="J52" s="2"/>
      <c r="K52" s="125" t="s">
        <v>660</v>
      </c>
    </row>
    <row r="53">
      <c r="A53" s="2"/>
      <c r="B53" s="3" t="s">
        <v>715</v>
      </c>
      <c r="C53" s="17">
        <v>0.05</v>
      </c>
      <c r="D53" s="2"/>
      <c r="E53" s="2"/>
      <c r="F53" s="2"/>
      <c r="G53" s="2"/>
      <c r="H53" s="2"/>
      <c r="I53" s="2"/>
      <c r="J53" s="2"/>
      <c r="K53" s="125" t="s">
        <v>660</v>
      </c>
    </row>
    <row r="54">
      <c r="A54" s="2"/>
      <c r="B54" s="3" t="s">
        <v>716</v>
      </c>
      <c r="C54" s="73">
        <v>18</v>
      </c>
      <c r="D54" s="2"/>
      <c r="E54" s="2"/>
      <c r="F54" s="2"/>
      <c r="G54" s="2"/>
      <c r="H54" s="2"/>
      <c r="I54" s="2"/>
      <c r="J54" s="2"/>
      <c r="K54" s="125" t="s">
        <v>660</v>
      </c>
    </row>
    <row r="55">
      <c r="A55" s="2"/>
      <c r="B55" s="3" t="s">
        <v>717</v>
      </c>
      <c r="C55" s="2"/>
      <c r="D55" s="2"/>
      <c r="E55" s="2"/>
      <c r="F55" s="2"/>
      <c r="G55" s="2"/>
      <c r="H55" s="2"/>
      <c r="I55" s="2"/>
      <c r="J55" s="2"/>
      <c r="K55" s="125" t="s">
        <v>695</v>
      </c>
    </row>
    <row r="56">
      <c r="A56" s="2"/>
      <c r="B56" s="3" t="s">
        <v>718</v>
      </c>
      <c r="C56" s="13">
        <v>30539.53</v>
      </c>
      <c r="D56" s="2"/>
      <c r="E56" s="2"/>
      <c r="F56" s="2"/>
      <c r="G56" s="2"/>
      <c r="H56" s="2"/>
      <c r="I56" s="2"/>
      <c r="J56" s="2"/>
      <c r="K56" s="125" t="s">
        <v>660</v>
      </c>
    </row>
    <row r="57">
      <c r="A57" s="2"/>
      <c r="B57" s="3" t="s">
        <v>719</v>
      </c>
      <c r="C57" s="13">
        <v>30600</v>
      </c>
      <c r="D57" s="2"/>
      <c r="E57" s="2"/>
      <c r="F57" s="2"/>
      <c r="G57" s="2"/>
      <c r="H57" s="2"/>
      <c r="I57" s="2"/>
      <c r="J57" s="2"/>
      <c r="K57" s="125" t="s">
        <v>660</v>
      </c>
    </row>
    <row r="58">
      <c r="A58" s="2"/>
      <c r="B58" s="3" t="s">
        <v>720</v>
      </c>
      <c r="C58" s="13">
        <v>31416</v>
      </c>
      <c r="D58" s="2"/>
      <c r="E58" s="2"/>
      <c r="F58" s="2"/>
      <c r="G58" s="2"/>
      <c r="H58" s="2"/>
      <c r="I58" s="2"/>
      <c r="J58" s="2"/>
      <c r="K58" s="125" t="s">
        <v>660</v>
      </c>
    </row>
    <row r="59">
      <c r="A59" s="2"/>
      <c r="B59" s="3" t="s">
        <v>721</v>
      </c>
      <c r="C59" s="13">
        <v>29827</v>
      </c>
      <c r="D59" s="2"/>
      <c r="E59" s="2"/>
      <c r="F59" s="2"/>
      <c r="G59" s="2"/>
      <c r="H59" s="2"/>
      <c r="I59" s="2"/>
      <c r="J59" s="2"/>
      <c r="K59" s="125" t="s">
        <v>660</v>
      </c>
    </row>
    <row r="60">
      <c r="A60" s="2"/>
      <c r="B60" s="3" t="s">
        <v>722</v>
      </c>
      <c r="C60" s="13">
        <v>471.9</v>
      </c>
      <c r="D60" s="2"/>
      <c r="E60" s="2"/>
      <c r="F60" s="2"/>
      <c r="G60" s="2"/>
      <c r="H60" s="2"/>
      <c r="I60" s="2"/>
      <c r="J60" s="2"/>
      <c r="K60" s="125" t="s">
        <v>660</v>
      </c>
    </row>
    <row r="61">
      <c r="A61" s="2"/>
      <c r="B61" s="3" t="s">
        <v>723</v>
      </c>
      <c r="C61" s="73">
        <v>7</v>
      </c>
      <c r="D61" s="2"/>
      <c r="E61" s="2"/>
      <c r="F61" s="2"/>
      <c r="G61" s="2"/>
      <c r="H61" s="2"/>
      <c r="I61" s="2"/>
      <c r="J61" s="2"/>
      <c r="K61" s="125" t="s">
        <v>660</v>
      </c>
    </row>
    <row r="62">
      <c r="A62" s="2"/>
      <c r="B62" s="3" t="s">
        <v>724</v>
      </c>
      <c r="C62" s="2"/>
      <c r="D62" s="2"/>
      <c r="E62" s="2"/>
      <c r="F62" s="2"/>
      <c r="G62" s="2"/>
      <c r="H62" s="2"/>
      <c r="I62" s="2"/>
      <c r="J62" s="2"/>
      <c r="K62" s="125" t="s">
        <v>695</v>
      </c>
    </row>
    <row r="63">
      <c r="A63" s="2"/>
      <c r="B63" s="3" t="s">
        <v>725</v>
      </c>
      <c r="C63" s="2"/>
      <c r="D63" s="2"/>
      <c r="E63" s="2"/>
      <c r="F63" s="2"/>
      <c r="G63" s="2"/>
      <c r="H63" s="2"/>
      <c r="I63" s="2"/>
      <c r="J63" s="2"/>
      <c r="K63" s="125" t="s">
        <v>695</v>
      </c>
    </row>
    <row r="64">
      <c r="A64" s="2"/>
      <c r="B64" s="3" t="s">
        <v>726</v>
      </c>
      <c r="C64" s="2"/>
      <c r="D64" s="2"/>
      <c r="E64" s="2"/>
      <c r="F64" s="2"/>
      <c r="G64" s="2"/>
      <c r="H64" s="2"/>
      <c r="I64" s="2"/>
      <c r="J64" s="2"/>
      <c r="K64" s="125" t="s">
        <v>695</v>
      </c>
    </row>
    <row r="65">
      <c r="A65" s="2"/>
      <c r="B65" s="3" t="s">
        <v>727</v>
      </c>
      <c r="C65" s="2"/>
      <c r="D65" s="2"/>
      <c r="E65" s="2"/>
      <c r="F65" s="2"/>
      <c r="G65" s="2"/>
      <c r="H65" s="2"/>
      <c r="I65" s="2"/>
      <c r="J65" s="2"/>
      <c r="K65" s="125" t="s">
        <v>695</v>
      </c>
    </row>
    <row r="66">
      <c r="A66" s="2"/>
      <c r="B66" s="3" t="s">
        <v>728</v>
      </c>
      <c r="C66" s="13">
        <v>11877</v>
      </c>
      <c r="D66" s="2"/>
      <c r="E66" s="2"/>
      <c r="F66" s="2"/>
      <c r="G66" s="2"/>
      <c r="H66" s="2"/>
      <c r="I66" s="2"/>
      <c r="J66" s="2"/>
      <c r="K66" s="125" t="s">
        <v>660</v>
      </c>
    </row>
    <row r="67">
      <c r="A67" s="2"/>
      <c r="B67" s="3" t="s">
        <v>729</v>
      </c>
      <c r="C67" s="13">
        <v>10436.9</v>
      </c>
      <c r="D67" s="2"/>
      <c r="E67" s="2"/>
      <c r="F67" s="2"/>
      <c r="G67" s="2"/>
      <c r="H67" s="2"/>
      <c r="I67" s="2"/>
      <c r="J67" s="2"/>
      <c r="K67" s="125" t="s">
        <v>660</v>
      </c>
    </row>
    <row r="68">
      <c r="A68" s="2"/>
      <c r="B68" s="3" t="s">
        <v>730</v>
      </c>
      <c r="C68" s="13">
        <v>10437.4</v>
      </c>
      <c r="D68" s="2"/>
      <c r="E68" s="2"/>
      <c r="F68" s="2"/>
      <c r="G68" s="2"/>
      <c r="H68" s="2"/>
      <c r="I68" s="2"/>
      <c r="J68" s="2"/>
      <c r="K68" s="125" t="s">
        <v>660</v>
      </c>
    </row>
    <row r="69">
      <c r="A69" s="2"/>
      <c r="B69" s="3" t="s">
        <v>731</v>
      </c>
      <c r="C69" s="13">
        <v>7856.6</v>
      </c>
      <c r="D69" s="2"/>
      <c r="E69" s="2"/>
      <c r="F69" s="2"/>
      <c r="G69" s="2"/>
      <c r="H69" s="2"/>
      <c r="I69" s="2"/>
      <c r="J69" s="2"/>
      <c r="K69" s="125" t="s">
        <v>660</v>
      </c>
    </row>
    <row r="70">
      <c r="A70" s="2"/>
      <c r="B70" s="3" t="s">
        <v>732</v>
      </c>
      <c r="C70" s="13">
        <v>7905.77</v>
      </c>
      <c r="D70" s="2"/>
      <c r="E70" s="2"/>
      <c r="F70" s="2"/>
      <c r="G70" s="2"/>
      <c r="H70" s="2"/>
      <c r="I70" s="2"/>
      <c r="J70" s="2"/>
      <c r="K70" s="125" t="s">
        <v>660</v>
      </c>
    </row>
    <row r="71">
      <c r="A71" s="2"/>
      <c r="B71" s="3" t="s">
        <v>733</v>
      </c>
      <c r="C71" s="82">
        <v>2.11</v>
      </c>
      <c r="D71" s="2"/>
      <c r="E71" s="2"/>
      <c r="F71" s="2"/>
      <c r="G71" s="2"/>
      <c r="H71" s="2"/>
      <c r="I71" s="2"/>
      <c r="J71" s="2"/>
      <c r="K71" s="125" t="s">
        <v>660</v>
      </c>
    </row>
    <row r="72">
      <c r="A72" s="2"/>
      <c r="B72" s="3" t="s">
        <v>734</v>
      </c>
      <c r="C72" s="82">
        <v>20.63</v>
      </c>
      <c r="D72" s="2"/>
      <c r="E72" s="2"/>
      <c r="F72" s="2"/>
      <c r="G72" s="2"/>
      <c r="H72" s="2"/>
      <c r="I72" s="2"/>
      <c r="J72" s="2"/>
      <c r="K72" s="125" t="s">
        <v>660</v>
      </c>
    </row>
    <row r="73">
      <c r="A73" s="2"/>
      <c r="B73" s="3" t="s">
        <v>735</v>
      </c>
      <c r="C73" s="2"/>
      <c r="D73" s="2"/>
      <c r="E73" s="2"/>
      <c r="F73" s="2"/>
      <c r="G73" s="2"/>
      <c r="H73" s="2"/>
      <c r="I73" s="2"/>
      <c r="J73" s="2"/>
      <c r="K73" s="125" t="s">
        <v>695</v>
      </c>
    </row>
    <row r="74">
      <c r="A74" s="2"/>
      <c r="B74" s="3" t="s">
        <v>736</v>
      </c>
      <c r="C74" s="2"/>
      <c r="D74" s="2"/>
      <c r="E74" s="2"/>
      <c r="F74" s="2"/>
      <c r="G74" s="2"/>
      <c r="H74" s="2"/>
      <c r="I74" s="2"/>
      <c r="J74" s="2"/>
      <c r="K74" s="125" t="s">
        <v>695</v>
      </c>
    </row>
    <row r="75">
      <c r="A75" s="2"/>
      <c r="B75" s="3" t="s">
        <v>737</v>
      </c>
      <c r="C75" s="2"/>
      <c r="D75" s="2"/>
      <c r="E75" s="2"/>
      <c r="F75" s="2"/>
      <c r="G75" s="2"/>
      <c r="H75" s="2"/>
      <c r="I75" s="2"/>
      <c r="J75" s="2"/>
      <c r="K75" s="125" t="s">
        <v>695</v>
      </c>
    </row>
    <row r="76">
      <c r="A76" s="2"/>
      <c r="B76" s="3" t="s">
        <v>738</v>
      </c>
      <c r="C76" s="2"/>
      <c r="D76" s="2"/>
      <c r="E76" s="2"/>
      <c r="F76" s="2"/>
      <c r="G76" s="2"/>
      <c r="H76" s="2"/>
      <c r="I76" s="2"/>
      <c r="J76" s="2"/>
      <c r="K76" s="125" t="s">
        <v>695</v>
      </c>
    </row>
    <row r="77">
      <c r="A77" s="2"/>
      <c r="B77" s="3" t="s">
        <v>739</v>
      </c>
      <c r="C77" s="2"/>
      <c r="D77" s="2"/>
      <c r="E77" s="2"/>
      <c r="F77" s="2"/>
      <c r="G77" s="2"/>
      <c r="H77" s="2"/>
      <c r="I77" s="2"/>
      <c r="J77" s="2"/>
      <c r="K77" s="125" t="s">
        <v>695</v>
      </c>
    </row>
    <row r="78">
      <c r="A78" s="2"/>
      <c r="B78" s="3" t="s">
        <v>740</v>
      </c>
      <c r="C78" s="2"/>
      <c r="D78" s="2"/>
      <c r="E78" s="2"/>
      <c r="F78" s="2"/>
      <c r="G78" s="2"/>
      <c r="H78" s="2"/>
      <c r="I78" s="2"/>
      <c r="J78" s="2"/>
      <c r="K78" s="125" t="s">
        <v>695</v>
      </c>
    </row>
    <row r="79">
      <c r="A79" s="2"/>
      <c r="B79" s="3" t="s">
        <v>741</v>
      </c>
      <c r="C79" s="2"/>
      <c r="D79" s="2"/>
      <c r="E79" s="2"/>
      <c r="F79" s="2"/>
      <c r="G79" s="2"/>
      <c r="H79" s="2"/>
      <c r="I79" s="2"/>
      <c r="J79" s="2"/>
      <c r="K79" s="125" t="s">
        <v>695</v>
      </c>
    </row>
    <row r="80">
      <c r="A80" s="2"/>
      <c r="B80" s="3" t="s">
        <v>742</v>
      </c>
      <c r="C80" s="2"/>
      <c r="D80" s="2"/>
      <c r="E80" s="2"/>
      <c r="F80" s="2"/>
      <c r="G80" s="2"/>
      <c r="H80" s="2"/>
      <c r="I80" s="2"/>
      <c r="J80" s="2"/>
      <c r="K80" s="125" t="s">
        <v>695</v>
      </c>
    </row>
    <row r="81">
      <c r="A81" s="2"/>
      <c r="B81" s="3" t="s">
        <v>743</v>
      </c>
      <c r="C81" s="2"/>
      <c r="D81" s="2"/>
      <c r="E81" s="2"/>
      <c r="F81" s="2"/>
      <c r="G81" s="2"/>
      <c r="H81" s="2"/>
      <c r="I81" s="2"/>
      <c r="J81" s="2"/>
      <c r="K81" s="125" t="s">
        <v>695</v>
      </c>
    </row>
    <row r="82">
      <c r="A82" s="2"/>
      <c r="B82" s="3" t="s">
        <v>744</v>
      </c>
      <c r="C82" s="13">
        <v>205398</v>
      </c>
      <c r="D82" s="2"/>
      <c r="E82" s="2"/>
      <c r="F82" s="2"/>
      <c r="G82" s="2"/>
      <c r="H82" s="2"/>
      <c r="I82" s="2"/>
      <c r="J82" s="2"/>
      <c r="K82" s="125" t="s">
        <v>660</v>
      </c>
    </row>
    <row r="83">
      <c r="A83" s="2"/>
      <c r="B83" s="3" t="s">
        <v>745</v>
      </c>
      <c r="C83" s="2"/>
      <c r="D83" s="2"/>
      <c r="E83" s="2"/>
      <c r="F83" s="2"/>
      <c r="G83" s="2"/>
      <c r="H83" s="2"/>
      <c r="I83" s="2"/>
      <c r="J83" s="2"/>
      <c r="K83" s="125" t="s">
        <v>695</v>
      </c>
    </row>
    <row r="84">
      <c r="A84" s="2"/>
      <c r="B84" s="3" t="s">
        <v>746</v>
      </c>
      <c r="C84" s="82">
        <v>11.19</v>
      </c>
      <c r="D84" s="2"/>
      <c r="E84" s="2"/>
      <c r="F84" s="2"/>
      <c r="G84" s="2"/>
      <c r="H84" s="2"/>
      <c r="I84" s="2"/>
      <c r="J84" s="2"/>
      <c r="K84" s="125" t="s">
        <v>660</v>
      </c>
    </row>
    <row r="85">
      <c r="A85" s="2"/>
      <c r="B85" s="3" t="s">
        <v>747</v>
      </c>
      <c r="C85" s="17">
        <v>66.59</v>
      </c>
      <c r="D85" s="2"/>
      <c r="E85" s="2"/>
      <c r="F85" s="2"/>
      <c r="G85" s="2"/>
      <c r="H85" s="2"/>
      <c r="I85" s="2"/>
      <c r="J85" s="2"/>
      <c r="K85" s="125" t="s">
        <v>660</v>
      </c>
    </row>
    <row r="86">
      <c r="A86" s="2"/>
      <c r="B86" s="3" t="s">
        <v>748</v>
      </c>
      <c r="C86" s="17">
        <v>66.5</v>
      </c>
      <c r="D86" s="2"/>
      <c r="E86" s="2"/>
      <c r="F86" s="2"/>
      <c r="G86" s="2"/>
      <c r="H86" s="2"/>
      <c r="I86" s="2"/>
      <c r="J86" s="2"/>
      <c r="K86" s="125" t="s">
        <v>660</v>
      </c>
    </row>
    <row r="87">
      <c r="A87" s="2"/>
      <c r="B87" s="3" t="s">
        <v>749</v>
      </c>
      <c r="C87" s="17">
        <v>75</v>
      </c>
      <c r="D87" s="2"/>
      <c r="E87" s="2"/>
      <c r="F87" s="2"/>
      <c r="G87" s="2"/>
      <c r="H87" s="2"/>
      <c r="I87" s="2"/>
      <c r="J87" s="2"/>
      <c r="K87" s="125" t="s">
        <v>660</v>
      </c>
    </row>
    <row r="88">
      <c r="A88" s="2"/>
      <c r="B88" s="3" t="s">
        <v>750</v>
      </c>
      <c r="C88" s="17">
        <v>60</v>
      </c>
      <c r="D88" s="2"/>
      <c r="E88" s="2"/>
      <c r="F88" s="2"/>
      <c r="G88" s="2"/>
      <c r="H88" s="2"/>
      <c r="I88" s="2"/>
      <c r="J88" s="2"/>
      <c r="K88" s="125" t="s">
        <v>660</v>
      </c>
    </row>
    <row r="89">
      <c r="A89" s="2"/>
      <c r="B89" s="3" t="s">
        <v>751</v>
      </c>
      <c r="C89" s="17">
        <v>3.75</v>
      </c>
      <c r="D89" s="2"/>
      <c r="E89" s="2"/>
      <c r="F89" s="2"/>
      <c r="G89" s="2"/>
      <c r="H89" s="2"/>
      <c r="I89" s="2"/>
      <c r="J89" s="2"/>
      <c r="K89" s="125" t="s">
        <v>660</v>
      </c>
    </row>
    <row r="90">
      <c r="A90" s="2"/>
      <c r="B90" s="3" t="s">
        <v>752</v>
      </c>
      <c r="C90" s="73">
        <v>22</v>
      </c>
      <c r="D90" s="2"/>
      <c r="E90" s="2"/>
      <c r="F90" s="2"/>
      <c r="G90" s="2"/>
      <c r="H90" s="2"/>
      <c r="I90" s="2"/>
      <c r="J90" s="2"/>
      <c r="K90" s="125" t="s">
        <v>660</v>
      </c>
    </row>
    <row r="91">
      <c r="A91" s="2"/>
      <c r="B91" s="3" t="s">
        <v>753</v>
      </c>
      <c r="C91" s="62" t="s">
        <v>754</v>
      </c>
      <c r="D91" s="2"/>
      <c r="E91" s="2"/>
      <c r="F91" s="2"/>
      <c r="G91" s="2"/>
      <c r="H91" s="2"/>
      <c r="I91" s="2"/>
      <c r="J91" s="2"/>
      <c r="K91" s="125" t="s">
        <v>660</v>
      </c>
    </row>
    <row r="92">
      <c r="A92" s="2"/>
      <c r="B92" s="3" t="s">
        <v>755</v>
      </c>
      <c r="C92" s="82">
        <v>1.56</v>
      </c>
      <c r="D92" s="2"/>
      <c r="E92" s="2"/>
      <c r="F92" s="2"/>
      <c r="G92" s="2"/>
      <c r="H92" s="2"/>
      <c r="I92" s="2"/>
      <c r="J92" s="2"/>
      <c r="K92" s="125" t="s">
        <v>660</v>
      </c>
    </row>
    <row r="93">
      <c r="A93" s="2"/>
      <c r="B93" s="3" t="s">
        <v>756</v>
      </c>
      <c r="C93" s="17">
        <v>54.32</v>
      </c>
      <c r="D93" s="2"/>
      <c r="E93" s="2"/>
      <c r="F93" s="2"/>
      <c r="G93" s="2"/>
      <c r="H93" s="2"/>
      <c r="I93" s="2"/>
      <c r="J93" s="2"/>
      <c r="K93" s="125" t="s">
        <v>660</v>
      </c>
    </row>
    <row r="94">
      <c r="A94" s="2"/>
      <c r="B94" s="3" t="s">
        <v>757</v>
      </c>
      <c r="C94" s="62" t="s">
        <v>758</v>
      </c>
      <c r="D94" s="2"/>
      <c r="E94" s="2"/>
      <c r="F94" s="2"/>
      <c r="G94" s="2"/>
      <c r="H94" s="2"/>
      <c r="I94" s="2"/>
      <c r="J94" s="2"/>
      <c r="K94" s="125" t="s">
        <v>660</v>
      </c>
    </row>
    <row r="95">
      <c r="A95" s="2"/>
      <c r="B95" s="3" t="s">
        <v>673</v>
      </c>
      <c r="C95" s="62" t="s">
        <v>674</v>
      </c>
      <c r="D95" s="2"/>
      <c r="E95" s="2"/>
      <c r="F95" s="2"/>
      <c r="G95" s="2"/>
      <c r="H95" s="2"/>
      <c r="I95" s="2"/>
      <c r="J95" s="2"/>
      <c r="K95" s="125" t="s">
        <v>660</v>
      </c>
    </row>
    <row r="96">
      <c r="A96" s="2"/>
      <c r="B96" s="3" t="s">
        <v>759</v>
      </c>
      <c r="C96" s="62" t="s">
        <v>678</v>
      </c>
      <c r="D96" s="2"/>
      <c r="E96" s="2"/>
      <c r="F96" s="2"/>
      <c r="G96" s="2"/>
      <c r="H96" s="2"/>
      <c r="I96" s="2"/>
      <c r="J96" s="2"/>
      <c r="K96" s="125" t="s">
        <v>660</v>
      </c>
    </row>
    <row r="97">
      <c r="A97" s="2"/>
      <c r="B97" s="3" t="s">
        <v>760</v>
      </c>
      <c r="C97" s="27">
        <v>46306</v>
      </c>
      <c r="D97" s="2"/>
      <c r="E97" s="2"/>
      <c r="F97" s="2"/>
      <c r="G97" s="2"/>
      <c r="H97" s="2"/>
      <c r="I97" s="2"/>
      <c r="J97" s="2"/>
      <c r="K97" s="125" t="s">
        <v>660</v>
      </c>
    </row>
    <row r="98">
      <c r="A98" s="2"/>
      <c r="B98" s="3" t="s">
        <v>761</v>
      </c>
      <c r="C98" s="62" t="s">
        <v>762</v>
      </c>
      <c r="D98" s="2"/>
      <c r="E98" s="2"/>
      <c r="F98" s="2"/>
      <c r="G98" s="2"/>
      <c r="H98" s="2"/>
      <c r="I98" s="2"/>
      <c r="J98" s="2"/>
      <c r="K98" s="125" t="s">
        <v>660</v>
      </c>
    </row>
    <row r="99">
      <c r="A99" s="2"/>
      <c r="B99" s="18" t="s">
        <v>763</v>
      </c>
      <c r="C99" s="2"/>
      <c r="D99" s="2"/>
      <c r="E99" s="2"/>
      <c r="F99" s="2"/>
      <c r="G99" s="2"/>
      <c r="H99" s="2"/>
      <c r="I99" s="2"/>
      <c r="J99" s="2"/>
      <c r="K99" s="124"/>
    </row>
    <row r="100" ht="42">
      <c r="A100" s="2"/>
      <c r="B100" s="18" t="s">
        <v>764</v>
      </c>
      <c r="C100" s="123" t="s">
        <v>666</v>
      </c>
      <c r="D100" s="123" t="s">
        <v>765</v>
      </c>
      <c r="E100" s="123" t="s">
        <v>766</v>
      </c>
      <c r="F100" s="123" t="s">
        <v>767</v>
      </c>
      <c r="G100" s="123" t="s">
        <v>768</v>
      </c>
      <c r="H100" s="123" t="s">
        <v>769</v>
      </c>
      <c r="I100" s="123" t="s">
        <v>770</v>
      </c>
      <c r="J100" s="123" t="s">
        <v>771</v>
      </c>
      <c r="K100" s="124"/>
    </row>
    <row r="101">
      <c r="A101" s="2"/>
      <c r="B101" s="3" t="s">
        <v>772</v>
      </c>
      <c r="C101" s="27">
        <v>45747</v>
      </c>
      <c r="D101" s="27">
        <v>45762</v>
      </c>
      <c r="E101" s="17">
        <v>0.81</v>
      </c>
      <c r="F101" s="17">
        <v>0.9</v>
      </c>
      <c r="G101" s="17">
        <v>0.82</v>
      </c>
      <c r="H101" s="17">
        <v>0.9</v>
      </c>
      <c r="I101" s="13">
        <v>26906.85</v>
      </c>
      <c r="J101" s="13">
        <v>27366</v>
      </c>
      <c r="K101" s="125" t="s">
        <v>773</v>
      </c>
    </row>
    <row r="102">
      <c r="A102" s="2"/>
      <c r="B102" s="3" t="s">
        <v>774</v>
      </c>
      <c r="C102" s="27">
        <v>45838</v>
      </c>
      <c r="D102" s="27">
        <v>45854</v>
      </c>
      <c r="E102" s="17">
        <v>0.86</v>
      </c>
      <c r="F102" s="17">
        <v>0.89</v>
      </c>
      <c r="G102" s="17">
        <v>0.86</v>
      </c>
      <c r="H102" s="17">
        <v>0.89</v>
      </c>
      <c r="I102" s="13">
        <v>26732.55</v>
      </c>
      <c r="J102" s="13">
        <v>26463</v>
      </c>
      <c r="K102" s="125" t="s">
        <v>773</v>
      </c>
    </row>
    <row r="103">
      <c r="A103" s="2"/>
      <c r="B103" s="3" t="s">
        <v>775</v>
      </c>
      <c r="C103" s="27">
        <v>45930</v>
      </c>
      <c r="D103" s="27">
        <v>45945</v>
      </c>
      <c r="E103" s="17">
        <v>0.95</v>
      </c>
      <c r="F103" s="17">
        <v>1.06</v>
      </c>
      <c r="G103" s="17">
        <v>0.95</v>
      </c>
      <c r="H103" s="17">
        <v>1.06</v>
      </c>
      <c r="I103" s="13">
        <v>27458.24</v>
      </c>
      <c r="J103" s="13">
        <v>28088</v>
      </c>
      <c r="K103" s="125" t="s">
        <v>773</v>
      </c>
    </row>
    <row r="104">
      <c r="A104" s="2"/>
      <c r="B104" s="3" t="s">
        <v>776</v>
      </c>
      <c r="C104" s="27">
        <v>46022</v>
      </c>
      <c r="D104" s="27">
        <v>46036</v>
      </c>
      <c r="E104" s="17">
        <v>0.95</v>
      </c>
      <c r="F104" s="17">
        <v>0.98</v>
      </c>
      <c r="G104" s="17">
        <v>0.96</v>
      </c>
      <c r="H104" s="17">
        <v>0.98</v>
      </c>
      <c r="I104" s="13">
        <v>27742.26</v>
      </c>
      <c r="J104" s="13">
        <v>28367</v>
      </c>
      <c r="K104" s="125" t="s">
        <v>660</v>
      </c>
    </row>
    <row r="105">
      <c r="A105" s="2"/>
      <c r="B105" s="3" t="s">
        <v>777</v>
      </c>
      <c r="C105" s="27">
        <v>46112</v>
      </c>
      <c r="D105" s="27">
        <v>46127</v>
      </c>
      <c r="E105" s="17">
        <v>1.02</v>
      </c>
      <c r="F105" s="17">
        <v>1.11</v>
      </c>
      <c r="G105" s="17">
        <v>1.02</v>
      </c>
      <c r="H105" s="17">
        <v>1.11</v>
      </c>
      <c r="I105" s="13">
        <v>29939.05</v>
      </c>
      <c r="J105" s="13">
        <v>30272</v>
      </c>
      <c r="K105" s="125" t="s">
        <v>660</v>
      </c>
    </row>
    <row r="106">
      <c r="A106" s="2"/>
      <c r="B106" s="3" t="s">
        <v>778</v>
      </c>
      <c r="C106" s="27">
        <v>46203</v>
      </c>
      <c r="D106" s="27">
        <v>46217</v>
      </c>
      <c r="E106" s="17">
        <v>1.13</v>
      </c>
      <c r="F106" s="17">
        <v>1.21</v>
      </c>
      <c r="G106" s="17">
        <v>1.12</v>
      </c>
      <c r="H106" s="17">
        <v>1.21</v>
      </c>
      <c r="I106" s="13">
        <v>30774.6</v>
      </c>
      <c r="J106" s="13">
        <v>31558</v>
      </c>
      <c r="K106" s="125" t="s">
        <v>660</v>
      </c>
    </row>
    <row r="107">
      <c r="A107" s="2"/>
      <c r="B107" s="18" t="s">
        <v>779</v>
      </c>
      <c r="C107" s="2"/>
      <c r="D107" s="2"/>
      <c r="E107" s="2"/>
      <c r="F107" s="2"/>
      <c r="G107" s="2"/>
      <c r="H107" s="2"/>
      <c r="I107" s="2"/>
      <c r="J107" s="2"/>
      <c r="K107" s="124"/>
    </row>
    <row r="108" ht="25.5">
      <c r="A108" s="2"/>
      <c r="B108" s="18" t="s">
        <v>780</v>
      </c>
      <c r="C108" s="4" t="s">
        <v>781</v>
      </c>
      <c r="D108" s="4" t="s">
        <v>782</v>
      </c>
      <c r="E108" s="4" t="s">
        <v>783</v>
      </c>
      <c r="F108" s="2"/>
      <c r="G108" s="2"/>
      <c r="H108" s="2"/>
      <c r="I108" s="2"/>
      <c r="J108" s="2"/>
      <c r="K108" s="124"/>
    </row>
    <row r="109">
      <c r="A109" s="2"/>
      <c r="B109" s="3" t="s">
        <v>784</v>
      </c>
      <c r="C109" s="28">
        <f>F101-E101</f>
        <v>0.08999999999999997</v>
      </c>
      <c r="D109" s="26">
        <f>IF(F101&gt;E101,1,0)</f>
        <v>1</v>
      </c>
      <c r="E109" s="11">
        <f>F101/E101-1</f>
        <v>0.11111111111111116</v>
      </c>
      <c r="F109" s="2"/>
      <c r="G109" s="2"/>
      <c r="H109" s="2"/>
      <c r="I109" s="2"/>
      <c r="J109" s="2"/>
      <c r="K109" s="124"/>
    </row>
    <row r="110">
      <c r="A110" s="2"/>
      <c r="B110" s="3" t="s">
        <v>785</v>
      </c>
      <c r="C110" s="28">
        <f>F102-E102</f>
        <v>0.030000000000000027</v>
      </c>
      <c r="D110" s="26">
        <f>IF(F102&gt;E102,1,0)</f>
        <v>1</v>
      </c>
      <c r="E110" s="11">
        <f>F102/E102-1</f>
        <v>0.03488372093023262</v>
      </c>
      <c r="F110" s="2"/>
      <c r="G110" s="2"/>
      <c r="H110" s="2"/>
      <c r="I110" s="2"/>
      <c r="J110" s="2"/>
      <c r="K110" s="124"/>
    </row>
    <row r="111">
      <c r="A111" s="2"/>
      <c r="B111" s="3" t="s">
        <v>786</v>
      </c>
      <c r="C111" s="28">
        <f>F103-E103</f>
        <v>0.1100000000000001</v>
      </c>
      <c r="D111" s="26">
        <f>IF(F103&gt;E103,1,0)</f>
        <v>1</v>
      </c>
      <c r="E111" s="11">
        <f>F103/E103-1</f>
        <v>0.11578947368421066</v>
      </c>
      <c r="F111" s="2"/>
      <c r="G111" s="2"/>
      <c r="H111" s="2"/>
      <c r="I111" s="2"/>
      <c r="J111" s="2"/>
      <c r="K111" s="124"/>
    </row>
    <row r="112">
      <c r="A112" s="2"/>
      <c r="B112" s="3" t="s">
        <v>787</v>
      </c>
      <c r="C112" s="28">
        <f>F104-E104</f>
        <v>0.030000000000000027</v>
      </c>
      <c r="D112" s="26">
        <f>IF(F104&gt;E104,1,0)</f>
        <v>1</v>
      </c>
      <c r="E112" s="11">
        <f>F104/E104-1</f>
        <v>0.03157894736842115</v>
      </c>
      <c r="F112" s="2"/>
      <c r="G112" s="2"/>
      <c r="H112" s="2"/>
      <c r="I112" s="2"/>
      <c r="J112" s="2"/>
      <c r="K112" s="124"/>
    </row>
    <row r="113">
      <c r="A113" s="2"/>
      <c r="B113" s="3" t="s">
        <v>788</v>
      </c>
      <c r="C113" s="28">
        <f>F105-E105</f>
        <v>0.09000000000000008</v>
      </c>
      <c r="D113" s="26">
        <f>IF(F105&gt;E105,1,0)</f>
        <v>1</v>
      </c>
      <c r="E113" s="11">
        <f>F105/E105-1</f>
        <v>0.08823529411764719</v>
      </c>
      <c r="F113" s="2"/>
      <c r="G113" s="2"/>
      <c r="H113" s="2"/>
      <c r="I113" s="2"/>
      <c r="J113" s="2"/>
      <c r="K113" s="124"/>
    </row>
    <row r="114">
      <c r="A114" s="2"/>
      <c r="B114" s="3" t="s">
        <v>789</v>
      </c>
      <c r="C114" s="28">
        <f>F106-E106</f>
        <v>0.08000000000000007</v>
      </c>
      <c r="D114" s="26">
        <f>IF(F106&gt;E106,1,0)</f>
        <v>1</v>
      </c>
      <c r="E114" s="11">
        <f>F106/E106-1</f>
        <v>0.07079646017699126</v>
      </c>
      <c r="F114" s="2"/>
      <c r="G114" s="2"/>
      <c r="H114" s="2"/>
      <c r="I114" s="2"/>
      <c r="J114" s="2"/>
      <c r="K114" s="124"/>
    </row>
    <row r="115">
      <c r="A115" s="2"/>
      <c r="B115" s="3" t="s">
        <v>790</v>
      </c>
      <c r="C115" s="26">
        <f>SUM(D109:D114)</f>
        <v>6</v>
      </c>
      <c r="D115" s="2"/>
      <c r="E115" s="2"/>
      <c r="F115" s="2"/>
      <c r="G115" s="2"/>
      <c r="H115" s="2"/>
      <c r="I115" s="2"/>
      <c r="J115" s="2"/>
      <c r="K115" s="124"/>
    </row>
    <row r="116">
      <c r="A116" s="2"/>
      <c r="B116" s="3" t="s">
        <v>791</v>
      </c>
      <c r="C116" s="26">
        <f>COUNT(C109:C114)</f>
        <v>6</v>
      </c>
      <c r="D116" s="2"/>
      <c r="E116" s="2"/>
      <c r="F116" s="2"/>
      <c r="G116" s="2"/>
      <c r="H116" s="2"/>
      <c r="I116" s="2"/>
      <c r="J116" s="2"/>
      <c r="K116" s="124"/>
    </row>
    <row r="117">
      <c r="A117" s="2"/>
      <c r="B117" s="3" t="s">
        <v>792</v>
      </c>
      <c r="C117" s="28">
        <f>AVERAGE(C109:C114)</f>
        <v>0.07166666666666671</v>
      </c>
      <c r="D117" s="2"/>
      <c r="E117" s="2"/>
      <c r="F117" s="2"/>
      <c r="G117" s="2"/>
      <c r="H117" s="2"/>
      <c r="I117" s="2"/>
      <c r="J117" s="2"/>
      <c r="K117" s="124"/>
    </row>
    <row r="118">
      <c r="A118" s="2"/>
      <c r="B118" s="3" t="s">
        <v>793</v>
      </c>
      <c r="C118" s="28">
        <f>MIN(C109:C114)</f>
        <v>0.030000000000000027</v>
      </c>
      <c r="D118" s="2"/>
      <c r="E118" s="2"/>
      <c r="F118" s="2"/>
      <c r="G118" s="2"/>
      <c r="H118" s="2"/>
      <c r="I118" s="2"/>
      <c r="J118" s="2"/>
      <c r="K118" s="124"/>
    </row>
    <row r="119">
      <c r="A119" s="2"/>
      <c r="B119" s="3" t="s">
        <v>794</v>
      </c>
      <c r="C119" s="13">
        <v>379850</v>
      </c>
      <c r="D119" s="2"/>
      <c r="E119" s="2"/>
      <c r="F119" s="2"/>
      <c r="G119" s="2"/>
      <c r="H119" s="2"/>
      <c r="I119" s="2"/>
      <c r="J119" s="2"/>
      <c r="K119" s="125" t="s">
        <v>795</v>
      </c>
    </row>
    <row r="120">
      <c r="A120" s="2"/>
      <c r="B120" s="3" t="s">
        <v>796</v>
      </c>
      <c r="C120" s="13">
        <v>10000</v>
      </c>
      <c r="D120" s="2"/>
      <c r="E120" s="2"/>
      <c r="F120" s="2"/>
      <c r="G120" s="2"/>
      <c r="H120" s="2"/>
      <c r="I120" s="2"/>
      <c r="J120" s="2"/>
      <c r="K120" s="124"/>
    </row>
    <row r="121">
      <c r="A121" s="2"/>
      <c r="B121" s="3" t="s">
        <v>797</v>
      </c>
      <c r="C121" s="13">
        <v>2000</v>
      </c>
      <c r="D121" s="2"/>
      <c r="E121" s="2"/>
      <c r="F121" s="2"/>
      <c r="G121" s="2"/>
      <c r="H121" s="2"/>
      <c r="I121" s="2"/>
      <c r="J121" s="2"/>
      <c r="K121" s="124"/>
    </row>
    <row r="122">
      <c r="A122" s="2"/>
      <c r="B122" s="3" t="s">
        <v>798</v>
      </c>
      <c r="C122" s="13">
        <v>300</v>
      </c>
      <c r="D122" s="2"/>
      <c r="E122" s="2"/>
      <c r="F122" s="2"/>
      <c r="G122" s="2"/>
      <c r="H122" s="2"/>
      <c r="I122" s="2"/>
      <c r="J122" s="2"/>
      <c r="K122" s="124"/>
    </row>
    <row r="123">
      <c r="A123" s="2"/>
      <c r="B123" s="3" t="s">
        <v>799</v>
      </c>
      <c r="C123" s="118" t="str">
        <f>IF(C119&gt;C120,"Large",IF(C119&gt;=C121,"Mid",IF(C119&gt;=C122,"Small","Micro")))</f>
        <v>Large</v>
      </c>
      <c r="D123" s="2"/>
      <c r="E123" s="2"/>
      <c r="F123" s="2"/>
      <c r="G123" s="2"/>
      <c r="H123" s="2"/>
      <c r="I123" s="2"/>
      <c r="J123" s="2"/>
      <c r="K123" s="124"/>
    </row>
    <row r="124">
      <c r="A124" s="2"/>
      <c r="B124" s="3" t="s">
        <v>800</v>
      </c>
      <c r="C124" s="118" t="str">
        <f>C33</f>
        <v>Y</v>
      </c>
      <c r="D124" s="2"/>
      <c r="E124" s="2"/>
      <c r="F124" s="2"/>
      <c r="G124" s="2"/>
      <c r="H124" s="2"/>
      <c r="I124" s="2"/>
      <c r="J124" s="2"/>
      <c r="K124" s="124"/>
    </row>
    <row r="125">
      <c r="A125" s="2"/>
      <c r="B125" s="3" t="s">
        <v>801</v>
      </c>
      <c r="C125" s="23">
        <v>0.78</v>
      </c>
      <c r="D125" s="2"/>
      <c r="E125" s="2"/>
      <c r="F125" s="2"/>
      <c r="G125" s="2"/>
      <c r="H125" s="2"/>
      <c r="I125" s="2"/>
      <c r="J125" s="2"/>
      <c r="K125" s="124"/>
    </row>
    <row r="126">
      <c r="A126" s="2"/>
      <c r="B126" s="3" t="s">
        <v>802</v>
      </c>
      <c r="C126" s="23">
        <v>0.7</v>
      </c>
      <c r="D126" s="2"/>
      <c r="E126" s="2"/>
      <c r="F126" s="2"/>
      <c r="G126" s="2"/>
      <c r="H126" s="2"/>
      <c r="I126" s="2"/>
      <c r="J126" s="2"/>
      <c r="K126" s="124"/>
    </row>
    <row r="127">
      <c r="A127" s="2"/>
      <c r="B127" s="3" t="s">
        <v>803</v>
      </c>
      <c r="C127" s="23">
        <v>0.6</v>
      </c>
      <c r="D127" s="2"/>
      <c r="E127" s="2"/>
      <c r="F127" s="2"/>
      <c r="G127" s="2"/>
      <c r="H127" s="2"/>
      <c r="I127" s="2"/>
      <c r="J127" s="2"/>
      <c r="K127" s="124"/>
    </row>
    <row r="128">
      <c r="A128" s="2"/>
      <c r="B128" s="3" t="s">
        <v>804</v>
      </c>
      <c r="C128" s="11">
        <f>IF(OR(C123="Large",C124="Y"),C125,IF(C123="Mid",C126,C127))</f>
        <v>0.78</v>
      </c>
      <c r="D128" s="2"/>
      <c r="E128" s="2"/>
      <c r="F128" s="2"/>
      <c r="G128" s="2"/>
      <c r="H128" s="2"/>
      <c r="I128" s="2"/>
      <c r="J128" s="2"/>
      <c r="K128" s="124"/>
    </row>
    <row r="129">
      <c r="A129" s="2"/>
      <c r="B129" s="3" t="s">
        <v>805</v>
      </c>
      <c r="C129" s="73">
        <v>8</v>
      </c>
      <c r="D129" s="2"/>
      <c r="E129" s="2"/>
      <c r="F129" s="2"/>
      <c r="G129" s="2"/>
      <c r="H129" s="2"/>
      <c r="I129" s="2"/>
      <c r="J129" s="2"/>
      <c r="K129" s="124"/>
    </row>
    <row r="130">
      <c r="A130" s="2"/>
      <c r="B130" s="3" t="s">
        <v>806</v>
      </c>
      <c r="C130" s="11">
        <f>(C129*C128+C115)/(C129+C116)</f>
        <v>0.8742857142857143</v>
      </c>
      <c r="D130" s="2"/>
      <c r="E130" s="2"/>
      <c r="F130" s="2"/>
      <c r="G130" s="2"/>
      <c r="H130" s="2"/>
      <c r="I130" s="2"/>
      <c r="J130" s="2"/>
      <c r="K130" s="124"/>
    </row>
    <row r="131">
      <c r="A131" s="2"/>
      <c r="B131" s="3" t="s">
        <v>807</v>
      </c>
      <c r="C131" s="23">
        <v>-0.13</v>
      </c>
      <c r="D131" s="2"/>
      <c r="E131" s="2"/>
      <c r="F131" s="2"/>
      <c r="G131" s="2"/>
      <c r="H131" s="2"/>
      <c r="I131" s="2"/>
      <c r="J131" s="2"/>
      <c r="K131" s="129" t="s">
        <v>808</v>
      </c>
    </row>
    <row r="132">
      <c r="A132" s="2"/>
      <c r="B132" s="24" t="s">
        <v>809</v>
      </c>
      <c r="C132" s="83">
        <f>C130+C131</f>
        <v>0.7442857142857143</v>
      </c>
      <c r="D132" s="2"/>
      <c r="E132" s="2"/>
      <c r="F132" s="2"/>
      <c r="G132" s="2"/>
      <c r="H132" s="2"/>
      <c r="I132" s="2"/>
      <c r="J132" s="2"/>
      <c r="K132" s="124"/>
    </row>
    <row r="133">
      <c r="A133" s="2"/>
      <c r="B133" s="24" t="s">
        <v>61</v>
      </c>
      <c r="C133" s="119" t="s">
        <v>810</v>
      </c>
      <c r="D133" s="2"/>
      <c r="E133" s="2"/>
      <c r="F133" s="2"/>
      <c r="G133" s="2"/>
      <c r="H133" s="2"/>
      <c r="I133" s="2"/>
      <c r="J133" s="2"/>
      <c r="K133" s="124"/>
    </row>
    <row r="134">
      <c r="A134" s="2"/>
      <c r="B134" s="2"/>
      <c r="C134" s="2"/>
      <c r="D134" s="2"/>
      <c r="E134" s="2"/>
      <c r="F134" s="2"/>
      <c r="G134" s="2"/>
      <c r="H134" s="2"/>
      <c r="I134" s="2"/>
      <c r="J134" s="2"/>
      <c r="K134" s="2"/>
    </row>
    <row r="135">
      <c r="A135" s="2"/>
      <c r="B135" s="138" t="s">
        <v>73</v>
      </c>
      <c r="C135" s="137"/>
      <c r="D135" s="137"/>
      <c r="E135" s="137"/>
      <c r="F135" s="137"/>
      <c r="G135" s="137"/>
      <c r="H135" s="137"/>
      <c r="I135" s="137"/>
      <c r="J135" s="137"/>
      <c r="K135" s="137"/>
    </row>
    <row r="136">
      <c r="B136" s="128" t="s">
        <v>74</v>
      </c>
      <c r="C136" s="130" t="s">
        <v>811</v>
      </c>
      <c r="D136" s="127"/>
      <c r="E136" s="127"/>
      <c r="F136" s="127"/>
      <c r="G136" s="127"/>
      <c r="H136" s="127"/>
      <c r="I136" s="127"/>
      <c r="J136" s="127"/>
      <c r="K136" s="127"/>
    </row>
    <row r="137">
      <c r="B137" s="128"/>
      <c r="C137" s="130" t="s">
        <v>812</v>
      </c>
      <c r="D137" s="127"/>
      <c r="E137" s="127"/>
      <c r="F137" s="127"/>
      <c r="G137" s="127"/>
      <c r="H137" s="127"/>
      <c r="I137" s="127"/>
      <c r="J137" s="127"/>
      <c r="K137" s="127"/>
    </row>
    <row r="138">
      <c r="B138" s="128"/>
      <c r="C138" s="130" t="s">
        <v>813</v>
      </c>
      <c r="D138" s="127"/>
      <c r="E138" s="127"/>
      <c r="F138" s="127"/>
      <c r="G138" s="127"/>
      <c r="H138" s="127"/>
      <c r="I138" s="127"/>
      <c r="J138" s="127"/>
      <c r="K138" s="127"/>
    </row>
    <row r="139">
      <c r="B139" s="128"/>
      <c r="C139" s="130" t="s">
        <v>814</v>
      </c>
      <c r="D139" s="127"/>
      <c r="E139" s="127"/>
      <c r="F139" s="127"/>
      <c r="G139" s="127"/>
      <c r="H139" s="127"/>
      <c r="I139" s="127"/>
      <c r="J139" s="127"/>
      <c r="K139" s="127"/>
    </row>
    <row r="140">
      <c r="B140" s="128"/>
      <c r="C140" s="130" t="s">
        <v>815</v>
      </c>
      <c r="D140" s="127"/>
      <c r="E140" s="127"/>
      <c r="F140" s="127"/>
      <c r="G140" s="127"/>
      <c r="H140" s="127"/>
      <c r="I140" s="127"/>
      <c r="J140" s="127"/>
      <c r="K140" s="127"/>
    </row>
    <row r="141">
      <c r="B141" s="128"/>
      <c r="C141" s="130" t="s">
        <v>816</v>
      </c>
      <c r="D141" s="127"/>
      <c r="E141" s="127"/>
      <c r="F141" s="127"/>
      <c r="G141" s="127"/>
      <c r="H141" s="127"/>
      <c r="I141" s="127"/>
      <c r="J141" s="127"/>
      <c r="K141" s="127"/>
    </row>
  </sheetData>
  <legacyDrawing r:id="rId2"/>
</worksheet>
</file>

<file path=xl/worksheets/sheet13.xml><?xml version="1.0" encoding="utf-8"?>
<worksheet xmlns="http://schemas.openxmlformats.org/spreadsheetml/2006/main" xmlns:r="http://schemas.openxmlformats.org/officeDocument/2006/relationships">
  <dimension ref="A1:K53"/>
  <sheetViews>
    <sheetView showGridLines="0" workbookViewId="0"/>
  </sheetViews>
  <sheetFormatPr defaultColWidth="8.42578125" defaultRowHeight="15"/>
  <cols>
    <col min="1" max="1" width="2" customWidth="1"/>
    <col min="2" max="2" width="32" customWidth="1"/>
    <col min="3" max="3" width="12" customWidth="1"/>
    <col min="4" max="4" width="34" customWidth="1"/>
    <col min="5" max="5" width="62" customWidth="1"/>
    <col min="6" max="6" width="40" customWidth="1"/>
    <col min="7" max="10" width="12" customWidth="1"/>
    <col min="11" max="11" width="14" customWidth="1"/>
  </cols>
  <sheetData>
    <row r="1">
      <c r="A1" s="2"/>
      <c r="B1" s="2"/>
      <c r="C1" s="2"/>
      <c r="D1" s="2"/>
      <c r="E1" s="2"/>
      <c r="F1" s="2"/>
      <c r="G1" s="2"/>
      <c r="H1" s="2"/>
      <c r="I1" s="2"/>
      <c r="J1" s="2"/>
      <c r="K1" s="2"/>
    </row>
    <row r="2">
      <c r="A2" s="2"/>
      <c r="B2" s="18" t="s">
        <v>0</v>
      </c>
      <c r="C2" s="2"/>
      <c r="D2" s="2"/>
      <c r="E2" s="2"/>
      <c r="F2" s="2"/>
      <c r="G2" s="2"/>
      <c r="H2" s="2"/>
      <c r="I2" s="2"/>
      <c r="J2" s="2"/>
      <c r="K2" s="2"/>
    </row>
    <row r="3">
      <c r="A3" s="2"/>
      <c r="B3" s="18" t="s">
        <v>817</v>
      </c>
      <c r="C3" s="2"/>
      <c r="D3" s="2"/>
      <c r="E3" s="2"/>
      <c r="F3" s="2"/>
      <c r="G3" s="2"/>
      <c r="H3" s="2"/>
      <c r="I3" s="2"/>
      <c r="J3" s="2"/>
      <c r="K3" s="2"/>
    </row>
    <row r="4">
      <c r="A4" s="2"/>
      <c r="B4" s="1" t="s">
        <v>2</v>
      </c>
      <c r="C4" s="2"/>
      <c r="D4" s="2"/>
      <c r="E4" s="2"/>
      <c r="F4" s="2"/>
      <c r="G4" s="2"/>
      <c r="H4" s="2"/>
      <c r="I4" s="2"/>
      <c r="J4" s="2"/>
      <c r="K4" s="2"/>
    </row>
    <row r="5">
      <c r="A5" s="2"/>
      <c r="B5" s="16" t="s">
        <v>3</v>
      </c>
      <c r="C5" s="9" t="s">
        <v>4</v>
      </c>
      <c r="D5" s="25"/>
      <c r="E5" s="25"/>
      <c r="F5" s="25"/>
      <c r="G5" s="25"/>
      <c r="H5" s="25"/>
      <c r="I5" s="25"/>
      <c r="J5" s="25"/>
      <c r="K5" s="35" t="s">
        <v>12</v>
      </c>
    </row>
    <row r="6">
      <c r="A6" s="2"/>
      <c r="B6" s="12" t="s">
        <v>13</v>
      </c>
      <c r="C6" s="20">
        <v>46295</v>
      </c>
      <c r="D6" s="21"/>
      <c r="E6" s="21"/>
      <c r="F6" s="21"/>
      <c r="G6" s="21"/>
      <c r="H6" s="21"/>
      <c r="I6" s="21"/>
      <c r="J6" s="21"/>
      <c r="K6" s="12"/>
    </row>
    <row r="7">
      <c r="A7" s="2"/>
      <c r="B7" s="6" t="s">
        <v>14</v>
      </c>
      <c r="C7" s="10">
        <f>C6-EOMONTH(C6,-3)</f>
        <v>92</v>
      </c>
      <c r="D7" s="14"/>
      <c r="E7" s="14"/>
      <c r="F7" s="14"/>
      <c r="G7" s="14"/>
      <c r="H7" s="14"/>
      <c r="I7" s="14"/>
      <c r="J7" s="14"/>
      <c r="K7" s="6"/>
    </row>
    <row r="8">
      <c r="A8" s="2"/>
      <c r="B8" s="2"/>
      <c r="C8" s="2"/>
      <c r="D8" s="2"/>
      <c r="E8" s="2"/>
      <c r="F8" s="2"/>
      <c r="G8" s="2"/>
      <c r="H8" s="2"/>
      <c r="I8" s="2"/>
      <c r="J8" s="2"/>
      <c r="K8" s="2"/>
    </row>
    <row r="9" ht="25.5">
      <c r="A9" s="2"/>
      <c r="B9" s="76" t="s">
        <v>818</v>
      </c>
      <c r="C9" s="117" t="s">
        <v>819</v>
      </c>
      <c r="D9" s="70" t="s">
        <v>820</v>
      </c>
      <c r="E9" s="70" t="s">
        <v>821</v>
      </c>
      <c r="F9" s="70" t="s">
        <v>822</v>
      </c>
      <c r="G9" s="2"/>
      <c r="H9" s="2"/>
      <c r="I9" s="2"/>
      <c r="J9" s="2"/>
      <c r="K9" s="2"/>
    </row>
    <row r="10" ht="27">
      <c r="A10" s="2"/>
      <c r="B10" s="55" t="s">
        <v>823</v>
      </c>
      <c r="C10" s="51">
        <v>46217</v>
      </c>
      <c r="D10" s="54" t="s">
        <v>824</v>
      </c>
      <c r="E10" s="54" t="s">
        <v>825</v>
      </c>
      <c r="F10" s="54" t="s">
        <v>826</v>
      </c>
      <c r="G10" s="2"/>
      <c r="H10" s="2"/>
      <c r="I10" s="2"/>
      <c r="J10" s="2"/>
      <c r="K10" s="2"/>
    </row>
    <row r="11" ht="27">
      <c r="A11" s="2"/>
      <c r="B11" s="55" t="s">
        <v>827</v>
      </c>
      <c r="C11" s="51">
        <v>46036</v>
      </c>
      <c r="D11" s="54" t="s">
        <v>828</v>
      </c>
      <c r="E11" s="54" t="s">
        <v>829</v>
      </c>
      <c r="F11" s="54" t="s">
        <v>830</v>
      </c>
      <c r="G11" s="2"/>
      <c r="H11" s="2"/>
      <c r="I11" s="2"/>
      <c r="J11" s="2"/>
      <c r="K11" s="2"/>
    </row>
    <row r="12" ht="27">
      <c r="A12" s="2"/>
      <c r="B12" s="55" t="s">
        <v>831</v>
      </c>
      <c r="C12" s="51">
        <v>46127</v>
      </c>
      <c r="D12" s="54" t="s">
        <v>832</v>
      </c>
      <c r="E12" s="54" t="s">
        <v>833</v>
      </c>
      <c r="F12" s="54" t="s">
        <v>834</v>
      </c>
      <c r="G12" s="2"/>
      <c r="H12" s="2"/>
      <c r="I12" s="2"/>
      <c r="J12" s="2"/>
      <c r="K12" s="2"/>
    </row>
    <row r="13" ht="27">
      <c r="A13" s="2"/>
      <c r="B13" s="55" t="s">
        <v>835</v>
      </c>
      <c r="C13" s="51">
        <v>46234</v>
      </c>
      <c r="D13" s="54" t="s">
        <v>836</v>
      </c>
      <c r="E13" s="54" t="s">
        <v>837</v>
      </c>
      <c r="F13" s="54" t="s">
        <v>838</v>
      </c>
      <c r="G13" s="2"/>
      <c r="H13" s="2"/>
      <c r="I13" s="2"/>
      <c r="J13" s="2"/>
      <c r="K13" s="2"/>
    </row>
    <row r="14" ht="27">
      <c r="A14" s="2"/>
      <c r="B14" s="55" t="s">
        <v>839</v>
      </c>
      <c r="C14" s="51">
        <v>46143</v>
      </c>
      <c r="D14" s="54" t="s">
        <v>840</v>
      </c>
      <c r="E14" s="54" t="s">
        <v>841</v>
      </c>
      <c r="F14" s="54" t="s">
        <v>842</v>
      </c>
      <c r="G14" s="2"/>
      <c r="H14" s="2"/>
      <c r="I14" s="2"/>
      <c r="J14" s="2"/>
      <c r="K14" s="2"/>
    </row>
    <row r="15" ht="27">
      <c r="A15" s="2"/>
      <c r="B15" s="55" t="s">
        <v>843</v>
      </c>
      <c r="C15" s="51">
        <v>46078</v>
      </c>
      <c r="D15" s="54" t="s">
        <v>844</v>
      </c>
      <c r="E15" s="54" t="s">
        <v>845</v>
      </c>
      <c r="F15" s="54" t="s">
        <v>846</v>
      </c>
      <c r="G15" s="2"/>
      <c r="H15" s="2"/>
      <c r="I15" s="2"/>
      <c r="J15" s="2"/>
      <c r="K15" s="2"/>
    </row>
    <row r="16" ht="27">
      <c r="A16" s="2"/>
      <c r="B16" s="55" t="s">
        <v>847</v>
      </c>
      <c r="C16" s="51">
        <v>45961</v>
      </c>
      <c r="D16" s="54" t="s">
        <v>848</v>
      </c>
      <c r="E16" s="54" t="s">
        <v>849</v>
      </c>
      <c r="F16" s="54" t="s">
        <v>850</v>
      </c>
      <c r="G16" s="2"/>
      <c r="H16" s="2"/>
      <c r="I16" s="2"/>
      <c r="J16" s="2"/>
      <c r="K16" s="2"/>
    </row>
    <row r="17" ht="27">
      <c r="A17" s="2"/>
      <c r="B17" s="55" t="s">
        <v>612</v>
      </c>
      <c r="C17" s="51">
        <v>46217</v>
      </c>
      <c r="D17" s="54" t="s">
        <v>851</v>
      </c>
      <c r="E17" s="54" t="s">
        <v>852</v>
      </c>
      <c r="F17" s="54" t="s">
        <v>853</v>
      </c>
      <c r="G17" s="2"/>
      <c r="H17" s="2"/>
      <c r="I17" s="2"/>
      <c r="J17" s="2"/>
      <c r="K17" s="2"/>
    </row>
    <row r="18" ht="27">
      <c r="A18" s="2"/>
      <c r="B18" s="55" t="s">
        <v>616</v>
      </c>
      <c r="C18" s="51">
        <v>46282</v>
      </c>
      <c r="D18" s="54" t="s">
        <v>854</v>
      </c>
      <c r="E18" s="54" t="s">
        <v>855</v>
      </c>
      <c r="F18" s="54" t="s">
        <v>856</v>
      </c>
      <c r="G18" s="2"/>
      <c r="H18" s="2"/>
      <c r="I18" s="2"/>
      <c r="J18" s="2"/>
      <c r="K18" s="2"/>
    </row>
    <row r="19" ht="27">
      <c r="A19" s="2"/>
      <c r="B19" s="55" t="s">
        <v>857</v>
      </c>
      <c r="C19" s="51">
        <v>46279</v>
      </c>
      <c r="D19" s="54" t="s">
        <v>858</v>
      </c>
      <c r="E19" s="54" t="s">
        <v>859</v>
      </c>
      <c r="F19" s="54" t="s">
        <v>860</v>
      </c>
      <c r="G19" s="2"/>
      <c r="H19" s="2"/>
      <c r="I19" s="2"/>
      <c r="J19" s="2"/>
      <c r="K19" s="2"/>
    </row>
    <row r="20" ht="27">
      <c r="A20" s="2"/>
      <c r="B20" s="55" t="s">
        <v>613</v>
      </c>
      <c r="C20" s="51">
        <v>46127</v>
      </c>
      <c r="D20" s="54" t="s">
        <v>861</v>
      </c>
      <c r="E20" s="54" t="s">
        <v>862</v>
      </c>
      <c r="F20" s="54" t="s">
        <v>863</v>
      </c>
      <c r="G20" s="2"/>
      <c r="H20" s="2"/>
      <c r="I20" s="2"/>
      <c r="J20" s="2"/>
      <c r="K20" s="2"/>
    </row>
    <row r="21" ht="27">
      <c r="A21" s="2"/>
      <c r="B21" s="55" t="s">
        <v>864</v>
      </c>
      <c r="C21" s="51">
        <v>46281</v>
      </c>
      <c r="D21" s="54" t="s">
        <v>865</v>
      </c>
      <c r="E21" s="54" t="s">
        <v>866</v>
      </c>
      <c r="F21" s="54" t="s">
        <v>867</v>
      </c>
      <c r="G21" s="2"/>
      <c r="H21" s="2"/>
      <c r="I21" s="2"/>
      <c r="J21" s="2"/>
      <c r="K21" s="2"/>
    </row>
    <row r="22" ht="27">
      <c r="A22" s="2"/>
      <c r="B22" s="55" t="s">
        <v>868</v>
      </c>
      <c r="C22" s="51">
        <v>46297</v>
      </c>
      <c r="D22" s="54" t="s">
        <v>869</v>
      </c>
      <c r="E22" s="54" t="s">
        <v>870</v>
      </c>
      <c r="F22" s="54" t="s">
        <v>871</v>
      </c>
      <c r="G22" s="2"/>
      <c r="H22" s="2"/>
      <c r="I22" s="2"/>
      <c r="J22" s="2"/>
      <c r="K22" s="2"/>
    </row>
    <row r="23" ht="27">
      <c r="A23" s="2"/>
      <c r="B23" s="55" t="s">
        <v>68</v>
      </c>
      <c r="C23" s="51">
        <v>46304</v>
      </c>
      <c r="D23" s="54" t="s">
        <v>872</v>
      </c>
      <c r="E23" s="54" t="s">
        <v>873</v>
      </c>
      <c r="F23" s="54" t="s">
        <v>874</v>
      </c>
      <c r="G23" s="2"/>
      <c r="H23" s="2"/>
      <c r="I23" s="2"/>
      <c r="J23" s="2"/>
      <c r="K23" s="2"/>
    </row>
    <row r="24" ht="27">
      <c r="A24" s="2"/>
      <c r="B24" s="55" t="s">
        <v>875</v>
      </c>
      <c r="C24" s="51">
        <v>46306</v>
      </c>
      <c r="D24" s="54" t="s">
        <v>876</v>
      </c>
      <c r="E24" s="54" t="s">
        <v>877</v>
      </c>
      <c r="F24" s="54" t="s">
        <v>878</v>
      </c>
      <c r="G24" s="2"/>
      <c r="H24" s="2"/>
      <c r="I24" s="2"/>
      <c r="J24" s="2"/>
      <c r="K24" s="2"/>
    </row>
    <row r="25" ht="14.624267578125">
      <c r="A25" s="2"/>
      <c r="B25" s="55" t="s">
        <v>795</v>
      </c>
      <c r="C25" s="51">
        <v>46304</v>
      </c>
      <c r="D25" s="54" t="s">
        <v>879</v>
      </c>
      <c r="E25" s="54" t="s">
        <v>880</v>
      </c>
      <c r="F25" s="54" t="s">
        <v>881</v>
      </c>
      <c r="G25" s="2"/>
      <c r="H25" s="2"/>
      <c r="I25" s="2"/>
      <c r="J25" s="2"/>
      <c r="K25" s="2"/>
    </row>
    <row r="26" ht="27">
      <c r="A26" s="2"/>
      <c r="B26" s="55" t="s">
        <v>660</v>
      </c>
      <c r="C26" s="51">
        <v>46306</v>
      </c>
      <c r="D26" s="54" t="s">
        <v>882</v>
      </c>
      <c r="E26" s="54" t="s">
        <v>883</v>
      </c>
      <c r="F26" s="54" t="s">
        <v>884</v>
      </c>
      <c r="G26" s="2"/>
      <c r="H26" s="2"/>
      <c r="I26" s="2"/>
      <c r="J26" s="2"/>
      <c r="K26" s="2"/>
    </row>
    <row r="27" ht="27">
      <c r="A27" s="2"/>
      <c r="B27" s="55" t="s">
        <v>885</v>
      </c>
      <c r="C27" s="51">
        <v>45908</v>
      </c>
      <c r="D27" s="54" t="s">
        <v>886</v>
      </c>
      <c r="E27" s="54" t="s">
        <v>887</v>
      </c>
      <c r="F27" s="54" t="s">
        <v>888</v>
      </c>
      <c r="G27" s="2"/>
      <c r="H27" s="2"/>
      <c r="I27" s="2"/>
      <c r="J27" s="2"/>
      <c r="K27" s="2"/>
    </row>
    <row r="28" ht="27">
      <c r="A28" s="2"/>
      <c r="B28" s="55" t="s">
        <v>641</v>
      </c>
      <c r="C28" s="51">
        <v>46001</v>
      </c>
      <c r="D28" s="54" t="s">
        <v>889</v>
      </c>
      <c r="E28" s="54" t="s">
        <v>890</v>
      </c>
      <c r="F28" s="54" t="s">
        <v>888</v>
      </c>
      <c r="G28" s="2"/>
      <c r="H28" s="2"/>
      <c r="I28" s="2"/>
      <c r="J28" s="2"/>
      <c r="K28" s="2"/>
    </row>
    <row r="29" ht="27">
      <c r="A29" s="2"/>
      <c r="B29" s="55" t="s">
        <v>649</v>
      </c>
      <c r="C29" s="51">
        <v>46189</v>
      </c>
      <c r="D29" s="54" t="s">
        <v>891</v>
      </c>
      <c r="E29" s="54" t="s">
        <v>892</v>
      </c>
      <c r="F29" s="54" t="s">
        <v>888</v>
      </c>
      <c r="G29" s="2"/>
      <c r="H29" s="2"/>
      <c r="I29" s="2"/>
      <c r="J29" s="2"/>
      <c r="K29" s="2"/>
    </row>
    <row r="30" ht="27">
      <c r="A30" s="2"/>
      <c r="B30" s="55" t="s">
        <v>893</v>
      </c>
      <c r="C30" s="51">
        <v>45762</v>
      </c>
      <c r="D30" s="54" t="s">
        <v>894</v>
      </c>
      <c r="E30" s="54" t="s">
        <v>895</v>
      </c>
      <c r="F30" s="54" t="s">
        <v>896</v>
      </c>
      <c r="G30" s="2"/>
      <c r="H30" s="2"/>
      <c r="I30" s="2"/>
      <c r="J30" s="2"/>
      <c r="K30" s="2"/>
    </row>
    <row r="31" ht="27">
      <c r="A31" s="2"/>
      <c r="B31" s="55" t="s">
        <v>897</v>
      </c>
      <c r="C31" s="51">
        <v>45854</v>
      </c>
      <c r="D31" s="54" t="s">
        <v>898</v>
      </c>
      <c r="E31" s="54" t="s">
        <v>899</v>
      </c>
      <c r="F31" s="54" t="s">
        <v>900</v>
      </c>
      <c r="G31" s="2"/>
      <c r="H31" s="2"/>
      <c r="I31" s="2"/>
      <c r="J31" s="2"/>
      <c r="K31" s="2"/>
    </row>
    <row r="32" ht="27">
      <c r="A32" s="2"/>
      <c r="B32" s="55" t="s">
        <v>901</v>
      </c>
      <c r="C32" s="51">
        <v>45945</v>
      </c>
      <c r="D32" s="54" t="s">
        <v>902</v>
      </c>
      <c r="E32" s="54" t="s">
        <v>903</v>
      </c>
      <c r="F32" s="54" t="s">
        <v>904</v>
      </c>
      <c r="G32" s="2"/>
      <c r="H32" s="2"/>
      <c r="I32" s="2"/>
      <c r="J32" s="2"/>
      <c r="K32" s="2"/>
    </row>
    <row r="33" ht="27">
      <c r="A33" s="2"/>
      <c r="B33" s="55" t="s">
        <v>905</v>
      </c>
      <c r="C33" s="51">
        <v>46036</v>
      </c>
      <c r="D33" s="54" t="s">
        <v>906</v>
      </c>
      <c r="E33" s="54" t="s">
        <v>907</v>
      </c>
      <c r="F33" s="54" t="s">
        <v>908</v>
      </c>
      <c r="G33" s="2"/>
      <c r="H33" s="2"/>
      <c r="I33" s="2"/>
      <c r="J33" s="2"/>
      <c r="K33" s="2"/>
    </row>
    <row r="34" ht="27">
      <c r="A34" s="2"/>
      <c r="B34" s="55" t="s">
        <v>909</v>
      </c>
      <c r="C34" s="51">
        <v>46127</v>
      </c>
      <c r="D34" s="54" t="s">
        <v>910</v>
      </c>
      <c r="E34" s="54" t="s">
        <v>911</v>
      </c>
      <c r="F34" s="54" t="s">
        <v>912</v>
      </c>
      <c r="G34" s="2"/>
      <c r="H34" s="2"/>
      <c r="I34" s="2"/>
      <c r="J34" s="2"/>
      <c r="K34" s="2"/>
    </row>
    <row r="35" ht="27">
      <c r="A35" s="2"/>
      <c r="B35" s="55" t="s">
        <v>913</v>
      </c>
      <c r="C35" s="51">
        <v>46217</v>
      </c>
      <c r="D35" s="54" t="s">
        <v>914</v>
      </c>
      <c r="E35" s="54" t="s">
        <v>915</v>
      </c>
      <c r="F35" s="54" t="s">
        <v>916</v>
      </c>
      <c r="G35" s="2"/>
      <c r="H35" s="2"/>
      <c r="I35" s="2"/>
      <c r="J35" s="2"/>
      <c r="K35" s="2"/>
    </row>
    <row r="36" ht="27">
      <c r="A36" s="2"/>
      <c r="B36" s="55" t="s">
        <v>917</v>
      </c>
      <c r="C36" s="51">
        <v>46227</v>
      </c>
      <c r="D36" s="54" t="s">
        <v>918</v>
      </c>
      <c r="E36" s="54" t="s">
        <v>919</v>
      </c>
      <c r="F36" s="54" t="s">
        <v>920</v>
      </c>
      <c r="G36" s="2"/>
      <c r="H36" s="2"/>
      <c r="I36" s="2"/>
      <c r="J36" s="2"/>
      <c r="K36" s="2"/>
    </row>
    <row r="37" ht="27">
      <c r="A37" s="2"/>
      <c r="B37" s="55" t="s">
        <v>587</v>
      </c>
      <c r="C37" s="51">
        <v>46234</v>
      </c>
      <c r="D37" s="54" t="s">
        <v>921</v>
      </c>
      <c r="E37" s="54" t="s">
        <v>922</v>
      </c>
      <c r="F37" s="54" t="s">
        <v>923</v>
      </c>
      <c r="G37" s="2"/>
      <c r="H37" s="2"/>
      <c r="I37" s="2"/>
      <c r="J37" s="2"/>
      <c r="K37" s="2"/>
    </row>
    <row r="38" ht="27">
      <c r="A38" s="2"/>
      <c r="B38" s="55" t="s">
        <v>924</v>
      </c>
      <c r="C38" s="51">
        <v>46295</v>
      </c>
      <c r="D38" s="54" t="s">
        <v>925</v>
      </c>
      <c r="E38" s="54" t="s">
        <v>926</v>
      </c>
      <c r="F38" s="54" t="s">
        <v>927</v>
      </c>
      <c r="G38" s="2"/>
      <c r="H38" s="2"/>
      <c r="I38" s="2"/>
      <c r="J38" s="2"/>
      <c r="K38" s="2"/>
    </row>
    <row r="39" ht="27">
      <c r="A39" s="2"/>
      <c r="B39" s="55" t="s">
        <v>928</v>
      </c>
      <c r="C39" s="51">
        <v>46283</v>
      </c>
      <c r="D39" s="54" t="s">
        <v>929</v>
      </c>
      <c r="E39" s="54" t="s">
        <v>930</v>
      </c>
      <c r="F39" s="54" t="s">
        <v>931</v>
      </c>
      <c r="G39" s="2"/>
      <c r="H39" s="2"/>
      <c r="I39" s="2"/>
      <c r="J39" s="2"/>
      <c r="K39" s="2"/>
    </row>
    <row r="40" ht="27">
      <c r="A40" s="2"/>
      <c r="B40" s="55" t="s">
        <v>932</v>
      </c>
      <c r="C40" s="51">
        <v>46234</v>
      </c>
      <c r="D40" s="54" t="s">
        <v>933</v>
      </c>
      <c r="E40" s="54" t="s">
        <v>934</v>
      </c>
      <c r="F40" s="54" t="s">
        <v>935</v>
      </c>
      <c r="G40" s="2"/>
      <c r="H40" s="2"/>
      <c r="I40" s="2"/>
      <c r="J40" s="2"/>
      <c r="K40" s="2"/>
    </row>
    <row r="41" ht="39">
      <c r="A41" s="2"/>
      <c r="B41" s="55" t="s">
        <v>70</v>
      </c>
      <c r="C41" s="51">
        <v>46303</v>
      </c>
      <c r="D41" s="54" t="s">
        <v>936</v>
      </c>
      <c r="E41" s="54" t="s">
        <v>937</v>
      </c>
      <c r="F41" s="54" t="s">
        <v>938</v>
      </c>
      <c r="G41" s="2"/>
      <c r="H41" s="2"/>
      <c r="I41" s="2"/>
      <c r="J41" s="2"/>
      <c r="K41" s="2"/>
    </row>
    <row r="42" ht="27">
      <c r="A42" s="2"/>
      <c r="B42" s="55" t="s">
        <v>939</v>
      </c>
      <c r="C42" s="51">
        <v>46303</v>
      </c>
      <c r="D42" s="54" t="s">
        <v>940</v>
      </c>
      <c r="E42" s="54" t="s">
        <v>937</v>
      </c>
      <c r="F42" s="54" t="s">
        <v>941</v>
      </c>
      <c r="G42" s="2"/>
      <c r="H42" s="2"/>
      <c r="I42" s="2"/>
      <c r="J42" s="2"/>
      <c r="K42" s="2"/>
    </row>
    <row r="43" ht="27">
      <c r="A43" s="2"/>
      <c r="B43" s="55" t="s">
        <v>942</v>
      </c>
      <c r="C43" s="51">
        <v>46295</v>
      </c>
      <c r="D43" s="54" t="s">
        <v>943</v>
      </c>
      <c r="E43" s="54" t="s">
        <v>944</v>
      </c>
      <c r="F43" s="54" t="s">
        <v>945</v>
      </c>
      <c r="G43" s="2"/>
      <c r="H43" s="2"/>
      <c r="I43" s="2"/>
      <c r="J43" s="2"/>
      <c r="K43" s="2"/>
    </row>
    <row r="44" ht="27">
      <c r="A44" s="2"/>
      <c r="B44" s="55" t="s">
        <v>946</v>
      </c>
      <c r="C44" s="51">
        <v>45945</v>
      </c>
      <c r="D44" s="54" t="s">
        <v>947</v>
      </c>
      <c r="E44" s="54" t="s">
        <v>948</v>
      </c>
      <c r="F44" s="54" t="s">
        <v>949</v>
      </c>
      <c r="G44" s="2"/>
      <c r="H44" s="2"/>
      <c r="I44" s="2"/>
      <c r="J44" s="2"/>
      <c r="K44" s="2"/>
    </row>
    <row r="45" ht="27">
      <c r="A45" s="2"/>
      <c r="B45" s="55" t="s">
        <v>950</v>
      </c>
      <c r="C45" s="51">
        <v>45945</v>
      </c>
      <c r="D45" s="54" t="s">
        <v>951</v>
      </c>
      <c r="E45" s="54" t="s">
        <v>952</v>
      </c>
      <c r="F45" s="54" t="s">
        <v>953</v>
      </c>
      <c r="G45" s="2"/>
      <c r="H45" s="2"/>
      <c r="I45" s="2"/>
      <c r="J45" s="2"/>
      <c r="K45" s="2"/>
    </row>
    <row r="46">
      <c r="A46" s="2"/>
      <c r="B46" s="53"/>
      <c r="C46" s="53"/>
      <c r="D46" s="54"/>
      <c r="E46" s="54"/>
      <c r="F46" s="54"/>
      <c r="G46" s="2"/>
      <c r="H46" s="2"/>
      <c r="I46" s="2"/>
      <c r="J46" s="2"/>
      <c r="K46" s="2"/>
    </row>
    <row r="47" ht="14.624267578125">
      <c r="A47" s="2"/>
      <c r="B47" s="76" t="s">
        <v>954</v>
      </c>
      <c r="C47" s="53"/>
      <c r="D47" s="54"/>
      <c r="E47" s="54"/>
      <c r="F47" s="54"/>
      <c r="G47" s="2"/>
      <c r="H47" s="2"/>
      <c r="I47" s="2"/>
      <c r="J47" s="2"/>
      <c r="K47" s="2"/>
    </row>
    <row r="48" ht="14.624267578125">
      <c r="A48" s="2"/>
      <c r="B48" s="55" t="s">
        <v>955</v>
      </c>
      <c r="C48" s="53"/>
      <c r="D48" s="54"/>
      <c r="E48" s="54"/>
      <c r="F48" s="54"/>
      <c r="G48" s="2"/>
      <c r="H48" s="2"/>
      <c r="I48" s="2"/>
      <c r="J48" s="2"/>
      <c r="K48" s="2"/>
    </row>
    <row r="49" ht="14.624267578125">
      <c r="A49" s="2"/>
      <c r="B49" s="55" t="s">
        <v>956</v>
      </c>
      <c r="C49" s="53"/>
      <c r="D49" s="54"/>
      <c r="E49" s="54"/>
      <c r="F49" s="54"/>
      <c r="G49" s="2"/>
      <c r="H49" s="2"/>
      <c r="I49" s="2"/>
      <c r="J49" s="2"/>
      <c r="K49" s="2"/>
    </row>
    <row r="50" ht="14.624267578125">
      <c r="A50" s="2"/>
      <c r="B50" s="55" t="s">
        <v>957</v>
      </c>
      <c r="C50" s="53"/>
      <c r="D50" s="54"/>
      <c r="E50" s="54"/>
      <c r="F50" s="54"/>
      <c r="G50" s="2"/>
      <c r="H50" s="2"/>
      <c r="I50" s="2"/>
      <c r="J50" s="2"/>
      <c r="K50" s="2"/>
    </row>
    <row r="51" ht="14.624267578125">
      <c r="A51" s="2"/>
      <c r="B51" s="55" t="s">
        <v>958</v>
      </c>
      <c r="C51" s="53"/>
      <c r="D51" s="54"/>
      <c r="E51" s="54"/>
      <c r="F51" s="54"/>
      <c r="G51" s="2"/>
      <c r="H51" s="2"/>
      <c r="I51" s="2"/>
      <c r="J51" s="2"/>
      <c r="K51" s="2"/>
    </row>
    <row r="52">
      <c r="A52" s="2"/>
      <c r="B52" s="2"/>
      <c r="C52" s="2"/>
      <c r="D52" s="2"/>
      <c r="E52" s="2"/>
      <c r="F52" s="2"/>
      <c r="G52" s="2"/>
      <c r="H52" s="2"/>
      <c r="I52" s="2"/>
      <c r="J52" s="2"/>
      <c r="K52" s="2"/>
    </row>
    <row r="53">
      <c r="A53" s="2"/>
      <c r="B53" s="2"/>
      <c r="C53" s="2"/>
      <c r="D53" s="2"/>
      <c r="E53" s="2"/>
      <c r="F53" s="2"/>
      <c r="G53" s="2"/>
      <c r="H53" s="2"/>
      <c r="I53" s="2"/>
      <c r="J53" s="2"/>
      <c r="K53" s="2"/>
    </row>
  </sheetData>
</worksheet>
</file>