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png" ContentType="image/pn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drawings/drawing1.xml" ContentType="application/vnd.openxmlformats-officedocument.drawing+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Cover" sheetId="1" r:id="rId1"/>
    <sheet name="Revenue summary" sheetId="2" r:id="rId3"/>
    <sheet name="Income Statement" sheetId="3" r:id="rId4"/>
    <sheet name="Balance Sheet" sheetId="4" r:id="rId5"/>
    <sheet name="Cash Flow Statement" sheetId="5" r:id="rId6"/>
    <sheet name="Share Count" sheetId="6" r:id="rId7"/>
    <sheet name="Guidance" sheetId="7" r:id="rId8"/>
    <sheet name="Sources" sheetId="8" r:id="rId9"/>
    <sheet name="Inputs" sheetId="9" r:id="rId10"/>
  </sheets>
  <calcPr calcId="0"/>
</workbook>
</file>

<file path=xl/comments1.xml><?xml version="1.0" encoding="utf-8"?>
<comments xmlns="http://schemas.openxmlformats.org/spreadsheetml/2006/main">
  <authors>
    <author>Shortcut</author>
  </authors>
  <commentList>
    <comment ref="B24" authorId="0">
      <text>
        <t>Consensus net income = CapIQ 'net income excl. exceptional items' (normalized basis); GAAP row uses CapIQ GAAP net income. Consensus is the frozen CapIQ snapshot of 2026-10-11 (15 EPS contributors); newer Zacks figures are on Inputs as memo only.</t>
      </text>
    </comment>
    <comment ref="B33" authorId="0">
      <text>
        <t>Column C = 3Q26E, column D = 2Q26A.</t>
      </text>
    </comment>
    <comment ref="E24" authorId="0">
      <text>
        <t>Variance withheld (repair r1): CapIQ net income definitions (net_income_excl_excep_m, net_income_gaap_m) are unverified vs model basis (row 24 includes Subco NCI add-back; row 25 excludes it). Implied CapIQ shares 2379.39/14.31 = 166.3m and 2305.4/13.85 = 166.5m vs model 164.2m. Consensus values kept for reference only; tracked, not scored.</t>
      </text>
    </comment>
    <comment ref="C49" authorId="0">
      <text>
        <t>Repair r2 (audit F6): BlackRock reports one operating segment (Revenue summary B9; Sources N1), so material segment revenue = total revenue (IS H17). Previously mapped to base fees + securities lending (Revenue summary H112 = 6,026.4), which is fee_revenue (C53), not a segment.</t>
      </text>
    </comment>
    <comment ref="B28" authorId="0">
      <text>
        <t>Repair r3 (audit L-02): C28 PASS = historical reported-vs-built ties in columns C:G only (Revenue summary 219/621/623/793; IS 60/71/113/127/143/153/177/183; BS 51/52; CFS 48, D53, F53:G53, D54:F54). Identities that cannot fail by construction (IS C20:H20, IS C178:H178, IS H60, BS H51, CFS H48, C53, E53, H53, H54) are excluded and shown separately in C31. PASS is not independent validation of the forecast.</t>
      </text>
    </comment>
  </commentList>
</comments>
</file>

<file path=xl/comments2.xml><?xml version="1.0" encoding="utf-8"?>
<comments xmlns="http://schemas.openxmlformats.org/spreadsheetml/2006/main">
  <authors>
    <author>Shortcut</author>
  </authors>
  <commentList>
    <comment ref="B13" authorId="0">
      <text>
        <t>Growth decomposition rows under every revenue line: % Y/Y (total), M&amp;A / scope impact and FX impact as % of the year-ago line, and Organic growth = (1+Y/Y)/((1+M&amp;A)x(1+FX))-1.  BlackRock does not disclose FX impact on revenue, so FX and the formula-based organic growth are n/a for reported periods. M&amp;A is shown where the issuer quantified acquired revenue (HPS base fees ~$225-230m/qtr, HPS performance fees, Preqin ~$65m/qtr) or where the AUM roll-forward shows no acquired AUM for that product (0%). 3Q26E: no acquisitions closed after 3Q25 (roll-forward acquisitions nil 4Q25-2Q26) and FX is assumed neutral (DXY ~flat over Q3), both explicit assumptions.</t>
      </text>
    </comment>
    <comment ref="C67" authorId="0">
      <text>
        <t>3Q25 vs 3Q24: issuer-quantified fees from the GIP (~$215m) and HPS (~$225m) Transactions (3Q25 release, revenue discussion), divided by the year-ago line.</t>
      </text>
    </comment>
    <comment ref="C81" authorId="0">
      <text>
        <t>3Q25 vs 3Q24: issuer-quantified fees from the GIP (~$215m) and HPS (~$225m) Transactions (3Q25 release, revenue discussion), divided by the year-ago line.</t>
      </text>
    </comment>
    <comment ref="C102" authorId="0">
      <text>
        <t>3Q25 vs 3Q24: issuer-quantified fees from the GIP (~$215m) and HPS (~$225m) Transactions (3Q25 release, revenue discussion), divided by the year-ago line.</t>
      </text>
    </comment>
    <comment ref="C116" authorId="0">
      <text>
        <t>3Q25 vs 3Q24: issuer-quantified fees from the GIP (~$215m) and HPS (~$225m) Transactions (3Q25 release, revenue discussion), divided by the year-ago line.</t>
      </text>
    </comment>
    <comment ref="B119" authorId="0">
      <text>
        <t>3Q26E assumption $235m: SL revenue 203/174/179/239 (3Q25-2Q26); 2Q26 lifted by higher spreads.</t>
      </text>
    </comment>
    <comment ref="B125" authorId="0">
      <text>
        <t>Assumption $30m: long-only equity performance fees 14 (3Q25), 96 (4Q25 seasonal), 22, 60.</t>
      </text>
    </comment>
    <comment ref="B146" authorId="0">
      <text>
        <t>Assumption $180m: HPS incentive fees ran $158m/$121m/$115m (4Q25-2Q26); private-markets performance fees 298/334/232/137 trend lower; HLEND redemptions 11.5% in Q3.</t>
      </text>
    </comment>
    <comment ref="C150" authorId="0">
      <text>
        <t>n/a: the 3Q25 release attributes part of the performance-fee increase to the HPS Transaction but does not quantify it.</t>
      </text>
    </comment>
    <comment ref="B153" authorId="0">
      <text>
        <t>Assumption $220m: Q3 is the seasonal crystallization quarter for liquid alternatives ($364m 3Q24, $202m 3Q25); liquid-alts AUM +23% Y/Y with record $7bn 2Q26 inflows into a top-quartile market-neutral fund.</t>
      </text>
    </comment>
    <comment ref="C164" authorId="0">
      <text>
        <t>n/a: the 3Q25 release attributes part of the performance-fee increase to the HPS Transaction but does not quantify it.</t>
      </text>
    </comment>
    <comment ref="C171" authorId="0">
      <text>
        <t>n/a: the 3Q25 release attributes part of the performance-fee increase to the HPS Transaction but does not quantify it.</t>
      </text>
    </comment>
    <comment ref="B189" authorId="0">
      <text>
        <t>3Q26E assumption $10m (12/11/12/8 in 3Q25-2Q26).</t>
      </text>
    </comment>
    <comment ref="B196" authorId="0">
      <text>
        <t>3Q26E assumption $72m (65/75/57/84 in 3Q25-2Q26).</t>
      </text>
    </comment>
    <comment ref="C215" authorId="0">
      <text>
        <t>3Q25: GIP ~$215m + HPS ~$225m base fees + Preqin ~$65m technology revenue, all issuer-quantified. HPS performance fees in 3Q25 were not quantified, so this scope effect is a lower bound.</t>
      </text>
    </comment>
    <comment ref="B222" authorId="0">
      <text>
        <t>Mid-period convention: with four month-end points (Jun-Sep) and even flows, half of the quarter's flows sit in the average. Applied to all columns.</t>
      </text>
    </comment>
    <comment ref="B223" authorId="0">
      <text>
        <t>Average AUM is the issuer's average of month-end spot AUM (trailing four month-ends for a quarter). 3Q26E average = opening x (1 + average-level factor) + half of net flows and realizations.</t>
      </text>
    </comment>
    <comment ref="B226" authorId="0">
      <text>
        <t>3Q26E: flows $75bn (iShares global net inflows ~$37bn Aug and ~$58bn Sep per Ultumus; 2Q26 equity flows $72bn incl. institutional index outflows). Market = average of S&amp;P 500 price change and MSCI ACWI total return for Q3 (Inputs D).</t>
      </text>
    </comment>
    <comment ref="B262" authorId="0">
      <text>
        <t>3Q26E: flows $55bn (US fixed income ETFs led September flows, $42bn industry-wide per etf.com; 2Q26 $92bn). Market = Bloomberg US Agg Q3 total return x 0.75 duration/mix sensitivity (BLK FI includes short-duration, munis, non-US). Avg-level factor -0.9% reflects the September-weighted sell-off.</t>
      </text>
    </comment>
    <comment ref="B334" authorId="0">
      <text>
        <t>3Q26E: flows $9bn (2Q26 $15bn incl. outsourcing mandate; HLEND Q3 redemption requests 11.5% vs 5% cap), realizations $(7)bn in line with run-rate.</t>
      </text>
    </comment>
    <comment ref="B442" authorId="0">
      <text>
        <t>3Q26E: Bitcoin +43% and Ether +70% in Q3; iShares took ~$7bn into crypto ETFs Aug-Sep (Ultumus). Average-level factor +20% reflects the intra-quarter path.</t>
      </text>
    </comment>
    <comment ref="B550" authorId="0">
      <text>
        <t>3Q26E: Zacks consensus cash flows $11bn; $8bn assumed. Fed hiked in September.</t>
      </text>
    </comment>
    <comment ref="B631" authorId="0">
      <text>
        <t>Fee yields held at 2Q26 levels (0 bps change) for 3Q26E; management said the 2Q26 annualized effective fee rate was broadly flat vs 1Q26 on an equivalent day-count basis.</t>
      </text>
    </comment>
    <comment ref="B715" authorId="0">
      <text>
        <t>3Q26E input 13%: 2Q26 revenue +13% Y/Y with ACV +15%; management targets low-to-mid-teens ACV growth; Zacks consensus $582.7m (+13.2%).</t>
      </text>
    </comment>
    <comment ref="B719" authorId="0">
      <text>
        <t>Disclosed splits kept as separate rows. 3Q26E holds each split's 2Q26 mix of total AUM (formula), not an independent forecast.</t>
      </text>
    </comment>
    <comment ref="B793" authorId="0">
      <text>
        <t>Regional net flows are disclosed for long-term AUM (ex cash management) in whole $bn; tolerance below $1bn for rounding.</t>
      </text>
    </comment>
    <comment ref="B798" authorId="0">
      <text>
        <t>3Q25 release: base fees rose ~$1.0bn Y/Y incl. ~$215m and ~$225m of fees related to the GIP and HPS Transactions. GIP closed 1 Oct 2024, so from 4Q25 both periods include GIP (0 scope effect).</t>
      </text>
    </comment>
    <comment ref="E179" authorId="0">
      <text>
        <t>n/a retained (repair r1): Preqin closed March 2025, so 1Q25 base already includes about 1 month of Preqin (S2: 'full-quarter impact ... Preqin ... in March 2025'); the incremental 1Q26 scope effect cannot be separated from the inputs (E801 = 65 is full-quarter).</t>
      </text>
    </comment>
    <comment ref="E215" authorId="0">
      <text>
        <t>n/a retained (repair r1): Preqin closed March 2025, so 1Q25 base already includes about 1 month of Preqin (S2: 'full-quarter impact ... Preqin ... in March 2025'); the incremental 1Q26 scope effect cannot be separated from the inputs (E801 = 65 is full-quarter).</t>
      </text>
    </comment>
    <comment ref="G5" authorId="0">
      <text>
        <t>FY25A = 1Q25A + 2Q25A (Inputs columns E/F, year-ago block) + 3Q25A (col C) + 4Q25A (col D) for revenue and flow lines; AUM stocks = 12/31/2025 balance. Column order is preserved.</t>
      </text>
    </comment>
    <comment ref="H466" authorId="0">
      <text>
        <t>Original judgment retained (repair r2, audit F14): 0.45 is a typed blend of Bitcoin +43% (Inputs I124) and Ether +70% (note on B442); it is not linked to I124. It affects ending AUM only (H457 -&gt; Cover C52); fee revenue uses average AUM via H472 (0.20 intra-quarter path factor, also an original judgment). No EPS effect. Rationale beyond the B442 note is not documented (unresolved).</t>
      </text>
    </comment>
  </commentList>
</comments>
</file>

<file path=xl/comments3.xml><?xml version="1.0" encoding="utf-8"?>
<comments xmlns="http://schemas.openxmlformats.org/spreadsheetml/2006/main">
  <authors>
    <author>Shortcut</author>
  </authors>
  <commentList>
    <comment ref="B27" authorId="0">
      <text>
        <t>3Q26E input 30.5%: 2Q26 29.9% with $305m performance fees; 3Q25 32.0% and 4Q25 32.2% with $516m/$754m performance fees and HPS onboarding; higher 3Q26E performance fees ($438m) carry incentive comp. Headcount guided broadly flat for 2026.</t>
      </text>
    </comment>
    <comment ref="B42" authorId="0">
      <text>
        <t>3Q26E input $68m (60/80/71/67 in 3Q25-2Q26).</t>
      </text>
    </comment>
    <comment ref="B49" authorId="0">
      <text>
        <t>3Q26E input $705m: FY26 guide = mid-single-digit growth on annualized 2H25 adjusted G&amp;A ((645+676)x2 = $2,642m x ~1.05 = ~$2,774m) less 1H26 actual $1,366m leaves ~$1,408m for 2H26, i.e. ~$700-710m per quarter.</t>
      </text>
    </comment>
    <comment ref="B51" authorId="0">
      <text>
        <t>G&amp;A detail per issuer 'Summary of operating expense'. 3Q26E allocates forecast G&amp;A by the 2Q26 mix (ex FX remeasurement and charitable, both set to 0).</t>
      </text>
    </comment>
    <comment ref="B61" authorId="0">
      <text>
        <t>3Q26E: not forecast (mark-to-market of HPS/GIP earn-outs); set to 0.</t>
      </text>
    </comment>
    <comment ref="B63" authorId="0">
      <text>
        <t>3Q26E input $275m (277/276 in 1Q26/2Q26).</t>
      </text>
    </comment>
    <comment ref="B80" authorId="0">
      <text>
        <t>3Q26E $45m includes the mark on 7.3m Securitize shares (listed July 2026; SECZ rallied ~160% in September to ~$16) plus seed/co-investments; bond seed losses partly hedged.</t>
      </text>
    </comment>
    <comment ref="B83" authorId="0">
      <text>
        <t>3Q26E input $25m (other gains: -107/-68/+50/+55 in 3Q25-2Q26).</t>
      </text>
    </comment>
    <comment ref="B88" authorId="0">
      <text>
        <t>4Q25 = FY25 less 9M25 (10-Q). 3Q26E input $110m (cash ~$10.5bn; 113/124/90/109 in 3Q25-2Q26).</t>
      </text>
    </comment>
    <comment ref="B91" authorId="0">
      <text>
        <t>4Q25 = FY25 less 9M25. 3Q26E input $(134)m: borrowings flat at ~$12.7bn.</t>
      </text>
    </comment>
    <comment ref="B99" authorId="0">
      <text>
        <t>3Q26E: as-adjusted tax rate applied to pre-tax income attributable to BlackRock (ex NCI-CIPs); adjustments assumed deductible at the same rate, so the GAAP and as-adjusted paths reconcile exactly.</t>
      </text>
    </comment>
    <comment ref="B104" authorId="0">
      <text>
        <t>3Q26E input $40m (134/51/6/35 in 3Q25-2Q26); offsets within consolidated gains, no effect on BLK net income.</t>
      </text>
    </comment>
    <comment ref="B130" authorId="0">
      <text>
        <t>BlackRock 'as adjusted' is the basis of the CapIQ normalized EPS consensus. Adjustments per the issuer reconciliation (earnings release pages 14-16). 3Q26E items are inputs; contingent consideration, charitable contribution, restructuring and income-tax matters are not forecast (0).</t>
      </text>
    </comment>
    <comment ref="B132" authorId="0">
      <text>
        <t>3Q26E $15m; offset by an equal hedge gain in nonoperating income.</t>
      </text>
    </comment>
    <comment ref="B133" authorId="0">
      <text>
        <t>3Q26E $275m (277/276 in 1Q26/2Q26).</t>
      </text>
    </comment>
    <comment ref="B134" authorId="0">
      <text>
        <t>3Q26E $90m: deferred HPS/GIP retention awards stepping down (262/315/107/95).</t>
      </text>
    </comment>
    <comment ref="B135" authorId="0">
      <text>
        <t>3Q26E $12m (44/29/15/13).</t>
      </text>
    </comment>
    <comment ref="B136" authorId="0">
      <text>
        <t>Not forecast (mark-to-market of HPS/GIP earn-outs).</t>
      </text>
    </comment>
    <comment ref="B20" authorId="0">
      <text>
        <t>Repair r2 (audit F2): H20 (3Q26E) is an identity - H17 is built from the same Revenue summary rows. Historical columns compare to issuer totals via Revenue summary row 218.</t>
      </text>
    </comment>
    <comment ref="B178" authorId="0">
      <text>
        <t>Repair r2 (audit F2): the bridge and direct paths apply the same 25% rate to identical components, so H178 is algebraically 0 (identity, not a test).</t>
      </text>
    </comment>
    <comment ref="G5" authorId="0">
      <text>
        <t>FY25A = 1Q25A + 2Q25A (Inputs columns E/F, year-ago block) + 3Q25A (col C) + 4Q25A (col D) for flow lines; balance and AUM stock lines = 12/31/2025; EPS uses reported FY weighted shares; margins and rates use aggregate numerators/denominators. Column order (FY25A between 2Q26A and 3Q26E) is preserved.</t>
      </text>
    </comment>
  </commentList>
</comments>
</file>

<file path=xl/comments4.xml><?xml version="1.0" encoding="utf-8"?>
<comments xmlns="http://schemas.openxmlformats.org/spreadsheetml/2006/main">
  <authors>
    <author>Shortcut</author>
  </authors>
  <commentList>
    <comment ref="B9" authorId="0">
      <text>
        <t>FY25A = balance at 12/31/2025 (same as 4Q25A). 3Q26E balances roll forward from 2Q26A using the Cash Flow Statement, Income Statement and Share Count drivers; items without a driver are held flat.</t>
      </text>
    </comment>
    <comment ref="B54" authorId="0">
      <text>
        <t>Repair r1 (audit F07): numerator = BlackRock stockholders' equity (row 46) + Redeemable NCI - Subco (row 37); denominator = common shares + Subco B-2 units ('Share Count' row 22), so both include Subco.</t>
      </text>
    </comment>
  </commentList>
</comments>
</file>

<file path=xl/comments5.xml><?xml version="1.0" encoding="utf-8"?>
<comments xmlns="http://schemas.openxmlformats.org/spreadsheetml/2006/main">
  <authors>
    <author>Shortcut</author>
    <author>api</author>
  </authors>
  <commentList>
    <comment ref="B9" authorId="0">
      <text>
        <t>Quarterly actuals are derived from the reported year-to-date statements on Inputs (3Q25 = 9M25 - 1H25; 4Q25 = FY25 - 9M25; 1Q26 = 3M26; 2Q26 = 1H26 - 3M26). 'Other' lines are the residual to the reported subtotal.</t>
      </text>
    </comment>
    <comment ref="B12" authorId="0">
      <text>
        <t>3Q26E input $300m (419/421/319/302 in 3Q25-2Q26).</t>
      </text>
    </comment>
    <comment ref="B15" authorId="0">
      <text>
        <t>3Q26E input $(1,400)m, offset in financing by NCI net subscriptions (+$1,300m); run-rate of 1H26.</t>
      </text>
    </comment>
    <comment ref="B18" authorId="0">
      <text>
        <t>Accrued comp builds through the year (1,588 at 3/31/26 -&gt; 2,432 at 6/30/26, +844); +$800m assumed for Q3.</t>
      </text>
    </comment>
    <comment ref="B26" authorId="0">
      <text>
        <t>3Q26E capex input $(110)m (78/130/106/109 in 3Q25-2Q26).</t>
      </text>
    </comment>
    <comment ref="B56" authorId="0">
      <text>
        <t>BlackRock does not publish a defined free-cash-flow measure in its filings; this helper is CFO less purchases of property and equipment.</t>
      </text>
    </comment>
    <comment ref="H21" authorId="0">
      <text>
        <t>Repair r1 (audit F04): reverses consolidated net gain on investments (IS H85 = 125 net of NCI + 40 CIP NCI) as non-cash, mirroring issuer CFS presentation (S5 R9: 'Other investment gains', 'Net (gains) losses within CIPs', '(Earnings) losses from equity method investees'; 1H26 reversals 371 vs IS gain 355). Matching +165 to Balance Sheet H12 investments; CIP NCI 40 already in BS H36. Residual (unquantified, held at 0 per original assumptions): cash distributions of earnings from equity-method investees (1Q26 +9, 2Q26 +33, FY25 +429) and any cash-settled hedge gains (IS H81 = 15). No EPS impact.</t>
      </text>
    </comment>
    <comment ref="B17" authorId="0">
      <text>
        <t>Repair r2 (audit F4): C17:G17 are derived residuals = CFO (row 22) less the listed items (rows 10-15); no sourced working-capital detail exists on Inputs, so they are not independently verified. 3Q26E H17 = explicit drivers H18:H21.</t>
      </text>
    </comment>
    <comment ref="B54" authorId="0">
      <text>
        <t>Repair r2 (audit F2): historical D54:F54 test derived cash changes against Balance Sheet cash; H54 (3Q26E) is an identity because BS H10 = CFS H50 - H51.</t>
      </text>
    </comment>
    <comment ref="D51" authorId="1">
      <text>
        <t>blk-20260630.htm (S5, 2Q26 Form 10-Q) | Note 4 Cash, Cash Equivalents and Restricted Cash, December 31, 2025 | 22</t>
      </text>
    </comment>
    <comment ref="F51" authorId="1">
      <text>
        <t>blk-20260630.htm (S5, 2Q26 Form 10-Q) | Note 4 Cash, Cash Equivalents and Restricted Cash, June 30, 2026 | 22</t>
      </text>
    </comment>
    <comment ref="B51" authorId="0">
      <text>
        <t>Repair r3 (audit L-01): restricted cash 22 at 12/31/25 (D51) and 6/30/26 (F51) is sourced from the 2Q26 Form 10-Q (S5) Note 4 'Restricted cash included in other assets'. 9/30/25 (C51) and 3/31/26 (E51) are not in the preserved sources and are derived (= cash, cash equivalents and restricted cash C50/E50 less Balance Sheet cash), so C53 and E53 are identities; D53, F53 and G53 are historical tests. 3Q26E H51 held at the 6/30/26 level (assumption).</t>
      </text>
    </comment>
  </commentList>
</comments>
</file>

<file path=xl/comments6.xml><?xml version="1.0" encoding="utf-8"?>
<comments xmlns="http://schemas.openxmlformats.org/spreadsheetml/2006/main">
  <authors>
    <author>Shortcut</author>
  </authors>
  <commentList>
    <comment ref="B13" authorId="0">
      <text>
        <t>3Q26E: 2Q26 diluted count less half of the 2Q26 buyback not yet in the 2Q26 average, less half of the 3Q26 buyback, plus net issuance. This is the share count behind the forecast EPS.</t>
      </text>
    </comment>
    <comment ref="B29" authorId="0">
      <text>
        <t>3Q25 and 4Q25 share counts were not retrieved from the 10-Q/10-K issuer-purchase tables (n/a); FY25 total 1.6m. 3Q26E = $ / assumed average price.</t>
      </text>
    </comment>
    <comment ref="B31" authorId="0">
      <text>
        <t>Mid-period convention; the remaining (1 - weight) of the prior quarter's buyback rolls into this quarter's average.</t>
      </text>
    </comment>
    <comment ref="B32" authorId="0">
      <text>
        <t>Input 0.05m: Q3 is not a vesting quarter (Q1 is); options exercised were $14m in 2Q26.</t>
      </text>
    </comment>
    <comment ref="F29" authorId="0">
      <text>
        <t>Repair r2 (audit F15): E29/F29 = 0.4m are rounded to 0.1m (original inputs retained). Exact counts from the 10-Q capital-stock note were not preserved; +/-0.05m on F29 moves EPS by about +/-$0.002.</t>
      </text>
    </comment>
  </commentList>
</comments>
</file>

<file path=xl/comments7.xml><?xml version="1.0" encoding="utf-8"?>
<comments xmlns="http://schemas.openxmlformats.org/spreadsheetml/2006/main">
  <authors>
    <author>Shortcut</author>
  </authors>
  <commentList>
    <comment ref="B10" authorId="0">
      <text>
        <t>BlackRock does not issue revenue, net income or EPS guidance; the Cover guidance-midpoint column is therefore n/a.</t>
      </text>
    </comment>
    <comment ref="B11" authorId="0">
      <text>
        <t>Tax-rate actual compares the as-adjusted rate for the first quarter after each guidance date (1Q26 included a $57m discrete stock-comp benefit).</t>
      </text>
    </comment>
  </commentList>
</comments>
</file>

<file path=xl/comments8.xml><?xml version="1.0" encoding="utf-8"?>
<comments xmlns="http://schemas.openxmlformats.org/spreadsheetml/2006/main">
  <authors>
    <author>Shortcut</author>
  </authors>
  <commentList>
    <comment ref="B16" authorId="0">
      <text>
        <t>Blank in the CapIQ export; dated market cap researched separately (see block C).</t>
      </text>
    </comment>
    <comment ref="B98" authorId="0">
      <text>
        <t>Zacks via Yahoo Finance 2026-10-09 ('Exploring Analyst Estimates for BlackRock (BLK) Q3 Earnings'). Recorded separately; frozen CapIQ 14.31 remains the baseline.</t>
      </text>
    </comment>
    <comment ref="B100" authorId="0">
      <text>
        <t>stockanalysis.com market-cap history row Oct 9, 2026: $167.63B (Nasdaq Data Link); price $1,082.39. Cross-check: tradingeconomics $167.28B (Oct 2026), marketcaplens $167.77B (Oct 11).</t>
      </text>
    </comment>
    <comment ref="B109" authorId="0">
      <text>
        <t>Downward update: model EPS is only ~2.5% above a CapIQ mean that sits above other services (Zacks 14.01); Q3-25 beat was narrow (+$0.26); nonoperating and performance-fee volatility. Upward: Q3 average equity markets +5% vs Q2, record ETF flows.</t>
      </text>
    </comment>
    <comment ref="B122" authorId="0">
      <text>
        <t>State Street SSFEX benchmark table as of 2026-09-30: Agg -2.61% (Sep), -3.51% (QTD), -2.91% (YTD).</t>
      </text>
    </comment>
    <comment ref="B124" authorId="0">
      <text>
        <t>NeQuit Q3-26 market update (2026-10-03): Bitcoin +~43% to ~$84,000; Coinfolytics/Arkham: BlackRock crypto holdings $47.6bn -&gt; $77.1bn in Q3.</t>
      </text>
    </comment>
    <comment ref="B128" authorId="0">
      <text>
        <t>Assumption: BLK traded ~$1,037 (Jul 24), $1,058 (Jul 15), $1,066 (Sep 25), $1,082 (Oct 9) per sources; $1,060 used.</t>
      </text>
    </comment>
  </commentList>
</comments>
</file>

<file path=xl/comments9.xml><?xml version="1.0" encoding="utf-8"?>
<comments xmlns="http://schemas.openxmlformats.org/spreadsheetml/2006/main">
  <authors>
    <author>Shortcut</author>
  </authors>
  <commentList>
    <comment ref="G9" authorId="0">
      <text>
        <t>Repair r2 (audit F1): 'Retrieved (UTC)' values are date-only stamps (2026-10-12) recorded at build time; no time-of-day capture timestamps exist. Retrieval after the 2026-10-11 22:24 UTC cutoff is not itself leakage: every Published date (column C) is on or before 2026-10-11. These are not frozen snapshots; content changes between publication and retrieval cannot be ruled out (documented limitation).</t>
      </text>
    </comment>
  </commentList>
</comments>
</file>

<file path=xl/sharedStrings.xml><?xml version="1.0" encoding="utf-8"?>
<sst xmlns="http://schemas.openxmlformats.org/spreadsheetml/2006/main" count="2791" uniqueCount="890">
  <si>
    <t>BlackRock, Inc. (NYSE: BLK)</t>
  </si>
  <si>
    <t>Cover</t>
  </si>
  <si>
    <t>$ millions, except per share</t>
  </si>
  <si>
    <t>Period</t>
  </si>
  <si>
    <t>3Q25A</t>
  </si>
  <si>
    <t>4Q25A</t>
  </si>
  <si>
    <t>1Q26A</t>
  </si>
  <si>
    <t>2Q26A</t>
  </si>
  <si>
    <t>FY25A</t>
  </si>
  <si>
    <t>3Q26E</t>
  </si>
  <si>
    <t>Period end</t>
  </si>
  <si>
    <t>Days in period</t>
  </si>
  <si>
    <t>Company Model — built by Shortcut</t>
  </si>
  <si>
    <t>Author: Shortcut (shortcut-logo top left). Forecast for BlackRock fiscal 3Q26 (FQ3 2026 - Sep 2026).</t>
  </si>
  <si>
    <t>Company</t>
  </si>
  <si>
    <t>BlackRock, Inc.</t>
  </si>
  <si>
    <t>Ticker / exchange</t>
  </si>
  <si>
    <t>Fiscal year end</t>
  </si>
  <si>
    <t>Reporting currency</t>
  </si>
  <si>
    <t>USD; $ millions except per share</t>
  </si>
  <si>
    <t>EPS basis</t>
  </si>
  <si>
    <t>Diluted EPS, as adjusted (BlackRock non-GAAP; = CapIQ normalized)</t>
  </si>
  <si>
    <t>Fiscal period</t>
  </si>
  <si>
    <t>3Q26 = FQ3 2026, quarter ended 2026-09-30 (calendar quarter; supplied label 2026-09-30 matches)</t>
  </si>
  <si>
    <t>Information cutoff</t>
  </si>
  <si>
    <t>2026-10-11 22:24 UTC</t>
  </si>
  <si>
    <t>Expected report date</t>
  </si>
  <si>
    <t>2026-10-14 before market open (issuer, 2026-09-30); CapIQ snapshot: 2026-10-16</t>
  </si>
  <si>
    <t>Consensus snapshot</t>
  </si>
  <si>
    <t>Headline (3Q26E)</t>
  </si>
  <si>
    <t>Shortcut est.</t>
  </si>
  <si>
    <t>Consensus</t>
  </si>
  <si>
    <t>Variance</t>
  </si>
  <si>
    <t>Variance %</t>
  </si>
  <si>
    <t>Guidance mid</t>
  </si>
  <si>
    <t>Est. vs guide</t>
  </si>
  <si>
    <t>Total revenue ($ m)</t>
  </si>
  <si>
    <t>n/a</t>
  </si>
  <si>
    <t>Net income, as adjusted, incl. Subco NCI ($ m)</t>
  </si>
  <si>
    <t>withheld</t>
  </si>
  <si>
    <t>Net income to BLK, GAAP, excl. Subco NCI ($ m)</t>
  </si>
  <si>
    <t>Diluted EPS, as adjusted (consensus basis)</t>
  </si>
  <si>
    <t>Diluted EPS, GAAP</t>
  </si>
  <si>
    <t>Historical ties vs reported, C:G (=0; not forecast validation)</t>
  </si>
  <si>
    <t>P(beat consensus EPS)</t>
  </si>
  <si>
    <t>Confidence</t>
  </si>
  <si>
    <t>Model identities incl. 3Q26E (=0 by construction; not tests)</t>
  </si>
  <si>
    <t>Key 3Q26E drivers</t>
  </si>
  <si>
    <t>Average AUM ($ bn)</t>
  </si>
  <si>
    <t>Total net flows ($ bn)</t>
  </si>
  <si>
    <t>Ending AUM ($ bn)</t>
  </si>
  <si>
    <t>Performance fees ($ m)</t>
  </si>
  <si>
    <t>Operating margin, as adjusted</t>
  </si>
  <si>
    <t>Tax rate, as adjusted</t>
  </si>
  <si>
    <t>Diluted shares incl. Subco Units (m)</t>
  </si>
  <si>
    <t>Metric target coverage (tracked only; only normalized EPS is scored)</t>
  </si>
  <si>
    <t>Target</t>
  </si>
  <si>
    <t>Unit</t>
  </si>
  <si>
    <t>Workbook cell / basis</t>
  </si>
  <si>
    <t>total_revenue</t>
  </si>
  <si>
    <t>$ m</t>
  </si>
  <si>
    <t>IS H17, GAAP total revenue</t>
  </si>
  <si>
    <t>net_income_to_common</t>
  </si>
  <si>
    <t>GAAP NI to BLK excl. Subco NCI, IS H109 (adj. incl. Subco: H173); CapIQ basis unverified</t>
  </si>
  <si>
    <t>normalized_diluted_eps</t>
  </si>
  <si>
    <t>$</t>
  </si>
  <si>
    <t>Scored: IS H173 / Share Count H13 = IS H179</t>
  </si>
  <si>
    <t>gaap_diluted_eps</t>
  </si>
  <si>
    <t>IS H123 = (H109 + Subco NCI H107) / H121</t>
  </si>
  <si>
    <t>diluted_shares</t>
  </si>
  <si>
    <t>m</t>
  </si>
  <si>
    <t>Share Count H13, diluted incl. Subco Units</t>
  </si>
  <si>
    <t>revenue_growth</t>
  </si>
  <si>
    <t>%</t>
  </si>
  <si>
    <t>Rev. summary H212, reported Y/Y</t>
  </si>
  <si>
    <t>material_segment_revenue</t>
  </si>
  <si>
    <t>Single segment: = total revenue IS H17 (fees: C53)</t>
  </si>
  <si>
    <t>operating_income</t>
  </si>
  <si>
    <t>GAAP basis: IS H67 (as-adjusted: IS H139)</t>
  </si>
  <si>
    <t>operating_margin</t>
  </si>
  <si>
    <t>As-adj. margin IS H148 (issuer denominator), not GAAP; GAAP OI C50 -&gt; GAAP margin IS H72</t>
  </si>
  <si>
    <t>assets_under_management</t>
  </si>
  <si>
    <t>$ bn</t>
  </si>
  <si>
    <t>Rev. summary H601, ending AUM</t>
  </si>
  <si>
    <t>fee_revenue</t>
  </si>
  <si>
    <t>Rev. summary H112, base fees + sec. lending</t>
  </si>
  <si>
    <t>net_flows</t>
  </si>
  <si>
    <t>Rev. summary H586, total net flows</t>
  </si>
  <si>
    <t>operating_cash_flow</t>
  </si>
  <si>
    <t>CFS H22, GAAP cash from operations</t>
  </si>
  <si>
    <t>capital_expenditures</t>
  </si>
  <si>
    <t>CFS H26, purchases of P&amp;E (negative = cash outflow)</t>
  </si>
  <si>
    <t>issuer_defined_free_cash_flow</t>
  </si>
  <si>
    <t>N/A: no issuer FCF; CFS H56 proxy only</t>
  </si>
  <si>
    <t>Revenue summary and AUM drivers</t>
  </si>
  <si>
    <t>BlackRock reports a single operating segment (investment management and technology services); revenue drivers are built on this tab, so there are no Segment tabs.</t>
  </si>
  <si>
    <t>Geography: quarterly revenue by region is not disclosed (FY revenue by region appears only in the 10-K); the Geo tab is omitted. Regional net flows are shown in section 5.</t>
  </si>
  <si>
    <t>Organic rows: historical FX is not disclosed, so historical organic growth is n/a; historical M&amp;A 0 = no acquired business in the line (model classification), n/a = not disclosed or not separable. 3Q26E organic growth = reported Y/Y under the original 0 M&amp;A / 0 FX forecast assumption, not issuer-reported organic data (issuer organic base fee growth: rows 796-797).</t>
  </si>
  <si>
    <t>1. Revenue by line ($ millions)</t>
  </si>
  <si>
    <t>Base fees and securities lending revenue</t>
  </si>
  <si>
    <t xml:space="preserve">   Equity - active</t>
  </si>
  <si>
    <t xml:space="preserve">      % Y/Y</t>
  </si>
  <si>
    <t xml:space="preserve">      % Q/Q</t>
  </si>
  <si>
    <t xml:space="preserve">      % of total revenue</t>
  </si>
  <si>
    <t xml:space="preserve">      M&amp;A / scope impact</t>
  </si>
  <si>
    <t xml:space="preserve">      FX impact</t>
  </si>
  <si>
    <t xml:space="preserve">      Organic growth</t>
  </si>
  <si>
    <t xml:space="preserve">   Equity - ETFs</t>
  </si>
  <si>
    <t xml:space="preserve">   Equity subtotal</t>
  </si>
  <si>
    <t xml:space="preserve">   Fixed income - active</t>
  </si>
  <si>
    <t xml:space="preserve">   Fixed income - ETFs</t>
  </si>
  <si>
    <t xml:space="preserve">   Fixed income subtotal</t>
  </si>
  <si>
    <t xml:space="preserve">   Active multi-asset</t>
  </si>
  <si>
    <t xml:space="preserve">   Private markets</t>
  </si>
  <si>
    <t xml:space="preserve">   Liquid alternatives</t>
  </si>
  <si>
    <t xml:space="preserve">   Alternatives subtotal</t>
  </si>
  <si>
    <t xml:space="preserve">   Non-ETF index</t>
  </si>
  <si>
    <t xml:space="preserve">   Digital assets, commodities and multi-asset ETFs</t>
  </si>
  <si>
    <t xml:space="preserve">   Long-term subtotal</t>
  </si>
  <si>
    <t xml:space="preserve">   Cash management</t>
  </si>
  <si>
    <t xml:space="preserve">   Total base fees and securities lending revenue</t>
  </si>
  <si>
    <t xml:space="preserve">   Memo: securities lending revenue (included above)</t>
  </si>
  <si>
    <t xml:space="preserve">   Memo: investment advisory and administration fees (= total less SL)</t>
  </si>
  <si>
    <t>Investment advisory performance fees</t>
  </si>
  <si>
    <t xml:space="preserve">   Equity</t>
  </si>
  <si>
    <t xml:space="preserve">   Fixed income</t>
  </si>
  <si>
    <t xml:space="preserve">   Multi-asset</t>
  </si>
  <si>
    <t xml:space="preserve">   Total performance fees</t>
  </si>
  <si>
    <t>Technology services and subscription revenue</t>
  </si>
  <si>
    <t xml:space="preserve">   % Y/Y</t>
  </si>
  <si>
    <t xml:space="preserve">   % Q/Q</t>
  </si>
  <si>
    <t xml:space="preserve">   % of total revenue</t>
  </si>
  <si>
    <t xml:space="preserve">   M&amp;A / scope impact</t>
  </si>
  <si>
    <t xml:space="preserve">   FX impact</t>
  </si>
  <si>
    <t xml:space="preserve">   Organic growth</t>
  </si>
  <si>
    <t>Distribution fees</t>
  </si>
  <si>
    <t xml:space="preserve">   Advisory revenue</t>
  </si>
  <si>
    <t xml:space="preserve">   Other revenue</t>
  </si>
  <si>
    <t xml:space="preserve">   Advisory and other revenue</t>
  </si>
  <si>
    <t>Total revenue</t>
  </si>
  <si>
    <t xml:space="preserve">   M&amp;A / scope impact (3Q25 partial: excl. HPS perf. fees, C800 n/a)</t>
  </si>
  <si>
    <t xml:space="preserve">   Reported total revenue (issuer)</t>
  </si>
  <si>
    <t xml:space="preserve">   Check: revenue lines sum to reported total (should be 0)</t>
  </si>
  <si>
    <t>2. AUM roll-forward by product type ($ billions) - drivers of base fees</t>
  </si>
  <si>
    <t xml:space="preserve">   Flow weight in average AUM (input)</t>
  </si>
  <si>
    <t xml:space="preserve">   FI market move / US Agg return (input)</t>
  </si>
  <si>
    <t>Equity ($ bn)</t>
  </si>
  <si>
    <t xml:space="preserve">   Opening AUM</t>
  </si>
  <si>
    <t xml:space="preserve">   Net flows</t>
  </si>
  <si>
    <t xml:space="preserve">      Change Y/Y (absolute)</t>
  </si>
  <si>
    <t xml:space="preserve">      Change Q/Q (absolute)</t>
  </si>
  <si>
    <t xml:space="preserve">   Realizations</t>
  </si>
  <si>
    <t xml:space="preserve">   Acquisitions</t>
  </si>
  <si>
    <t xml:space="preserve">   Market change</t>
  </si>
  <si>
    <t xml:space="preserve">   Closing AUM</t>
  </si>
  <si>
    <t xml:space="preserve">   Average AUM</t>
  </si>
  <si>
    <t xml:space="preserve">   Organic asset growth (annualized)</t>
  </si>
  <si>
    <t xml:space="preserve">      Change Q/Q (bps)</t>
  </si>
  <si>
    <t xml:space="preserve">      Change Y/Y (bps)</t>
  </si>
  <si>
    <t xml:space="preserve">   Market change % of opening</t>
  </si>
  <si>
    <t xml:space="preserve">   FX impact % of opening</t>
  </si>
  <si>
    <t xml:space="preserve">   Avg-level factor vs opening</t>
  </si>
  <si>
    <t>Fixed income ($ bn)</t>
  </si>
  <si>
    <t>Multi-asset ($ bn)</t>
  </si>
  <si>
    <t>Private markets ($ bn)</t>
  </si>
  <si>
    <t>Liquid alternatives ($ bn)</t>
  </si>
  <si>
    <t>Alternatives subtotal ($ bn)</t>
  </si>
  <si>
    <t>Digital assets ($ bn)</t>
  </si>
  <si>
    <t>Currency and commodities ($ bn)</t>
  </si>
  <si>
    <t>Long-term subtotal ($ bn)</t>
  </si>
  <si>
    <t>Cash management ($ bn)</t>
  </si>
  <si>
    <t>Total AUM ($ bn)</t>
  </si>
  <si>
    <t xml:space="preserve">   Reported ending AUM (issuer)</t>
  </si>
  <si>
    <t xml:space="preserve">   Check: closing vs reported (=0)</t>
  </si>
  <si>
    <t xml:space="preserve">   Reported average AUM (issuer)</t>
  </si>
  <si>
    <t xml:space="preserve">   Check: average vs reported (=0)</t>
  </si>
  <si>
    <t>3. Base fee drivers: average AUM x annualized fee yield</t>
  </si>
  <si>
    <t>Equity - active</t>
  </si>
  <si>
    <t xml:space="preserve">   Avg AUM: Equity ($ bn)</t>
  </si>
  <si>
    <t xml:space="preserve">   Fee yield, annualized (bps)</t>
  </si>
  <si>
    <t xml:space="preserve">      Change Q/Q (bps); 3Q26E input</t>
  </si>
  <si>
    <t xml:space="preserve">   Revenue ($ m)</t>
  </si>
  <si>
    <t>Equity - ETFs</t>
  </si>
  <si>
    <t>Fixed income - active</t>
  </si>
  <si>
    <t xml:space="preserve">   Avg AUM: FI ($ bn)</t>
  </si>
  <si>
    <t>Fixed income - ETFs</t>
  </si>
  <si>
    <t>Active multi-asset</t>
  </si>
  <si>
    <t xml:space="preserve">   Avg AUM: Multi-asset ($ bn)</t>
  </si>
  <si>
    <t>Private markets</t>
  </si>
  <si>
    <t xml:space="preserve">   Avg AUM: PM ($ bn)</t>
  </si>
  <si>
    <t>Liquid alternatives</t>
  </si>
  <si>
    <t xml:space="preserve">   Avg AUM: Liquid alts ($ bn)</t>
  </si>
  <si>
    <t>Non-ETF index</t>
  </si>
  <si>
    <t xml:space="preserve">   Avg AUM: Equity + FI ($ bn)</t>
  </si>
  <si>
    <t>Digital assets, commodities and multi-asset ETFs</t>
  </si>
  <si>
    <t xml:space="preserve">   Avg AUM: Digital + Commod. ($ bn)</t>
  </si>
  <si>
    <t>Cash management</t>
  </si>
  <si>
    <t xml:space="preserve">   Avg AUM: Cash ($ bn)</t>
  </si>
  <si>
    <t xml:space="preserve">   Avg AUM: total ($ bn)</t>
  </si>
  <si>
    <t xml:space="preserve">   Fee yield on total avg AUM (bps)</t>
  </si>
  <si>
    <t xml:space="preserve">   Distribution fees ($ m)</t>
  </si>
  <si>
    <t xml:space="preserve">   Revenue growth Y/Y; 3Q26E input</t>
  </si>
  <si>
    <t xml:space="preserve">   ACV growth Y/Y (disclosed)</t>
  </si>
  <si>
    <t>4. Memo: AUM by client type, investment style and PM product ($ bn, end of period; 3Q26E = illustrative pro-rata allocation of total ending AUM at 2Q26 mix, not tied to product roll-forwards)</t>
  </si>
  <si>
    <t xml:space="preserve">   Retail</t>
  </si>
  <si>
    <t xml:space="preserve">   ETFs (iShares)</t>
  </si>
  <si>
    <t xml:space="preserve">   Institutional - active</t>
  </si>
  <si>
    <t xml:space="preserve">   Institutional - index</t>
  </si>
  <si>
    <t xml:space="preserve">   Institutional subtotal</t>
  </si>
  <si>
    <t xml:space="preserve">   Active - equity</t>
  </si>
  <si>
    <t xml:space="preserve">   Active - fixed income</t>
  </si>
  <si>
    <t xml:space="preserve">   Active - multi-asset</t>
  </si>
  <si>
    <t xml:space="preserve">   ETFs - equity</t>
  </si>
  <si>
    <t xml:space="preserve">   ETFs - fixed income</t>
  </si>
  <si>
    <t xml:space="preserve">   ETFs - multi-asset</t>
  </si>
  <si>
    <t xml:space="preserve">   ETFs - commodities</t>
  </si>
  <si>
    <t xml:space="preserve">   Private markets - infrastructure</t>
  </si>
  <si>
    <t xml:space="preserve">   Private markets - private equity</t>
  </si>
  <si>
    <t xml:space="preserve">   Private markets - private credit</t>
  </si>
  <si>
    <t xml:space="preserve">   Private markets - real estate</t>
  </si>
  <si>
    <t xml:space="preserve">   Private markets - multi-alternatives</t>
  </si>
  <si>
    <t>5. Net flows by client, style, ETF category, private-markets product and region ($ bn; reported, not forecast)</t>
  </si>
  <si>
    <t xml:space="preserve">   ETFs</t>
  </si>
  <si>
    <t xml:space="preserve">   Style: active</t>
  </si>
  <si>
    <t xml:space="preserve">   Style: non-ETF index</t>
  </si>
  <si>
    <t xml:space="preserve">   ETF - equity</t>
  </si>
  <si>
    <t xml:space="preserve">   ETF - fixed income</t>
  </si>
  <si>
    <t xml:space="preserve">   ETF - multi-asset</t>
  </si>
  <si>
    <t xml:space="preserve">   ETF - digital assets</t>
  </si>
  <si>
    <t xml:space="preserve">   ETF - commodities</t>
  </si>
  <si>
    <t xml:space="preserve">   PM - infrastructure</t>
  </si>
  <si>
    <t xml:space="preserve">   PM - private equity</t>
  </si>
  <si>
    <t xml:space="preserve">   PM - private credit</t>
  </si>
  <si>
    <t xml:space="preserve">   PM - real estate</t>
  </si>
  <si>
    <t xml:space="preserve">   PM - multi-alternatives</t>
  </si>
  <si>
    <t xml:space="preserve">   Region: Americas</t>
  </si>
  <si>
    <t xml:space="preserve">   Region: EMEA</t>
  </si>
  <si>
    <t xml:space="preserve">   Region: APAC</t>
  </si>
  <si>
    <t xml:space="preserve">   Check: regions vs long-term flows (=0)</t>
  </si>
  <si>
    <t>6. Issuer KPIs (reported)</t>
  </si>
  <si>
    <t xml:space="preserve">   Organic base fee growth, qtr ann.</t>
  </si>
  <si>
    <t xml:space="preserve">   Organic base fee growth, LTM</t>
  </si>
  <si>
    <t xml:space="preserve">   GIP fees in 3Q25 Y/Y increase ($ m; GIP in both periods from 4Q25)</t>
  </si>
  <si>
    <t xml:space="preserve">   HPS base fees in revenue ($ m)</t>
  </si>
  <si>
    <t xml:space="preserve">   HPS performance fees ($ m)</t>
  </si>
  <si>
    <t xml:space="preserve">   Preqin revenue in tech ($ m)</t>
  </si>
  <si>
    <t>Income Statement</t>
  </si>
  <si>
    <t>Revenue ($ millions)</t>
  </si>
  <si>
    <t xml:space="preserve">   Investment advisory and administration fees</t>
  </si>
  <si>
    <t xml:space="preserve">   Securities lending revenue</t>
  </si>
  <si>
    <t xml:space="preserve">   Total base fees and securities lending</t>
  </si>
  <si>
    <t xml:space="preserve">   Investment advisory performance fees</t>
  </si>
  <si>
    <t xml:space="preserve">   Technology services and subscription revenue</t>
  </si>
  <si>
    <t xml:space="preserve">   Distribution fees</t>
  </si>
  <si>
    <t xml:space="preserve">   Check: = Revenue summary (=0; link identity)</t>
  </si>
  <si>
    <t>Expense ($ millions)</t>
  </si>
  <si>
    <t xml:space="preserve">   Employee compensation and benefits</t>
  </si>
  <si>
    <t xml:space="preserve">      Compensation, as adjusted</t>
  </si>
  <si>
    <t xml:space="preserve">      Adj. comp ratio (% rev); 3Q26E input</t>
  </si>
  <si>
    <t xml:space="preserve">         Change Q/Q (bps)</t>
  </si>
  <si>
    <t xml:space="preserve">         Change Y/Y (bps)</t>
  </si>
  <si>
    <t xml:space="preserve">   Distribution and servicing costs</t>
  </si>
  <si>
    <t xml:space="preserve">      Cost / total avg AUM (bps, ann.)</t>
  </si>
  <si>
    <t xml:space="preserve">         Change Q/Q (bps); 3Q26E input</t>
  </si>
  <si>
    <t xml:space="preserve">   Direct fund expense</t>
  </si>
  <si>
    <t xml:space="preserve">   Sub-advisory and other</t>
  </si>
  <si>
    <t xml:space="preserve">   Total sales, asset and account expense</t>
  </si>
  <si>
    <t xml:space="preserve">   General and administration expense</t>
  </si>
  <si>
    <t xml:space="preserve">      G&amp;A, as adjusted; 3Q26E input</t>
  </si>
  <si>
    <t xml:space="preserve">         Change Q/Q (absolute)</t>
  </si>
  <si>
    <t xml:space="preserve">      G&amp;A: Marketing and promotional</t>
  </si>
  <si>
    <t xml:space="preserve">      G&amp;A: Occupancy and office related</t>
  </si>
  <si>
    <t xml:space="preserve">      G&amp;A: Portfolio services</t>
  </si>
  <si>
    <t xml:space="preserve">      G&amp;A: Technology</t>
  </si>
  <si>
    <t xml:space="preserve">      G&amp;A: Professional services</t>
  </si>
  <si>
    <t xml:space="preserve">      G&amp;A: Communications</t>
  </si>
  <si>
    <t xml:space="preserve">      G&amp;A: Foreign exchange remeasurement</t>
  </si>
  <si>
    <t xml:space="preserve">      G&amp;A: Charitable contribution</t>
  </si>
  <si>
    <t xml:space="preserve">      G&amp;A: Other general and administration</t>
  </si>
  <si>
    <t xml:space="preserve">      Check: G&amp;A detail = G&amp;A (3Q26E identity)</t>
  </si>
  <si>
    <t xml:space="preserve">   Contingent consideration FV change</t>
  </si>
  <si>
    <t xml:space="preserve">   Restructuring charge</t>
  </si>
  <si>
    <t xml:space="preserve">   Amortization of intangible assets</t>
  </si>
  <si>
    <t>Total expense</t>
  </si>
  <si>
    <t>Operating income (GAAP)</t>
  </si>
  <si>
    <t xml:space="preserve">   Reported operating income</t>
  </si>
  <si>
    <t xml:space="preserve">   Check: vs reported (=0)</t>
  </si>
  <si>
    <t xml:space="preserve">   Operating margin, GAAP</t>
  </si>
  <si>
    <t>Nonoperating income (expense)</t>
  </si>
  <si>
    <t xml:space="preserve">      Net of NCI: Private equity</t>
  </si>
  <si>
    <t xml:space="preserve">      Net of NCI: Real assets</t>
  </si>
  <si>
    <t xml:space="preserve">      Net of NCI: Other alternatives</t>
  </si>
  <si>
    <t xml:space="preserve">      Net of NCI: Other investments</t>
  </si>
  <si>
    <t xml:space="preserve">      Net of NCI: Deferred-comp hedge gains</t>
  </si>
  <si>
    <t xml:space="preserve">      Investments subtotal, net of NCI</t>
  </si>
  <si>
    <t xml:space="preserve">      Other gains (losses), net of NCI</t>
  </si>
  <si>
    <t xml:space="preserve">      Net gain on investments, net of NCI</t>
  </si>
  <si>
    <t xml:space="preserve">   Net gain (loss) on investments</t>
  </si>
  <si>
    <t xml:space="preserve">   Interest and dividend income</t>
  </si>
  <si>
    <t xml:space="preserve">   Interest expense</t>
  </si>
  <si>
    <t xml:space="preserve">   Net interest income (expense)</t>
  </si>
  <si>
    <t>Total nonoperating income (expense)</t>
  </si>
  <si>
    <t>Income before income taxes</t>
  </si>
  <si>
    <t xml:space="preserve">   Income tax expense</t>
  </si>
  <si>
    <t>Tax base includes contingent consideration H61 (0 in 3Q26E); see I168.</t>
  </si>
  <si>
    <t xml:space="preserve">   Effective tax rate, GAAP</t>
  </si>
  <si>
    <t>Net income</t>
  </si>
  <si>
    <t xml:space="preserve">   Less: NCI - consolidated funds (CIPs)</t>
  </si>
  <si>
    <t xml:space="preserve">   Less: NCI - Subco (B-2 units)</t>
  </si>
  <si>
    <t xml:space="preserve">      Subco share of BLK + Subco income</t>
  </si>
  <si>
    <t>Net income attributable to BLK (GAAP)</t>
  </si>
  <si>
    <t xml:space="preserve">   Reported net income to BLK</t>
  </si>
  <si>
    <t xml:space="preserve">   Net margin (NI to BLK / revenue)</t>
  </si>
  <si>
    <t>Per share</t>
  </si>
  <si>
    <t xml:space="preserve">   EPS check tolerance ($; parameter, not a forecast)</t>
  </si>
  <si>
    <t xml:space="preserve">   Basic shares, weighted (m)</t>
  </si>
  <si>
    <t xml:space="preserve">   Diluted shares incl. Subco (m)</t>
  </si>
  <si>
    <t xml:space="preserve">   Basic EPS (GAAP)</t>
  </si>
  <si>
    <t xml:space="preserve">   Diluted EPS (GAAP)</t>
  </si>
  <si>
    <t xml:space="preserve">   Diluted EPS (GAAP), reported</t>
  </si>
  <si>
    <t xml:space="preserve">   Check: vs reported, $0.015 tol. (=0)</t>
  </si>
  <si>
    <t xml:space="preserve">   Dividends declared per share</t>
  </si>
  <si>
    <t>GAAP to as-adjusted (non-GAAP) bridge - consensus EPS basis</t>
  </si>
  <si>
    <t xml:space="preserve">   Operating income, GAAP</t>
  </si>
  <si>
    <t xml:space="preserve">   Add: Deferred cash comp appreciation (a)</t>
  </si>
  <si>
    <t xml:space="preserve">   Add: Amortization of intangible assets (b)</t>
  </si>
  <si>
    <t xml:space="preserve">   Add: Acquisition-related comp (b)</t>
  </si>
  <si>
    <t xml:space="preserve">   Add: Acquisition transaction costs (b)</t>
  </si>
  <si>
    <t xml:space="preserve">   Add: Contingent consideration FV (b)</t>
  </si>
  <si>
    <t xml:space="preserve">   Add: Charitable contribution (c)</t>
  </si>
  <si>
    <t xml:space="preserve">   Add: Restructuring charge</t>
  </si>
  <si>
    <t>Operating income, as adjusted</t>
  </si>
  <si>
    <t xml:space="preserve">   Operating income, adj. - reported</t>
  </si>
  <si>
    <t xml:space="preserve">   Less: distribution fees</t>
  </si>
  <si>
    <t xml:space="preserve">   Less: adv. fees paying distribution</t>
  </si>
  <si>
    <t xml:space="preserve">      Offset / distribution costs (%)</t>
  </si>
  <si>
    <t xml:space="preserve">   Revenue for adj. operating margin</t>
  </si>
  <si>
    <t xml:space="preserve">   Operating margin, as adjusted</t>
  </si>
  <si>
    <t xml:space="preserve">   Nonoperating income, as adjusted</t>
  </si>
  <si>
    <t xml:space="preserve">   Nonoperating income, adj. - reported</t>
  </si>
  <si>
    <t xml:space="preserve">   Pre-tax income, as adjusted</t>
  </si>
  <si>
    <t xml:space="preserve">   Tax rate, as adjusted (3Q26E = guide)</t>
  </si>
  <si>
    <t xml:space="preserve">   Income tax, as adjusted</t>
  </si>
  <si>
    <t xml:space="preserve">   Net income, adj. (pre-tax less tax)</t>
  </si>
  <si>
    <t xml:space="preserve">   Net income to BLK, GAAP</t>
  </si>
  <si>
    <t xml:space="preserve">   Add: NCI - Subco (units exchanged)</t>
  </si>
  <si>
    <t xml:space="preserve">   Net income for diluted EPS</t>
  </si>
  <si>
    <t xml:space="preserve">   Add: Hedged deferred cash comp (a), a/t</t>
  </si>
  <si>
    <t xml:space="preserve">   Add: Amortization (b), after tax</t>
  </si>
  <si>
    <t xml:space="preserve">   Add: Acquisition comp (b), after tax</t>
  </si>
  <si>
    <t xml:space="preserve">   Add: Acquisition costs (b), after tax</t>
  </si>
  <si>
    <t xml:space="preserve">   Add: Contingent consid. FV (b), after tax</t>
  </si>
  <si>
    <t>Latent, unresolved (L-05): H61 = 0, so no 3Q26E impact. History (C168:G168 vs C136:G136) shows ~no tax effect; if H61 is made non-zero, review H168 (tax-effected at H172) and the H99 tax base.</t>
  </si>
  <si>
    <t xml:space="preserve">   Add: Charitable contrib. (c), after tax</t>
  </si>
  <si>
    <t xml:space="preserve">   Add: Restructuring charge, after tax</t>
  </si>
  <si>
    <t xml:space="preserve">   Add: Income tax matters</t>
  </si>
  <si>
    <t xml:space="preserve">      Tax rate on adjustments</t>
  </si>
  <si>
    <t>Net income to BLK, as adjusted</t>
  </si>
  <si>
    <t xml:space="preserve">   Net income, adj. - reported</t>
  </si>
  <si>
    <t xml:space="preserve">   Check: bridge vs direct path (=0; identity by construction)</t>
  </si>
  <si>
    <t xml:space="preserve">   Diluted EPS, adj. - reported</t>
  </si>
  <si>
    <t>Balance Sheet</t>
  </si>
  <si>
    <t>Assets ($ millions)</t>
  </si>
  <si>
    <t xml:space="preserve">   Cash and cash equivalents</t>
  </si>
  <si>
    <t xml:space="preserve">   Accounts receivable</t>
  </si>
  <si>
    <t xml:space="preserve">   Investments</t>
  </si>
  <si>
    <t xml:space="preserve">   Separate account assets</t>
  </si>
  <si>
    <t xml:space="preserve">   Separate account collateral held</t>
  </si>
  <si>
    <t xml:space="preserve">   Property and equipment, net</t>
  </si>
  <si>
    <t xml:space="preserve">   Intangible assets, net</t>
  </si>
  <si>
    <t xml:space="preserve">   Goodwill</t>
  </si>
  <si>
    <t xml:space="preserve">   Operating lease right-of-use assets</t>
  </si>
  <si>
    <t xml:space="preserve">   Other assets</t>
  </si>
  <si>
    <t>Total assets</t>
  </si>
  <si>
    <t xml:space="preserve">   Total assets, reported</t>
  </si>
  <si>
    <t>Liabilities</t>
  </si>
  <si>
    <t xml:space="preserve">   Accrued compensation and benefits</t>
  </si>
  <si>
    <t xml:space="preserve">   Accounts payable and accrued liab.</t>
  </si>
  <si>
    <t xml:space="preserve">   Borrowings</t>
  </si>
  <si>
    <t xml:space="preserve">   Separate account liabilities</t>
  </si>
  <si>
    <t xml:space="preserve">   Separate account collateral liabilities</t>
  </si>
  <si>
    <t xml:space="preserve">   Contingent consideration liabilities</t>
  </si>
  <si>
    <t xml:space="preserve">   Deferred income tax liabilities</t>
  </si>
  <si>
    <t xml:space="preserve">   Operating lease liabilities</t>
  </si>
  <si>
    <t xml:space="preserve">   Other liabilities</t>
  </si>
  <si>
    <t>Total liabilities</t>
  </si>
  <si>
    <t>Temporary equity</t>
  </si>
  <si>
    <t xml:space="preserve">   Redeemable NCI - CIPs</t>
  </si>
  <si>
    <t xml:space="preserve">   Redeemable NCI - Subco</t>
  </si>
  <si>
    <t>Total temporary equity</t>
  </si>
  <si>
    <t>Permanent equity</t>
  </si>
  <si>
    <t xml:space="preserve">   Common stock</t>
  </si>
  <si>
    <t xml:space="preserve">   Additional paid-in capital</t>
  </si>
  <si>
    <t xml:space="preserve">   Retained earnings</t>
  </si>
  <si>
    <t xml:space="preserve">   Accumulated other comprehensive loss</t>
  </si>
  <si>
    <t xml:space="preserve">   Treasury stock, at cost</t>
  </si>
  <si>
    <t xml:space="preserve">   Total BlackRock stockholders' equity</t>
  </si>
  <si>
    <t xml:space="preserve">   Nonredeemable noncontrolling interests</t>
  </si>
  <si>
    <t>Total permanent equity</t>
  </si>
  <si>
    <t>Total liabilities and equity</t>
  </si>
  <si>
    <t>Check: A - L - temp. eq. - equity (=0; 3Q26E identity)</t>
  </si>
  <si>
    <t xml:space="preserve">   Check: total assets vs reported (=0)</t>
  </si>
  <si>
    <t xml:space="preserve">   BVPS incl. Subco ($)</t>
  </si>
  <si>
    <t xml:space="preserve">   Borrowings / (borrowings + equity)</t>
  </si>
  <si>
    <t>Cash Flow Statement</t>
  </si>
  <si>
    <t>Operating activities ($ millions)</t>
  </si>
  <si>
    <t xml:space="preserve">   Net income</t>
  </si>
  <si>
    <t xml:space="preserve">   Depreciation and amortization</t>
  </si>
  <si>
    <t xml:space="preserve">   Stock-based compensation</t>
  </si>
  <si>
    <t xml:space="preserve">   Deferred income tax expense (benefit)</t>
  </si>
  <si>
    <t xml:space="preserve">   Net purchases within CIPs</t>
  </si>
  <si>
    <t xml:space="preserve">      Memo: depreciation and other</t>
  </si>
  <si>
    <t xml:space="preserve">   Other operating items (residual)</t>
  </si>
  <si>
    <t xml:space="preserve">      Driver: accrued comp increase</t>
  </si>
  <si>
    <t xml:space="preserve">      Driver: (increase) in receivables</t>
  </si>
  <si>
    <t xml:space="preserve">      Driver: (increase) in other assets</t>
  </si>
  <si>
    <t xml:space="preserve">      Driver: non-cash (gain) on investments</t>
  </si>
  <si>
    <t>Net cash from operating activities</t>
  </si>
  <si>
    <t xml:space="preserve">   Change Q/Q (absolute)</t>
  </si>
  <si>
    <t>Investing activities</t>
  </si>
  <si>
    <t xml:space="preserve">   Purchases of property and equipment</t>
  </si>
  <si>
    <t xml:space="preserve">   Purchases of investments</t>
  </si>
  <si>
    <t xml:space="preserve">   Proceeds from sales of investments</t>
  </si>
  <si>
    <t xml:space="preserve">   Acquisitions, net of cash acquired</t>
  </si>
  <si>
    <t xml:space="preserve">   Equity-method capital distributions</t>
  </si>
  <si>
    <t xml:space="preserve">   Net consolidations of funds</t>
  </si>
  <si>
    <t xml:space="preserve">   Other investing activities (residual)</t>
  </si>
  <si>
    <t>Net cash from investing activities</t>
  </si>
  <si>
    <t>Financing activities</t>
  </si>
  <si>
    <t xml:space="preserve">   Repayments of long-term borrowings</t>
  </si>
  <si>
    <t xml:space="preserve">   Proceeds from long-term borrowings</t>
  </si>
  <si>
    <t xml:space="preserve">   Dividends paid and Subco distributions</t>
  </si>
  <si>
    <t xml:space="preserve">   Proceeds from stock options exercised</t>
  </si>
  <si>
    <t xml:space="preserve">   Share repurchases (incl. withholding)</t>
  </si>
  <si>
    <t xml:space="preserve">   Net borrowings by CIPs</t>
  </si>
  <si>
    <t xml:space="preserve">   Net NCI subscriptions (CIPs)</t>
  </si>
  <si>
    <t xml:space="preserve">   Other financing activities (residual)</t>
  </si>
  <si>
    <t>Net cash from financing activities</t>
  </si>
  <si>
    <t xml:space="preserve">   FX effect on cash</t>
  </si>
  <si>
    <t>Net change in cash and restricted cash</t>
  </si>
  <si>
    <t xml:space="preserve">   Check: sections sum (=0)</t>
  </si>
  <si>
    <t xml:space="preserve">   Cash and restricted cash, beginning</t>
  </si>
  <si>
    <t>Cash and restricted cash, end</t>
  </si>
  <si>
    <t xml:space="preserve">   Less: restricted cash (D, F: S5 10-Q Note 4; C, E: derived = cash total - BS cash)</t>
  </si>
  <si>
    <t xml:space="preserve">   Cash per Balance Sheet</t>
  </si>
  <si>
    <t>Check: cash vs BS (=0; C, E derived, not tests; H identity)</t>
  </si>
  <si>
    <t xml:space="preserve">   Check: change in cash vs BS (=0)</t>
  </si>
  <si>
    <t xml:space="preserve">   CFO less capex (not issuer-defined)</t>
  </si>
  <si>
    <t>Share Count</t>
  </si>
  <si>
    <t>Weighted-average shares (millions)</t>
  </si>
  <si>
    <t xml:space="preserve">   Basic shares, weighted average</t>
  </si>
  <si>
    <t xml:space="preserve">   Diluted shares incl. Subco (EPS basis)</t>
  </si>
  <si>
    <t xml:space="preserve">   Dilutive securities + Subco Units</t>
  </si>
  <si>
    <t>Period-end shares and Subco Units (millions)</t>
  </si>
  <si>
    <t xml:space="preserve">   Common shares outstanding, end</t>
  </si>
  <si>
    <t xml:space="preserve">   Subco B-2 units (exchangeable 1:1)</t>
  </si>
  <si>
    <t xml:space="preserve">   Shares outstanding incl. Subco Units</t>
  </si>
  <si>
    <t xml:space="preserve">   Subco Units % of total</t>
  </si>
  <si>
    <t>Buybacks, issuance and dividends</t>
  </si>
  <si>
    <t xml:space="preserve">   Share repurchases ($ m, open market)</t>
  </si>
  <si>
    <t xml:space="preserve">   Shares repurchased (m)</t>
  </si>
  <si>
    <t xml:space="preserve">   Average repurchase price ($; approx., shares rounded to 0.1m)</t>
  </si>
  <si>
    <t xml:space="preserve">   Buyback weight in average (input)</t>
  </si>
  <si>
    <t xml:space="preserve">   Net issuance, employee plans (m)</t>
  </si>
  <si>
    <t xml:space="preserve">   Dividends declared per share ($)</t>
  </si>
  <si>
    <t xml:space="preserve">   Dividends declared ($ m; 2Q26-end share basis, approx.)</t>
  </si>
  <si>
    <t xml:space="preserve">   Subco distributions ($ m; 2Q26-end unit basis, approx.)</t>
  </si>
  <si>
    <t>Guidance</t>
  </si>
  <si>
    <t>Note: rows 5-7 are model-wide period navigation only; they do not describe the guidance table columns below.</t>
  </si>
  <si>
    <t>Metric</t>
  </si>
  <si>
    <t>Date given</t>
  </si>
  <si>
    <t>Low</t>
  </si>
  <si>
    <t>High</t>
  </si>
  <si>
    <t>Midpoint</t>
  </si>
  <si>
    <t>Actual</t>
  </si>
  <si>
    <t>Beat / miss</t>
  </si>
  <si>
    <t>Source</t>
  </si>
  <si>
    <t>Revenue, net income and EPS</t>
  </si>
  <si>
    <t>3Q26</t>
  </si>
  <si>
    <t>S1, S9</t>
  </si>
  <si>
    <t>As-adjusted ETR (actual = 1Q26 single quarter vs FY guide)</t>
  </si>
  <si>
    <t>FY2026</t>
  </si>
  <si>
    <t>S11</t>
  </si>
  <si>
    <t>As-adjusted ETR (actual = 2Q26 single quarter vs rest-of-year guide)</t>
  </si>
  <si>
    <t>Rest of 2026</t>
  </si>
  <si>
    <t>S10</t>
  </si>
  <si>
    <t>As-adjusted effective tax rate (used for 3Q26E)</t>
  </si>
  <si>
    <t>pending</t>
  </si>
  <si>
    <t>S9</t>
  </si>
  <si>
    <t>Share repurchases per quarter ($ m, at least)</t>
  </si>
  <si>
    <t>2026 quarters</t>
  </si>
  <si>
    <t>Share repurchases per quarter ($ m, at least; used for 3Q26E)</t>
  </si>
  <si>
    <t>From 3Q26</t>
  </si>
  <si>
    <t>Planned 2026 share repurchases ($ m)</t>
  </si>
  <si>
    <t>S1</t>
  </si>
  <si>
    <t>Quarterly dividend per share ($)</t>
  </si>
  <si>
    <t>S3</t>
  </si>
  <si>
    <t>As-adjusted operating margin (at least)</t>
  </si>
  <si>
    <t>Through cycle</t>
  </si>
  <si>
    <t>Organic base fee growth (at least)</t>
  </si>
  <si>
    <t>Medium term</t>
  </si>
  <si>
    <t>Technology ACV growth (low-to-mid teens; read as 11%-15%)</t>
  </si>
  <si>
    <t>Long term</t>
  </si>
  <si>
    <t>FY G&amp;A growth after annualizing HPS/Preqin (mid-single digit; read as 4%-6%)</t>
  </si>
  <si>
    <t>Headcount (broadly flat)</t>
  </si>
  <si>
    <t>broadly flat</t>
  </si>
  <si>
    <t>Total capital return, dividends + buybacks ($ m, over)</t>
  </si>
  <si>
    <t>Sources</t>
  </si>
  <si>
    <t>Note: rows 5-7 are model-wide period navigation only; they do not describe the source table columns below.</t>
  </si>
  <si>
    <t>ID</t>
  </si>
  <si>
    <t>Published</t>
  </si>
  <si>
    <t>Publisher</t>
  </si>
  <si>
    <t>URL or file</t>
  </si>
  <si>
    <t>Feeds</t>
  </si>
  <si>
    <t>Retrieved (UTC)</t>
  </si>
  <si>
    <t>BlackRock / SEC</t>
  </si>
  <si>
    <t>https://www.sec.gov/Archives/edgar/data/2012383/000119312526304013/blk-ex99_1.htm</t>
  </si>
  <si>
    <t>2Q26 &amp; 2Q25(recast) &amp; 1Q26 income statement, revenue/expense detail, AUM roll-forwards, as-adjusted reconciliations, net-flow highlights</t>
  </si>
  <si>
    <t>S2</t>
  </si>
  <si>
    <t>https://www.sec.gov/Archives/edgar/data/2012383/000119312526153768/blk-ex99_1.htm</t>
  </si>
  <si>
    <t>1Q26, 1Q25, 4Q25 income statement and detail, AUM (1Q26 roll-forward, 3/31/25 opening), reconciliations</t>
  </si>
  <si>
    <t>https://www.sec.gov/Archives/edgar/data/2012383/000119312526013503/blk-ex99_1.htm</t>
  </si>
  <si>
    <t>4Q25, 4Q24, 3Q25 (recast for contingent consideration line), FY25, FY24 income statement and detail; 4Q25 and FY25 AUM roll-forwards; reconciliations</t>
  </si>
  <si>
    <t>S4</t>
  </si>
  <si>
    <t>https://www.sec.gov/Archives/edgar/data/2012383/000119312525237960/blk-ex99_1.htm</t>
  </si>
  <si>
    <t>3Q25 (original presentation), 3Q24, 2Q25 data; 3Q25 AUM roll-forward incl. HPS/ElmTree acquisitions; 9/30/24 and 6/30/25 AUM</t>
  </si>
  <si>
    <t>S5</t>
  </si>
  <si>
    <t>SEC</t>
  </si>
  <si>
    <t>https://www.sec.gov/Archives/edgar/data/2012383/000119312526337177/ (R2 balance sheet, R4 income statement, R9 cash flows, R102 capital stock)</t>
  </si>
  <si>
    <t>6/30/26 balance sheet, 1H26/1H25 cash flows, interest income/expense split, repurchases</t>
  </si>
  <si>
    <t>S6</t>
  </si>
  <si>
    <t>https://www.sec.gov/Archives/edgar/data/2012383/000119312526208766/ (R2, R4, R9, R108)</t>
  </si>
  <si>
    <t>3/31/26 balance sheet, 3M26/3M25 cash flows, repurchases</t>
  </si>
  <si>
    <t>S7</t>
  </si>
  <si>
    <t>https://www.sec.gov/Archives/edgar/data/2012383/000119312526071966/ (R2, R4, R9, R138)</t>
  </si>
  <si>
    <t>12/31/25 &amp; 12/31/24 balance sheet, FY25 cash flows, FY25 interest income/expense, capital stock</t>
  </si>
  <si>
    <t>S8</t>
  </si>
  <si>
    <t>https://www.sec.gov/Archives/edgar/data/2012383/000119312525267043/ (R2, R4, R9, R117)</t>
  </si>
  <si>
    <t>9/30/25 balance sheet, 9M25 cash flows, 3Q25 interest income/expense, repurchases</t>
  </si>
  <si>
    <t>The Motley Fool</t>
  </si>
  <si>
    <t>https://www.fool.com/earnings/call-transcripts/2026/07/22/blackrock-blk-q2-2026-earnings-call-transcript/</t>
  </si>
  <si>
    <t>2Q26 guidance/commentary</t>
  </si>
  <si>
    <t>https://www.fool.com/earnings/call-transcripts/2026/04/14/blackrock-blk-q1-2026-earnings-call-transcript/</t>
  </si>
  <si>
    <t>1Q26 guidance/commentary</t>
  </si>
  <si>
    <t>The Globe and Mail / Motley Fool</t>
  </si>
  <si>
    <t>https://www.theglobeandmail.com/investing/markets/stocks/BLK/pressreleases/1432444/blackrock-blk-q4-2025-earnings-transcript/</t>
  </si>
  <si>
    <t>January 2026 full-year guidance (baseline for 2026), 4Q25 buyback amount</t>
  </si>
  <si>
    <t>F1</t>
  </si>
  <si>
    <t>S&amp;P Capital IQ (supplied)</t>
  </si>
  <si>
    <t>BLK_history.csv (sha256 acc4866d...)</t>
  </si>
  <si>
    <t>Six historical EPS/revenue actual-vs-consensus pairs; prior calibration (Inputs B)</t>
  </si>
  <si>
    <t>F2</t>
  </si>
  <si>
    <t>BLK_consensus.json (sha256 dc2d0aa8...)</t>
  </si>
  <si>
    <t>Frozen consensus EPS 14.31 / revenue 7,518.5; full summary row (Inputs A); Cover consensus column</t>
  </si>
  <si>
    <t>S12</t>
  </si>
  <si>
    <t>BlackRock (Business Wire)</t>
  </si>
  <si>
    <t>https://ir.blackrock.com/news-and-events/press-releases/press-releases-details/2026/BlackRock-to-Report-Third-Quarter-2026-Earnings-on-October-14th/default.aspx</t>
  </si>
  <si>
    <t>Expected report date 2026-10-14 (CapIQ shows 2026-10-16)</t>
  </si>
  <si>
    <t>S13</t>
  </si>
  <si>
    <t>Dow Jones / Morningstar</t>
  </si>
  <si>
    <t>https://www.morningstar.com/news/dow-jones/202609307962/sp-500-rises-203-this-quarter-to-765154-data-talk</t>
  </si>
  <si>
    <t>S&amp;P 500 Q3 close 7,651.54 (+2.03%)</t>
  </si>
  <si>
    <t>S14</t>
  </si>
  <si>
    <t>US Market Current</t>
  </si>
  <si>
    <t>https://usmarketcurrent.com/q3-2026-scorecard-sp-500-up-2-russell-2000-down-7-5-energy-led-utilities-fell-13-10-year-up-87bp/</t>
  </si>
  <si>
    <t>S&amp;P 500 month-ends Jun/Jul/Aug/Sep 2026</t>
  </si>
  <si>
    <t>S15</t>
  </si>
  <si>
    <t>CNBC</t>
  </si>
  <si>
    <t>https://www.cnbc.com/2026/03/30/stock-market-today-live-updates.html</t>
  </si>
  <si>
    <t>S&amp;P 500 close 3/31/26 (6,528.52)</t>
  </si>
  <si>
    <t>S16</t>
  </si>
  <si>
    <t>StatMuse / Reuters</t>
  </si>
  <si>
    <t>https://www.statmuse.com/money/ask/s-and-p-500-results-for-april-2026</t>
  </si>
  <si>
    <t>S&amp;P 500 close 4/30/26 (7,209.01)</t>
  </si>
  <si>
    <t>S17</t>
  </si>
  <si>
    <t>Dean Financials / AP</t>
  </si>
  <si>
    <t>https://deanfi.com/insights/marketpulse/2026-05-29/</t>
  </si>
  <si>
    <t>S&amp;P 500 close 5/29/26 (7,580.06)</t>
  </si>
  <si>
    <t>S18</t>
  </si>
  <si>
    <t>ChartRow</t>
  </si>
  <si>
    <t>https://chartrow.com/msci-acwi/monthly-returns</t>
  </si>
  <si>
    <t>MSCI ACWI monthly total returns Apr-Sep 2026</t>
  </si>
  <si>
    <t>S19</t>
  </si>
  <si>
    <t>State Street Global Advisors</t>
  </si>
  <si>
    <t>https://www.ssga.com/us/en/institutional/mf/state-street-aggregate-bond-index-fund-class-k-ssfex</t>
  </si>
  <si>
    <t>Bloomberg US Agg returns: Sep -2.61%, Q3 -3.51%</t>
  </si>
  <si>
    <t>S20</t>
  </si>
  <si>
    <t>NeQuit</t>
  </si>
  <si>
    <t>https://www.nequitco.com/news/quarterly-market-update---q3-2026</t>
  </si>
  <si>
    <t>Q3 market data: Bitcoin +43%, DXY flat, oil</t>
  </si>
  <si>
    <t>S21</t>
  </si>
  <si>
    <t>Invesco (SEC 8-K)</t>
  </si>
  <si>
    <t>https://www.sec.gov/Archives/edgar/data/914208/000091420826000353/ivzaumexhibit991-0926.htm</t>
  </si>
  <si>
    <t>Peer Q3 average AUM $2,510.2bn</t>
  </si>
  <si>
    <t>S22</t>
  </si>
  <si>
    <t>https://www.sec.gov/Archives/edgar/data/914208/000091420826000207/ivzaumexhibit991-0626.htm</t>
  </si>
  <si>
    <t>Peer Q2 average AUM $2,368.8bn</t>
  </si>
  <si>
    <t>S23</t>
  </si>
  <si>
    <t>Franklin Templeton</t>
  </si>
  <si>
    <t>https://investors.franklintempleton.com/news-center/press-releases/press-release-details/2026/Franklin-Templeton-Inc--Announces-Preliminary-Month-End-Assets-Under-Management-a1d39b52d/default.aspx</t>
  </si>
  <si>
    <t>Peer Q3 average AUM $1.80tn (Q2 $1.75tn, release 2026-07-06)</t>
  </si>
  <si>
    <t>S24</t>
  </si>
  <si>
    <t>Ultumus</t>
  </si>
  <si>
    <t>https://www.ultumus.com/insights/etf-flows-september-2026-150bn-in-and-the-worlds-biggest-etf-saw-outflows</t>
  </si>
  <si>
    <t>iShares September net inflows $58.3bn; crypto ETF inflows</t>
  </si>
  <si>
    <t>S25</t>
  </si>
  <si>
    <t>https://www.ultumus.com/insights/etf-fund-flows-august-2026-voo-takes-27.5bn-as-vanguard-closes-on-ishares</t>
  </si>
  <si>
    <t>iShares August net inflows $37.3bn</t>
  </si>
  <si>
    <t>S26</t>
  </si>
  <si>
    <t>etf.com / Bloomberg</t>
  </si>
  <si>
    <t>https://www.etf.com/sections/monthly-etf-flows/etf-inflows-top-last-years-record-quarter-spare</t>
  </si>
  <si>
    <t>US ETF flows September: FI $42.4bn; 10Y 5.25%+</t>
  </si>
  <si>
    <t>S27</t>
  </si>
  <si>
    <t>Zacks via Yahoo Finance</t>
  </si>
  <si>
    <t>https://finance.yahoo.com/markets/stocks/articles/exploring-analyst-estimates-blackrock-blk-121502068.html</t>
  </si>
  <si>
    <t>Newer consensus (EPS 14.01, revenue 7.45bn, AUM 15.67tn, flows 172bn) - memo only</t>
  </si>
  <si>
    <t>S28</t>
  </si>
  <si>
    <t>Earnings Whispers</t>
  </si>
  <si>
    <t>https://beta.earningswhispers.com/article/BLK/20322</t>
  </si>
  <si>
    <t>Preview: consensus 14.04, whisper 14.16; no formal guidance</t>
  </si>
  <si>
    <t>S29</t>
  </si>
  <si>
    <t>StockAnalysis (Nasdaq Data Link)</t>
  </si>
  <si>
    <t>https://stockanalysis.com/stocks/blk/market-cap/</t>
  </si>
  <si>
    <t>Market cap $167.63bn at 2026-10-09 close; price $1,082.39</t>
  </si>
  <si>
    <t>S30</t>
  </si>
  <si>
    <t>GuruFocus / Insider Monkey</t>
  </si>
  <si>
    <t>https://www.gurufocus.com/news/9101477/securitize-corp-secz-surges-164-in-september-despite-unprofitable-status</t>
  </si>
  <si>
    <t>Securitize (7.3m BLK-held shares) +164% in September</t>
  </si>
  <si>
    <t>S31</t>
  </si>
  <si>
    <t>AltsWire</t>
  </si>
  <si>
    <t>https://altswire.com/blackrocks-bdebt-clears-5-tender-cap-while-hlend-prorates-again/</t>
  </si>
  <si>
    <t>HLEND Q3 repurchase requests 11.5% vs 5% cap</t>
  </si>
  <si>
    <t>S32</t>
  </si>
  <si>
    <t>Coinfolytics (Arkham data)</t>
  </si>
  <si>
    <t>https://www.coinfolytics.com/news/blackrock-s-crypto-portfolio-surges-nearly-30-billion-in-q3-2026</t>
  </si>
  <si>
    <t>BlackRock crypto ETF holdings $47.6bn -&gt; $77.1bn in Q3</t>
  </si>
  <si>
    <t>N1</t>
  </si>
  <si>
    <t>Omitted tab note</t>
  </si>
  <si>
    <t>Form 10-Q 2Q26 (acc. 0001193125-26-337177) and 10-K FY25 (acc. 0001193125-26-071966)</t>
  </si>
  <si>
    <t>Geo tab omitted: no quarterly revenue by geography (FY regional revenue in 10-K only). Segment tabs omitted: one operating segment.</t>
  </si>
  <si>
    <t>Timing limitation (unresolved, documented): every Retrieved (UTC) date G10:G44 is 2026-10-12, after the 2026-10-11 22:24 UTC cutoff; all Published dates C10:C44 are on or before 2026-10-11 (F1/F2 supplied files 2026-10-11; web sources on or before 2026-10-09) and no source contains 3Q26 results.</t>
  </si>
  <si>
    <t>No pre-cutoff snapshots or capture times exist for live-updating pages (S14, S18, S20, S27, S29), so later page revisions cannot be ruled out; inputs and frozen values are left unchanged.</t>
  </si>
  <si>
    <t>Inputs (CapIQ snapshot, year-ago comparatives, market data)</t>
  </si>
  <si>
    <t>Note: rows 5-7 are model-wide period navigation only and do not describe Inputs columns; block headers govern (row 114 months Mar-26…Sep-26; row 131 3Q24A…FY24A; row 205 YTD 1H25…1H26).</t>
  </si>
  <si>
    <t>A. S&amp;P Capital IQ summary row (BLK_consensus.json, captured 2026-10-11; raw, blanks preserved)</t>
  </si>
  <si>
    <t>Field</t>
  </si>
  <si>
    <t>Value</t>
  </si>
  <si>
    <t>Blank?</t>
  </si>
  <si>
    <t>ticker</t>
  </si>
  <si>
    <t>BLK</t>
  </si>
  <si>
    <t>company_name</t>
  </si>
  <si>
    <t>exchange_ticker</t>
  </si>
  <si>
    <t>NYSE:BLK</t>
  </si>
  <si>
    <t>capiq_company_id</t>
  </si>
  <si>
    <t>sp500_member</t>
  </si>
  <si>
    <t>Y</t>
  </si>
  <si>
    <t>market_cap_usd_m</t>
  </si>
  <si>
    <t>blank</t>
  </si>
  <si>
    <t>fiscal_quarter</t>
  </si>
  <si>
    <t>FQ3 2026 - Sep 2026</t>
  </si>
  <si>
    <t>quarter_end_date</t>
  </si>
  <si>
    <t>expected_report_date</t>
  </si>
  <si>
    <t>fiscal_year_end</t>
  </si>
  <si>
    <t>Dec-31</t>
  </si>
  <si>
    <t>analysts_covering</t>
  </si>
  <si>
    <t>eps_normalized_mean</t>
  </si>
  <si>
    <t>eps_normalized_median</t>
  </si>
  <si>
    <t>eps_normalized_high</t>
  </si>
  <si>
    <t>eps_normalized_low</t>
  </si>
  <si>
    <t>eps_normalized_std_dev</t>
  </si>
  <si>
    <t>eps_normalized_n_est</t>
  </si>
  <si>
    <t>eps_normalized_guidance</t>
  </si>
  <si>
    <t>eps_normalized_guidance_low</t>
  </si>
  <si>
    <t>eps_normalized_guidance_high</t>
  </si>
  <si>
    <t>eps_gaap_mean</t>
  </si>
  <si>
    <t>eps_gaap_median</t>
  </si>
  <si>
    <t>eps_gaap_high</t>
  </si>
  <si>
    <t>eps_gaap_low</t>
  </si>
  <si>
    <t>eps_gaap_std_dev</t>
  </si>
  <si>
    <t>eps_gaap_n_est</t>
  </si>
  <si>
    <t>eps_gaap_guidance</t>
  </si>
  <si>
    <t>revenue_m_mean</t>
  </si>
  <si>
    <t>revenue_m_median</t>
  </si>
  <si>
    <t>revenue_m_high</t>
  </si>
  <si>
    <t>revenue_m_low</t>
  </si>
  <si>
    <t>revenue_m_std_dev</t>
  </si>
  <si>
    <t>revenue_m_n_est</t>
  </si>
  <si>
    <t>revenue_m_guidance</t>
  </si>
  <si>
    <t>revenue_m_guidance_low</t>
  </si>
  <si>
    <t>revenue_m_guidance_high</t>
  </si>
  <si>
    <t>ebitda_m</t>
  </si>
  <si>
    <t>ebit_m</t>
  </si>
  <si>
    <t>ebt_excl_excep_m</t>
  </si>
  <si>
    <t>ebt_gaap_m</t>
  </si>
  <si>
    <t>net_income_excl_excep_m</t>
  </si>
  <si>
    <t>net_income_gaap_m</t>
  </si>
  <si>
    <t>gross_margin_pct</t>
  </si>
  <si>
    <t>effective_tax_rate_pct</t>
  </si>
  <si>
    <t>d_and_a_m</t>
  </si>
  <si>
    <t>capex_m</t>
  </si>
  <si>
    <t>cfo_m</t>
  </si>
  <si>
    <t>fcf_m</t>
  </si>
  <si>
    <t>interest_expense_m</t>
  </si>
  <si>
    <t>net_debt_m</t>
  </si>
  <si>
    <t>cfps</t>
  </si>
  <si>
    <t>bvps</t>
  </si>
  <si>
    <t>dps</t>
  </si>
  <si>
    <t>nav_m</t>
  </si>
  <si>
    <t>navps</t>
  </si>
  <si>
    <t>roe_pct</t>
  </si>
  <si>
    <t>target_price_mean</t>
  </si>
  <si>
    <t>target_price_median</t>
  </si>
  <si>
    <t>target_price_high</t>
  </si>
  <si>
    <t>target_price_low</t>
  </si>
  <si>
    <t>target_price_std_dev</t>
  </si>
  <si>
    <t>target_price_n_est</t>
  </si>
  <si>
    <t>recommendation</t>
  </si>
  <si>
    <t>Buy</t>
  </si>
  <si>
    <t>recommendation_score</t>
  </si>
  <si>
    <t>last_close_price</t>
  </si>
  <si>
    <t>wk52_high_low</t>
  </si>
  <si>
    <t>1219.94/917.39</t>
  </si>
  <si>
    <t>currency</t>
  </si>
  <si>
    <t>USD</t>
  </si>
  <si>
    <t>units</t>
  </si>
  <si>
    <t>per-share in USD; revenue and income in USD millions</t>
  </si>
  <si>
    <t>estimates_captured_at</t>
  </si>
  <si>
    <t>notes</t>
  </si>
  <si>
    <t>B. S&amp;P Capital IQ history (BLK_history.csv, six rows, raw)</t>
  </si>
  <si>
    <t>period_end_date</t>
  </si>
  <si>
    <t>report_date</t>
  </si>
  <si>
    <t>eps_normalized_consensus</t>
  </si>
  <si>
    <t>eps_normalized_actual</t>
  </si>
  <si>
    <t>eps_gaap_consensus</t>
  </si>
  <si>
    <t>eps_gaap_actual</t>
  </si>
  <si>
    <t>revenue_m_consensus</t>
  </si>
  <si>
    <t>revenue_m_actual</t>
  </si>
  <si>
    <t>Norm. beat?</t>
  </si>
  <si>
    <t>Surprise $</t>
  </si>
  <si>
    <t>C. Consensus at cutoff and size-aware prior (forecasting playbook v2)</t>
  </si>
  <si>
    <t>Consensus normalized diluted EPS (frozen, CapIQ mean)</t>
  </si>
  <si>
    <t>Consensus revenue (frozen, CapIQ mean)</t>
  </si>
  <si>
    <t>Normalized EPS contributors (eps_normalized_n_est)</t>
  </si>
  <si>
    <t>Consensus GAAP diluted EPS (CapIQ mean, 4 est.)</t>
  </si>
  <si>
    <t>Consensus net income excl. exceptional items (CapIQ)</t>
  </si>
  <si>
    <t>Consensus GAAP net income (CapIQ)</t>
  </si>
  <si>
    <t>Newer consensus EPS - Zacks, 2026-10-09 (memo only, not scoring baseline)</t>
  </si>
  <si>
    <t>Newer consensus revenue - Zacks, 2026-10-09 (memo only)</t>
  </si>
  <si>
    <t>Market capitalization, 2026-10-09 close ($ m)</t>
  </si>
  <si>
    <t>S&amp;P 500 member (CapIQ sp500_member)</t>
  </si>
  <si>
    <t>Size bucket (small $0.3-2bn / mid $2-10bn / large &gt;$10bn)</t>
  </si>
  <si>
    <t>Cohort prior (0.78 large or S&amp;P 500; applied once)</t>
  </si>
  <si>
    <t>Pseudo-observations (fixed)</t>
  </si>
  <si>
    <t>Strict normalized EPS beats in six CapIQ pairs (b)</t>
  </si>
  <si>
    <t>Valid pairs (n; both consensus and actual numeric)</t>
  </si>
  <si>
    <t>Starting P(beat) = (8 x prior + b) / (8 + n)</t>
  </si>
  <si>
    <t>Average historical normalized surprise ($/share)</t>
  </si>
  <si>
    <t>Quarter-specific evidence adjustment to P(beat)</t>
  </si>
  <si>
    <t>Final P(beat consensus EPS)</t>
  </si>
  <si>
    <t>medium</t>
  </si>
  <si>
    <t>D. Market data for the quarter (sources on Sources tab)</t>
  </si>
  <si>
    <t>Mar-26</t>
  </si>
  <si>
    <t>Apr-26</t>
  </si>
  <si>
    <t>May-26</t>
  </si>
  <si>
    <t>Jun-26</t>
  </si>
  <si>
    <t>Jul-26</t>
  </si>
  <si>
    <t>Aug-26</t>
  </si>
  <si>
    <t>Sep-26</t>
  </si>
  <si>
    <t>S&amp;P 500 month-end close</t>
  </si>
  <si>
    <t>MSCI ACWI monthly total return (ACWI ETF proxy)</t>
  </si>
  <si>
    <t>MSCI ACWI index level (Mar-26 = 100)</t>
  </si>
  <si>
    <t>S&amp;P 500 average of 4 month-ends, Q2 (Mar-Jun) vs Q3 (Jun-Sep)</t>
  </si>
  <si>
    <t>S&amp;P 500 Q3 average vs Q2 average (%)</t>
  </si>
  <si>
    <t>ACWI Q3 average of month-ends vs Jun-26 level (%)</t>
  </si>
  <si>
    <t>ACWI Q3 total return (Jun-Sep, %)</t>
  </si>
  <si>
    <t>Bloomberg US Aggregate Q3-26 total return</t>
  </si>
  <si>
    <t>Bloomberg US Aggregate September-26 return</t>
  </si>
  <si>
    <t>Bitcoin Q3-26 price change</t>
  </si>
  <si>
    <t>Peer: Invesco average AUM Q2-26 (F) and Q3-26 (I), $ bn</t>
  </si>
  <si>
    <t>Peer: Franklin average AUM Q2-26 (F) and Q3-26 (I), $ tn</t>
  </si>
  <si>
    <t>Peer average AUM change Q3 vs Q2 (Invesco / Franklin)</t>
  </si>
  <si>
    <t>Assumed average BLK repurchase price in Q3-26 ($/share)</t>
  </si>
  <si>
    <t>Year-ago comparatives (reported; columns hold 3Q24A | 4Q24A | 1Q25A | 2Q25A | FY24A)</t>
  </si>
  <si>
    <t>3Q24A</t>
  </si>
  <si>
    <t>4Q24A</t>
  </si>
  <si>
    <t>1Q25A</t>
  </si>
  <si>
    <t>2Q25A</t>
  </si>
  <si>
    <t>FY24A</t>
  </si>
  <si>
    <t>Base fees &amp; SL - Equity active</t>
  </si>
  <si>
    <t>Base fees &amp; SL - Equity ETFs</t>
  </si>
  <si>
    <t>Base fees &amp; SL - Fixed income active</t>
  </si>
  <si>
    <t>Base fees &amp; SL - Fixed income ETFs</t>
  </si>
  <si>
    <t>Base fees &amp; SL - Active multi-asset</t>
  </si>
  <si>
    <t>Base fees &amp; SL - Private markets</t>
  </si>
  <si>
    <t>Base fees &amp; SL - Liquid alternatives</t>
  </si>
  <si>
    <t>Base fees &amp; SL - Non-ETF index</t>
  </si>
  <si>
    <t>Base fees &amp; SL - Digital assets, commodities &amp; MA ETFs</t>
  </si>
  <si>
    <t>Base fees &amp; SL - Cash management</t>
  </si>
  <si>
    <t>Securities lending revenue</t>
  </si>
  <si>
    <t>Performance fees - Equity</t>
  </si>
  <si>
    <t>Performance fees - Fixed income</t>
  </si>
  <si>
    <t>Performance fees - Multi-asset</t>
  </si>
  <si>
    <t>Performance fees - Private markets</t>
  </si>
  <si>
    <t>Performance fees - Liquid alternatives</t>
  </si>
  <si>
    <t>Advisory revenue</t>
  </si>
  <si>
    <t>Other revenue</t>
  </si>
  <si>
    <t>Total revenue (reported)</t>
  </si>
  <si>
    <t>Employee compensation and benefits</t>
  </si>
  <si>
    <t>Distribution and servicing costs</t>
  </si>
  <si>
    <t>Direct fund expense</t>
  </si>
  <si>
    <t>Sub-advisory and other</t>
  </si>
  <si>
    <t>General and administration expense</t>
  </si>
  <si>
    <t>Change in fair value of contingent consideration</t>
  </si>
  <si>
    <t>Restructuring charge</t>
  </si>
  <si>
    <t>Amortization of intangible assets</t>
  </si>
  <si>
    <t>Operating income (reported)</t>
  </si>
  <si>
    <t>Net gain (loss) on investments</t>
  </si>
  <si>
    <t>Interest and dividend income</t>
  </si>
  <si>
    <t>Interest expense</t>
  </si>
  <si>
    <t>Income tax expense</t>
  </si>
  <si>
    <t>Net income attributable to NCI - CIPs</t>
  </si>
  <si>
    <t>Net income attributable to NCI - Subco</t>
  </si>
  <si>
    <t>Net income attributable to BlackRock (reported)</t>
  </si>
  <si>
    <t>Operating income, as adjusted (reported)</t>
  </si>
  <si>
    <t>Net income, as adjusted (reported)</t>
  </si>
  <si>
    <t>Diluted EPS, GAAP (reported)</t>
  </si>
  <si>
    <t>Diluted EPS, as adjusted (reported)</t>
  </si>
  <si>
    <t>Diluted weighted-average shares incl. Subco Units (m)</t>
  </si>
  <si>
    <t>Basic weighted-average shares (m)</t>
  </si>
  <si>
    <t>Total AUM, end of period ($ bn)</t>
  </si>
  <si>
    <t>Equity AUM, end of period ($ bn)</t>
  </si>
  <si>
    <t>Fixed income AUM, end of period ($ bn)</t>
  </si>
  <si>
    <t>Multi-asset AUM, end of period ($ bn)</t>
  </si>
  <si>
    <t>Private markets AUM, end of period ($ bn)</t>
  </si>
  <si>
    <t>Liquid alternatives AUM, end of period ($ bn)</t>
  </si>
  <si>
    <t>Digital assets AUM, end of period ($ bn)</t>
  </si>
  <si>
    <t>Currency and commodities AUM, end of period ($ bn)</t>
  </si>
  <si>
    <t>Cash management AUM, end of period ($ bn)</t>
  </si>
  <si>
    <t>Average total AUM ($ bn)</t>
  </si>
  <si>
    <t>AUM - Retail ($ bn, end)</t>
  </si>
  <si>
    <t>AUM - ETFs ($ bn, end)</t>
  </si>
  <si>
    <t>AUM - Institutional active ($ bn, end)</t>
  </si>
  <si>
    <t>AUM - Institutional index ($ bn, end)</t>
  </si>
  <si>
    <t>AUM - Active equity ($ bn, end)</t>
  </si>
  <si>
    <t>AUM - Active fixed income ($ bn, end)</t>
  </si>
  <si>
    <t>AUM - Active multi-asset ($ bn, end)</t>
  </si>
  <si>
    <t>AUM - ETF equity ($ bn, end)</t>
  </si>
  <si>
    <t>AUM - ETF fixed income ($ bn, end)</t>
  </si>
  <si>
    <t>AUM - ETF multi-asset ($ bn, end)</t>
  </si>
  <si>
    <t>AUM - ETF commodities ($ bn, end)</t>
  </si>
  <si>
    <t>AUM - Non-ETF index ($ bn, end)</t>
  </si>
  <si>
    <t>AUM - PM infrastructure ($ bn, end)</t>
  </si>
  <si>
    <t>AUM - PM private equity ($ bn, end)</t>
  </si>
  <si>
    <t>AUM - PM private credit ($ bn, end)</t>
  </si>
  <si>
    <t>AUM - PM real estate ($ bn, end)</t>
  </si>
  <si>
    <t>AUM - PM multi-alternatives ($ bn, end)</t>
  </si>
  <si>
    <t>F. Cash flow statement, year-to-date as reported (columns hold 1H25 | 9M25 | FY25 | 3M26 | 1H26)</t>
  </si>
  <si>
    <t>1H25</t>
  </si>
  <si>
    <t>9M25</t>
  </si>
  <si>
    <t>FY25</t>
  </si>
  <si>
    <t>3M26</t>
  </si>
  <si>
    <t>1H26</t>
  </si>
  <si>
    <t>Depreciation and amortization</t>
  </si>
  <si>
    <t>Stock-based compensation</t>
  </si>
  <si>
    <t>Deferred income tax expense (benefit)</t>
  </si>
  <si>
    <t>Change in fair value of contingent consideration (9M25 label: 'Contingent consideration fair value adjustments')</t>
  </si>
  <si>
    <t>Net (purchases) proceeds within CIPs</t>
  </si>
  <si>
    <t>Net cash provided by/(used in) operating activities</t>
  </si>
  <si>
    <t>Purchases of investments</t>
  </si>
  <si>
    <t>Proceeds from sales and maturities of investments</t>
  </si>
  <si>
    <t>Acquisitions, net of cash acquired</t>
  </si>
  <si>
    <t>Distributions of capital from equity method investees</t>
  </si>
  <si>
    <t>Net consolidations (deconsolidations) of sponsored investment funds</t>
  </si>
  <si>
    <t>Purchases of property and equipment</t>
  </si>
  <si>
    <t>Net cash provided by/(used in) investing activities</t>
  </si>
  <si>
    <t>Repayments of long-term borrowings</t>
  </si>
  <si>
    <t>Proceeds from long-term borrowings</t>
  </si>
  <si>
    <t>Dividends/Subco distributions paid</t>
  </si>
  <si>
    <t>Proceeds from stock options exercised</t>
  </si>
  <si>
    <t>Shares/Subco Units repurchased</t>
  </si>
  <si>
    <t>Net proceeds from (repayments of) borrowings by CIPs</t>
  </si>
  <si>
    <t>Net subscriptions received/(redemptions/distributions paid) from noncontrolling interest holders</t>
  </si>
  <si>
    <t>Other financing activities</t>
  </si>
  <si>
    <t>Net cash provided by/(used in) financing activities</t>
  </si>
  <si>
    <t>Effect of exchange rate changes on cash, cash equivalents and restricted cash</t>
  </si>
  <si>
    <t>Net increase/(decrease) in cash, cash equivalents and restricted cash</t>
  </si>
  <si>
    <t>Cash, cash equivalents and restricted cash, beginning of period</t>
  </si>
  <si>
    <t>Cash, cash equivalents and restricted cash, end of period</t>
  </si>
  <si>
    <t>Interest and dividend income, 9M25 (10-Q)</t>
  </si>
  <si>
    <t>Interest expense, 9M25 (10-Q)</t>
  </si>
</sst>
</file>

<file path=xl/styles.xml><?xml version="1.0" encoding="utf-8"?>
<styleSheet xmlns="http://schemas.openxmlformats.org/spreadsheetml/2006/main">
  <numFmts count="12">
    <numFmt numFmtId="164" formatCode="#,##0.0_);(#,##0.0);&quot;–&quot;_)"/>
    <numFmt numFmtId="165" formatCode="yyyy-mm-dd"/>
    <numFmt numFmtId="166" formatCode="0"/>
    <numFmt numFmtId="167" formatCode="$0.00_);($0.00);&quot;–&quot;_)"/>
    <numFmt numFmtId="168" formatCode="0.0%_);(0.0%);&quot;–&quot;_)"/>
    <numFmt numFmtId="169" formatCode="General"/>
    <numFmt numFmtId="170" formatCode="$#,##0.00_);($#,##0.00);&quot;–&quot;_)"/>
    <numFmt numFmtId="171" formatCode="#,##0_);(#,##0);&quot;–&quot;_)"/>
    <numFmt numFmtId="172" formatCode="#,##0.00_);(#,##0.00);&quot;–&quot;_)"/>
    <numFmt numFmtId="173" formatCode="$0.000"/>
    <numFmt numFmtId="174" formatCode="#,##0.00"/>
    <numFmt numFmtId="175" formatCode="0.00&quot;x&quot;"/>
  </numFmts>
  <fonts count="31">
    <font>
      <sz val="11"/>
      <name val="Calibri"/>
    </font>
    <font>
      <b val="0"/>
      <i val="0"/>
      <strike val="0"/>
      <sz val="10"/>
      <color rgb="FF000000"/>
      <name val="Arial"/>
    </font>
    <font>
      <b/>
      <i val="0"/>
      <strike val="0"/>
      <sz val="10"/>
      <color rgb="FF000000"/>
      <name val="Arial"/>
    </font>
    <font>
      <b val="0"/>
      <i val="0"/>
      <strike val="0"/>
      <sz val="10"/>
      <color rgb="FF006100"/>
      <name val="Arial"/>
    </font>
    <font>
      <b/>
      <i/>
      <strike val="0"/>
      <sz val="10"/>
      <color rgb="FF006100"/>
      <name val="Arial"/>
    </font>
    <font>
      <b/>
      <i/>
      <strike val="0"/>
      <sz val="10"/>
      <color rgb="FF000000"/>
      <name val="Arial"/>
    </font>
    <font>
      <b val="0"/>
      <i/>
      <strike val="0"/>
      <sz val="10"/>
      <color rgb="FF000000"/>
      <name val="Arial"/>
    </font>
    <font>
      <b val="0"/>
      <i/>
      <strike val="0"/>
      <sz val="10"/>
      <color rgb="FF006100"/>
      <name val="Arial"/>
    </font>
    <font>
      <b val="0"/>
      <i val="0"/>
      <strike val="0"/>
      <sz val="10"/>
      <color rgb="FF0000FF"/>
      <name val="Arial"/>
    </font>
    <font>
      <b/>
      <i val="0"/>
      <strike val="0"/>
      <sz val="12"/>
      <color rgb="FF000000"/>
      <name val="Arial"/>
    </font>
    <font>
      <b/>
      <i val="0"/>
      <strike val="0"/>
      <sz val="14"/>
      <color rgb="FF000000"/>
      <name val="Arial"/>
    </font>
    <font>
      <b/>
      <i val="0"/>
      <strike val="0"/>
      <sz val="10"/>
      <color rgb="FF0000FF"/>
      <name val="Arial"/>
    </font>
    <font>
      <b/>
      <i val="0"/>
      <strike val="0"/>
      <u/>
      <sz val="10"/>
      <color rgb="FF000000"/>
      <name val="Arial"/>
    </font>
    <font>
      <b val="0"/>
      <i/>
      <strike val="0"/>
      <sz val="10"/>
      <color rgb="FF0000FF"/>
      <name val="Arial"/>
    </font>
    <font>
      <b/>
      <i val="0"/>
      <strike val="0"/>
      <sz val="10"/>
      <color rgb="FF006100"/>
      <name val="Arial"/>
    </font>
    <font>
      <b val="0"/>
      <i/>
      <strike val="0"/>
      <sz val="10"/>
      <color rgb="FF000000"/>
      <name val="Arial"/>
    </font>
    <font>
      <b val="0"/>
      <i val="0"/>
      <strike val="0"/>
      <sz val="10"/>
      <color rgb="FF000000"/>
      <name val="Arial"/>
    </font>
    <font>
      <b val="0"/>
      <i/>
      <strike val="0"/>
      <sz val="10"/>
      <color rgb="FF0000FF"/>
      <name val="Arial"/>
    </font>
    <font>
      <b/>
      <i val="0"/>
      <strike val="0"/>
      <sz val="10"/>
      <color rgb="FF000000"/>
      <name val="Arial"/>
    </font>
    <font>
      <b val="0"/>
      <i val="0"/>
      <strike val="0"/>
      <sz val="10"/>
      <color rgb="FF006100"/>
      <name val="Arial"/>
    </font>
    <font>
      <b val="0"/>
      <i/>
      <strike val="0"/>
      <sz val="10"/>
      <color rgb="FF006100"/>
      <name val="Arial"/>
    </font>
    <font>
      <b val="0"/>
      <i val="0"/>
      <strike val="0"/>
      <sz val="10"/>
      <color rgb="FF0000FF"/>
      <name val="Arial"/>
    </font>
    <font>
      <b val="0"/>
      <i val="0"/>
      <strike val="0"/>
      <sz val="11"/>
      <color rgb="FF000000"/>
      <name val="Calibri"/>
    </font>
    <font>
      <b val="0"/>
      <i/>
      <strike val="0"/>
      <sz val="10"/>
      <color rgb="FF000000"/>
      <name val="Arial"/>
    </font>
    <font>
      <b val="0"/>
      <i val="0"/>
      <strike val="0"/>
      <sz val="10"/>
      <color rgb="FF000000"/>
      <name val="Arial"/>
    </font>
    <font>
      <b/>
      <i val="0"/>
      <strike val="0"/>
      <sz val="10"/>
      <color rgb="FF000000"/>
      <name val="Arial"/>
    </font>
    <font>
      <b val="0"/>
      <i val="0"/>
      <strike val="0"/>
      <sz val="10"/>
      <color rgb="FF0000FF"/>
      <name val="Arial"/>
    </font>
    <font>
      <b val="0"/>
      <i val="0"/>
      <strike val="0"/>
      <sz val="10"/>
      <color rgb="FF006100"/>
      <name val="Arial"/>
    </font>
    <font>
      <b val="0"/>
      <i val="0"/>
      <strike val="0"/>
      <sz val="10"/>
      <color rgb="FF000000"/>
      <name val="Arial"/>
    </font>
    <font>
      <b/>
      <i val="0"/>
      <strike val="0"/>
      <sz val="10"/>
      <color rgb="FF000000"/>
      <name val="Arial"/>
    </font>
    <font>
      <b val="0"/>
      <i/>
      <strike val="0"/>
      <sz val="10"/>
      <color rgb="FF000000"/>
      <name val="Arial"/>
    </font>
  </fonts>
  <fills count="4">
    <fill>
      <patternFill patternType="none"/>
    </fill>
    <fill>
      <patternFill patternType="gray125"/>
    </fill>
    <fill>
      <patternFill patternType="solid">
        <fgColor rgb="FFF2F2F2"/>
      </patternFill>
    </fill>
    <fill>
      <patternFill patternType="solid">
        <fgColor rgb="FFFFF9E5"/>
      </patternFill>
    </fill>
  </fills>
  <borders count="5">
    <border>
      <left/>
      <right/>
      <top/>
      <bottom/>
      <diagonal/>
    </border>
    <border>
      <top style="thin">
        <color rgb="FF808080"/>
      </top>
      <bottom style="thin">
        <color rgb="FF808080"/>
      </bottom>
    </border>
    <border>
      <bottom style="thin">
        <color rgb="FF808080"/>
      </bottom>
    </border>
    <border>
      <top style="thin">
        <color rgb="FF808080"/>
      </top>
    </border>
    <border>
      <top style="thin">
        <color rgb="FF000000"/>
      </top>
    </border>
  </borders>
  <cellStyleXfs count="1">
    <xf numFmtId="0" fontId="0" fillId="0" borderId="0"/>
  </cellStyleXfs>
  <cellXfs count="116">
    <xf numFmtId="0" fontId="0" fillId="0" borderId="0" xfId="0"/>
    <xf numFmtId="0" fontId="1" fillId="0" borderId="0" xfId="0" applyFont="1" applyFill="1" applyAlignment="1" applyProtection="1">
      <alignment horizontal="left" vertical="bottom"/>
      <protection locked="1" hidden="0"/>
    </xf>
    <xf numFmtId="0" fontId="2" fillId="0" borderId="0" xfId="0" applyFont="1" applyFill="1" applyAlignment="1" applyProtection="1">
      <alignment horizontal="left" vertical="bottom"/>
      <protection locked="1" hidden="0"/>
    </xf>
    <xf numFmtId="0" fontId="2" fillId="2" borderId="1" xfId="0" applyFont="1" applyFill="1" applyBorder="1" applyAlignment="1" applyProtection="1">
      <alignment horizontal="right" vertical="bottom"/>
      <protection locked="1" hidden="0"/>
    </xf>
    <xf numFmtId="164" fontId="3" fillId="0" borderId="0" xfId="0" applyNumberFormat="1" applyFont="1" applyFill="1" applyAlignment="1" applyProtection="1">
      <alignment horizontal="right" vertical="bottom"/>
      <protection locked="1" hidden="0"/>
    </xf>
    <xf numFmtId="165" fontId="1" fillId="2" borderId="0" xfId="0" applyNumberFormat="1" applyFont="1" applyFill="1" applyAlignment="1" applyProtection="1">
      <alignment horizontal="right" vertical="bottom"/>
      <protection locked="1" hidden="0"/>
    </xf>
    <xf numFmtId="164" fontId="1" fillId="0" borderId="0" xfId="0" applyNumberFormat="1" applyFont="1" applyFill="1" applyAlignment="1" applyProtection="1">
      <alignment horizontal="right" vertical="bottom"/>
      <protection locked="1" hidden="0"/>
    </xf>
    <xf numFmtId="166" fontId="1" fillId="2" borderId="2" xfId="0" applyNumberFormat="1" applyFont="1" applyFill="1" applyBorder="1" applyAlignment="1" applyProtection="1">
      <alignment horizontal="right" vertical="bottom"/>
      <protection locked="1" hidden="0"/>
    </xf>
    <xf numFmtId="167" fontId="3" fillId="0" borderId="0" xfId="0" applyNumberFormat="1" applyFont="1" applyFill="1" applyAlignment="1" applyProtection="1">
      <alignment horizontal="right" vertical="bottom"/>
      <protection locked="1" hidden="0"/>
    </xf>
    <xf numFmtId="168" fontId="4" fillId="0" borderId="0" xfId="0" applyNumberFormat="1" applyFont="1" applyFill="1" applyAlignment="1" applyProtection="1">
      <alignment horizontal="right" vertical="bottom"/>
      <protection locked="1" hidden="0"/>
    </xf>
    <xf numFmtId="0" fontId="2" fillId="2" borderId="3" xfId="0" applyFont="1" applyFill="1" applyBorder="1" applyAlignment="1" applyProtection="1">
      <alignment horizontal="right" vertical="bottom"/>
      <protection locked="1" hidden="0"/>
    </xf>
    <xf numFmtId="167" fontId="1" fillId="0" borderId="0" xfId="0" applyNumberFormat="1" applyFont="1" applyFill="1" applyAlignment="1" applyProtection="1">
      <alignment horizontal="right" vertical="bottom"/>
      <protection locked="1" hidden="0"/>
    </xf>
    <xf numFmtId="0" fontId="5" fillId="0" borderId="0" xfId="0" applyFont="1" applyFill="1" applyAlignment="1" applyProtection="1">
      <alignment horizontal="left" vertical="bottom"/>
      <protection locked="1" hidden="0"/>
    </xf>
    <xf numFmtId="169" fontId="3" fillId="0" borderId="0" xfId="0" applyNumberFormat="1" applyFont="1" applyFill="1" applyAlignment="1" applyProtection="1">
      <alignment horizontal="right" vertical="bottom"/>
      <protection locked="1" hidden="0"/>
    </xf>
    <xf numFmtId="0" fontId="2" fillId="0" borderId="0" xfId="0" applyFont="1" applyFill="1" applyAlignment="1" applyProtection="1">
      <alignment horizontal="left" vertical="top" wrapText="1"/>
      <protection locked="1" hidden="0"/>
    </xf>
    <xf numFmtId="0" fontId="1" fillId="0" borderId="0" xfId="0" applyFont="1" applyFill="1" applyAlignment="1" applyProtection="1">
      <alignment horizontal="left" vertical="top" wrapText="1"/>
      <protection locked="1" hidden="0"/>
    </xf>
    <xf numFmtId="168" fontId="6" fillId="0" borderId="0" xfId="0" applyNumberFormat="1" applyFont="1" applyFill="1" applyAlignment="1" applyProtection="1">
      <alignment horizontal="right" vertical="bottom"/>
      <protection locked="1" hidden="0"/>
    </xf>
    <xf numFmtId="0" fontId="1" fillId="2" borderId="2" xfId="0" applyFont="1" applyFill="1" applyBorder="1" applyAlignment="1" applyProtection="1">
      <alignment horizontal="left" vertical="bottom"/>
      <protection locked="1" hidden="0"/>
    </xf>
    <xf numFmtId="0" fontId="3" fillId="0" borderId="0" xfId="0" applyFont="1" applyFill="1" applyAlignment="1" applyProtection="1">
      <alignment horizontal="left" vertical="bottom"/>
      <protection locked="1" hidden="0"/>
    </xf>
    <xf numFmtId="0" fontId="2" fillId="2" borderId="1" xfId="0" applyFont="1" applyFill="1" applyBorder="1" applyAlignment="1" applyProtection="1">
      <alignment horizontal="left" vertical="bottom"/>
      <protection locked="1" hidden="0"/>
    </xf>
    <xf numFmtId="0" fontId="1" fillId="2" borderId="0" xfId="0" applyFont="1" applyFill="1" applyAlignment="1" applyProtection="1">
      <alignment horizontal="left" vertical="bottom"/>
      <protection locked="1" hidden="0"/>
    </xf>
    <xf numFmtId="168" fontId="7" fillId="0" borderId="0" xfId="0" applyNumberFormat="1" applyFont="1" applyFill="1" applyAlignment="1" applyProtection="1">
      <alignment horizontal="right" vertical="bottom"/>
      <protection locked="1" hidden="0"/>
    </xf>
    <xf numFmtId="165" fontId="3" fillId="0" borderId="0" xfId="0" applyNumberFormat="1" applyFont="1" applyFill="1" applyAlignment="1" applyProtection="1">
      <alignment horizontal="left" vertical="bottom"/>
      <protection locked="1" hidden="0"/>
    </xf>
    <xf numFmtId="164" fontId="8" fillId="0" borderId="0" xfId="0" applyNumberFormat="1" applyFont="1" applyFill="1" applyAlignment="1" applyProtection="1">
      <alignment horizontal="right" vertical="bottom"/>
      <protection locked="1" hidden="0"/>
    </xf>
    <xf numFmtId="0" fontId="2" fillId="2" borderId="3" xfId="0" applyFont="1" applyFill="1" applyBorder="1" applyAlignment="1" applyProtection="1">
      <alignment horizontal="left" vertical="bottom"/>
      <protection locked="1" hidden="0"/>
    </xf>
    <xf numFmtId="0" fontId="6" fillId="0" borderId="0" xfId="0" applyFont="1" applyFill="1" applyAlignment="1" applyProtection="1">
      <alignment horizontal="left" vertical="bottom"/>
      <protection locked="1" hidden="0"/>
    </xf>
    <xf numFmtId="0" fontId="9" fillId="0" borderId="0" xfId="0" applyFont="1" applyFill="1" applyAlignment="1" applyProtection="1">
      <alignment horizontal="left" vertical="bottom"/>
      <protection locked="1" hidden="0"/>
    </xf>
    <xf numFmtId="0" fontId="10" fillId="0" borderId="0" xfId="0" applyFont="1" applyFill="1" applyAlignment="1" applyProtection="1">
      <alignment horizontal="left" vertical="bottom"/>
      <protection locked="1" hidden="0"/>
    </xf>
    <xf numFmtId="164" fontId="3" fillId="3" borderId="0" xfId="0" applyNumberFormat="1" applyFont="1" applyFill="1" applyAlignment="1" applyProtection="1">
      <alignment horizontal="right" vertical="bottom"/>
      <protection locked="1" hidden="0"/>
    </xf>
    <xf numFmtId="164" fontId="11" fillId="0" borderId="0" xfId="0" applyNumberFormat="1" applyFont="1" applyFill="1" applyAlignment="1" applyProtection="1">
      <alignment horizontal="right" vertical="bottom"/>
      <protection locked="1" hidden="0"/>
    </xf>
    <xf numFmtId="164" fontId="1" fillId="3" borderId="0" xfId="0" applyNumberFormat="1" applyFont="1" applyFill="1" applyAlignment="1" applyProtection="1">
      <alignment horizontal="right" vertical="bottom"/>
      <protection locked="1" hidden="0"/>
    </xf>
    <xf numFmtId="167" fontId="3" fillId="3" borderId="0" xfId="0" applyNumberFormat="1" applyFont="1" applyFill="1" applyAlignment="1" applyProtection="1">
      <alignment horizontal="right" vertical="bottom"/>
      <protection locked="1" hidden="0"/>
    </xf>
    <xf numFmtId="168" fontId="6" fillId="3" borderId="0" xfId="0" applyNumberFormat="1" applyFont="1" applyFill="1" applyAlignment="1" applyProtection="1">
      <alignment horizontal="right" vertical="bottom"/>
      <protection locked="1" hidden="0"/>
    </xf>
    <xf numFmtId="167" fontId="8" fillId="0" borderId="0" xfId="0" applyNumberFormat="1" applyFont="1" applyFill="1" applyAlignment="1" applyProtection="1">
      <alignment horizontal="right" vertical="bottom"/>
      <protection locked="1" hidden="0"/>
    </xf>
    <xf numFmtId="0" fontId="12" fillId="0" borderId="0" xfId="0" applyFont="1" applyFill="1" applyAlignment="1" applyProtection="1">
      <alignment horizontal="left" vertical="bottom"/>
      <protection locked="1" hidden="0"/>
    </xf>
    <xf numFmtId="164" fontId="8" fillId="3" borderId="0" xfId="0" applyNumberFormat="1" applyFont="1" applyFill="1" applyAlignment="1" applyProtection="1">
      <alignment horizontal="right" vertical="bottom"/>
      <protection locked="1" hidden="0"/>
    </xf>
    <xf numFmtId="170" fontId="1" fillId="3" borderId="0" xfId="0" applyNumberFormat="1" applyFont="1" applyFill="1" applyAlignment="1" applyProtection="1">
      <alignment horizontal="right" vertical="bottom"/>
      <protection locked="1" hidden="0"/>
    </xf>
    <xf numFmtId="171" fontId="6" fillId="3" borderId="0" xfId="0" applyNumberFormat="1" applyFont="1" applyFill="1" applyAlignment="1" applyProtection="1">
      <alignment horizontal="right" vertical="bottom"/>
      <protection locked="1" hidden="0"/>
    </xf>
    <xf numFmtId="170" fontId="1" fillId="0" borderId="0" xfId="0" applyNumberFormat="1" applyFont="1" applyFill="1" applyAlignment="1" applyProtection="1">
      <alignment horizontal="right" vertical="bottom"/>
      <protection locked="1" hidden="0"/>
    </xf>
    <xf numFmtId="0" fontId="1" fillId="3" borderId="0" xfId="0" applyFont="1" applyFill="1" applyAlignment="1" applyProtection="1">
      <alignment horizontal="general" vertical="bottom"/>
      <protection locked="1" hidden="0"/>
    </xf>
    <xf numFmtId="171" fontId="6" fillId="0" borderId="0" xfId="0" applyNumberFormat="1" applyFont="1" applyFill="1" applyAlignment="1" applyProtection="1">
      <alignment horizontal="right" vertical="bottom"/>
      <protection locked="1" hidden="0"/>
    </xf>
    <xf numFmtId="164" fontId="2" fillId="3" borderId="4" xfId="0" applyNumberFormat="1" applyFont="1" applyFill="1" applyBorder="1" applyAlignment="1" applyProtection="1">
      <alignment horizontal="right" vertical="bottom"/>
      <protection locked="1" hidden="0"/>
    </xf>
    <xf numFmtId="164" fontId="2" fillId="0" borderId="4" xfId="0" applyNumberFormat="1" applyFont="1" applyFill="1" applyBorder="1" applyAlignment="1" applyProtection="1">
      <alignment horizontal="right" vertical="bottom"/>
      <protection locked="1" hidden="0"/>
    </xf>
    <xf numFmtId="168" fontId="13" fillId="3" borderId="0" xfId="0" applyNumberFormat="1" applyFont="1" applyFill="1" applyAlignment="1" applyProtection="1">
      <alignment horizontal="right" vertical="bottom"/>
      <protection locked="1" hidden="0"/>
    </xf>
    <xf numFmtId="169" fontId="1" fillId="0" borderId="0" xfId="0" applyNumberFormat="1" applyFont="1" applyFill="1" applyAlignment="1" applyProtection="1">
      <alignment horizontal="right" vertical="bottom"/>
      <protection locked="1" hidden="0"/>
    </xf>
    <xf numFmtId="165" fontId="8" fillId="0" borderId="0" xfId="0" applyNumberFormat="1" applyFont="1" applyFill="1" applyAlignment="1" applyProtection="1">
      <alignment horizontal="right" vertical="bottom"/>
      <protection locked="1" hidden="0"/>
    </xf>
    <xf numFmtId="168" fontId="13" fillId="0" borderId="0" xfId="0" applyNumberFormat="1" applyFont="1" applyFill="1" applyAlignment="1" applyProtection="1">
      <alignment horizontal="right" vertical="bottom"/>
      <protection locked="1" hidden="0"/>
    </xf>
    <xf numFmtId="165" fontId="13" fillId="0" borderId="0" xfId="0" applyNumberFormat="1" applyFont="1" applyFill="1" applyAlignment="1" applyProtection="1">
      <alignment horizontal="right" vertical="bottom"/>
      <protection locked="1" hidden="0"/>
    </xf>
    <xf numFmtId="168" fontId="6" fillId="0" borderId="0" xfId="0" applyNumberFormat="1" applyFont="1" applyFill="1" applyAlignment="1" applyProtection="1">
      <alignment horizontal="left" vertical="bottom"/>
      <protection locked="1" hidden="0"/>
    </xf>
    <xf numFmtId="164" fontId="1" fillId="0" borderId="0" xfId="0" applyNumberFormat="1" applyFont="1" applyFill="1" applyAlignment="1" applyProtection="1">
      <alignment horizontal="left" vertical="bottom"/>
      <protection locked="1" hidden="0"/>
    </xf>
    <xf numFmtId="0" fontId="6" fillId="0" borderId="0" xfId="0" applyFont="1" applyFill="1" applyAlignment="1" applyProtection="1">
      <alignment horizontal="left" vertical="top" wrapText="1"/>
      <protection locked="1" hidden="0"/>
    </xf>
    <xf numFmtId="169" fontId="1" fillId="0" borderId="0" xfId="0" applyNumberFormat="1" applyFont="1" applyFill="1" applyAlignment="1" applyProtection="1">
      <alignment horizontal="left" vertical="bottom"/>
      <protection locked="1" hidden="0"/>
    </xf>
    <xf numFmtId="167" fontId="1" fillId="0" borderId="0" xfId="0" applyNumberFormat="1" applyFont="1" applyFill="1" applyAlignment="1" applyProtection="1">
      <alignment horizontal="left" vertical="bottom"/>
      <protection locked="1" hidden="0"/>
    </xf>
    <xf numFmtId="165" fontId="8" fillId="0" borderId="0" xfId="0" applyNumberFormat="1" applyFont="1" applyFill="1" applyAlignment="1" applyProtection="1">
      <alignment horizontal="left" vertical="bottom"/>
      <protection locked="1" hidden="0"/>
    </xf>
    <xf numFmtId="164" fontId="14" fillId="0" borderId="4" xfId="0" applyNumberFormat="1" applyFont="1" applyFill="1" applyBorder="1" applyAlignment="1" applyProtection="1">
      <alignment horizontal="right" vertical="bottom"/>
      <protection locked="1" hidden="0"/>
    </xf>
    <xf numFmtId="164" fontId="2" fillId="3" borderId="0" xfId="0" applyNumberFormat="1" applyFont="1" applyFill="1" applyAlignment="1" applyProtection="1">
      <alignment horizontal="right" vertical="bottom"/>
      <protection locked="1" hidden="0"/>
    </xf>
    <xf numFmtId="172" fontId="7" fillId="0" borderId="0" xfId="0" applyNumberFormat="1" applyFont="1" applyFill="1" applyAlignment="1" applyProtection="1">
      <alignment horizontal="right" vertical="bottom"/>
      <protection locked="1" hidden="0"/>
    </xf>
    <xf numFmtId="167" fontId="2" fillId="0" borderId="0" xfId="0" applyNumberFormat="1" applyFont="1" applyFill="1" applyAlignment="1" applyProtection="1">
      <alignment horizontal="right" vertical="bottom"/>
      <protection locked="1" hidden="0"/>
    </xf>
    <xf numFmtId="164" fontId="2" fillId="0" borderId="0" xfId="0" applyNumberFormat="1" applyFont="1" applyFill="1" applyAlignment="1" applyProtection="1">
      <alignment horizontal="right" vertical="bottom"/>
      <protection locked="1" hidden="0"/>
    </xf>
    <xf numFmtId="172" fontId="6" fillId="3" borderId="0" xfId="0" applyNumberFormat="1" applyFont="1" applyFill="1" applyAlignment="1" applyProtection="1">
      <alignment horizontal="right" vertical="bottom"/>
      <protection locked="1" hidden="0"/>
    </xf>
    <xf numFmtId="168" fontId="5" fillId="0" borderId="0" xfId="0" applyNumberFormat="1" applyFont="1" applyFill="1" applyAlignment="1" applyProtection="1">
      <alignment horizontal="right" vertical="bottom"/>
      <protection locked="1" hidden="0"/>
    </xf>
    <xf numFmtId="171" fontId="7" fillId="0" borderId="0" xfId="0" applyNumberFormat="1" applyFont="1" applyFill="1" applyAlignment="1" applyProtection="1">
      <alignment horizontal="right" vertical="bottom"/>
      <protection locked="1" hidden="0"/>
    </xf>
    <xf numFmtId="172" fontId="6" fillId="0" borderId="0" xfId="0" applyNumberFormat="1" applyFont="1" applyFill="1" applyAlignment="1" applyProtection="1">
      <alignment horizontal="right" vertical="bottom"/>
      <protection locked="1" hidden="0"/>
    </xf>
    <xf numFmtId="0" fontId="2" fillId="0" borderId="0" xfId="0" applyFont="1" applyFill="1" applyAlignment="1" applyProtection="1">
      <alignment horizontal="right" vertical="bottom"/>
      <protection locked="1" hidden="0"/>
    </xf>
    <xf numFmtId="172" fontId="13" fillId="3" borderId="0" xfId="0" applyNumberFormat="1" applyFont="1" applyFill="1" applyAlignment="1" applyProtection="1">
      <alignment horizontal="right" vertical="bottom"/>
      <protection locked="1" hidden="0"/>
    </xf>
    <xf numFmtId="0" fontId="6" fillId="0" borderId="0" xfId="0" applyFont="1" applyFill="1" applyAlignment="1" applyProtection="1">
      <alignment horizontal="right" vertical="bottom"/>
      <protection locked="1" hidden="0"/>
    </xf>
    <xf numFmtId="166" fontId="1" fillId="0" borderId="0" xfId="0" applyNumberFormat="1" applyFont="1" applyFill="1" applyAlignment="1" applyProtection="1">
      <alignment horizontal="right" vertical="bottom"/>
      <protection locked="1" hidden="0"/>
    </xf>
    <xf numFmtId="173" fontId="8" fillId="3" borderId="0" xfId="0" applyNumberFormat="1" applyFont="1" applyFill="1" applyAlignment="1" applyProtection="1">
      <alignment horizontal="right" vertical="bottom"/>
      <protection locked="1" hidden="0"/>
    </xf>
    <xf numFmtId="0" fontId="1" fillId="0" borderId="0" xfId="0" applyFont="1" applyFill="1" applyAlignment="1" applyProtection="1">
      <alignment horizontal="right" vertical="bottom"/>
      <protection locked="1" hidden="0"/>
    </xf>
    <xf numFmtId="174" fontId="8" fillId="0" borderId="0" xfId="0" applyNumberFormat="1" applyFont="1" applyFill="1" applyAlignment="1" applyProtection="1">
      <alignment horizontal="right" vertical="bottom"/>
      <protection locked="1" hidden="0"/>
    </xf>
    <xf numFmtId="168" fontId="7" fillId="3" borderId="0" xfId="0" applyNumberFormat="1" applyFont="1" applyFill="1" applyAlignment="1" applyProtection="1">
      <alignment horizontal="right" vertical="bottom"/>
      <protection locked="1" hidden="0"/>
    </xf>
    <xf numFmtId="167" fontId="1" fillId="3" borderId="0" xfId="0" applyNumberFormat="1" applyFont="1" applyFill="1" applyAlignment="1" applyProtection="1">
      <alignment horizontal="right" vertical="bottom"/>
      <protection locked="1" hidden="0"/>
    </xf>
    <xf numFmtId="167" fontId="2" fillId="3" borderId="0" xfId="0" applyNumberFormat="1" applyFont="1" applyFill="1" applyAlignment="1" applyProtection="1">
      <alignment horizontal="right" vertical="bottom"/>
      <protection locked="1" hidden="0"/>
    </xf>
    <xf numFmtId="166" fontId="8" fillId="0" borderId="0" xfId="0" applyNumberFormat="1" applyFont="1" applyFill="1" applyAlignment="1" applyProtection="1">
      <alignment horizontal="right" vertical="bottom"/>
      <protection locked="1" hidden="0"/>
    </xf>
    <xf numFmtId="168" fontId="5" fillId="3" borderId="0" xfId="0" applyNumberFormat="1" applyFont="1" applyFill="1" applyAlignment="1" applyProtection="1">
      <alignment horizontal="right" vertical="bottom"/>
      <protection locked="1" hidden="0"/>
    </xf>
    <xf numFmtId="175" fontId="8" fillId="3" borderId="0" xfId="0" applyNumberFormat="1" applyFont="1" applyFill="1" applyAlignment="1" applyProtection="1">
      <alignment horizontal="right" vertical="bottom"/>
      <protection locked="1" hidden="0"/>
    </xf>
    <xf numFmtId="168" fontId="15" fillId="0" borderId="0" xfId="0" applyNumberFormat="1" applyFont="1" applyFill="1" applyAlignment="1" applyProtection="1">
      <alignment horizontal="right" vertical="bottom" textRotation="0" indent="0" readingOrder="0"/>
      <protection locked="1" hidden="0"/>
    </xf>
    <xf numFmtId="169" fontId="16" fillId="0" borderId="0" xfId="0" applyNumberFormat="1" applyFont="1" applyFill="1" applyAlignment="1" applyProtection="1">
      <alignment horizontal="right" vertical="bottom" textRotation="0" indent="0" readingOrder="0"/>
      <protection locked="1" hidden="0"/>
    </xf>
    <xf numFmtId="169" fontId="15" fillId="0" borderId="0" xfId="0" applyNumberFormat="1" applyFont="1" applyFill="1" applyAlignment="1" applyProtection="1">
      <alignment horizontal="left" vertical="top" textRotation="0" wrapText="1" indent="0" readingOrder="0"/>
      <protection locked="1" hidden="0"/>
    </xf>
    <xf numFmtId="168" fontId="17" fillId="0" borderId="0" xfId="0" applyNumberFormat="1" applyFont="1" applyFill="1" applyAlignment="1" applyProtection="1">
      <alignment horizontal="right" vertical="bottom" textRotation="0" indent="0" readingOrder="0"/>
      <protection locked="1" hidden="0"/>
    </xf>
    <xf numFmtId="169" fontId="15" fillId="0" borderId="0" xfId="0" applyNumberFormat="1" applyFont="1" applyFill="1" applyAlignment="1" applyProtection="1">
      <alignment horizontal="left" vertical="bottom" textRotation="0" wrapText="1" indent="0" readingOrder="0"/>
      <protection locked="1" hidden="0"/>
    </xf>
    <xf numFmtId="164" fontId="16" fillId="0" borderId="0" xfId="0" applyNumberFormat="1" applyFont="1" applyFill="1" applyAlignment="1" applyProtection="1">
      <alignment horizontal="right" vertical="bottom" textRotation="0" indent="0" readingOrder="0"/>
      <protection locked="1" hidden="0"/>
    </xf>
    <xf numFmtId="169" fontId="16" fillId="0" borderId="0" xfId="0" applyNumberFormat="1" applyFont="1" applyFill="1" applyAlignment="1" applyProtection="1">
      <alignment horizontal="left" vertical="top" textRotation="0" wrapText="1" indent="0" readingOrder="0"/>
      <protection locked="1" hidden="0"/>
    </xf>
    <xf numFmtId="167" fontId="16" fillId="0" borderId="0" xfId="0" applyNumberFormat="1" applyFont="1" applyFill="1" applyAlignment="1" applyProtection="1">
      <alignment horizontal="right" vertical="bottom" textRotation="0" indent="0" readingOrder="0"/>
      <protection locked="1" hidden="0"/>
    </xf>
    <xf numFmtId="169" fontId="16" fillId="0" borderId="0" xfId="0" applyNumberFormat="1" applyFont="1" applyFill="1" applyAlignment="1" applyProtection="1">
      <alignment horizontal="left" vertical="bottom" textRotation="0" wrapText="1" indent="0" readingOrder="0"/>
      <protection locked="1" hidden="0"/>
    </xf>
    <xf numFmtId="169" fontId="18" fillId="2" borderId="1" xfId="0" applyNumberFormat="1" applyFont="1" applyFill="1" applyBorder="1" applyAlignment="1" applyProtection="1">
      <alignment horizontal="right" vertical="bottom" textRotation="0" indent="0" readingOrder="0"/>
      <protection locked="1" hidden="0"/>
    </xf>
    <xf numFmtId="169" fontId="16" fillId="0" borderId="0" xfId="0" applyNumberFormat="1" applyFont="1" applyFill="1" applyAlignment="1" applyProtection="1">
      <alignment horizontal="left" vertical="bottom" textRotation="0" indent="0" readingOrder="0"/>
      <protection locked="1" hidden="0"/>
    </xf>
    <xf numFmtId="164" fontId="19" fillId="0" borderId="0" xfId="0" applyNumberFormat="1" applyFont="1" applyFill="1" applyAlignment="1" applyProtection="1">
      <alignment horizontal="right" vertical="bottom" textRotation="0" indent="0" readingOrder="0"/>
      <protection locked="1" hidden="0"/>
    </xf>
    <xf numFmtId="169" fontId="15" fillId="0" borderId="0" xfId="0" applyNumberFormat="1" applyFont="1" applyFill="1" applyAlignment="1" applyProtection="1">
      <alignment horizontal="left" vertical="bottom" textRotation="0" indent="0" readingOrder="0"/>
      <protection locked="1" hidden="0"/>
    </xf>
    <xf numFmtId="169" fontId="18" fillId="2" borderId="1" xfId="0" applyNumberFormat="1" applyFont="1" applyFill="1" applyBorder="1" applyAlignment="1" applyProtection="1">
      <alignment horizontal="left" vertical="bottom" textRotation="0" indent="0" readingOrder="0"/>
      <protection locked="1" hidden="0"/>
    </xf>
    <xf numFmtId="167" fontId="19" fillId="0" borderId="0" xfId="0" applyNumberFormat="1" applyFont="1" applyFill="1" applyAlignment="1" applyProtection="1">
      <alignment horizontal="right" vertical="bottom" textRotation="0" indent="0" readingOrder="0"/>
      <protection locked="1" hidden="0"/>
    </xf>
    <xf numFmtId="169" fontId="18" fillId="0" borderId="0" xfId="0" applyNumberFormat="1" applyFont="1" applyFill="1" applyAlignment="1" applyProtection="1">
      <alignment horizontal="left" vertical="bottom" textRotation="0" indent="0" readingOrder="0"/>
      <protection locked="1" hidden="0"/>
    </xf>
    <xf numFmtId="168" fontId="20" fillId="0" borderId="0" xfId="0" applyNumberFormat="1" applyFont="1" applyFill="1" applyAlignment="1" applyProtection="1">
      <alignment horizontal="right" vertical="bottom" textRotation="0" indent="0" readingOrder="0"/>
      <protection locked="1" hidden="0"/>
    </xf>
    <xf numFmtId="165" fontId="21" fillId="0" borderId="0" xfId="0" applyNumberFormat="1" applyFont="1" applyFill="1" applyAlignment="1" applyProtection="1">
      <alignment horizontal="left" vertical="top" textRotation="0" indent="0" readingOrder="0"/>
      <protection locked="1" hidden="0"/>
    </xf>
    <xf numFmtId="169" fontId="16" fillId="0" borderId="0" xfId="0" applyNumberFormat="1" applyFont="1" applyFill="1" applyAlignment="1" applyProtection="1">
      <alignment horizontal="left" vertical="top" textRotation="0" indent="0" readingOrder="0"/>
      <protection locked="1" hidden="0"/>
    </xf>
    <xf numFmtId="169" fontId="16" fillId="3" borderId="0" xfId="0" applyNumberFormat="1" applyFont="1" applyFill="1" applyAlignment="1" applyProtection="1">
      <alignment horizontal="general" vertical="bottom" textRotation="0" indent="0" readingOrder="0"/>
      <protection locked="1" hidden="0"/>
    </xf>
    <xf numFmtId="164" fontId="19" fillId="3" borderId="0" xfId="0" applyNumberFormat="1" applyFont="1" applyFill="1" applyAlignment="1" applyProtection="1">
      <alignment horizontal="right" vertical="bottom" textRotation="0" indent="0" readingOrder="0"/>
      <protection locked="1" hidden="0"/>
    </xf>
    <xf numFmtId="0" fontId="22" fillId="0" borderId="0" xfId="0" applyFont="1" applyFill="1" applyAlignment="1" applyProtection="1">
      <alignment horizontal="general" vertical="bottom"/>
      <protection locked="1" hidden="0"/>
    </xf>
    <xf numFmtId="169" fontId="18" fillId="0" borderId="0" xfId="0" applyNumberFormat="1" applyFont="1" applyFill="1" applyAlignment="1" applyProtection="1">
      <alignment horizontal="right" vertical="bottom" textRotation="0" wrapText="1" indent="0" readingOrder="0"/>
      <protection locked="1" hidden="0"/>
    </xf>
    <xf numFmtId="169" fontId="23" fillId="0" borderId="0" xfId="0" applyNumberFormat="1" applyFont="1" applyFill="1" applyAlignment="1" applyProtection="1">
      <alignment horizontal="left" vertical="bottom" textRotation="0" wrapText="1" indent="0" readingOrder="0"/>
      <protection locked="1" hidden="0"/>
    </xf>
    <xf numFmtId="169" fontId="24" fillId="0" borderId="0" xfId="0" applyNumberFormat="1" applyFont="1" applyFill="1" applyAlignment="1" applyProtection="1">
      <alignment horizontal="left" vertical="bottom" textRotation="0" wrapText="1" indent="0" readingOrder="0"/>
      <protection locked="1" hidden="0"/>
    </xf>
    <xf numFmtId="169" fontId="25" fillId="0" borderId="0" xfId="0" applyNumberFormat="1" applyFont="1" applyFill="1" applyAlignment="1" applyProtection="1">
      <alignment horizontal="left" vertical="bottom" textRotation="0" wrapText="1" indent="0" readingOrder="0"/>
      <protection locked="1" hidden="0"/>
    </xf>
    <xf numFmtId="165" fontId="26" fillId="0" borderId="0" xfId="0" applyNumberFormat="1" applyFont="1" applyFill="1" applyAlignment="1" applyProtection="1">
      <alignment horizontal="right" vertical="top" textRotation="0" indent="0" readingOrder="0"/>
      <protection locked="1" hidden="0"/>
    </xf>
    <xf numFmtId="169" fontId="25" fillId="2" borderId="1" xfId="0" applyNumberFormat="1" applyFont="1" applyFill="1" applyBorder="1" applyAlignment="1" applyProtection="1">
      <alignment horizontal="right" vertical="bottom" textRotation="0" indent="0" readingOrder="0"/>
      <protection locked="1" hidden="0"/>
    </xf>
    <xf numFmtId="171" fontId="26" fillId="0" borderId="0" xfId="0" applyNumberFormat="1" applyFont="1" applyFill="1" applyAlignment="1" applyProtection="1">
      <alignment horizontal="right" vertical="bottom" textRotation="0" indent="0" readingOrder="0"/>
      <protection locked="1" hidden="0"/>
    </xf>
    <xf numFmtId="165" fontId="26" fillId="0" borderId="0" xfId="0" applyNumberFormat="1" applyFont="1" applyFill="1" applyAlignment="1" applyProtection="1">
      <alignment horizontal="right" vertical="bottom" textRotation="0" indent="0" readingOrder="0"/>
      <protection locked="1" hidden="0"/>
    </xf>
    <xf numFmtId="169" fontId="25" fillId="0" borderId="0" xfId="0" applyNumberFormat="1" applyFont="1" applyFill="1" applyAlignment="1" applyProtection="1">
      <alignment horizontal="right" vertical="bottom" textRotation="0" indent="0" readingOrder="0"/>
      <protection locked="1" hidden="0"/>
    </xf>
    <xf numFmtId="164" fontId="27" fillId="0" borderId="0" xfId="0" applyNumberFormat="1" applyFont="1" applyFill="1" applyAlignment="1" applyProtection="1">
      <alignment horizontal="right" vertical="bottom" textRotation="0" indent="0" readingOrder="0"/>
      <protection locked="1" hidden="0"/>
    </xf>
    <xf numFmtId="169" fontId="28" fillId="0" borderId="0" xfId="0" applyNumberFormat="1" applyFont="1" applyFill="1" applyAlignment="1" applyProtection="1">
      <alignment horizontal="left" vertical="bottom" textRotation="0" wrapText="1" indent="0" readingOrder="0"/>
      <protection locked="1" hidden="0"/>
    </xf>
    <xf numFmtId="164" fontId="27" fillId="0" borderId="0" xfId="0" applyNumberFormat="1" applyFont="1" applyFill="1" applyAlignment="1" applyProtection="1">
      <alignment horizontal="right" vertical="bottom"/>
      <protection locked="1" hidden="0"/>
    </xf>
    <xf numFmtId="0" fontId="29" fillId="0" borderId="0" xfId="0" applyFont="1" applyFill="1" applyAlignment="1" applyProtection="1">
      <alignment horizontal="left" vertical="bottom" wrapText="1"/>
      <protection locked="1" hidden="0"/>
    </xf>
    <xf numFmtId="0" fontId="30" fillId="0" borderId="0" xfId="0" applyFont="1" applyFill="1" applyAlignment="1" applyProtection="1">
      <alignment horizontal="general" vertical="bottom"/>
      <protection locked="1" hidden="0"/>
    </xf>
    <xf numFmtId="169" fontId="29" fillId="0" borderId="0" xfId="0" applyNumberFormat="1" applyFont="1" applyFill="1" applyAlignment="1" applyProtection="1">
      <alignment horizontal="left" vertical="bottom" textRotation="0" wrapText="1" indent="0" readingOrder="0"/>
      <protection locked="1" hidden="0"/>
    </xf>
    <xf numFmtId="164" fontId="28" fillId="0" borderId="0" xfId="0" applyNumberFormat="1" applyFont="1" applyFill="1" applyAlignment="1" applyProtection="1">
      <alignment horizontal="right" vertical="bottom" textRotation="0" indent="0" readingOrder="0"/>
      <protection locked="1" hidden="0"/>
    </xf>
    <xf numFmtId="0" fontId="28" fillId="0" borderId="0" xfId="0" applyFont="1" applyFill="1" applyAlignment="1" applyProtection="1">
      <alignment horizontal="general" vertical="bottom"/>
      <protection locked="1" hidden="0"/>
    </xf>
    <xf numFmtId="169" fontId="30" fillId="0" borderId="0" xfId="0" applyNumberFormat="1" applyFont="1" applyFill="1" applyAlignment="1" applyProtection="1">
      <alignment horizontal="left" vertical="bottom" textRotation="0" wrapText="1" indent="0" readingOrder="0"/>
      <protection locked="1" hidden="0"/>
    </xf>
  </cellXfs>
  <cellStyles count="1">
    <cellStyle name="Normal"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theme" Target="theme/theme1.xml"/><Relationship Id="rId1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dr:oneCellAnchor>
    <xdr:from>
      <xdr:col>0</xdr:col>
      <xdr:colOff>19050</xdr:colOff>
      <xdr:row>0</xdr:row>
      <xdr:rowOff>19050</xdr:rowOff>
    </xdr:from>
    <xdr:ext cx="571500" cy="571500"/>
    <xdr:pic>
      <xdr:nvPicPr>
        <xdr:cNvPr id="2" name="Shortcut logo"/>
        <xdr:cNvPicPr>
          <a:picLocks noChangeAspect="1"/>
        </xdr:cNvPicPr>
      </xdr:nvPicPr>
      <xdr:blipFill>
        <a:blip r:embed="rId1"/>
      </xdr:blipFill>
      <xdr:spPr>
        <a:xfrm>
          <a:off x="0" y="0"/>
          <a:ext cx="571500" cy="571500"/>
        </a:xfrm>
        <a:prstGeom prst="rect">
          <a:avLst/>
        </a:prstGeom>
      </xdr:spPr>
    </xdr:pic>
    <xdr:clientData/>
  </xdr:oneCellAnchor>
</xdr:wsDr>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Malgun Gothic"/>
        <a:font script="Hans" typeface="DengXian Light"/>
        <a:font script="Hant" typeface="Microsoft JhengHei Light"/>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majorFont>
      <a:minorFont>
        <a:latin typeface="Calibri" panose="020F0502020204030204"/>
        <a:ea typeface=""/>
        <a:cs typeface=""/>
        <a:font script="Jpan" typeface="Yu Gothic"/>
        <a:font script="Hang" typeface="Malgun Gothic"/>
        <a:font script="Hans" typeface="DengXian"/>
        <a:font script="Hant" typeface="Microsoft JhengHei"/>
        <a:font script="Arab" typeface="Arial"/>
        <a:font script="Hebr" typeface="Arial"/>
        <a:font script="Thai" typeface="Cordia New"/>
        <a:font script="Ethi" typeface="Nyala"/>
        <a:font script="Beng" typeface="Vrinda"/>
        <a:font script="Gujr" typeface="Shruti"/>
        <a:font script="Khmr" typeface="DaunPenh"/>
        <a:font script="Knda" typeface="Tunga"/>
      </a:minorFont>
    </a:fontScheme>
    <a:fmtScheme name="Office">
      <a:fillStyleLst>
        <a:solidFill>
          <a:schemeClr val="phClr"/>
        </a:solidFill>
        <a:solidFill>
          <a:schemeClr val="phClr"/>
        </a:solidFill>
        <a:solidFill>
          <a:schemeClr val="phClr"/>
        </a:solidFill>
      </a:fillStyleLst>
      <a:lnStyleLst>
        <a:ln w="6350">
          <a:solidFill>
            <a:schemeClr val="phClr"/>
          </a:solidFill>
        </a:ln>
        <a:ln w="12700">
          <a:solidFill>
            <a:schemeClr val="phClr"/>
          </a:solidFill>
        </a:ln>
        <a:ln w="19050">
          <a:solidFill>
            <a:schemeClr val="phClr"/>
          </a:solidFill>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2" Type="http://schemas.openxmlformats.org/officeDocument/2006/relationships/comments" Target="../comments1.xml"/><Relationship Id="rId3"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1" Type="http://schemas.openxmlformats.org/officeDocument/2006/relationships/comments" Target="../comments4.xml"/><Relationship Id="rId2" Type="http://schemas.openxmlformats.org/officeDocument/2006/relationships/vmlDrawing" Target="../drawings/vmlDrawing4.vml"/></Relationships>
</file>

<file path=xl/worksheets/_rels/sheet5.xml.rels><?xml version="1.0" encoding="UTF-8" standalone="yes"?>
<Relationships xmlns="http://schemas.openxmlformats.org/package/2006/relationships"><Relationship Id="rId1" Type="http://schemas.openxmlformats.org/officeDocument/2006/relationships/comments" Target="../comments5.xml"/><Relationship Id="rId2" Type="http://schemas.openxmlformats.org/officeDocument/2006/relationships/vmlDrawing" Target="../drawings/vmlDrawing5.vml"/></Relationships>
</file>

<file path=xl/worksheets/_rels/sheet6.xml.rels><?xml version="1.0" encoding="UTF-8" standalone="yes"?>
<Relationships xmlns="http://schemas.openxmlformats.org/package/2006/relationships"><Relationship Id="rId1" Type="http://schemas.openxmlformats.org/officeDocument/2006/relationships/comments" Target="../comments6.xml"/><Relationship Id="rId2" Type="http://schemas.openxmlformats.org/officeDocument/2006/relationships/vmlDrawing" Target="../drawings/vmlDrawing6.vml"/></Relationships>
</file>

<file path=xl/worksheets/_rels/sheet7.xml.rels><?xml version="1.0" encoding="UTF-8" standalone="yes"?>
<Relationships xmlns="http://schemas.openxmlformats.org/package/2006/relationships"><Relationship Id="rId1" Type="http://schemas.openxmlformats.org/officeDocument/2006/relationships/comments" Target="../comments7.xml"/><Relationship Id="rId2" Type="http://schemas.openxmlformats.org/officeDocument/2006/relationships/vmlDrawing" Target="../drawings/vmlDrawing7.vml"/></Relationships>
</file>

<file path=xl/worksheets/_rels/sheet8.xml.rels><?xml version="1.0" encoding="UTF-8" standalone="yes"?>
<Relationships xmlns="http://schemas.openxmlformats.org/package/2006/relationships"><Relationship Id="rId1" Type="http://schemas.openxmlformats.org/officeDocument/2006/relationships/comments" Target="../comments9.xml"/><Relationship Id="rId2" Type="http://schemas.openxmlformats.org/officeDocument/2006/relationships/vmlDrawing" Target="../drawings/vmlDrawing9.vml"/></Relationships>
</file>

<file path=xl/worksheets/_rels/sheet9.xml.rels><?xml version="1.0" encoding="UTF-8" standalone="yes"?>
<Relationships xmlns="http://schemas.openxmlformats.org/package/2006/relationships"><Relationship Id="rId1" Type="http://schemas.openxmlformats.org/officeDocument/2006/relationships/comments" Target="../comments8.xml"/><Relationship Id="rId2" Type="http://schemas.openxmlformats.org/officeDocument/2006/relationships/vmlDrawing" Target="../drawings/vmlDrawing8.vml"/></Relationships>
</file>

<file path=xl/worksheets/sheet1.xml><?xml version="1.0" encoding="utf-8"?>
<worksheet xmlns="http://schemas.openxmlformats.org/spreadsheetml/2006/main" xmlns:r="http://schemas.openxmlformats.org/officeDocument/2006/relationships">
  <dimension ref="B1:H57"/>
  <sheetViews>
    <sheetView showGridLines="0" tabSelected="1" workbookViewId="0"/>
  </sheetViews>
  <sheetFormatPr defaultRowHeight="15"/>
  <cols>
    <col min="1" max="1" width="10" customWidth="1"/>
    <col min="2" max="2" width="32" customWidth="1"/>
    <col min="3" max="8" width="12" customWidth="1"/>
  </cols>
  <sheetData>
    <row r="1">
      <c r="B1" s="26" t="s">
        <v>0</v>
      </c>
    </row>
    <row r="2">
      <c r="B2" s="2" t="s">
        <v>1</v>
      </c>
    </row>
    <row r="3">
      <c r="B3" s="25" t="s">
        <v>2</v>
      </c>
    </row>
    <row r="5">
      <c r="B5" s="24" t="s">
        <v>3</v>
      </c>
      <c r="C5" s="10" t="s">
        <v>4</v>
      </c>
      <c r="D5" s="10" t="s">
        <v>5</v>
      </c>
      <c r="E5" s="10" t="s">
        <v>6</v>
      </c>
      <c r="F5" s="10" t="s">
        <v>7</v>
      </c>
      <c r="G5" s="10" t="s">
        <v>8</v>
      </c>
      <c r="H5" s="10" t="s">
        <v>9</v>
      </c>
    </row>
    <row r="6">
      <c r="B6" s="20" t="s">
        <v>10</v>
      </c>
      <c r="C6" s="5">
        <v>45930</v>
      </c>
      <c r="D6" s="5">
        <v>46022</v>
      </c>
      <c r="E6" s="5">
        <v>46112</v>
      </c>
      <c r="F6" s="5">
        <v>46203</v>
      </c>
      <c r="G6" s="5">
        <v>46022</v>
      </c>
      <c r="H6" s="5">
        <v>46295</v>
      </c>
    </row>
    <row r="7">
      <c r="B7" s="17" t="s">
        <v>11</v>
      </c>
      <c r="C7" s="7">
        <f>C6-EOMONTH(C6,-3)</f>
        <v>92</v>
      </c>
      <c r="D7" s="7">
        <f>D6-EOMONTH(D6,-3)</f>
        <v>92</v>
      </c>
      <c r="E7" s="7">
        <f>E6-EOMONTH(E6,-3)</f>
        <v>90</v>
      </c>
      <c r="F7" s="7">
        <f>F6-EOMONTH(F6,-3)</f>
        <v>91</v>
      </c>
      <c r="G7" s="7">
        <f>G6-EOMONTH(G6,-12)</f>
        <v>365</v>
      </c>
      <c r="H7" s="7">
        <f>H6-EOMONTH(H6,-3)</f>
        <v>92</v>
      </c>
    </row>
    <row r="9">
      <c r="B9" s="27" t="s">
        <v>12</v>
      </c>
    </row>
    <row r="10">
      <c r="B10" s="25" t="s">
        <v>13</v>
      </c>
    </row>
    <row r="12">
      <c r="B12" s="1" t="s">
        <v>14</v>
      </c>
      <c r="C12" s="1" t="s">
        <v>15</v>
      </c>
    </row>
    <row r="13">
      <c r="B13" s="1" t="s">
        <v>16</v>
      </c>
      <c r="C13" s="18" t="str">
        <f>Inputs!C13</f>
        <v>NYSE:BLK</v>
      </c>
    </row>
    <row r="14">
      <c r="B14" s="1" t="s">
        <v>17</v>
      </c>
      <c r="C14" s="18" t="str">
        <f>Inputs!C20</f>
        <v>Dec-31</v>
      </c>
    </row>
    <row r="15">
      <c r="B15" s="1" t="s">
        <v>18</v>
      </c>
      <c r="C15" s="1" t="s">
        <v>19</v>
      </c>
    </row>
    <row r="16">
      <c r="B16" s="1" t="s">
        <v>20</v>
      </c>
      <c r="C16" s="1" t="s">
        <v>21</v>
      </c>
    </row>
    <row r="17">
      <c r="B17" s="1" t="s">
        <v>22</v>
      </c>
      <c r="C17" s="1" t="s">
        <v>23</v>
      </c>
    </row>
    <row r="18">
      <c r="B18" s="1" t="s">
        <v>24</v>
      </c>
      <c r="C18" s="1" t="s">
        <v>25</v>
      </c>
    </row>
    <row r="19">
      <c r="B19" s="1" t="s">
        <v>26</v>
      </c>
      <c r="C19" s="1" t="s">
        <v>27</v>
      </c>
    </row>
    <row r="20">
      <c r="B20" s="1" t="s">
        <v>28</v>
      </c>
      <c r="C20" s="22">
        <f>Inputs!C79</f>
        <v>46306</v>
      </c>
    </row>
    <row r="22">
      <c r="B22" s="19" t="s">
        <v>29</v>
      </c>
      <c r="C22" s="3" t="s">
        <v>30</v>
      </c>
      <c r="D22" s="3" t="s">
        <v>31</v>
      </c>
      <c r="E22" s="3" t="s">
        <v>32</v>
      </c>
      <c r="F22" s="3" t="s">
        <v>33</v>
      </c>
      <c r="G22" s="3" t="s">
        <v>34</v>
      </c>
      <c r="H22" s="3" t="s">
        <v>35</v>
      </c>
    </row>
    <row r="23">
      <c r="B23" s="1" t="s">
        <v>36</v>
      </c>
      <c r="C23" s="4">
        <f>'Income Statement'!H17</f>
        <v>7545.065922390057</v>
      </c>
      <c r="D23" s="4">
        <f>Inputs!H93</f>
        <v>7518.5</v>
      </c>
      <c r="E23" s="6">
        <f>C23-D23</f>
        <v>26.565922390056585</v>
      </c>
      <c r="F23" s="16">
        <f>E23/D23</f>
        <v>0.0035334072474638004</v>
      </c>
      <c r="G23" s="4" t="str">
        <f>Guidance!G10</f>
        <v>n/a</v>
      </c>
      <c r="H23" s="6" t="s">
        <v>37</v>
      </c>
    </row>
    <row r="24" ht="27">
      <c r="B24" s="108" t="s">
        <v>38</v>
      </c>
      <c r="C24" s="4">
        <f>'Income Statement'!H173</f>
        <v>2408.8233761013835</v>
      </c>
      <c r="D24" s="4">
        <f>Inputs!H96</f>
        <v>2379.39</v>
      </c>
      <c r="E24" s="6" t="s">
        <v>39</v>
      </c>
      <c r="F24" s="16" t="s">
        <v>39</v>
      </c>
      <c r="G24" s="4" t="str">
        <f>Guidance!G10</f>
        <v>n/a</v>
      </c>
      <c r="H24" s="6" t="s">
        <v>37</v>
      </c>
    </row>
    <row r="25" ht="27">
      <c r="B25" s="100" t="s">
        <v>40</v>
      </c>
      <c r="C25" s="4">
        <f>'Income Statement'!H109</f>
        <v>2026.4103707581232</v>
      </c>
      <c r="D25" s="4">
        <f>Inputs!H97</f>
        <v>2305.4</v>
      </c>
      <c r="E25" s="6" t="s">
        <v>39</v>
      </c>
      <c r="F25" s="16" t="s">
        <v>39</v>
      </c>
      <c r="G25" s="4" t="str">
        <f>Guidance!G10</f>
        <v>n/a</v>
      </c>
      <c r="H25" s="6" t="s">
        <v>37</v>
      </c>
    </row>
    <row r="26" ht="27">
      <c r="B26" s="100" t="s">
        <v>41</v>
      </c>
      <c r="C26" s="8">
        <f>'Income Statement'!H179</f>
        <v>14.670900004984235</v>
      </c>
      <c r="D26" s="8">
        <f>Inputs!H92</f>
        <v>14.31</v>
      </c>
      <c r="E26" s="11">
        <f>C26-D26</f>
        <v>0.36090000498423436</v>
      </c>
      <c r="F26" s="16">
        <f>E26/D26</f>
        <v>0.025220126134467807</v>
      </c>
      <c r="G26" s="8" t="str">
        <f>Guidance!G10</f>
        <v>n/a</v>
      </c>
      <c r="H26" s="11" t="s">
        <v>37</v>
      </c>
    </row>
    <row r="27">
      <c r="B27" s="1" t="s">
        <v>42</v>
      </c>
      <c r="C27" s="8">
        <f>'Income Statement'!H123</f>
        <v>12.948815680510833</v>
      </c>
      <c r="D27" s="8">
        <f>Inputs!H95</f>
        <v>13.85</v>
      </c>
      <c r="E27" s="11">
        <f>C27-D27</f>
        <v>-0.9011843194891664</v>
      </c>
      <c r="F27" s="16">
        <f>E27/D27</f>
        <v>-0.06506745989091454</v>
      </c>
      <c r="G27" s="8" t="str">
        <f>Guidance!G10</f>
        <v>n/a</v>
      </c>
      <c r="H27" s="11" t="s">
        <v>37</v>
      </c>
    </row>
    <row r="28" ht="27">
      <c r="B28" s="101" t="s">
        <v>43</v>
      </c>
      <c r="C28" s="107" t="str">
        <f>IF(ISERROR(SUM('Revenue summary'!C219:G219,'Revenue summary'!C793:G793,'Revenue summary'!C621:G621,'Revenue summary'!C623:G623,'Income Statement'!C71:G71,'Income Statement'!C113:G113,'Income Statement'!C60:G60,'Income Statement'!C143:G143,'Income Statement'!C153:G153,'Income Statement'!C177:G177,'Income Statement'!C127:G127,'Income Statement'!C183:G183,'Balance Sheet'!C51:G51,'Balance Sheet'!C52:G52,'Cash Flow Statement'!C48:G48,'Cash Flow Statement'!D53,'Cash Flow Statement'!F53:G53,'Cash Flow Statement'!D54:F54)),"FAIL",IF(ROUND(SUMIF('Revenue summary'!C219:G219,"&gt;0")-SUMIF('Revenue summary'!C219:G219,"&lt;0")+SUMIF('Revenue summary'!C793:G793,"&gt;0")-SUMIF('Revenue summary'!C793:G793,"&lt;0")+SUMIF('Revenue summary'!C621:G621,"&gt;0")-SUMIF('Revenue summary'!C621:G621,"&lt;0")+SUMIF('Revenue summary'!C623:G623,"&gt;0")-SUMIF('Revenue summary'!C623:G623,"&lt;0")+SUMIF('Income Statement'!C71:G71,"&gt;0")-SUMIF('Income Statement'!C71:G71,"&lt;0")+SUMIF('Income Statement'!C113:G113,"&gt;0")-SUMIF('Income Statement'!C113:G113,"&lt;0")+SUMIF('Income Statement'!C60:G60,"&gt;0")-SUMIF('Income Statement'!C60:G60,"&lt;0")+SUMIF('Income Statement'!C143:G143,"&gt;0")-SUMIF('Income Statement'!C143:G143,"&lt;0")+SUMIF('Income Statement'!C153:G153,"&gt;0")-SUMIF('Income Statement'!C153:G153,"&lt;0")+SUMIF('Income Statement'!C177:G177,"&gt;0")-SUMIF('Income Statement'!C177:G177,"&lt;0")+SUMIF('Income Statement'!C127:G127,"&gt;0")-SUMIF('Income Statement'!C127:G127,"&lt;0")+SUMIF('Income Statement'!C183:G183,"&gt;0")-SUMIF('Income Statement'!C183:G183,"&lt;0")+SUMIF('Balance Sheet'!C51:G51,"&gt;0")-SUMIF('Balance Sheet'!C51:G51,"&lt;0")+SUMIF('Balance Sheet'!C52:G52,"&gt;0")-SUMIF('Balance Sheet'!C52:G52,"&lt;0")+SUMIF('Cash Flow Statement'!C48:G48,"&gt;0")-SUMIF('Cash Flow Statement'!C48:G48,"&lt;0")+ABS('Cash Flow Statement'!D53)+SUMIF('Cash Flow Statement'!F53:G53,"&gt;0")-SUMIF('Cash Flow Statement'!F53:G53,"&lt;0")+SUMIF('Cash Flow Statement'!D54:F54,"&gt;0")-SUMIF('Cash Flow Statement'!D54:F54,"&lt;0"),3)=0,"PASS","FAIL"))</f>
        <v>PASS</v>
      </c>
    </row>
    <row r="29">
      <c r="B29" s="12" t="s">
        <v>44</v>
      </c>
      <c r="C29" s="9">
        <f>Inputs!H110</f>
        <v>0.8202857142857143</v>
      </c>
    </row>
    <row r="30">
      <c r="B30" s="2" t="s">
        <v>45</v>
      </c>
      <c r="C30" s="13" t="str">
        <f>Inputs!H111</f>
        <v>medium</v>
      </c>
    </row>
    <row r="31" ht="27">
      <c r="B31" s="110" t="s">
        <v>46</v>
      </c>
      <c r="C31" s="109" t="str">
        <f>IF(ISERROR(SUM('Income Statement'!C20:H20,'Income Statement'!C178:H178,'Income Statement'!H60,'Balance Sheet'!H51,'Cash Flow Statement'!H48,'Cash Flow Statement'!C53,'Cash Flow Statement'!E53,'Cash Flow Statement'!H53,'Cash Flow Statement'!H54)),"BROKEN",IF(ROUND(SUMIF('Income Statement'!C20:H20,"&gt;0")-SUMIF('Income Statement'!C20:H20,"&lt;0")+SUMIF('Income Statement'!C178:H178,"&gt;0")-SUMIF('Income Statement'!C178:H178,"&lt;0")+ABS('Income Statement'!H60)+ABS('Balance Sheet'!H51)+ABS('Cash Flow Statement'!H48)+ABS('Cash Flow Statement'!C53)+ABS('Cash Flow Statement'!E53)+ABS('Cash Flow Statement'!H53)+ABS('Cash Flow Statement'!H54),3)=0,"HOLDS","BROKEN"))</f>
        <v>HOLDS</v>
      </c>
    </row>
    <row r="32">
      <c r="B32" s="2" t="s">
        <v>47</v>
      </c>
      <c r="C32" s="85" t="s">
        <v>9</v>
      </c>
      <c r="D32" s="85" t="s">
        <v>7</v>
      </c>
    </row>
    <row r="33">
      <c r="B33" s="1" t="s">
        <v>48</v>
      </c>
      <c r="C33" s="4">
        <f>'Revenue summary'!H604</f>
        <v>15499.837694993119</v>
      </c>
      <c r="D33" s="4">
        <f>'Revenue summary'!F604</f>
        <v>14853.996000000001</v>
      </c>
    </row>
    <row r="34">
      <c r="B34" s="1" t="s">
        <v>49</v>
      </c>
      <c r="C34" s="4">
        <f>'Revenue summary'!H586</f>
        <v>174</v>
      </c>
      <c r="D34" s="4">
        <f>'Revenue summary'!F586</f>
        <v>191.69999999999996</v>
      </c>
    </row>
    <row r="35">
      <c r="B35" s="1" t="s">
        <v>50</v>
      </c>
      <c r="C35" s="4">
        <f>'Revenue summary'!H601</f>
        <v>15599.441346371326</v>
      </c>
      <c r="D35" s="4">
        <f>'Revenue summary'!F601</f>
        <v>15344.624000000002</v>
      </c>
    </row>
    <row r="36">
      <c r="B36" s="1" t="s">
        <v>51</v>
      </c>
      <c r="C36" s="4">
        <f>'Revenue summary'!H167</f>
        <v>438</v>
      </c>
      <c r="D36" s="4">
        <f>'Revenue summary'!F167</f>
        <v>305</v>
      </c>
    </row>
    <row r="37">
      <c r="B37" s="25" t="s">
        <v>52</v>
      </c>
      <c r="C37" s="21">
        <f>'Income Statement'!H148</f>
        <v>0.4615142288385621</v>
      </c>
      <c r="D37" s="21">
        <f>'Income Statement'!F148</f>
        <v>0.45906801007556675</v>
      </c>
    </row>
    <row r="38">
      <c r="B38" s="25" t="s">
        <v>53</v>
      </c>
      <c r="C38" s="21">
        <f>'Income Statement'!H155</f>
        <v>0.25</v>
      </c>
      <c r="D38" s="21">
        <f>'Income Statement'!F155</f>
        <v>0.2515517804639007</v>
      </c>
    </row>
    <row r="39">
      <c r="B39" s="1" t="s">
        <v>54</v>
      </c>
      <c r="C39" s="4">
        <f>'Share Count'!H13</f>
        <v>164.19056603773586</v>
      </c>
      <c r="D39" s="4">
        <f>'Share Count'!F13</f>
        <v>164.6</v>
      </c>
    </row>
    <row r="41">
      <c r="B41" s="91" t="s">
        <v>55</v>
      </c>
    </row>
    <row r="42">
      <c r="B42" s="89" t="s">
        <v>56</v>
      </c>
      <c r="C42" s="85" t="s">
        <v>9</v>
      </c>
      <c r="D42" s="85" t="s">
        <v>57</v>
      </c>
      <c r="E42" s="89" t="s">
        <v>58</v>
      </c>
      <c r="F42" s="89"/>
      <c r="G42" s="89"/>
      <c r="H42" s="89"/>
    </row>
    <row r="43">
      <c r="B43" s="86" t="s">
        <v>59</v>
      </c>
      <c r="C43" s="87">
        <f>'Income Statement'!H17</f>
        <v>7545.065922390057</v>
      </c>
      <c r="D43" s="77" t="s">
        <v>60</v>
      </c>
      <c r="E43" s="86" t="s">
        <v>61</v>
      </c>
    </row>
    <row r="44">
      <c r="B44" s="86" t="s">
        <v>62</v>
      </c>
      <c r="C44" s="87">
        <f>'Income Statement'!H109</f>
        <v>2026.4103707581232</v>
      </c>
      <c r="D44" s="77" t="s">
        <v>60</v>
      </c>
      <c r="E44" s="86" t="s">
        <v>63</v>
      </c>
    </row>
    <row r="45">
      <c r="B45" s="86" t="s">
        <v>64</v>
      </c>
      <c r="C45" s="90">
        <f>'Income Statement'!H179</f>
        <v>14.670900004984235</v>
      </c>
      <c r="D45" s="77" t="s">
        <v>65</v>
      </c>
      <c r="E45" s="86" t="s">
        <v>66</v>
      </c>
    </row>
    <row r="46">
      <c r="B46" s="86" t="s">
        <v>67</v>
      </c>
      <c r="C46" s="90">
        <f>'Income Statement'!H123</f>
        <v>12.948815680510833</v>
      </c>
      <c r="D46" s="77" t="s">
        <v>65</v>
      </c>
      <c r="E46" s="86" t="s">
        <v>68</v>
      </c>
    </row>
    <row r="47">
      <c r="B47" s="86" t="s">
        <v>69</v>
      </c>
      <c r="C47" s="87">
        <f>'Share Count'!H13</f>
        <v>164.19056603773586</v>
      </c>
      <c r="D47" s="77" t="s">
        <v>70</v>
      </c>
      <c r="E47" s="86" t="s">
        <v>71</v>
      </c>
    </row>
    <row r="48">
      <c r="B48" s="86" t="s">
        <v>72</v>
      </c>
      <c r="C48" s="92">
        <f>'Revenue summary'!H212</f>
        <v>0.15917436202028834</v>
      </c>
      <c r="D48" s="77" t="s">
        <v>73</v>
      </c>
      <c r="E48" s="86" t="s">
        <v>74</v>
      </c>
    </row>
    <row r="49">
      <c r="B49" s="86" t="s">
        <v>75</v>
      </c>
      <c r="C49" s="87">
        <f>'Income Statement'!H17</f>
        <v>7545.065922390057</v>
      </c>
      <c r="D49" s="77" t="s">
        <v>60</v>
      </c>
      <c r="E49" s="86" t="s">
        <v>76</v>
      </c>
    </row>
    <row r="50">
      <c r="B50" s="86" t="s">
        <v>77</v>
      </c>
      <c r="C50" s="87">
        <f>'Income Statement'!H67</f>
        <v>2733.7645014685113</v>
      </c>
      <c r="D50" s="77" t="s">
        <v>60</v>
      </c>
      <c r="E50" s="86" t="s">
        <v>78</v>
      </c>
    </row>
    <row r="51">
      <c r="B51" s="86" t="s">
        <v>79</v>
      </c>
      <c r="C51" s="92">
        <f>'Income Statement'!H148</f>
        <v>0.4615142288385621</v>
      </c>
      <c r="D51" s="77" t="s">
        <v>73</v>
      </c>
      <c r="E51" s="86" t="s">
        <v>80</v>
      </c>
    </row>
    <row r="52">
      <c r="B52" s="86" t="s">
        <v>81</v>
      </c>
      <c r="C52" s="87">
        <f>'Revenue summary'!H601</f>
        <v>15599.441346371326</v>
      </c>
      <c r="D52" s="77" t="s">
        <v>82</v>
      </c>
      <c r="E52" s="86" t="s">
        <v>83</v>
      </c>
    </row>
    <row r="53">
      <c r="B53" s="86" t="s">
        <v>84</v>
      </c>
      <c r="C53" s="87">
        <f>'Revenue summary'!H112</f>
        <v>6026.412201398631</v>
      </c>
      <c r="D53" s="77" t="s">
        <v>60</v>
      </c>
      <c r="E53" s="86" t="s">
        <v>85</v>
      </c>
    </row>
    <row r="54">
      <c r="B54" s="86" t="s">
        <v>86</v>
      </c>
      <c r="C54" s="87">
        <f>'Revenue summary'!H586</f>
        <v>174</v>
      </c>
      <c r="D54" s="77" t="s">
        <v>82</v>
      </c>
      <c r="E54" s="86" t="s">
        <v>87</v>
      </c>
    </row>
    <row r="55">
      <c r="B55" s="86" t="s">
        <v>88</v>
      </c>
      <c r="C55" s="87">
        <f>'Cash Flow Statement'!H22</f>
        <v>1486.0733761013835</v>
      </c>
      <c r="D55" s="77" t="s">
        <v>60</v>
      </c>
      <c r="E55" s="86" t="s">
        <v>89</v>
      </c>
    </row>
    <row r="56">
      <c r="B56" s="86" t="s">
        <v>90</v>
      </c>
      <c r="C56" s="87">
        <f>'Cash Flow Statement'!H26</f>
        <v>-110</v>
      </c>
      <c r="D56" s="77" t="s">
        <v>60</v>
      </c>
      <c r="E56" s="86" t="s">
        <v>91</v>
      </c>
    </row>
    <row r="57">
      <c r="B57" s="86" t="s">
        <v>92</v>
      </c>
      <c r="C57" s="81" t="s">
        <v>37</v>
      </c>
      <c r="D57" s="77"/>
      <c r="E57" s="86" t="s">
        <v>93</v>
      </c>
    </row>
  </sheetData>
  <drawing r:id="rId1"/>
  <legacyDrawing r:id="rId3"/>
</worksheet>
</file>

<file path=xl/worksheets/sheet2.xml><?xml version="1.0" encoding="utf-8"?>
<worksheet xmlns="http://schemas.openxmlformats.org/spreadsheetml/2006/main" xmlns:r="http://schemas.openxmlformats.org/officeDocument/2006/relationships">
  <dimension ref="B1:H803"/>
  <sheetViews>
    <sheetView showGridLines="0" workbookViewId="0"/>
  </sheetViews>
  <sheetFormatPr defaultColWidth="8.42578125" defaultRowHeight="15"/>
  <cols>
    <col min="1" max="1" width="2" customWidth="1"/>
    <col min="2" max="2" width="32" customWidth="1"/>
    <col min="3" max="8" width="12" customWidth="1"/>
  </cols>
  <sheetData>
    <row r="1">
      <c r="B1" s="26" t="s">
        <v>0</v>
      </c>
    </row>
    <row r="2">
      <c r="B2" s="2" t="s">
        <v>94</v>
      </c>
    </row>
    <row r="3">
      <c r="B3" s="25" t="s">
        <v>2</v>
      </c>
    </row>
    <row r="5">
      <c r="B5" s="24" t="s">
        <v>3</v>
      </c>
      <c r="C5" s="10" t="s">
        <v>4</v>
      </c>
      <c r="D5" s="10" t="s">
        <v>5</v>
      </c>
      <c r="E5" s="10" t="s">
        <v>6</v>
      </c>
      <c r="F5" s="10" t="s">
        <v>7</v>
      </c>
      <c r="G5" s="10" t="s">
        <v>8</v>
      </c>
      <c r="H5" s="10" t="s">
        <v>9</v>
      </c>
    </row>
    <row r="6">
      <c r="B6" s="20" t="s">
        <v>10</v>
      </c>
      <c r="C6" s="5">
        <v>45930</v>
      </c>
      <c r="D6" s="5">
        <v>46022</v>
      </c>
      <c r="E6" s="5">
        <v>46112</v>
      </c>
      <c r="F6" s="5">
        <v>46203</v>
      </c>
      <c r="G6" s="5">
        <v>46022</v>
      </c>
      <c r="H6" s="5">
        <v>46295</v>
      </c>
    </row>
    <row r="7">
      <c r="B7" s="17" t="s">
        <v>11</v>
      </c>
      <c r="C7" s="7">
        <f>C6-EOMONTH(C6,-3)</f>
        <v>92</v>
      </c>
      <c r="D7" s="7">
        <f>D6-EOMONTH(D6,-3)</f>
        <v>92</v>
      </c>
      <c r="E7" s="7">
        <f>E6-EOMONTH(E6,-3)</f>
        <v>90</v>
      </c>
      <c r="F7" s="7">
        <f>F6-EOMONTH(F6,-3)</f>
        <v>91</v>
      </c>
      <c r="G7" s="7">
        <f>G6-EOMONTH(G6,-12)</f>
        <v>365</v>
      </c>
      <c r="H7" s="7">
        <f>H6-EOMONTH(H6,-3)</f>
        <v>92</v>
      </c>
    </row>
    <row r="8">
      <c r="H8" s="39"/>
    </row>
    <row r="9">
      <c r="B9" s="1" t="s">
        <v>95</v>
      </c>
      <c r="H9" s="39"/>
    </row>
    <row r="10">
      <c r="B10" s="1" t="s">
        <v>96</v>
      </c>
      <c r="H10" s="39"/>
    </row>
    <row r="11">
      <c r="B11" s="114" t="s">
        <v>97</v>
      </c>
      <c r="H11" s="39"/>
    </row>
    <row r="12">
      <c r="B12" s="34" t="s">
        <v>98</v>
      </c>
      <c r="H12" s="39"/>
    </row>
    <row r="13">
      <c r="B13" s="2" t="s">
        <v>99</v>
      </c>
      <c r="H13" s="39"/>
    </row>
    <row r="14">
      <c r="B14" s="1" t="s">
        <v>100</v>
      </c>
      <c r="C14" s="23">
        <v>557</v>
      </c>
      <c r="D14" s="23">
        <v>585</v>
      </c>
      <c r="E14" s="23">
        <v>593</v>
      </c>
      <c r="F14" s="23">
        <v>626</v>
      </c>
      <c r="G14" s="23">
        <v>2167</v>
      </c>
      <c r="H14" s="30">
        <f>H633</f>
        <v>673.4630309733803</v>
      </c>
    </row>
    <row r="15">
      <c r="B15" s="25" t="s">
        <v>101</v>
      </c>
      <c r="C15" s="21">
        <f>IFERROR(C14/Inputs!C132-1,"n/a")</f>
        <v>0.00723327305605781</v>
      </c>
      <c r="D15" s="21">
        <f>IFERROR(D14/Inputs!D132-1,"n/a")</f>
        <v>0.048387096774193505</v>
      </c>
      <c r="E15" s="21">
        <f>IFERROR(E14/Inputs!E132-1,"n/a")</f>
        <v>0.14478764478764483</v>
      </c>
      <c r="F15" s="21">
        <f>IFERROR(F14/Inputs!F132-1,"n/a")</f>
        <v>0.23471400394477326</v>
      </c>
      <c r="G15" s="21">
        <f>IFERROR(G14/Inputs!G132-1,"n/a")</f>
        <v>0.00046168051708228575</v>
      </c>
      <c r="H15" s="32">
        <f>IFERROR(H14/C14-1,"n/a")</f>
        <v>0.20908982221432737</v>
      </c>
    </row>
    <row r="16">
      <c r="B16" s="25" t="s">
        <v>102</v>
      </c>
      <c r="C16" s="21">
        <f>IFERROR(C14/Inputs!F132-1,"n/a")</f>
        <v>0.09861932938856022</v>
      </c>
      <c r="D16" s="16">
        <f>IFERROR(D14/C14-1,"n/a")</f>
        <v>0.050269299820466795</v>
      </c>
      <c r="E16" s="16">
        <f>IFERROR(E14/D14-1,"n/a")</f>
        <v>0.013675213675213627</v>
      </c>
      <c r="F16" s="16">
        <f>IFERROR(F14/E14-1,"n/a")</f>
        <v>0.05564924114671155</v>
      </c>
      <c r="H16" s="32">
        <f>IFERROR(H14/F14-1,"n/a")</f>
        <v>0.07581953829613464</v>
      </c>
    </row>
    <row r="17">
      <c r="B17" s="25" t="s">
        <v>103</v>
      </c>
      <c r="C17" s="16">
        <f>IFERROR(C14/C211,"n/a")</f>
        <v>0.08557382086341989</v>
      </c>
      <c r="D17" s="16">
        <f>IFERROR(D14/D211,"n/a")</f>
        <v>0.08347602739726027</v>
      </c>
      <c r="E17" s="16">
        <f>IFERROR(E14/E211,"n/a")</f>
        <v>0.08853389071364587</v>
      </c>
      <c r="F17" s="16">
        <f>IFERROR(F14/F211,"n/a")</f>
        <v>0.0883681535855449</v>
      </c>
      <c r="G17" s="16">
        <f>IFERROR(G14/G211,"n/a")</f>
        <v>0.08948629005616121</v>
      </c>
      <c r="H17" s="32">
        <f>IFERROR(H14/H211,"n/a")</f>
        <v>0.08925873384020042</v>
      </c>
    </row>
    <row r="18">
      <c r="B18" s="25" t="s">
        <v>104</v>
      </c>
      <c r="C18" s="46">
        <v>0</v>
      </c>
      <c r="D18" s="46">
        <v>0</v>
      </c>
      <c r="E18" s="46">
        <v>0</v>
      </c>
      <c r="F18" s="46">
        <v>0</v>
      </c>
      <c r="G18" s="46">
        <v>0</v>
      </c>
      <c r="H18" s="43">
        <v>0</v>
      </c>
    </row>
    <row r="19">
      <c r="B19" s="25" t="s">
        <v>105</v>
      </c>
      <c r="C19" s="16" t="s">
        <v>37</v>
      </c>
      <c r="D19" s="16" t="s">
        <v>37</v>
      </c>
      <c r="E19" s="16" t="s">
        <v>37</v>
      </c>
      <c r="F19" s="16" t="s">
        <v>37</v>
      </c>
      <c r="G19" s="16" t="s">
        <v>37</v>
      </c>
      <c r="H19" s="43">
        <v>0</v>
      </c>
    </row>
    <row r="20">
      <c r="B20" s="25" t="s">
        <v>106</v>
      </c>
      <c r="C20" s="16" t="str">
        <f>IF(AND(ISNUMBER(C15),ISNUMBER(C18),ISNUMBER(C19)),(1+C15)/((1+C18)*(1+C19))-1,"n/a")</f>
        <v>n/a</v>
      </c>
      <c r="D20" s="16" t="str">
        <f>IF(AND(ISNUMBER(D15),ISNUMBER(D18),ISNUMBER(D19)),(1+D15)/((1+D18)*(1+D19))-1,"n/a")</f>
        <v>n/a</v>
      </c>
      <c r="E20" s="16" t="str">
        <f>IF(AND(ISNUMBER(E15),ISNUMBER(E18),ISNUMBER(E19)),(1+E15)/((1+E18)*(1+E19))-1,"n/a")</f>
        <v>n/a</v>
      </c>
      <c r="F20" s="16" t="str">
        <f>IF(AND(ISNUMBER(F15),ISNUMBER(F18),ISNUMBER(F19)),(1+F15)/((1+F18)*(1+F19))-1,"n/a")</f>
        <v>n/a</v>
      </c>
      <c r="G20" s="16" t="str">
        <f>IF(AND(ISNUMBER(G15),ISNUMBER(G18),ISNUMBER(G19)),(1+G15)/((1+G18)*(1+G19))-1,"n/a")</f>
        <v>n/a</v>
      </c>
      <c r="H20" s="32">
        <f>IF(AND(ISNUMBER(H15),ISNUMBER(H18),ISNUMBER(H19)),(1+H15)/((1+H18)*(1+H19))-1,"n/a")</f>
        <v>0.20908982221432737</v>
      </c>
    </row>
    <row r="21">
      <c r="B21" s="1" t="s">
        <v>107</v>
      </c>
      <c r="C21" s="23">
        <v>1597</v>
      </c>
      <c r="D21" s="23">
        <v>1696</v>
      </c>
      <c r="E21" s="23">
        <v>1793</v>
      </c>
      <c r="F21" s="23">
        <v>1989</v>
      </c>
      <c r="G21" s="23">
        <v>6043</v>
      </c>
      <c r="H21" s="30">
        <f>H641</f>
        <v>2139.8050616710125</v>
      </c>
    </row>
    <row r="22">
      <c r="B22" s="25" t="s">
        <v>101</v>
      </c>
      <c r="C22" s="21">
        <f>IFERROR(C21/Inputs!C133-1,"n/a")</f>
        <v>0.22001527883880834</v>
      </c>
      <c r="D22" s="21">
        <f>IFERROR(D21/Inputs!D133-1,"n/a")</f>
        <v>0.23345454545454536</v>
      </c>
      <c r="E22" s="21">
        <f>IFERROR(E21/Inputs!E133-1,"n/a")</f>
        <v>0.3291326908821348</v>
      </c>
      <c r="F22" s="21">
        <f>IFERROR(F21/Inputs!F133-1,"n/a")</f>
        <v>0.4197002141327624</v>
      </c>
      <c r="G22" s="21">
        <f>IFERROR(G21/Inputs!G133-1,"n/a")</f>
        <v>0.17935206869633102</v>
      </c>
      <c r="H22" s="32">
        <f>IFERROR(H21/C21-1,"n/a")</f>
        <v>0.33989045815342056</v>
      </c>
    </row>
    <row r="23">
      <c r="B23" s="25" t="s">
        <v>102</v>
      </c>
      <c r="C23" s="21">
        <f>IFERROR(C21/Inputs!F133-1,"n/a")</f>
        <v>0.13990007137758753</v>
      </c>
      <c r="D23" s="16">
        <f>IFERROR(D21/C21-1,"n/a")</f>
        <v>0.06199123356293046</v>
      </c>
      <c r="E23" s="16">
        <f>IFERROR(E21/D21-1,"n/a")</f>
        <v>0.05719339622641506</v>
      </c>
      <c r="F23" s="16">
        <f>IFERROR(F21/E21-1,"n/a")</f>
        <v>0.10931399888455107</v>
      </c>
      <c r="H23" s="32">
        <f>IFERROR(H21/F21-1,"n/a")</f>
        <v>0.07581953829613508</v>
      </c>
    </row>
    <row r="24">
      <c r="B24" s="25" t="s">
        <v>103</v>
      </c>
      <c r="C24" s="16">
        <f>IFERROR(C21/C211,"n/a")</f>
        <v>0.2453525887233062</v>
      </c>
      <c r="D24" s="16">
        <f>IFERROR(D21/D211,"n/a")</f>
        <v>0.2420091324200913</v>
      </c>
      <c r="E24" s="16">
        <f>IFERROR(E21/E211,"n/a")</f>
        <v>0.26769184831292925</v>
      </c>
      <c r="F24" s="16">
        <f>IFERROR(F21/F211,"n/a")</f>
        <v>0.28077357425183513</v>
      </c>
      <c r="G24" s="16">
        <f>IFERROR(G21/G211,"n/a")</f>
        <v>0.24954575487281136</v>
      </c>
      <c r="H24" s="32">
        <f>IFERROR(H21/H211,"n/a")</f>
        <v>0.2836032294060043</v>
      </c>
    </row>
    <row r="25">
      <c r="B25" s="25" t="s">
        <v>104</v>
      </c>
      <c r="C25" s="46">
        <v>0</v>
      </c>
      <c r="D25" s="46">
        <v>0</v>
      </c>
      <c r="E25" s="46">
        <v>0</v>
      </c>
      <c r="F25" s="46">
        <v>0</v>
      </c>
      <c r="G25" s="46">
        <v>0</v>
      </c>
      <c r="H25" s="43">
        <v>0</v>
      </c>
    </row>
    <row r="26">
      <c r="B26" s="25" t="s">
        <v>105</v>
      </c>
      <c r="C26" s="16" t="s">
        <v>37</v>
      </c>
      <c r="D26" s="16" t="s">
        <v>37</v>
      </c>
      <c r="E26" s="16" t="s">
        <v>37</v>
      </c>
      <c r="F26" s="16" t="s">
        <v>37</v>
      </c>
      <c r="G26" s="16" t="s">
        <v>37</v>
      </c>
      <c r="H26" s="43">
        <v>0</v>
      </c>
    </row>
    <row r="27">
      <c r="B27" s="25" t="s">
        <v>106</v>
      </c>
      <c r="C27" s="16" t="str">
        <f>IF(AND(ISNUMBER(C22),ISNUMBER(C25),ISNUMBER(C26)),(1+C22)/((1+C25)*(1+C26))-1,"n/a")</f>
        <v>n/a</v>
      </c>
      <c r="D27" s="16" t="str">
        <f>IF(AND(ISNUMBER(D22),ISNUMBER(D25),ISNUMBER(D26)),(1+D22)/((1+D25)*(1+D26))-1,"n/a")</f>
        <v>n/a</v>
      </c>
      <c r="E27" s="16" t="str">
        <f>IF(AND(ISNUMBER(E22),ISNUMBER(E25),ISNUMBER(E26)),(1+E22)/((1+E25)*(1+E26))-1,"n/a")</f>
        <v>n/a</v>
      </c>
      <c r="F27" s="16" t="str">
        <f>IF(AND(ISNUMBER(F22),ISNUMBER(F25),ISNUMBER(F26)),(1+F22)/((1+F25)*(1+F26))-1,"n/a")</f>
        <v>n/a</v>
      </c>
      <c r="G27" s="16" t="str">
        <f>IF(AND(ISNUMBER(G22),ISNUMBER(G25),ISNUMBER(G26)),(1+G22)/((1+G25)*(1+G26))-1,"n/a")</f>
        <v>n/a</v>
      </c>
      <c r="H27" s="32">
        <f>IF(AND(ISNUMBER(H22),ISNUMBER(H25),ISNUMBER(H26)),(1+H22)/((1+H25)*(1+H26))-1,"n/a")</f>
        <v>0.33989045815342056</v>
      </c>
    </row>
    <row r="28">
      <c r="B28" s="2" t="s">
        <v>108</v>
      </c>
      <c r="C28" s="42">
        <f>C14+C21</f>
        <v>2154</v>
      </c>
      <c r="D28" s="42">
        <f>D14+D21</f>
        <v>2281</v>
      </c>
      <c r="E28" s="42">
        <f>E14+E21</f>
        <v>2386</v>
      </c>
      <c r="F28" s="42">
        <f>F14+F21</f>
        <v>2615</v>
      </c>
      <c r="G28" s="42">
        <f>G14+G21</f>
        <v>8210</v>
      </c>
      <c r="H28" s="41">
        <f>H14+H21</f>
        <v>2813.2680926443927</v>
      </c>
    </row>
    <row r="29">
      <c r="B29" s="25" t="s">
        <v>101</v>
      </c>
      <c r="C29" s="21">
        <f>IFERROR(C28/(Inputs!C132+Inputs!C133)-1,"n/a")</f>
        <v>0.1568206229860365</v>
      </c>
      <c r="D29" s="21">
        <f>IFERROR(D28/(Inputs!D132+Inputs!D133)-1,"n/a")</f>
        <v>0.18003103983445423</v>
      </c>
      <c r="E29" s="21">
        <f>IFERROR(E28/(Inputs!E132+Inputs!E133)-1,"n/a")</f>
        <v>0.27798607391537233</v>
      </c>
      <c r="F29" s="21">
        <f>IFERROR(F28/(Inputs!F132+Inputs!F133)-1,"n/a")</f>
        <v>0.370545073375262</v>
      </c>
      <c r="G29" s="21">
        <f>IFERROR(G28/(Inputs!G132+Inputs!G133)-1,"n/a")</f>
        <v>0.12620027434842251</v>
      </c>
      <c r="H29" s="32">
        <f>IFERROR(H28/C28-1,"n/a")</f>
        <v>0.30606689537808385</v>
      </c>
    </row>
    <row r="30">
      <c r="B30" s="25" t="s">
        <v>102</v>
      </c>
      <c r="C30" s="21">
        <f>IFERROR(C28/(Inputs!F132+Inputs!F133)-1,"n/a")</f>
        <v>0.12893081761006298</v>
      </c>
      <c r="D30" s="16">
        <f>IFERROR(D28/C28-1,"n/a")</f>
        <v>0.058960074280408614</v>
      </c>
      <c r="E30" s="16">
        <f>IFERROR(E28/D28-1,"n/a")</f>
        <v>0.0460324419114424</v>
      </c>
      <c r="F30" s="16">
        <f>IFERROR(F28/E28-1,"n/a")</f>
        <v>0.09597652975691529</v>
      </c>
      <c r="H30" s="32">
        <f>IFERROR(H28/F28-1,"n/a")</f>
        <v>0.07581953829613486</v>
      </c>
    </row>
    <row r="31">
      <c r="B31" s="25" t="s">
        <v>103</v>
      </c>
      <c r="C31" s="16">
        <f>IFERROR(C28/C211,"n/a")</f>
        <v>0.3309264095867261</v>
      </c>
      <c r="D31" s="16">
        <f>IFERROR(D28/D211,"n/a")</f>
        <v>0.3254851598173516</v>
      </c>
      <c r="E31" s="16">
        <f>IFERROR(E28/E211,"n/a")</f>
        <v>0.3562257390265751</v>
      </c>
      <c r="F31" s="16">
        <f>IFERROR(F28/F211,"n/a")</f>
        <v>0.36914172783738003</v>
      </c>
      <c r="G31" s="16">
        <f>IFERROR(G28/G211,"n/a")</f>
        <v>0.3390320449289726</v>
      </c>
      <c r="H31" s="32">
        <f>IFERROR(H28/H211,"n/a")</f>
        <v>0.3728619632462047</v>
      </c>
    </row>
    <row r="32">
      <c r="B32" s="25" t="s">
        <v>104</v>
      </c>
      <c r="C32" s="46">
        <v>0</v>
      </c>
      <c r="D32" s="46">
        <v>0</v>
      </c>
      <c r="E32" s="46">
        <v>0</v>
      </c>
      <c r="F32" s="46">
        <v>0</v>
      </c>
      <c r="G32" s="46">
        <v>0</v>
      </c>
      <c r="H32" s="43">
        <v>0</v>
      </c>
    </row>
    <row r="33">
      <c r="B33" s="25" t="s">
        <v>105</v>
      </c>
      <c r="C33" s="16" t="s">
        <v>37</v>
      </c>
      <c r="D33" s="16" t="s">
        <v>37</v>
      </c>
      <c r="E33" s="16" t="s">
        <v>37</v>
      </c>
      <c r="F33" s="16" t="s">
        <v>37</v>
      </c>
      <c r="G33" s="16" t="s">
        <v>37</v>
      </c>
      <c r="H33" s="43">
        <v>0</v>
      </c>
    </row>
    <row r="34">
      <c r="B34" s="25" t="s">
        <v>106</v>
      </c>
      <c r="C34" s="16" t="str">
        <f>IF(AND(ISNUMBER(C29),ISNUMBER(C32),ISNUMBER(C33)),(1+C29)/((1+C32)*(1+C33))-1,"n/a")</f>
        <v>n/a</v>
      </c>
      <c r="D34" s="16" t="str">
        <f>IF(AND(ISNUMBER(D29),ISNUMBER(D32),ISNUMBER(D33)),(1+D29)/((1+D32)*(1+D33))-1,"n/a")</f>
        <v>n/a</v>
      </c>
      <c r="E34" s="16" t="str">
        <f>IF(AND(ISNUMBER(E29),ISNUMBER(E32),ISNUMBER(E33)),(1+E29)/((1+E32)*(1+E33))-1,"n/a")</f>
        <v>n/a</v>
      </c>
      <c r="F34" s="16" t="str">
        <f>IF(AND(ISNUMBER(F29),ISNUMBER(F32),ISNUMBER(F33)),(1+F29)/((1+F32)*(1+F33))-1,"n/a")</f>
        <v>n/a</v>
      </c>
      <c r="G34" s="16" t="str">
        <f>IF(AND(ISNUMBER(G29),ISNUMBER(G32),ISNUMBER(G33)),(1+G29)/((1+G32)*(1+G33))-1,"n/a")</f>
        <v>n/a</v>
      </c>
      <c r="H34" s="32">
        <f>IF(AND(ISNUMBER(H29),ISNUMBER(H32),ISNUMBER(H33)),(1+H29)/((1+H32)*(1+H33))-1,"n/a")</f>
        <v>0.30606689537808385</v>
      </c>
    </row>
    <row r="35">
      <c r="B35" s="1" t="s">
        <v>109</v>
      </c>
      <c r="C35" s="23">
        <v>513</v>
      </c>
      <c r="D35" s="23">
        <v>526</v>
      </c>
      <c r="E35" s="23">
        <v>531</v>
      </c>
      <c r="F35" s="23">
        <v>539</v>
      </c>
      <c r="G35" s="23">
        <v>2018</v>
      </c>
      <c r="H35" s="30">
        <f>H649</f>
        <v>552.5849371112896</v>
      </c>
    </row>
    <row r="36">
      <c r="B36" s="25" t="s">
        <v>101</v>
      </c>
      <c r="C36" s="21">
        <f>IFERROR(C35/Inputs!C134-1,"n/a")</f>
        <v>0.04056795131845847</v>
      </c>
      <c r="D36" s="21">
        <f>IFERROR(D35/Inputs!D134-1,"n/a")</f>
        <v>0.06477732793522262</v>
      </c>
      <c r="E36" s="21">
        <f>IFERROR(E35/Inputs!E134-1,"n/a")</f>
        <v>0.0792682926829269</v>
      </c>
      <c r="F36" s="21">
        <f>IFERROR(F35/Inputs!F134-1,"n/a")</f>
        <v>0.10677618069815198</v>
      </c>
      <c r="G36" s="21">
        <f>IFERROR(G35/Inputs!G134-1,"n/a")</f>
        <v>0.03381147540983598</v>
      </c>
      <c r="H36" s="32">
        <f>IFERROR(H35/C35-1,"n/a")</f>
        <v>0.07716362009997968</v>
      </c>
    </row>
    <row r="37">
      <c r="B37" s="25" t="s">
        <v>102</v>
      </c>
      <c r="C37" s="21">
        <f>IFERROR(C35/Inputs!F134-1,"n/a")</f>
        <v>0.05338809034907599</v>
      </c>
      <c r="D37" s="16">
        <f>IFERROR(D35/C35-1,"n/a")</f>
        <v>0.025341130604288553</v>
      </c>
      <c r="E37" s="16">
        <f>IFERROR(E35/D35-1,"n/a")</f>
        <v>0.009505703422053147</v>
      </c>
      <c r="F37" s="16">
        <f>IFERROR(F35/E35-1,"n/a")</f>
        <v>0.015065913370998052</v>
      </c>
      <c r="H37" s="32">
        <f>IFERROR(H35/F35-1,"n/a")</f>
        <v>0.025203964956010294</v>
      </c>
    </row>
    <row r="38">
      <c r="B38" s="25" t="s">
        <v>103</v>
      </c>
      <c r="C38" s="16">
        <f>IFERROR(C35/C211,"n/a")</f>
        <v>0.07881394991550161</v>
      </c>
      <c r="D38" s="16">
        <f>IFERROR(D35/D211,"n/a")</f>
        <v>0.07505707762557078</v>
      </c>
      <c r="E38" s="16">
        <f>IFERROR(E35/E211,"n/a")</f>
        <v>0.07927739623768289</v>
      </c>
      <c r="F38" s="16">
        <f>IFERROR(F35/F211,"n/a")</f>
        <v>0.07608695652173914</v>
      </c>
      <c r="G38" s="16">
        <f>IFERROR(G35/G211,"n/a")</f>
        <v>0.08333333333333333</v>
      </c>
      <c r="H38" s="32">
        <f>IFERROR(H35/H211,"n/a")</f>
        <v>0.07323792035686374</v>
      </c>
    </row>
    <row r="39">
      <c r="B39" s="25" t="s">
        <v>104</v>
      </c>
      <c r="C39" s="16" t="s">
        <v>37</v>
      </c>
      <c r="D39" s="16" t="s">
        <v>37</v>
      </c>
      <c r="E39" s="16" t="s">
        <v>37</v>
      </c>
      <c r="F39" s="16" t="s">
        <v>37</v>
      </c>
      <c r="G39" s="16" t="s">
        <v>37</v>
      </c>
      <c r="H39" s="43">
        <v>0</v>
      </c>
    </row>
    <row r="40">
      <c r="B40" s="25" t="s">
        <v>105</v>
      </c>
      <c r="C40" s="16" t="s">
        <v>37</v>
      </c>
      <c r="D40" s="16" t="s">
        <v>37</v>
      </c>
      <c r="E40" s="16" t="s">
        <v>37</v>
      </c>
      <c r="F40" s="16" t="s">
        <v>37</v>
      </c>
      <c r="G40" s="16" t="s">
        <v>37</v>
      </c>
      <c r="H40" s="43">
        <v>0</v>
      </c>
    </row>
    <row r="41">
      <c r="B41" s="25" t="s">
        <v>106</v>
      </c>
      <c r="C41" s="16" t="str">
        <f>IF(AND(ISNUMBER(C36),ISNUMBER(C39),ISNUMBER(C40)),(1+C36)/((1+C39)*(1+C40))-1,"n/a")</f>
        <v>n/a</v>
      </c>
      <c r="D41" s="16" t="str">
        <f>IF(AND(ISNUMBER(D36),ISNUMBER(D39),ISNUMBER(D40)),(1+D36)/((1+D39)*(1+D40))-1,"n/a")</f>
        <v>n/a</v>
      </c>
      <c r="E41" s="16" t="str">
        <f>IF(AND(ISNUMBER(E36),ISNUMBER(E39),ISNUMBER(E40)),(1+E36)/((1+E39)*(1+E40))-1,"n/a")</f>
        <v>n/a</v>
      </c>
      <c r="F41" s="16" t="str">
        <f>IF(AND(ISNUMBER(F36),ISNUMBER(F39),ISNUMBER(F40)),(1+F36)/((1+F39)*(1+F40))-1,"n/a")</f>
        <v>n/a</v>
      </c>
      <c r="G41" s="16" t="str">
        <f>IF(AND(ISNUMBER(G36),ISNUMBER(G39),ISNUMBER(G40)),(1+G36)/((1+G39)*(1+G40))-1,"n/a")</f>
        <v>n/a</v>
      </c>
      <c r="H41" s="32">
        <f>IF(AND(ISNUMBER(H36),ISNUMBER(H39),ISNUMBER(H40)),(1+H36)/((1+H39)*(1+H40))-1,"n/a")</f>
        <v>0.07716362009997968</v>
      </c>
    </row>
    <row r="42">
      <c r="B42" s="1" t="s">
        <v>110</v>
      </c>
      <c r="C42" s="23">
        <v>393</v>
      </c>
      <c r="D42" s="23">
        <v>421</v>
      </c>
      <c r="E42" s="23">
        <v>434</v>
      </c>
      <c r="F42" s="23">
        <v>443</v>
      </c>
      <c r="G42" s="23">
        <v>1532</v>
      </c>
      <c r="H42" s="30">
        <f>H657</f>
        <v>454.1653564755126</v>
      </c>
    </row>
    <row r="43">
      <c r="B43" s="25" t="s">
        <v>101</v>
      </c>
      <c r="C43" s="21">
        <f>IFERROR(C42/Inputs!C135-1,"n/a")</f>
        <v>0.11016949152542366</v>
      </c>
      <c r="D43" s="21">
        <f>IFERROR(D42/Inputs!D135-1,"n/a")</f>
        <v>0.1694444444444445</v>
      </c>
      <c r="E43" s="21">
        <f>IFERROR(E42/Inputs!E135-1,"n/a")</f>
        <v>0.23295454545454541</v>
      </c>
      <c r="F43" s="21">
        <f>IFERROR(F42/Inputs!F135-1,"n/a")</f>
        <v>0.2103825136612021</v>
      </c>
      <c r="G43" s="21">
        <f>IFERROR(G42/Inputs!G135-1,"n/a")</f>
        <v>0.12070226773957571</v>
      </c>
      <c r="H43" s="32">
        <f>IFERROR(H42/C42-1,"n/a")</f>
        <v>0.15563703937789475</v>
      </c>
    </row>
    <row r="44">
      <c r="B44" s="25" t="s">
        <v>102</v>
      </c>
      <c r="C44" s="21">
        <f>IFERROR(C42/Inputs!F135-1,"n/a")</f>
        <v>0.07377049180327866</v>
      </c>
      <c r="D44" s="16">
        <f>IFERROR(D42/C42-1,"n/a")</f>
        <v>0.07124681933842236</v>
      </c>
      <c r="E44" s="16">
        <f>IFERROR(E42/D42-1,"n/a")</f>
        <v>0.030878859857482288</v>
      </c>
      <c r="F44" s="16">
        <f>IFERROR(F42/E42-1,"n/a")</f>
        <v>0.02073732718894017</v>
      </c>
      <c r="H44" s="32">
        <f>IFERROR(H42/F42-1,"n/a")</f>
        <v>0.025203964956010516</v>
      </c>
    </row>
    <row r="45">
      <c r="B45" s="25" t="s">
        <v>103</v>
      </c>
      <c r="C45" s="16">
        <f>IFERROR(C42/C211,"n/a")</f>
        <v>0.060377938239360884</v>
      </c>
      <c r="D45" s="16">
        <f>IFERROR(D42/D211,"n/a")</f>
        <v>0.06007420091324201</v>
      </c>
      <c r="E45" s="16">
        <f>IFERROR(E42/E211,"n/a")</f>
        <v>0.06479546133174081</v>
      </c>
      <c r="F45" s="16">
        <f>IFERROR(F42/F211,"n/a")</f>
        <v>0.06253529079616037</v>
      </c>
      <c r="G45" s="16">
        <f>IFERROR(G42/G211,"n/a")</f>
        <v>0.06326395771390816</v>
      </c>
      <c r="H45" s="32">
        <f>IFERROR(H42/H211,"n/a")</f>
        <v>0.06019368964395295</v>
      </c>
    </row>
    <row r="46">
      <c r="B46" s="25" t="s">
        <v>104</v>
      </c>
      <c r="C46" s="16" t="s">
        <v>37</v>
      </c>
      <c r="D46" s="16" t="s">
        <v>37</v>
      </c>
      <c r="E46" s="16" t="s">
        <v>37</v>
      </c>
      <c r="F46" s="16" t="s">
        <v>37</v>
      </c>
      <c r="G46" s="16" t="s">
        <v>37</v>
      </c>
      <c r="H46" s="43">
        <v>0</v>
      </c>
    </row>
    <row r="47">
      <c r="B47" s="25" t="s">
        <v>105</v>
      </c>
      <c r="C47" s="16" t="s">
        <v>37</v>
      </c>
      <c r="D47" s="16" t="s">
        <v>37</v>
      </c>
      <c r="E47" s="16" t="s">
        <v>37</v>
      </c>
      <c r="F47" s="16" t="s">
        <v>37</v>
      </c>
      <c r="G47" s="16" t="s">
        <v>37</v>
      </c>
      <c r="H47" s="43">
        <v>0</v>
      </c>
    </row>
    <row r="48">
      <c r="B48" s="25" t="s">
        <v>106</v>
      </c>
      <c r="C48" s="16" t="str">
        <f>IF(AND(ISNUMBER(C43),ISNUMBER(C46),ISNUMBER(C47)),(1+C43)/((1+C46)*(1+C47))-1,"n/a")</f>
        <v>n/a</v>
      </c>
      <c r="D48" s="16" t="str">
        <f>IF(AND(ISNUMBER(D43),ISNUMBER(D46),ISNUMBER(D47)),(1+D43)/((1+D46)*(1+D47))-1,"n/a")</f>
        <v>n/a</v>
      </c>
      <c r="E48" s="16" t="str">
        <f>IF(AND(ISNUMBER(E43),ISNUMBER(E46),ISNUMBER(E47)),(1+E43)/((1+E46)*(1+E47))-1,"n/a")</f>
        <v>n/a</v>
      </c>
      <c r="F48" s="16" t="str">
        <f>IF(AND(ISNUMBER(F43),ISNUMBER(F46),ISNUMBER(F47)),(1+F43)/((1+F46)*(1+F47))-1,"n/a")</f>
        <v>n/a</v>
      </c>
      <c r="G48" s="16" t="str">
        <f>IF(AND(ISNUMBER(G43),ISNUMBER(G46),ISNUMBER(G47)),(1+G43)/((1+G46)*(1+G47))-1,"n/a")</f>
        <v>n/a</v>
      </c>
      <c r="H48" s="32">
        <f>IF(AND(ISNUMBER(H43),ISNUMBER(H46),ISNUMBER(H47)),(1+H43)/((1+H46)*(1+H47))-1,"n/a")</f>
        <v>0.15563703937789475</v>
      </c>
    </row>
    <row r="49">
      <c r="B49" s="2" t="s">
        <v>111</v>
      </c>
      <c r="C49" s="42">
        <f>C35+C42</f>
        <v>906</v>
      </c>
      <c r="D49" s="42">
        <f>D35+D42</f>
        <v>947</v>
      </c>
      <c r="E49" s="42">
        <f>E35+E42</f>
        <v>965</v>
      </c>
      <c r="F49" s="42">
        <f>F35+F42</f>
        <v>982</v>
      </c>
      <c r="G49" s="42">
        <f>G35+G42</f>
        <v>3550</v>
      </c>
      <c r="H49" s="41">
        <f>H35+H42</f>
        <v>1006.7502935868022</v>
      </c>
    </row>
    <row r="50">
      <c r="B50" s="25" t="s">
        <v>101</v>
      </c>
      <c r="C50" s="21">
        <f>IFERROR(C49/(Inputs!C134+Inputs!C135)-1,"n/a")</f>
        <v>0.06965761511216062</v>
      </c>
      <c r="D50" s="21">
        <f>IFERROR(D49/(Inputs!D134+Inputs!D135)-1,"n/a")</f>
        <v>0.1088992974238876</v>
      </c>
      <c r="E50" s="21">
        <f>IFERROR(E49/(Inputs!E134+Inputs!E135)-1,"n/a")</f>
        <v>0.14336492890995256</v>
      </c>
      <c r="F50" s="21">
        <f>IFERROR(F49/(Inputs!F134+Inputs!F135)-1,"n/a")</f>
        <v>0.15123094958968353</v>
      </c>
      <c r="G50" s="21">
        <f>IFERROR(G49/(Inputs!G134+Inputs!G135)-1,"n/a")</f>
        <v>0.06959927689062972</v>
      </c>
      <c r="H50" s="32">
        <f>IFERROR(H49/C49-1,"n/a")</f>
        <v>0.11120341455496918</v>
      </c>
    </row>
    <row r="51">
      <c r="B51" s="25" t="s">
        <v>102</v>
      </c>
      <c r="C51" s="21">
        <f>IFERROR(C49/(Inputs!F134+Inputs!F135)-1,"n/a")</f>
        <v>0.062133645955451344</v>
      </c>
      <c r="D51" s="16">
        <f>IFERROR(D49/C49-1,"n/a")</f>
        <v>0.045253863134657735</v>
      </c>
      <c r="E51" s="16">
        <f>IFERROR(E49/D49-1,"n/a")</f>
        <v>0.019007391763463666</v>
      </c>
      <c r="F51" s="16">
        <f>IFERROR(F49/E49-1,"n/a")</f>
        <v>0.01761658031088076</v>
      </c>
      <c r="H51" s="32">
        <f>IFERROR(H49/F49-1,"n/a")</f>
        <v>0.025203964956010294</v>
      </c>
    </row>
    <row r="52">
      <c r="B52" s="25" t="s">
        <v>103</v>
      </c>
      <c r="C52" s="16">
        <f>IFERROR(C49/C211,"n/a")</f>
        <v>0.1391918881548625</v>
      </c>
      <c r="D52" s="16">
        <f>IFERROR(D49/D211,"n/a")</f>
        <v>0.1351312785388128</v>
      </c>
      <c r="E52" s="16">
        <f>IFERROR(E49/E211,"n/a")</f>
        <v>0.1440728575694237</v>
      </c>
      <c r="F52" s="16">
        <f>IFERROR(F49/F211,"n/a")</f>
        <v>0.1386222473178995</v>
      </c>
      <c r="G52" s="16">
        <f>IFERROR(G49/G211,"n/a")</f>
        <v>0.1465972910472415</v>
      </c>
      <c r="H52" s="32">
        <f>IFERROR(H49/H211,"n/a")</f>
        <v>0.13343161000081669</v>
      </c>
    </row>
    <row r="53">
      <c r="B53" s="25" t="s">
        <v>104</v>
      </c>
      <c r="C53" s="16" t="s">
        <v>37</v>
      </c>
      <c r="D53" s="16" t="s">
        <v>37</v>
      </c>
      <c r="E53" s="16" t="s">
        <v>37</v>
      </c>
      <c r="F53" s="16" t="s">
        <v>37</v>
      </c>
      <c r="G53" s="16" t="s">
        <v>37</v>
      </c>
      <c r="H53" s="43">
        <v>0</v>
      </c>
    </row>
    <row r="54">
      <c r="B54" s="25" t="s">
        <v>105</v>
      </c>
      <c r="C54" s="16" t="s">
        <v>37</v>
      </c>
      <c r="D54" s="16" t="s">
        <v>37</v>
      </c>
      <c r="E54" s="16" t="s">
        <v>37</v>
      </c>
      <c r="F54" s="16" t="s">
        <v>37</v>
      </c>
      <c r="G54" s="16" t="s">
        <v>37</v>
      </c>
      <c r="H54" s="43">
        <v>0</v>
      </c>
    </row>
    <row r="55">
      <c r="B55" s="25" t="s">
        <v>106</v>
      </c>
      <c r="C55" s="16" t="str">
        <f>IF(AND(ISNUMBER(C50),ISNUMBER(C53),ISNUMBER(C54)),(1+C50)/((1+C53)*(1+C54))-1,"n/a")</f>
        <v>n/a</v>
      </c>
      <c r="D55" s="16" t="str">
        <f>IF(AND(ISNUMBER(D50),ISNUMBER(D53),ISNUMBER(D54)),(1+D50)/((1+D53)*(1+D54))-1,"n/a")</f>
        <v>n/a</v>
      </c>
      <c r="E55" s="16" t="str">
        <f>IF(AND(ISNUMBER(E50),ISNUMBER(E53),ISNUMBER(E54)),(1+E50)/((1+E53)*(1+E54))-1,"n/a")</f>
        <v>n/a</v>
      </c>
      <c r="F55" s="16" t="str">
        <f>IF(AND(ISNUMBER(F50),ISNUMBER(F53),ISNUMBER(F54)),(1+F50)/((1+F53)*(1+F54))-1,"n/a")</f>
        <v>n/a</v>
      </c>
      <c r="G55" s="16" t="str">
        <f>IF(AND(ISNUMBER(G50),ISNUMBER(G53),ISNUMBER(G54)),(1+G50)/((1+G53)*(1+G54))-1,"n/a")</f>
        <v>n/a</v>
      </c>
      <c r="H55" s="32">
        <f>IF(AND(ISNUMBER(H50),ISNUMBER(H53),ISNUMBER(H54)),(1+H50)/((1+H53)*(1+H54))-1,"n/a")</f>
        <v>0.11120341455496918</v>
      </c>
    </row>
    <row r="56">
      <c r="B56" s="1" t="s">
        <v>112</v>
      </c>
      <c r="C56" s="23">
        <v>344</v>
      </c>
      <c r="D56" s="23">
        <v>363</v>
      </c>
      <c r="E56" s="23">
        <v>371</v>
      </c>
      <c r="F56" s="23">
        <v>387</v>
      </c>
      <c r="G56" s="23">
        <v>1332</v>
      </c>
      <c r="H56" s="30">
        <f>H665</f>
        <v>408.3281090462841</v>
      </c>
    </row>
    <row r="57">
      <c r="B57" s="25" t="s">
        <v>101</v>
      </c>
      <c r="C57" s="21">
        <f>IFERROR(C56/Inputs!C136-1,"n/a")</f>
        <v>0.08176100628930816</v>
      </c>
      <c r="D57" s="21">
        <f>IFERROR(D56/Inputs!D136-1,"n/a")</f>
        <v>0.13793103448275867</v>
      </c>
      <c r="E57" s="21">
        <f>IFERROR(E56/Inputs!E136-1,"n/a")</f>
        <v>0.18530351437699677</v>
      </c>
      <c r="F57" s="21">
        <f>IFERROR(F56/Inputs!F136-1,"n/a")</f>
        <v>0.24038461538461542</v>
      </c>
      <c r="G57" s="21">
        <f>IFERROR(G56/Inputs!G136-1,"n/a")</f>
        <v>0.06730769230769229</v>
      </c>
      <c r="H57" s="32">
        <f>IFERROR(H56/C56-1,"n/a")</f>
        <v>0.18700031699501185</v>
      </c>
    </row>
    <row r="58">
      <c r="B58" s="25" t="s">
        <v>102</v>
      </c>
      <c r="C58" s="21">
        <f>IFERROR(C56/Inputs!F136-1,"n/a")</f>
        <v>0.10256410256410264</v>
      </c>
      <c r="D58" s="16">
        <f>IFERROR(D56/C56-1,"n/a")</f>
        <v>0.05523255813953498</v>
      </c>
      <c r="E58" s="16">
        <f>IFERROR(E56/D56-1,"n/a")</f>
        <v>0.02203856749311295</v>
      </c>
      <c r="F58" s="16">
        <f>IFERROR(F56/E56-1,"n/a")</f>
        <v>0.043126684636118684</v>
      </c>
      <c r="H58" s="32">
        <f>IFERROR(H56/F56-1,"n/a")</f>
        <v>0.0551113928844551</v>
      </c>
    </row>
    <row r="59">
      <c r="B59" s="25" t="s">
        <v>103</v>
      </c>
      <c r="C59" s="16">
        <f>IFERROR(C56/C211,"n/a")</f>
        <v>0.05284990013827009</v>
      </c>
      <c r="D59" s="16">
        <f>IFERROR(D56/D211,"n/a")</f>
        <v>0.05179794520547945</v>
      </c>
      <c r="E59" s="16">
        <f>IFERROR(E56/E211,"n/a")</f>
        <v>0.055389668557778445</v>
      </c>
      <c r="F59" s="16">
        <f>IFERROR(F56/F211,"n/a")</f>
        <v>0.054630152456239416</v>
      </c>
      <c r="G59" s="16">
        <f>IFERROR(G56/G211,"n/a")</f>
        <v>0.055004955401387515</v>
      </c>
      <c r="H59" s="32">
        <f>IFERROR(H56/H211,"n/a")</f>
        <v>0.05411856082457364</v>
      </c>
    </row>
    <row r="60">
      <c r="B60" s="25" t="s">
        <v>104</v>
      </c>
      <c r="C60" s="46">
        <v>0</v>
      </c>
      <c r="D60" s="46">
        <v>0</v>
      </c>
      <c r="E60" s="46">
        <v>0</v>
      </c>
      <c r="F60" s="46">
        <v>0</v>
      </c>
      <c r="G60" s="46">
        <v>0</v>
      </c>
      <c r="H60" s="43">
        <v>0</v>
      </c>
    </row>
    <row r="61">
      <c r="B61" s="25" t="s">
        <v>105</v>
      </c>
      <c r="C61" s="16" t="s">
        <v>37</v>
      </c>
      <c r="D61" s="16" t="s">
        <v>37</v>
      </c>
      <c r="E61" s="16" t="s">
        <v>37</v>
      </c>
      <c r="F61" s="16" t="s">
        <v>37</v>
      </c>
      <c r="G61" s="16" t="s">
        <v>37</v>
      </c>
      <c r="H61" s="43">
        <v>0</v>
      </c>
    </row>
    <row r="62">
      <c r="B62" s="25" t="s">
        <v>106</v>
      </c>
      <c r="C62" s="16" t="str">
        <f>IF(AND(ISNUMBER(C57),ISNUMBER(C60),ISNUMBER(C61)),(1+C57)/((1+C60)*(1+C61))-1,"n/a")</f>
        <v>n/a</v>
      </c>
      <c r="D62" s="16" t="str">
        <f>IF(AND(ISNUMBER(D57),ISNUMBER(D60),ISNUMBER(D61)),(1+D57)/((1+D60)*(1+D61))-1,"n/a")</f>
        <v>n/a</v>
      </c>
      <c r="E62" s="16" t="str">
        <f>IF(AND(ISNUMBER(E57),ISNUMBER(E60),ISNUMBER(E61)),(1+E57)/((1+E60)*(1+E61))-1,"n/a")</f>
        <v>n/a</v>
      </c>
      <c r="F62" s="16" t="str">
        <f>IF(AND(ISNUMBER(F57),ISNUMBER(F60),ISNUMBER(F61)),(1+F57)/((1+F60)*(1+F61))-1,"n/a")</f>
        <v>n/a</v>
      </c>
      <c r="G62" s="16" t="str">
        <f>IF(AND(ISNUMBER(G57),ISNUMBER(G60),ISNUMBER(G61)),(1+G57)/((1+G60)*(1+G61))-1,"n/a")</f>
        <v>n/a</v>
      </c>
      <c r="H62" s="32">
        <f>IF(AND(ISNUMBER(H57),ISNUMBER(H60),ISNUMBER(H61)),(1+H57)/((1+H60)*(1+H61))-1,"n/a")</f>
        <v>0.18700031699501185</v>
      </c>
    </row>
    <row r="63">
      <c r="B63" s="1" t="s">
        <v>113</v>
      </c>
      <c r="C63" s="23">
        <v>653</v>
      </c>
      <c r="D63" s="23">
        <v>663</v>
      </c>
      <c r="E63" s="23">
        <v>658</v>
      </c>
      <c r="F63" s="23">
        <v>639</v>
      </c>
      <c r="G63" s="23">
        <v>2350</v>
      </c>
      <c r="H63" s="30">
        <f>H673</f>
        <v>656.7400663125774</v>
      </c>
    </row>
    <row r="64">
      <c r="B64" s="25" t="s">
        <v>101</v>
      </c>
      <c r="C64" s="21">
        <f>IFERROR(C63/Inputs!C137-1,"n/a")</f>
        <v>1.7787234042553193</v>
      </c>
      <c r="D64" s="21">
        <f>IFERROR(D63/Inputs!D137-1,"n/a")</f>
        <v>0.3812500000000001</v>
      </c>
      <c r="E64" s="21">
        <f>IFERROR(E63/Inputs!E137-1,"n/a")</f>
        <v>0.22990654205607486</v>
      </c>
      <c r="F64" s="21">
        <f>IFERROR(F63/Inputs!F137-1,"n/a")</f>
        <v>0.28056112224448904</v>
      </c>
      <c r="G64" s="21">
        <f>IFERROR(G63/Inputs!G137-1,"n/a")</f>
        <v>0.9648829431438126</v>
      </c>
      <c r="H64" s="32">
        <f>IFERROR(H63/C63-1,"n/a")</f>
        <v>0.005727513495524361</v>
      </c>
    </row>
    <row r="65">
      <c r="B65" s="25" t="s">
        <v>102</v>
      </c>
      <c r="C65" s="21">
        <f>IFERROR(C63/Inputs!F137-1,"n/a")</f>
        <v>0.30861723446893796</v>
      </c>
      <c r="D65" s="16">
        <f>IFERROR(D63/C63-1,"n/a")</f>
        <v>0.015313935681470214</v>
      </c>
      <c r="E65" s="16">
        <f>IFERROR(E63/D63-1,"n/a")</f>
        <v>-0.007541478129713397</v>
      </c>
      <c r="F65" s="16">
        <f>IFERROR(F63/E63-1,"n/a")</f>
        <v>-0.028875379939209744</v>
      </c>
      <c r="H65" s="32">
        <f>IFERROR(H63/F63-1,"n/a")</f>
        <v>0.02776223210105999</v>
      </c>
    </row>
    <row r="66">
      <c r="B66" s="25" t="s">
        <v>103</v>
      </c>
      <c r="C66" s="16">
        <f>IFERROR(C63/C211,"n/a")</f>
        <v>0.10032263020433246</v>
      </c>
      <c r="D66" s="16">
        <f>IFERROR(D63/D211,"n/a")</f>
        <v>0.09460616438356165</v>
      </c>
      <c r="E66" s="16">
        <f>IFERROR(E63/E211,"n/a")</f>
        <v>0.09823828008360705</v>
      </c>
      <c r="F66" s="16">
        <f>IFERROR(F63/F211,"n/a")</f>
        <v>0.09020327498588368</v>
      </c>
      <c r="G66" s="16">
        <f>IFERROR(G63/G211,"n/a")</f>
        <v>0.09704327717211761</v>
      </c>
      <c r="H66" s="32">
        <f>IFERROR(H63/H211,"n/a")</f>
        <v>0.08704232316429401</v>
      </c>
    </row>
    <row r="67">
      <c r="B67" s="25" t="s">
        <v>104</v>
      </c>
      <c r="C67" s="21">
        <f>IFERROR((C798+C799)/Inputs!C137,"n/a")</f>
        <v>1.872340425531915</v>
      </c>
      <c r="D67" s="21">
        <f>IFERROR(D799/Inputs!D137,"n/a")</f>
        <v>0.4791666666666667</v>
      </c>
      <c r="E67" s="21">
        <f>IFERROR(E799/Inputs!E137,"n/a")</f>
        <v>0.42990654205607476</v>
      </c>
      <c r="F67" s="21">
        <f>IFERROR(F799/Inputs!F137,"n/a")</f>
        <v>0.46092184368737477</v>
      </c>
      <c r="G67" s="16" t="s">
        <v>37</v>
      </c>
      <c r="H67" s="43">
        <v>0</v>
      </c>
    </row>
    <row r="68">
      <c r="B68" s="25" t="s">
        <v>105</v>
      </c>
      <c r="C68" s="16" t="s">
        <v>37</v>
      </c>
      <c r="D68" s="16" t="s">
        <v>37</v>
      </c>
      <c r="E68" s="16" t="s">
        <v>37</v>
      </c>
      <c r="F68" s="16" t="s">
        <v>37</v>
      </c>
      <c r="G68" s="16" t="s">
        <v>37</v>
      </c>
      <c r="H68" s="43">
        <v>0</v>
      </c>
    </row>
    <row r="69">
      <c r="B69" s="25" t="s">
        <v>106</v>
      </c>
      <c r="C69" s="16" t="str">
        <f>IF(AND(ISNUMBER(C64),ISNUMBER(C67),ISNUMBER(C68)),(1+C64)/((1+C67)*(1+C68))-1,"n/a")</f>
        <v>n/a</v>
      </c>
      <c r="D69" s="16" t="str">
        <f>IF(AND(ISNUMBER(D64),ISNUMBER(D67),ISNUMBER(D68)),(1+D64)/((1+D67)*(1+D68))-1,"n/a")</f>
        <v>n/a</v>
      </c>
      <c r="E69" s="16" t="str">
        <f>IF(AND(ISNUMBER(E64),ISNUMBER(E67),ISNUMBER(E68)),(1+E64)/((1+E67)*(1+E68))-1,"n/a")</f>
        <v>n/a</v>
      </c>
      <c r="F69" s="16" t="str">
        <f>IF(AND(ISNUMBER(F64),ISNUMBER(F67),ISNUMBER(F68)),(1+F64)/((1+F67)*(1+F68))-1,"n/a")</f>
        <v>n/a</v>
      </c>
      <c r="G69" s="16" t="str">
        <f>IF(AND(ISNUMBER(G64),ISNUMBER(G67),ISNUMBER(G68)),(1+G64)/((1+G67)*(1+G68))-1,"n/a")</f>
        <v>n/a</v>
      </c>
      <c r="H69" s="32">
        <f>IF(AND(ISNUMBER(H64),ISNUMBER(H67),ISNUMBER(H68)),(1+H64)/((1+H67)*(1+H68))-1,"n/a")</f>
        <v>0.005727513495524361</v>
      </c>
    </row>
    <row r="70">
      <c r="B70" s="1" t="s">
        <v>114</v>
      </c>
      <c r="C70" s="23">
        <v>178</v>
      </c>
      <c r="D70" s="23">
        <v>184</v>
      </c>
      <c r="E70" s="23">
        <v>197</v>
      </c>
      <c r="F70" s="23">
        <v>212</v>
      </c>
      <c r="G70" s="23">
        <v>669</v>
      </c>
      <c r="H70" s="30">
        <f>H681</f>
        <v>231.76429368444707</v>
      </c>
    </row>
    <row r="71">
      <c r="B71" s="25" t="s">
        <v>101</v>
      </c>
      <c r="C71" s="21">
        <f>IFERROR(C70/Inputs!C138-1,"n/a")</f>
        <v>0.2447552447552448</v>
      </c>
      <c r="D71" s="21">
        <f>IFERROR(D70/Inputs!D138-1,"n/a")</f>
        <v>0.26027397260273966</v>
      </c>
      <c r="E71" s="21">
        <f>IFERROR(E70/Inputs!E138-1,"n/a")</f>
        <v>0.31333333333333324</v>
      </c>
      <c r="F71" s="21">
        <f>IFERROR(F70/Inputs!F138-1,"n/a")</f>
        <v>0.35031847133757954</v>
      </c>
      <c r="G71" s="21">
        <f>IFERROR(G70/Inputs!G138-1,"n/a")</f>
        <v>0.17781690140845074</v>
      </c>
      <c r="H71" s="32">
        <f>IFERROR(H70/C70-1,"n/a")</f>
        <v>0.3020465937328487</v>
      </c>
    </row>
    <row r="72">
      <c r="B72" s="25" t="s">
        <v>102</v>
      </c>
      <c r="C72" s="21">
        <f>IFERROR(C70/Inputs!F138-1,"n/a")</f>
        <v>0.13375796178343946</v>
      </c>
      <c r="D72" s="16">
        <f>IFERROR(D70/C70-1,"n/a")</f>
        <v>0.03370786516853941</v>
      </c>
      <c r="E72" s="16">
        <f>IFERROR(E70/D70-1,"n/a")</f>
        <v>0.07065217391304346</v>
      </c>
      <c r="F72" s="16">
        <f>IFERROR(F70/E70-1,"n/a")</f>
        <v>0.07614213197969533</v>
      </c>
      <c r="H72" s="32">
        <f>IFERROR(H70/F70-1,"n/a")</f>
        <v>0.09322780039833534</v>
      </c>
    </row>
    <row r="73">
      <c r="B73" s="25" t="s">
        <v>103</v>
      </c>
      <c r="C73" s="16">
        <f>IFERROR(C70/C211,"n/a")</f>
        <v>0.027346750652942082</v>
      </c>
      <c r="D73" s="16">
        <f>IFERROR(D70/D211,"n/a")</f>
        <v>0.026255707762557076</v>
      </c>
      <c r="E73" s="16">
        <f>IFERROR(E70/E211,"n/a")</f>
        <v>0.029411764705882353</v>
      </c>
      <c r="F73" s="16">
        <f>IFERROR(F70/F211,"n/a")</f>
        <v>0.029926595143986448</v>
      </c>
      <c r="G73" s="16">
        <f>IFERROR(G70/G211,"n/a")</f>
        <v>0.027626362735381566</v>
      </c>
      <c r="H73" s="32">
        <f>IFERROR(H70/H211,"n/a")</f>
        <v>0.030717331838902066</v>
      </c>
    </row>
    <row r="74">
      <c r="B74" s="25" t="s">
        <v>104</v>
      </c>
      <c r="C74" s="16" t="s">
        <v>37</v>
      </c>
      <c r="D74" s="16" t="s">
        <v>37</v>
      </c>
      <c r="E74" s="16" t="s">
        <v>37</v>
      </c>
      <c r="F74" s="16" t="s">
        <v>37</v>
      </c>
      <c r="G74" s="16" t="s">
        <v>37</v>
      </c>
      <c r="H74" s="43">
        <v>0</v>
      </c>
    </row>
    <row r="75">
      <c r="B75" s="25" t="s">
        <v>105</v>
      </c>
      <c r="C75" s="16" t="s">
        <v>37</v>
      </c>
      <c r="D75" s="16" t="s">
        <v>37</v>
      </c>
      <c r="E75" s="16" t="s">
        <v>37</v>
      </c>
      <c r="F75" s="16" t="s">
        <v>37</v>
      </c>
      <c r="G75" s="16" t="s">
        <v>37</v>
      </c>
      <c r="H75" s="43">
        <v>0</v>
      </c>
    </row>
    <row r="76">
      <c r="B76" s="25" t="s">
        <v>106</v>
      </c>
      <c r="C76" s="16" t="str">
        <f>IF(AND(ISNUMBER(C71),ISNUMBER(C74),ISNUMBER(C75)),(1+C71)/((1+C74)*(1+C75))-1,"n/a")</f>
        <v>n/a</v>
      </c>
      <c r="D76" s="16" t="str">
        <f>IF(AND(ISNUMBER(D71),ISNUMBER(D74),ISNUMBER(D75)),(1+D71)/((1+D74)*(1+D75))-1,"n/a")</f>
        <v>n/a</v>
      </c>
      <c r="E76" s="16" t="str">
        <f>IF(AND(ISNUMBER(E71),ISNUMBER(E74),ISNUMBER(E75)),(1+E71)/((1+E74)*(1+E75))-1,"n/a")</f>
        <v>n/a</v>
      </c>
      <c r="F76" s="16" t="str">
        <f>IF(AND(ISNUMBER(F71),ISNUMBER(F74),ISNUMBER(F75)),(1+F71)/((1+F74)*(1+F75))-1,"n/a")</f>
        <v>n/a</v>
      </c>
      <c r="G76" s="16" t="str">
        <f>IF(AND(ISNUMBER(G71),ISNUMBER(G74),ISNUMBER(G75)),(1+G71)/((1+G74)*(1+G75))-1,"n/a")</f>
        <v>n/a</v>
      </c>
      <c r="H76" s="32">
        <f>IF(AND(ISNUMBER(H71),ISNUMBER(H74),ISNUMBER(H75)),(1+H71)/((1+H74)*(1+H75))-1,"n/a")</f>
        <v>0.3020465937328487</v>
      </c>
    </row>
    <row r="77">
      <c r="B77" s="2" t="s">
        <v>115</v>
      </c>
      <c r="C77" s="42">
        <f>C63+C70</f>
        <v>831</v>
      </c>
      <c r="D77" s="42">
        <f>D63+D70</f>
        <v>847</v>
      </c>
      <c r="E77" s="42">
        <f>E63+E70</f>
        <v>855</v>
      </c>
      <c r="F77" s="42">
        <f>F63+F70</f>
        <v>851</v>
      </c>
      <c r="G77" s="42">
        <f>G63+G70</f>
        <v>3019</v>
      </c>
      <c r="H77" s="41">
        <f>H63+H70</f>
        <v>888.5043599970245</v>
      </c>
    </row>
    <row r="78">
      <c r="B78" s="25" t="s">
        <v>101</v>
      </c>
      <c r="C78" s="21">
        <f>IFERROR(C77/(Inputs!C137+Inputs!C138)-1,"n/a")</f>
        <v>1.1984126984126986</v>
      </c>
      <c r="D78" s="21">
        <f>IFERROR(D77/(Inputs!D137+Inputs!D138)-1,"n/a")</f>
        <v>0.35303514376996814</v>
      </c>
      <c r="E78" s="21">
        <f>IFERROR(E77/(Inputs!E137+Inputs!E138)-1,"n/a")</f>
        <v>0.24817518248175174</v>
      </c>
      <c r="F78" s="21">
        <f>IFERROR(F77/(Inputs!F137+Inputs!F138)-1,"n/a")</f>
        <v>0.2972560975609757</v>
      </c>
      <c r="G78" s="21">
        <f>IFERROR(G77/(Inputs!G137+Inputs!G138)-1,"n/a")</f>
        <v>0.711451247165533</v>
      </c>
      <c r="H78" s="32">
        <f>IFERROR(H77/C77-1,"n/a")</f>
        <v>0.06919898916609446</v>
      </c>
    </row>
    <row r="79">
      <c r="B79" s="25" t="s">
        <v>102</v>
      </c>
      <c r="C79" s="21">
        <f>IFERROR(C77/(Inputs!F137+Inputs!F138)-1,"n/a")</f>
        <v>0.2667682926829269</v>
      </c>
      <c r="D79" s="16">
        <f>IFERROR(D77/C77-1,"n/a")</f>
        <v>0.019253910950661757</v>
      </c>
      <c r="E79" s="16">
        <f>IFERROR(E77/D77-1,"n/a")</f>
        <v>0.009445100354191327</v>
      </c>
      <c r="F79" s="16">
        <f>IFERROR(F77/E77-1,"n/a")</f>
        <v>-0.004678362573099393</v>
      </c>
      <c r="H79" s="32">
        <f>IFERROR(H77/F77-1,"n/a")</f>
        <v>0.04407092831612758</v>
      </c>
    </row>
    <row r="80">
      <c r="B80" s="25" t="s">
        <v>103</v>
      </c>
      <c r="C80" s="16">
        <f>IFERROR(C77/C211,"n/a")</f>
        <v>0.12766938085727456</v>
      </c>
      <c r="D80" s="16">
        <f>IFERROR(D77/D211,"n/a")</f>
        <v>0.12086187214611872</v>
      </c>
      <c r="E80" s="16">
        <f>IFERROR(E77/E211,"n/a")</f>
        <v>0.1276500447894894</v>
      </c>
      <c r="F80" s="16">
        <f>IFERROR(F77/F211,"n/a")</f>
        <v>0.12012987012987013</v>
      </c>
      <c r="G80" s="16">
        <f>IFERROR(G77/G211,"n/a")</f>
        <v>0.12466963990749917</v>
      </c>
      <c r="H80" s="32">
        <f>IFERROR(H77/H211,"n/a")</f>
        <v>0.11775965500319609</v>
      </c>
    </row>
    <row r="81">
      <c r="B81" s="25" t="s">
        <v>104</v>
      </c>
      <c r="C81" s="21">
        <f>IFERROR((C798+C799)/(Inputs!C137+Inputs!C138),"n/a")</f>
        <v>1.164021164021164</v>
      </c>
      <c r="D81" s="21">
        <f>IFERROR((D798+D799)/(Inputs!D137+Inputs!D138),"n/a")</f>
        <v>0.36741214057507987</v>
      </c>
      <c r="E81" s="21">
        <f>IFERROR((E798+E799)/(Inputs!E137+Inputs!E138),"n/a")</f>
        <v>0.3357664233576642</v>
      </c>
      <c r="F81" s="21">
        <f>IFERROR((F798+F799)/(Inputs!F137+Inputs!F138),"n/a")</f>
        <v>0.35060975609756095</v>
      </c>
      <c r="G81" s="16" t="s">
        <v>37</v>
      </c>
      <c r="H81" s="43">
        <v>0</v>
      </c>
    </row>
    <row r="82">
      <c r="B82" s="25" t="s">
        <v>105</v>
      </c>
      <c r="C82" s="16" t="s">
        <v>37</v>
      </c>
      <c r="D82" s="16" t="s">
        <v>37</v>
      </c>
      <c r="E82" s="16" t="s">
        <v>37</v>
      </c>
      <c r="F82" s="16" t="s">
        <v>37</v>
      </c>
      <c r="G82" s="16" t="s">
        <v>37</v>
      </c>
      <c r="H82" s="43">
        <v>0</v>
      </c>
    </row>
    <row r="83">
      <c r="B83" s="25" t="s">
        <v>106</v>
      </c>
      <c r="C83" s="16" t="str">
        <f>IF(AND(ISNUMBER(C78),ISNUMBER(C81),ISNUMBER(C82)),(1+C78)/((1+C81)*(1+C82))-1,"n/a")</f>
        <v>n/a</v>
      </c>
      <c r="D83" s="16" t="str">
        <f>IF(AND(ISNUMBER(D78),ISNUMBER(D81),ISNUMBER(D82)),(1+D78)/((1+D81)*(1+D82))-1,"n/a")</f>
        <v>n/a</v>
      </c>
      <c r="E83" s="16" t="str">
        <f>IF(AND(ISNUMBER(E78),ISNUMBER(E81),ISNUMBER(E82)),(1+E78)/((1+E81)*(1+E82))-1,"n/a")</f>
        <v>n/a</v>
      </c>
      <c r="F83" s="16" t="str">
        <f>IF(AND(ISNUMBER(F78),ISNUMBER(F81),ISNUMBER(F82)),(1+F78)/((1+F81)*(1+F82))-1,"n/a")</f>
        <v>n/a</v>
      </c>
      <c r="G83" s="16" t="str">
        <f>IF(AND(ISNUMBER(G78),ISNUMBER(G81),ISNUMBER(G82)),(1+G78)/((1+G81)*(1+G82))-1,"n/a")</f>
        <v>n/a</v>
      </c>
      <c r="H83" s="32">
        <f>IF(AND(ISNUMBER(H78),ISNUMBER(H81),ISNUMBER(H82)),(1+H78)/((1+H81)*(1+H82))-1,"n/a")</f>
        <v>0.06919898916609446</v>
      </c>
    </row>
    <row r="84">
      <c r="B84" s="1" t="s">
        <v>116</v>
      </c>
      <c r="C84" s="23">
        <v>353</v>
      </c>
      <c r="D84" s="23">
        <v>348</v>
      </c>
      <c r="E84" s="23">
        <v>342</v>
      </c>
      <c r="F84" s="23">
        <v>385</v>
      </c>
      <c r="G84" s="23">
        <v>1321</v>
      </c>
      <c r="H84" s="30">
        <f>H689</f>
        <v>408.6786684085572</v>
      </c>
    </row>
    <row r="85">
      <c r="B85" s="25" t="s">
        <v>101</v>
      </c>
      <c r="C85" s="21">
        <f>IFERROR(C84/Inputs!C139-1,"n/a")</f>
        <v>0.18456375838926165</v>
      </c>
      <c r="D85" s="21">
        <f>IFERROR(D84/Inputs!D139-1,"n/a")</f>
        <v>0.11538461538461542</v>
      </c>
      <c r="E85" s="21">
        <f>IFERROR(E84/Inputs!E139-1,"n/a")</f>
        <v>0.1140065146579805</v>
      </c>
      <c r="F85" s="21">
        <f>IFERROR(F84/Inputs!F139-1,"n/a")</f>
        <v>0.23003194888178924</v>
      </c>
      <c r="G85" s="21">
        <f>IFERROR(G84/Inputs!G139-1,"n/a")</f>
        <v>0.11665257819103969</v>
      </c>
      <c r="H85" s="32">
        <f>IFERROR(H84/C84-1,"n/a")</f>
        <v>0.15772993883443975</v>
      </c>
    </row>
    <row r="86">
      <c r="B86" s="25" t="s">
        <v>102</v>
      </c>
      <c r="C86" s="21">
        <f>IFERROR(C84/Inputs!F139-1,"n/a")</f>
        <v>0.12779552715654963</v>
      </c>
      <c r="D86" s="16">
        <f>IFERROR(D84/C84-1,"n/a")</f>
        <v>-0.014164305949008527</v>
      </c>
      <c r="E86" s="16">
        <f>IFERROR(E84/D84-1,"n/a")</f>
        <v>-0.017241379310344862</v>
      </c>
      <c r="F86" s="16">
        <f>IFERROR(F84/E84-1,"n/a")</f>
        <v>0.1257309941520468</v>
      </c>
      <c r="H86" s="32">
        <f>IFERROR(H84/F84-1,"n/a")</f>
        <v>0.061503034827421255</v>
      </c>
    </row>
    <row r="87">
      <c r="B87" s="25" t="s">
        <v>103</v>
      </c>
      <c r="C87" s="16">
        <f>IFERROR(C84/C211,"n/a")</f>
        <v>0.05423260101398064</v>
      </c>
      <c r="D87" s="16">
        <f>IFERROR(D84/D211,"n/a")</f>
        <v>0.04965753424657534</v>
      </c>
      <c r="E87" s="16">
        <f>IFERROR(E84/E211,"n/a")</f>
        <v>0.05106001791579576</v>
      </c>
      <c r="F87" s="16">
        <f>IFERROR(F84/F211,"n/a")</f>
        <v>0.05434782608695652</v>
      </c>
      <c r="G87" s="16">
        <f>IFERROR(G84/G211,"n/a")</f>
        <v>0.054550710274198874</v>
      </c>
      <c r="H87" s="32">
        <f>IFERROR(H84/H211,"n/a")</f>
        <v>0.05416502289208624</v>
      </c>
    </row>
    <row r="88">
      <c r="B88" s="25" t="s">
        <v>104</v>
      </c>
      <c r="C88" s="46">
        <v>0</v>
      </c>
      <c r="D88" s="46">
        <v>0</v>
      </c>
      <c r="E88" s="46">
        <v>0</v>
      </c>
      <c r="F88" s="46">
        <v>0</v>
      </c>
      <c r="G88" s="46">
        <v>0</v>
      </c>
      <c r="H88" s="43">
        <v>0</v>
      </c>
    </row>
    <row r="89">
      <c r="B89" s="25" t="s">
        <v>105</v>
      </c>
      <c r="C89" s="16" t="s">
        <v>37</v>
      </c>
      <c r="D89" s="16" t="s">
        <v>37</v>
      </c>
      <c r="E89" s="16" t="s">
        <v>37</v>
      </c>
      <c r="F89" s="16" t="s">
        <v>37</v>
      </c>
      <c r="G89" s="16" t="s">
        <v>37</v>
      </c>
      <c r="H89" s="43">
        <v>0</v>
      </c>
    </row>
    <row r="90">
      <c r="B90" s="25" t="s">
        <v>106</v>
      </c>
      <c r="C90" s="16" t="str">
        <f>IF(AND(ISNUMBER(C85),ISNUMBER(C88),ISNUMBER(C89)),(1+C85)/((1+C88)*(1+C89))-1,"n/a")</f>
        <v>n/a</v>
      </c>
      <c r="D90" s="16" t="str">
        <f>IF(AND(ISNUMBER(D85),ISNUMBER(D88),ISNUMBER(D89)),(1+D85)/((1+D88)*(1+D89))-1,"n/a")</f>
        <v>n/a</v>
      </c>
      <c r="E90" s="16" t="str">
        <f>IF(AND(ISNUMBER(E85),ISNUMBER(E88),ISNUMBER(E89)),(1+E85)/((1+E88)*(1+E89))-1,"n/a")</f>
        <v>n/a</v>
      </c>
      <c r="F90" s="16" t="str">
        <f>IF(AND(ISNUMBER(F85),ISNUMBER(F88),ISNUMBER(F89)),(1+F85)/((1+F88)*(1+F89))-1,"n/a")</f>
        <v>n/a</v>
      </c>
      <c r="G90" s="16" t="str">
        <f>IF(AND(ISNUMBER(G85),ISNUMBER(G88),ISNUMBER(G89)),(1+G85)/((1+G88)*(1+G89))-1,"n/a")</f>
        <v>n/a</v>
      </c>
      <c r="H90" s="32">
        <f>IF(AND(ISNUMBER(H85),ISNUMBER(H88),ISNUMBER(H89)),(1+H85)/((1+H88)*(1+H89))-1,"n/a")</f>
        <v>0.15772993883443975</v>
      </c>
    </row>
    <row r="91" ht="27">
      <c r="B91" s="100" t="s">
        <v>117</v>
      </c>
      <c r="C91" s="23">
        <v>140</v>
      </c>
      <c r="D91" s="23">
        <v>162</v>
      </c>
      <c r="E91" s="23">
        <v>179</v>
      </c>
      <c r="F91" s="23">
        <v>163</v>
      </c>
      <c r="G91" s="23">
        <v>502</v>
      </c>
      <c r="H91" s="30">
        <f>H697</f>
        <v>154.36324218060068</v>
      </c>
    </row>
    <row r="92">
      <c r="B92" s="25" t="s">
        <v>101</v>
      </c>
      <c r="C92" s="21">
        <f>IFERROR(C91/Inputs!C140-1,"n/a")</f>
        <v>1.2222222222222223</v>
      </c>
      <c r="D92" s="21">
        <f>IFERROR(D91/Inputs!D140-1,"n/a")</f>
        <v>1.025</v>
      </c>
      <c r="E92" s="21">
        <f>IFERROR(E91/Inputs!E140-1,"n/a")</f>
        <v>0.9456521739130435</v>
      </c>
      <c r="F92" s="21">
        <f>IFERROR(F91/Inputs!F140-1,"n/a")</f>
        <v>0.5092592592592593</v>
      </c>
      <c r="G92" s="21">
        <f>IFERROR(G91/Inputs!G140-1,"n/a")</f>
        <v>1.0323886639676112</v>
      </c>
      <c r="H92" s="32">
        <f>IFERROR(H91/C91-1,"n/a")</f>
        <v>0.10259458700429058</v>
      </c>
    </row>
    <row r="93">
      <c r="B93" s="25" t="s">
        <v>102</v>
      </c>
      <c r="C93" s="21">
        <f>IFERROR(C91/Inputs!F140-1,"n/a")</f>
        <v>0.2962962962962963</v>
      </c>
      <c r="D93" s="16">
        <f>IFERROR(D91/C91-1,"n/a")</f>
        <v>0.15714285714285725</v>
      </c>
      <c r="E93" s="16">
        <f>IFERROR(E91/D91-1,"n/a")</f>
        <v>0.1049382716049383</v>
      </c>
      <c r="F93" s="16">
        <f>IFERROR(F91/E91-1,"n/a")</f>
        <v>-0.08938547486033521</v>
      </c>
      <c r="H93" s="32">
        <f>IFERROR(H91/F91-1,"n/a")</f>
        <v>-0.05298624429079335</v>
      </c>
    </row>
    <row r="94">
      <c r="B94" s="25" t="s">
        <v>103</v>
      </c>
      <c r="C94" s="16">
        <f>IFERROR(C91/C211,"n/a")</f>
        <v>0.02150868028883085</v>
      </c>
      <c r="D94" s="16">
        <f>IFERROR(D91/D211,"n/a")</f>
        <v>0.023116438356164382</v>
      </c>
      <c r="E94" s="16">
        <f>IFERROR(E91/E211,"n/a")</f>
        <v>0.026724395341893102</v>
      </c>
      <c r="F94" s="16">
        <f>IFERROR(F91/F211,"n/a")</f>
        <v>0.02300959909655562</v>
      </c>
      <c r="G94" s="16">
        <f>IFERROR(G91/G211,"n/a")</f>
        <v>0.020730095804426824</v>
      </c>
      <c r="H94" s="32">
        <f>IFERROR(H91/H211,"n/a")</f>
        <v>0.020458832801251776</v>
      </c>
    </row>
    <row r="95">
      <c r="B95" s="25" t="s">
        <v>104</v>
      </c>
      <c r="C95" s="46">
        <v>0</v>
      </c>
      <c r="D95" s="46">
        <v>0</v>
      </c>
      <c r="E95" s="46">
        <v>0</v>
      </c>
      <c r="F95" s="46">
        <v>0</v>
      </c>
      <c r="G95" s="46">
        <v>0</v>
      </c>
      <c r="H95" s="43">
        <v>0</v>
      </c>
    </row>
    <row r="96">
      <c r="B96" s="25" t="s">
        <v>105</v>
      </c>
      <c r="C96" s="16" t="s">
        <v>37</v>
      </c>
      <c r="D96" s="16" t="s">
        <v>37</v>
      </c>
      <c r="E96" s="16" t="s">
        <v>37</v>
      </c>
      <c r="F96" s="16" t="s">
        <v>37</v>
      </c>
      <c r="G96" s="16" t="s">
        <v>37</v>
      </c>
      <c r="H96" s="43">
        <v>0</v>
      </c>
    </row>
    <row r="97">
      <c r="B97" s="25" t="s">
        <v>106</v>
      </c>
      <c r="C97" s="16" t="str">
        <f>IF(AND(ISNUMBER(C92),ISNUMBER(C95),ISNUMBER(C96)),(1+C92)/((1+C95)*(1+C96))-1,"n/a")</f>
        <v>n/a</v>
      </c>
      <c r="D97" s="16" t="str">
        <f>IF(AND(ISNUMBER(D92),ISNUMBER(D95),ISNUMBER(D96)),(1+D92)/((1+D95)*(1+D96))-1,"n/a")</f>
        <v>n/a</v>
      </c>
      <c r="E97" s="16" t="str">
        <f>IF(AND(ISNUMBER(E92),ISNUMBER(E95),ISNUMBER(E96)),(1+E92)/((1+E95)*(1+E96))-1,"n/a")</f>
        <v>n/a</v>
      </c>
      <c r="F97" s="16" t="str">
        <f>IF(AND(ISNUMBER(F92),ISNUMBER(F95),ISNUMBER(F96)),(1+F92)/((1+F95)*(1+F96))-1,"n/a")</f>
        <v>n/a</v>
      </c>
      <c r="G97" s="16" t="str">
        <f>IF(AND(ISNUMBER(G92),ISNUMBER(G95),ISNUMBER(G96)),(1+G92)/((1+G95)*(1+G96))-1,"n/a")</f>
        <v>n/a</v>
      </c>
      <c r="H97" s="32">
        <f>IF(AND(ISNUMBER(H92),ISNUMBER(H95),ISNUMBER(H96)),(1+H92)/((1+H95)*(1+H96))-1,"n/a")</f>
        <v>0.10259458700429058</v>
      </c>
    </row>
    <row r="98">
      <c r="B98" s="2" t="s">
        <v>118</v>
      </c>
      <c r="C98" s="42">
        <f>C14+C21+C35+C42+C56+C63+C70+C84+C91</f>
        <v>4728</v>
      </c>
      <c r="D98" s="42">
        <f>D14+D21+D35+D42+D56+D63+D70+D84+D91</f>
        <v>4948</v>
      </c>
      <c r="E98" s="42">
        <f>E14+E21+E35+E42+E56+E63+E70+E84+E91</f>
        <v>5098</v>
      </c>
      <c r="F98" s="42">
        <f>F14+F21+F35+F42+F56+F63+F70+F84+F91</f>
        <v>5383</v>
      </c>
      <c r="G98" s="42">
        <f>G14+G21+G35+G42+G56+G63+G70+G84+G91</f>
        <v>17934</v>
      </c>
      <c r="H98" s="41">
        <f>H14+H21+H35+H42+H56+H63+H70+H84+H91</f>
        <v>5679.89276586366</v>
      </c>
    </row>
    <row r="99">
      <c r="B99" s="25" t="s">
        <v>101</v>
      </c>
      <c r="C99" s="21">
        <f>IFERROR(C98/(Inputs!C132+Inputs!C133+Inputs!C134+Inputs!C135+Inputs!C136+Inputs!C137+Inputs!C138+Inputs!C139+Inputs!C140)-1,"n/a")</f>
        <v>0.2554434413170472</v>
      </c>
      <c r="D99" s="21">
        <f>IFERROR(D98/(Inputs!D132+Inputs!D133+Inputs!D134+Inputs!D135+Inputs!D136+Inputs!D137+Inputs!D138+Inputs!D139+Inputs!D140)-1,"n/a")</f>
        <v>0.19980601357904937</v>
      </c>
      <c r="E99" s="21">
        <f>IFERROR(E98/(Inputs!E132+Inputs!E133+Inputs!E134+Inputs!E135+Inputs!E136+Inputs!E137+Inputs!E138+Inputs!E139+Inputs!E140)-1,"n/a")</f>
        <v>0.24099318403115877</v>
      </c>
      <c r="F99" s="21">
        <f>IFERROR(F98/(Inputs!F132+Inputs!F133+Inputs!F134+Inputs!F135+Inputs!F136+Inputs!F137+Inputs!F138+Inputs!F139+Inputs!F140)-1,"n/a")</f>
        <v>0.29710843373493967</v>
      </c>
      <c r="G99" s="21">
        <f>IFERROR(G98/(Inputs!G132+Inputs!G133+Inputs!G134+Inputs!G135+Inputs!G136+Inputs!G137+Inputs!G138+Inputs!G139+Inputs!G140)-1,"n/a")</f>
        <v>0.1915487343033686</v>
      </c>
      <c r="H99" s="32">
        <f>IFERROR(H98/C98-1,"n/a")</f>
        <v>0.20133095724696703</v>
      </c>
    </row>
    <row r="100">
      <c r="B100" s="25" t="s">
        <v>102</v>
      </c>
      <c r="C100" s="21">
        <f>IFERROR(C98/(Inputs!F132+Inputs!F133+Inputs!F134+Inputs!F135+Inputs!F136+Inputs!F137+Inputs!F138+Inputs!F139+Inputs!F140)-1,"n/a")</f>
        <v>0.13927710843373498</v>
      </c>
      <c r="D100" s="16">
        <f>IFERROR(D98/C98-1,"n/a")</f>
        <v>0.04653130287648044</v>
      </c>
      <c r="E100" s="16">
        <f>IFERROR(E98/D98-1,"n/a")</f>
        <v>0.030315278900565845</v>
      </c>
      <c r="F100" s="16">
        <f>IFERROR(F98/E98-1,"n/a")</f>
        <v>0.055904276186739876</v>
      </c>
      <c r="H100" s="32">
        <f>IFERROR(H98/F98-1,"n/a")</f>
        <v>0.055153774078331885</v>
      </c>
    </row>
    <row r="101">
      <c r="B101" s="25" t="s">
        <v>103</v>
      </c>
      <c r="C101" s="16">
        <f>IFERROR(C98/C211,"n/a")</f>
        <v>0.7263788600399447</v>
      </c>
      <c r="D101" s="16">
        <f>IFERROR(D98/D211,"n/a")</f>
        <v>0.7060502283105022</v>
      </c>
      <c r="E101" s="16">
        <f>IFERROR(E98/E211,"n/a")</f>
        <v>0.7611227232009555</v>
      </c>
      <c r="F101" s="16">
        <f>IFERROR(F98/F211,"n/a")</f>
        <v>0.7598814229249012</v>
      </c>
      <c r="G101" s="16">
        <f>IFERROR(G98/G211,"n/a")</f>
        <v>0.7405847373637264</v>
      </c>
      <c r="H101" s="32">
        <f>IFERROR(H98/H211,"n/a")</f>
        <v>0.752795644768129</v>
      </c>
    </row>
    <row r="102">
      <c r="B102" s="25" t="s">
        <v>104</v>
      </c>
      <c r="C102" s="21">
        <f>IFERROR((C798+C799)/(Inputs!C132+Inputs!C133+Inputs!C134+Inputs!C135+Inputs!C136+Inputs!C137+Inputs!C138+Inputs!C139+Inputs!C140),"n/a")</f>
        <v>0.11683483802442911</v>
      </c>
      <c r="D102" s="21">
        <f>IFERROR((D798+D799)/(Inputs!D132+Inputs!D133+Inputs!D134+Inputs!D135+Inputs!D136+Inputs!D137+Inputs!D138+Inputs!D139+Inputs!D140),"n/a")</f>
        <v>0.05577109602327837</v>
      </c>
      <c r="E102" s="21">
        <f>IFERROR((E798+E799)/(Inputs!E132+Inputs!E133+Inputs!E134+Inputs!E135+Inputs!E136+Inputs!E137+Inputs!E138+Inputs!E139+Inputs!E140),"n/a")</f>
        <v>0.05598831548198637</v>
      </c>
      <c r="F102" s="21">
        <f>IFERROR((F798+F799)/(Inputs!F132+Inputs!F133+Inputs!F134+Inputs!F135+Inputs!F136+Inputs!F137+Inputs!F138+Inputs!F139+Inputs!F140),"n/a")</f>
        <v>0.05542168674698795</v>
      </c>
      <c r="G102" s="16" t="s">
        <v>37</v>
      </c>
      <c r="H102" s="43">
        <v>0</v>
      </c>
    </row>
    <row r="103">
      <c r="B103" s="25" t="s">
        <v>105</v>
      </c>
      <c r="C103" s="16" t="s">
        <v>37</v>
      </c>
      <c r="D103" s="16" t="s">
        <v>37</v>
      </c>
      <c r="E103" s="16" t="s">
        <v>37</v>
      </c>
      <c r="F103" s="16" t="s">
        <v>37</v>
      </c>
      <c r="G103" s="16" t="s">
        <v>37</v>
      </c>
      <c r="H103" s="43">
        <v>0</v>
      </c>
    </row>
    <row r="104">
      <c r="B104" s="25" t="s">
        <v>106</v>
      </c>
      <c r="C104" s="16" t="str">
        <f>IF(AND(ISNUMBER(C99),ISNUMBER(C102),ISNUMBER(C103)),(1+C99)/((1+C102)*(1+C103))-1,"n/a")</f>
        <v>n/a</v>
      </c>
      <c r="D104" s="16" t="str">
        <f>IF(AND(ISNUMBER(D99),ISNUMBER(D102),ISNUMBER(D103)),(1+D99)/((1+D102)*(1+D103))-1,"n/a")</f>
        <v>n/a</v>
      </c>
      <c r="E104" s="16" t="str">
        <f>IF(AND(ISNUMBER(E99),ISNUMBER(E102),ISNUMBER(E103)),(1+E99)/((1+E102)*(1+E103))-1,"n/a")</f>
        <v>n/a</v>
      </c>
      <c r="F104" s="16" t="str">
        <f>IF(AND(ISNUMBER(F99),ISNUMBER(F102),ISNUMBER(F103)),(1+F99)/((1+F102)*(1+F103))-1,"n/a")</f>
        <v>n/a</v>
      </c>
      <c r="G104" s="16" t="str">
        <f>IF(AND(ISNUMBER(G99),ISNUMBER(G102),ISNUMBER(G103)),(1+G99)/((1+G102)*(1+G103))-1,"n/a")</f>
        <v>n/a</v>
      </c>
      <c r="H104" s="32">
        <f>IF(AND(ISNUMBER(H99),ISNUMBER(H102),ISNUMBER(H103)),(1+H99)/((1+H102)*(1+H103))-1,"n/a")</f>
        <v>0.20133095724696703</v>
      </c>
    </row>
    <row r="105">
      <c r="B105" s="1" t="s">
        <v>119</v>
      </c>
      <c r="C105" s="23">
        <v>318</v>
      </c>
      <c r="D105" s="23">
        <v>330</v>
      </c>
      <c r="E105" s="23">
        <v>340</v>
      </c>
      <c r="F105" s="23">
        <v>343</v>
      </c>
      <c r="G105" s="23">
        <v>1245</v>
      </c>
      <c r="H105" s="30">
        <f>H705</f>
        <v>346.51943553496994</v>
      </c>
    </row>
    <row r="106">
      <c r="B106" s="25" t="s">
        <v>101</v>
      </c>
      <c r="C106" s="21">
        <f>IFERROR(C105/Inputs!C141-1,"n/a")</f>
        <v>0.20454545454545459</v>
      </c>
      <c r="D106" s="21">
        <f>IFERROR(D105/Inputs!D141-1,"n/a")</f>
        <v>0.12627986348122877</v>
      </c>
      <c r="E106" s="21">
        <f>IFERROR(E105/Inputs!E141-1,"n/a")</f>
        <v>0.16040955631399312</v>
      </c>
      <c r="F106" s="21">
        <f>IFERROR(F105/Inputs!F141-1,"n/a")</f>
        <v>0.12828947368421062</v>
      </c>
      <c r="G106" s="21">
        <f>IFERROR(G105/Inputs!G141-1,"n/a")</f>
        <v>0.1868446139180171</v>
      </c>
      <c r="H106" s="32">
        <f>IFERROR(H105/C105-1,"n/a")</f>
        <v>0.0896837595439306</v>
      </c>
    </row>
    <row r="107">
      <c r="B107" s="25" t="s">
        <v>102</v>
      </c>
      <c r="C107" s="21">
        <f>IFERROR(C105/Inputs!F141-1,"n/a")</f>
        <v>0.046052631578947345</v>
      </c>
      <c r="D107" s="16">
        <f>IFERROR(D105/C105-1,"n/a")</f>
        <v>0.037735849056603765</v>
      </c>
      <c r="E107" s="16">
        <f>IFERROR(E105/D105-1,"n/a")</f>
        <v>0.030303030303030276</v>
      </c>
      <c r="F107" s="16">
        <f>IFERROR(F105/E105-1,"n/a")</f>
        <v>0.008823529411764675</v>
      </c>
      <c r="H107" s="32">
        <f>IFERROR(H105/F105-1,"n/a")</f>
        <v>0.010260744999912363</v>
      </c>
    </row>
    <row r="108">
      <c r="B108" s="25" t="s">
        <v>103</v>
      </c>
      <c r="C108" s="16">
        <f>IFERROR(C105/C211,"n/a")</f>
        <v>0.04885543094177293</v>
      </c>
      <c r="D108" s="16">
        <f>IFERROR(D105/D211,"n/a")</f>
        <v>0.04708904109589041</v>
      </c>
      <c r="E108" s="16">
        <f>IFERROR(E105/E211,"n/a")</f>
        <v>0.050761421319796954</v>
      </c>
      <c r="F108" s="16">
        <f>IFERROR(F105/F211,"n/a")</f>
        <v>0.04841897233201581</v>
      </c>
      <c r="G108" s="16">
        <f>IFERROR(G105/G211,"n/a")</f>
        <v>0.051412289395441034</v>
      </c>
      <c r="H108" s="32">
        <f>IFERROR(H105/H211,"n/a")</f>
        <v>0.045926627957838</v>
      </c>
    </row>
    <row r="109">
      <c r="B109" s="25" t="s">
        <v>104</v>
      </c>
      <c r="C109" s="46">
        <v>0</v>
      </c>
      <c r="D109" s="46">
        <v>0</v>
      </c>
      <c r="E109" s="46">
        <v>0</v>
      </c>
      <c r="F109" s="46">
        <v>0</v>
      </c>
      <c r="G109" s="46">
        <v>0</v>
      </c>
      <c r="H109" s="43">
        <v>0</v>
      </c>
    </row>
    <row r="110">
      <c r="B110" s="25" t="s">
        <v>105</v>
      </c>
      <c r="C110" s="16" t="s">
        <v>37</v>
      </c>
      <c r="D110" s="16" t="s">
        <v>37</v>
      </c>
      <c r="E110" s="16" t="s">
        <v>37</v>
      </c>
      <c r="F110" s="16" t="s">
        <v>37</v>
      </c>
      <c r="G110" s="16" t="s">
        <v>37</v>
      </c>
      <c r="H110" s="43">
        <v>0</v>
      </c>
    </row>
    <row r="111">
      <c r="B111" s="25" t="s">
        <v>106</v>
      </c>
      <c r="C111" s="16" t="str">
        <f>IF(AND(ISNUMBER(C106),ISNUMBER(C109),ISNUMBER(C110)),(1+C106)/((1+C109)*(1+C110))-1,"n/a")</f>
        <v>n/a</v>
      </c>
      <c r="D111" s="16" t="str">
        <f>IF(AND(ISNUMBER(D106),ISNUMBER(D109),ISNUMBER(D110)),(1+D106)/((1+D109)*(1+D110))-1,"n/a")</f>
        <v>n/a</v>
      </c>
      <c r="E111" s="16" t="str">
        <f>IF(AND(ISNUMBER(E106),ISNUMBER(E109),ISNUMBER(E110)),(1+E106)/((1+E109)*(1+E110))-1,"n/a")</f>
        <v>n/a</v>
      </c>
      <c r="F111" s="16" t="str">
        <f>IF(AND(ISNUMBER(F106),ISNUMBER(F109),ISNUMBER(F110)),(1+F106)/((1+F109)*(1+F110))-1,"n/a")</f>
        <v>n/a</v>
      </c>
      <c r="G111" s="16" t="str">
        <f>IF(AND(ISNUMBER(G106),ISNUMBER(G109),ISNUMBER(G110)),(1+G106)/((1+G109)*(1+G110))-1,"n/a")</f>
        <v>n/a</v>
      </c>
      <c r="H111" s="32">
        <f>IF(AND(ISNUMBER(H106),ISNUMBER(H109),ISNUMBER(H110)),(1+H106)/((1+H109)*(1+H110))-1,"n/a")</f>
        <v>0.0896837595439306</v>
      </c>
    </row>
    <row r="112" ht="27">
      <c r="B112" s="101" t="s">
        <v>120</v>
      </c>
      <c r="C112" s="42">
        <f>C98+C105</f>
        <v>5046</v>
      </c>
      <c r="D112" s="42">
        <f>D98+D105</f>
        <v>5278</v>
      </c>
      <c r="E112" s="42">
        <f>E98+E105</f>
        <v>5438</v>
      </c>
      <c r="F112" s="42">
        <f>F98+F105</f>
        <v>5726</v>
      </c>
      <c r="G112" s="42">
        <f>G98+G105</f>
        <v>19179</v>
      </c>
      <c r="H112" s="41">
        <f>H98+H105</f>
        <v>6026.412201398631</v>
      </c>
    </row>
    <row r="113">
      <c r="B113" s="25" t="s">
        <v>101</v>
      </c>
      <c r="C113" s="21">
        <f>IFERROR(C112/(Inputs!C132+Inputs!C133+Inputs!C134+Inputs!C135+Inputs!C136+Inputs!C137+Inputs!C138+Inputs!C139+Inputs!C140+Inputs!C141)-1,"n/a")</f>
        <v>0.2521091811414391</v>
      </c>
      <c r="D113" s="21">
        <f>IFERROR(D112/(Inputs!D132+Inputs!D133+Inputs!D134+Inputs!D135+Inputs!D136+Inputs!D137+Inputs!D138+Inputs!D139+Inputs!D140+Inputs!D141)-1,"n/a")</f>
        <v>0.1949286846275753</v>
      </c>
      <c r="E113" s="21">
        <f>IFERROR(E112/(Inputs!E132+Inputs!E133+Inputs!E134+Inputs!E135+Inputs!E136+Inputs!E137+Inputs!E138+Inputs!E139+Inputs!E140+Inputs!E141)-1,"n/a")</f>
        <v>0.23562826630311284</v>
      </c>
      <c r="F113" s="21">
        <f>IFERROR(F112/(Inputs!F132+Inputs!F133+Inputs!F134+Inputs!F135+Inputs!F136+Inputs!F137+Inputs!F138+Inputs!F139+Inputs!F140+Inputs!F141)-1,"n/a")</f>
        <v>0.2855859901212394</v>
      </c>
      <c r="G113" s="21">
        <f>IFERROR(G112/(Inputs!G132+Inputs!G133+Inputs!G134+Inputs!G135+Inputs!G136+Inputs!G137+Inputs!G138+Inputs!G139+Inputs!G140+Inputs!G141)-1,"n/a")</f>
        <v>0.1912422360248447</v>
      </c>
      <c r="H113" s="32">
        <f>IFERROR(H112/C112-1,"n/a")</f>
        <v>0.19429492695176975</v>
      </c>
    </row>
    <row r="114">
      <c r="B114" s="25" t="s">
        <v>102</v>
      </c>
      <c r="C114" s="21">
        <f>IFERROR(C112/(Inputs!F132+Inputs!F133+Inputs!F134+Inputs!F135+Inputs!F136+Inputs!F137+Inputs!F138+Inputs!F139+Inputs!F140+Inputs!F141)-1,"n/a")</f>
        <v>0.13291423439604855</v>
      </c>
      <c r="D114" s="16">
        <f>IFERROR(D112/C112-1,"n/a")</f>
        <v>0.04597701149425282</v>
      </c>
      <c r="E114" s="16">
        <f>IFERROR(E112/D112-1,"n/a")</f>
        <v>0.03031451307313371</v>
      </c>
      <c r="F114" s="16">
        <f>IFERROR(F112/E112-1,"n/a")</f>
        <v>0.05296064729680028</v>
      </c>
      <c r="H114" s="32">
        <f>IFERROR(H112/F112-1,"n/a")</f>
        <v>0.05246458284991795</v>
      </c>
    </row>
    <row r="115">
      <c r="B115" s="25" t="s">
        <v>103</v>
      </c>
      <c r="C115" s="16">
        <f>IFERROR(C112/C211,"n/a")</f>
        <v>0.7752342909817176</v>
      </c>
      <c r="D115" s="16">
        <f>IFERROR(D112/D211,"n/a")</f>
        <v>0.7531392694063926</v>
      </c>
      <c r="E115" s="16">
        <f>IFERROR(E112/E211,"n/a")</f>
        <v>0.8118841445207524</v>
      </c>
      <c r="F115" s="16">
        <f>IFERROR(F112/F211,"n/a")</f>
        <v>0.808300395256917</v>
      </c>
      <c r="G115" s="16">
        <f>IFERROR(G112/G211,"n/a")</f>
        <v>0.7919970267591675</v>
      </c>
      <c r="H115" s="32">
        <f>IFERROR(H112/H211,"n/a")</f>
        <v>0.7987222727259671</v>
      </c>
    </row>
    <row r="116">
      <c r="B116" s="25" t="s">
        <v>104</v>
      </c>
      <c r="C116" s="21">
        <f>IFERROR((C798+C799)/(Inputs!C132+Inputs!C133+Inputs!C134+Inputs!C135+Inputs!C136+Inputs!C137+Inputs!C138+Inputs!C139+Inputs!C140+Inputs!C141),"n/a")</f>
        <v>0.10918114143920596</v>
      </c>
      <c r="D116" s="21">
        <f>IFERROR((D798+D799)/(Inputs!D132+Inputs!D133+Inputs!D134+Inputs!D135+Inputs!D136+Inputs!D137+Inputs!D138+Inputs!D139+Inputs!D140+Inputs!D141),"n/a")</f>
        <v>0.05207154177043242</v>
      </c>
      <c r="E116" s="21">
        <f>IFERROR((E798+E799)/(Inputs!E132+Inputs!E133+Inputs!E134+Inputs!E135+Inputs!E136+Inputs!E137+Inputs!E138+Inputs!E139+Inputs!E140+Inputs!E141),"n/a")</f>
        <v>0.052260849806862075</v>
      </c>
      <c r="F116" s="21">
        <f>IFERROR((F798+F799)/(Inputs!F132+Inputs!F133+Inputs!F134+Inputs!F135+Inputs!F136+Inputs!F137+Inputs!F138+Inputs!F139+Inputs!F140+Inputs!F141),"n/a")</f>
        <v>0.05163897620116749</v>
      </c>
      <c r="G116" s="16" t="s">
        <v>37</v>
      </c>
      <c r="H116" s="43">
        <v>0</v>
      </c>
    </row>
    <row r="117">
      <c r="B117" s="25" t="s">
        <v>105</v>
      </c>
      <c r="C117" s="16" t="s">
        <v>37</v>
      </c>
      <c r="D117" s="16" t="s">
        <v>37</v>
      </c>
      <c r="E117" s="16" t="s">
        <v>37</v>
      </c>
      <c r="F117" s="16" t="s">
        <v>37</v>
      </c>
      <c r="G117" s="16" t="s">
        <v>37</v>
      </c>
      <c r="H117" s="43">
        <v>0</v>
      </c>
    </row>
    <row r="118">
      <c r="B118" s="25" t="s">
        <v>106</v>
      </c>
      <c r="C118" s="16" t="str">
        <f>IF(AND(ISNUMBER(C113),ISNUMBER(C116),ISNUMBER(C117)),(1+C113)/((1+C116)*(1+C117))-1,"n/a")</f>
        <v>n/a</v>
      </c>
      <c r="D118" s="16" t="str">
        <f>IF(AND(ISNUMBER(D113),ISNUMBER(D116),ISNUMBER(D117)),(1+D113)/((1+D116)*(1+D117))-1,"n/a")</f>
        <v>n/a</v>
      </c>
      <c r="E118" s="16" t="str">
        <f>IF(AND(ISNUMBER(E113),ISNUMBER(E116),ISNUMBER(E117)),(1+E113)/((1+E116)*(1+E117))-1,"n/a")</f>
        <v>n/a</v>
      </c>
      <c r="F118" s="16" t="str">
        <f>IF(AND(ISNUMBER(F113),ISNUMBER(F116),ISNUMBER(F117)),(1+F113)/((1+F116)*(1+F117))-1,"n/a")</f>
        <v>n/a</v>
      </c>
      <c r="G118" s="16" t="str">
        <f>IF(AND(ISNUMBER(G113),ISNUMBER(G116),ISNUMBER(G117)),(1+G113)/((1+G116)*(1+G117))-1,"n/a")</f>
        <v>n/a</v>
      </c>
      <c r="H118" s="32">
        <f>IF(AND(ISNUMBER(H113),ISNUMBER(H116),ISNUMBER(H117)),(1+H113)/((1+H116)*(1+H117))-1,"n/a")</f>
        <v>0.19429492695176975</v>
      </c>
    </row>
    <row r="119" ht="27">
      <c r="B119" s="100" t="s">
        <v>121</v>
      </c>
      <c r="C119" s="23">
        <v>203</v>
      </c>
      <c r="D119" s="23">
        <v>174</v>
      </c>
      <c r="E119" s="23">
        <v>179</v>
      </c>
      <c r="F119" s="23">
        <v>239</v>
      </c>
      <c r="G119" s="23">
        <v>705</v>
      </c>
      <c r="H119" s="35">
        <v>235</v>
      </c>
    </row>
    <row r="120">
      <c r="B120" s="25" t="s">
        <v>101</v>
      </c>
      <c r="C120" s="21">
        <f>IFERROR(C119/Inputs!C142-1,"n/a")</f>
        <v>0.36241610738255026</v>
      </c>
      <c r="D120" s="21">
        <f>IFERROR(D119/Inputs!D142-1,"n/a")</f>
        <v>0.08074534161490687</v>
      </c>
      <c r="E120" s="21">
        <f>IFERROR(E119/Inputs!E142-1,"n/a")</f>
        <v>0.14012738853503182</v>
      </c>
      <c r="F120" s="21">
        <f>IFERROR(F119/Inputs!F142-1,"n/a")</f>
        <v>0.39766081871345027</v>
      </c>
      <c r="G120" s="21">
        <f>IFERROR(G119/Inputs!G142-1,"n/a")</f>
        <v>0.14634146341463405</v>
      </c>
      <c r="H120" s="32">
        <f>IFERROR(H119/C119-1,"n/a")</f>
        <v>0.1576354679802956</v>
      </c>
    </row>
    <row r="121">
      <c r="B121" s="25" t="s">
        <v>102</v>
      </c>
      <c r="C121" s="21">
        <f>IFERROR(C119/Inputs!F142-1,"n/a")</f>
        <v>0.1871345029239766</v>
      </c>
      <c r="D121" s="16">
        <f>IFERROR(D119/C119-1,"n/a")</f>
        <v>-0.1428571428571429</v>
      </c>
      <c r="E121" s="16">
        <f>IFERROR(E119/D119-1,"n/a")</f>
        <v>0.028735632183908066</v>
      </c>
      <c r="F121" s="16">
        <f>IFERROR(F119/E119-1,"n/a")</f>
        <v>0.3351955307262571</v>
      </c>
      <c r="H121" s="32">
        <f>IFERROR(H119/F119-1,"n/a")</f>
        <v>-0.01673640167364021</v>
      </c>
    </row>
    <row r="122" ht="38.25">
      <c r="B122" s="100" t="s">
        <v>122</v>
      </c>
      <c r="C122" s="6">
        <f>C112-C119</f>
        <v>4843</v>
      </c>
      <c r="D122" s="6">
        <f>D112-D119</f>
        <v>5104</v>
      </c>
      <c r="E122" s="6">
        <f>E112-E119</f>
        <v>5259</v>
      </c>
      <c r="F122" s="6">
        <f>F112-F119</f>
        <v>5487</v>
      </c>
      <c r="G122" s="6">
        <f>G112-G119</f>
        <v>18474</v>
      </c>
      <c r="H122" s="30">
        <f>H112-H119</f>
        <v>5791.412201398631</v>
      </c>
    </row>
    <row r="123">
      <c r="H123" s="39"/>
    </row>
    <row r="124">
      <c r="B124" s="2" t="s">
        <v>123</v>
      </c>
      <c r="H124" s="39"/>
    </row>
    <row r="125">
      <c r="B125" s="1" t="s">
        <v>124</v>
      </c>
      <c r="C125" s="23">
        <v>14</v>
      </c>
      <c r="D125" s="23">
        <v>96</v>
      </c>
      <c r="E125" s="23">
        <v>22</v>
      </c>
      <c r="F125" s="23">
        <v>60</v>
      </c>
      <c r="G125" s="23">
        <v>132</v>
      </c>
      <c r="H125" s="35">
        <v>30</v>
      </c>
    </row>
    <row r="126">
      <c r="B126" s="25" t="s">
        <v>101</v>
      </c>
      <c r="C126" s="21">
        <f>IFERROR(C125/Inputs!C143-1,"n/a")</f>
        <v>0.07692307692307687</v>
      </c>
      <c r="D126" s="21">
        <f>IFERROR(D125/Inputs!D143-1,"n/a")</f>
        <v>-0.1428571428571429</v>
      </c>
      <c r="E126" s="21">
        <f>IFERROR(E125/Inputs!E143-1,"n/a")</f>
        <v>1.2000000000000002</v>
      </c>
      <c r="F126" s="21">
        <f>IFERROR(F125/Inputs!F143-1,"n/a")</f>
        <v>4</v>
      </c>
      <c r="G126" s="21">
        <f>IFERROR(G125/Inputs!G143-1,"n/a")</f>
        <v>-0.18012422360248448</v>
      </c>
      <c r="H126" s="32">
        <f>IFERROR(H125/C125-1,"n/a")</f>
        <v>1.1428571428571428</v>
      </c>
    </row>
    <row r="127">
      <c r="B127" s="25" t="s">
        <v>102</v>
      </c>
      <c r="C127" s="21">
        <f>IFERROR(C125/Inputs!F143-1,"n/a")</f>
        <v>0.16666666666666674</v>
      </c>
      <c r="D127" s="16">
        <f>IFERROR(D125/C125-1,"n/a")</f>
        <v>5.857142857142857</v>
      </c>
      <c r="E127" s="16">
        <f>IFERROR(E125/D125-1,"n/a")</f>
        <v>-0.7708333333333334</v>
      </c>
      <c r="F127" s="16">
        <f>IFERROR(F125/E125-1,"n/a")</f>
        <v>1.727272727272727</v>
      </c>
      <c r="H127" s="32">
        <f>IFERROR(H125/F125-1,"n/a")</f>
        <v>-0.5</v>
      </c>
    </row>
    <row r="128">
      <c r="B128" s="25" t="s">
        <v>103</v>
      </c>
      <c r="C128" s="16">
        <f>IFERROR(C125/C211,"n/a")</f>
        <v>0.002150868028883085</v>
      </c>
      <c r="D128" s="16">
        <f>IFERROR(D125/D211,"n/a")</f>
        <v>0.0136986301369863</v>
      </c>
      <c r="E128" s="16">
        <f>IFERROR(E125/E211,"n/a")</f>
        <v>0.0032845625559868616</v>
      </c>
      <c r="F128" s="16">
        <f>IFERROR(F125/F211,"n/a")</f>
        <v>0.00846979107848673</v>
      </c>
      <c r="G128" s="16">
        <f>IFERROR(G125/G211,"n/a")</f>
        <v>0.005450941526263627</v>
      </c>
      <c r="H128" s="32">
        <f>IFERROR(H125/H211,"n/a")</f>
        <v>0.003976108400984901</v>
      </c>
    </row>
    <row r="129">
      <c r="B129" s="25" t="s">
        <v>104</v>
      </c>
      <c r="C129" s="16" t="s">
        <v>37</v>
      </c>
      <c r="D129" s="16" t="s">
        <v>37</v>
      </c>
      <c r="E129" s="16" t="s">
        <v>37</v>
      </c>
      <c r="F129" s="16" t="s">
        <v>37</v>
      </c>
      <c r="G129" s="16" t="s">
        <v>37</v>
      </c>
      <c r="H129" s="43">
        <v>0</v>
      </c>
    </row>
    <row r="130">
      <c r="B130" s="25" t="s">
        <v>105</v>
      </c>
      <c r="C130" s="16" t="s">
        <v>37</v>
      </c>
      <c r="D130" s="16" t="s">
        <v>37</v>
      </c>
      <c r="E130" s="16" t="s">
        <v>37</v>
      </c>
      <c r="F130" s="16" t="s">
        <v>37</v>
      </c>
      <c r="G130" s="16" t="s">
        <v>37</v>
      </c>
      <c r="H130" s="43">
        <v>0</v>
      </c>
    </row>
    <row r="131">
      <c r="B131" s="25" t="s">
        <v>106</v>
      </c>
      <c r="C131" s="16" t="str">
        <f>IF(AND(ISNUMBER(C126),ISNUMBER(C129),ISNUMBER(C130)),(1+C126)/((1+C129)*(1+C130))-1,"n/a")</f>
        <v>n/a</v>
      </c>
      <c r="D131" s="16" t="str">
        <f>IF(AND(ISNUMBER(D126),ISNUMBER(D129),ISNUMBER(D130)),(1+D126)/((1+D129)*(1+D130))-1,"n/a")</f>
        <v>n/a</v>
      </c>
      <c r="E131" s="16" t="str">
        <f>IF(AND(ISNUMBER(E126),ISNUMBER(E129),ISNUMBER(E130)),(1+E126)/((1+E129)*(1+E130))-1,"n/a")</f>
        <v>n/a</v>
      </c>
      <c r="F131" s="16" t="str">
        <f>IF(AND(ISNUMBER(F126),ISNUMBER(F129),ISNUMBER(F130)),(1+F126)/((1+F129)*(1+F130))-1,"n/a")</f>
        <v>n/a</v>
      </c>
      <c r="G131" s="16" t="str">
        <f>IF(AND(ISNUMBER(G126),ISNUMBER(G129),ISNUMBER(G130)),(1+G126)/((1+G129)*(1+G130))-1,"n/a")</f>
        <v>n/a</v>
      </c>
      <c r="H131" s="32">
        <f>IF(AND(ISNUMBER(H126),ISNUMBER(H129),ISNUMBER(H130)),(1+H126)/((1+H129)*(1+H130))-1,"n/a")</f>
        <v>1.1428571428571428</v>
      </c>
    </row>
    <row r="132">
      <c r="B132" s="1" t="s">
        <v>125</v>
      </c>
      <c r="C132" s="23">
        <v>0</v>
      </c>
      <c r="D132" s="23">
        <v>2</v>
      </c>
      <c r="E132" s="23">
        <v>2</v>
      </c>
      <c r="F132" s="23">
        <v>3</v>
      </c>
      <c r="G132" s="23">
        <v>16</v>
      </c>
      <c r="H132" s="35">
        <v>3</v>
      </c>
    </row>
    <row r="133">
      <c r="B133" s="25" t="s">
        <v>101</v>
      </c>
      <c r="C133" s="21">
        <f>IFERROR(C132/Inputs!C144-1,"n/a")</f>
        <v>-1</v>
      </c>
      <c r="D133" s="21">
        <f>IFERROR(D132/Inputs!D144-1,"n/a")</f>
        <v>-0.9090909090909091</v>
      </c>
      <c r="E133" s="21">
        <f>IFERROR(E132/Inputs!E144-1,"n/a")</f>
        <v>-0.8333333333333334</v>
      </c>
      <c r="F133" s="21">
        <f>IFERROR(F132/Inputs!F144-1,"n/a")</f>
        <v>0.5</v>
      </c>
      <c r="G133" s="21">
        <f>IFERROR(G132/Inputs!G144-1,"n/a")</f>
        <v>-0.5294117647058824</v>
      </c>
      <c r="H133" s="32" t="str">
        <f>IFERROR(H132/C132-1,"n/a")</f>
        <v>n/a</v>
      </c>
    </row>
    <row r="134">
      <c r="B134" s="25" t="s">
        <v>102</v>
      </c>
      <c r="C134" s="21">
        <f>IFERROR(C132/Inputs!F144-1,"n/a")</f>
        <v>-1</v>
      </c>
      <c r="D134" s="16" t="str">
        <f>IFERROR(D132/C132-1,"n/a")</f>
        <v>n/a</v>
      </c>
      <c r="E134" s="16">
        <f>IFERROR(E132/D132-1,"n/a")</f>
        <v>0</v>
      </c>
      <c r="F134" s="16">
        <f>IFERROR(F132/E132-1,"n/a")</f>
        <v>0.5</v>
      </c>
      <c r="H134" s="32">
        <f>IFERROR(H132/F132-1,"n/a")</f>
        <v>0</v>
      </c>
    </row>
    <row r="135">
      <c r="B135" s="25" t="s">
        <v>103</v>
      </c>
      <c r="C135" s="16">
        <f>IFERROR(C132/C211,"n/a")</f>
        <v>0</v>
      </c>
      <c r="D135" s="16">
        <f>IFERROR(D132/D211,"n/a")</f>
        <v>0.00028538812785388126</v>
      </c>
      <c r="E135" s="16">
        <f>IFERROR(E132/E211,"n/a")</f>
        <v>0.00029859659599880563</v>
      </c>
      <c r="F135" s="16">
        <f>IFERROR(F132/F211,"n/a")</f>
        <v>0.00042348955392433656</v>
      </c>
      <c r="G135" s="16">
        <f>IFERROR(G132/G211,"n/a")</f>
        <v>0.0006607201850016518</v>
      </c>
      <c r="H135" s="32">
        <f>IFERROR(H132/H211,"n/a")</f>
        <v>0.0003976108400984902</v>
      </c>
    </row>
    <row r="136">
      <c r="B136" s="25" t="s">
        <v>104</v>
      </c>
      <c r="C136" s="16" t="s">
        <v>37</v>
      </c>
      <c r="D136" s="16" t="s">
        <v>37</v>
      </c>
      <c r="E136" s="16" t="s">
        <v>37</v>
      </c>
      <c r="F136" s="16" t="s">
        <v>37</v>
      </c>
      <c r="G136" s="16" t="s">
        <v>37</v>
      </c>
      <c r="H136" s="43">
        <v>0</v>
      </c>
    </row>
    <row r="137">
      <c r="B137" s="25" t="s">
        <v>105</v>
      </c>
      <c r="C137" s="16" t="s">
        <v>37</v>
      </c>
      <c r="D137" s="16" t="s">
        <v>37</v>
      </c>
      <c r="E137" s="16" t="s">
        <v>37</v>
      </c>
      <c r="F137" s="16" t="s">
        <v>37</v>
      </c>
      <c r="G137" s="16" t="s">
        <v>37</v>
      </c>
      <c r="H137" s="43">
        <v>0</v>
      </c>
    </row>
    <row r="138">
      <c r="B138" s="25" t="s">
        <v>106</v>
      </c>
      <c r="C138" s="16" t="str">
        <f>IF(AND(ISNUMBER(C133),ISNUMBER(C136),ISNUMBER(C137)),(1+C133)/((1+C136)*(1+C137))-1,"n/a")</f>
        <v>n/a</v>
      </c>
      <c r="D138" s="16" t="str">
        <f>IF(AND(ISNUMBER(D133),ISNUMBER(D136),ISNUMBER(D137)),(1+D133)/((1+D136)*(1+D137))-1,"n/a")</f>
        <v>n/a</v>
      </c>
      <c r="E138" s="16" t="str">
        <f>IF(AND(ISNUMBER(E133),ISNUMBER(E136),ISNUMBER(E137)),(1+E133)/((1+E136)*(1+E137))-1,"n/a")</f>
        <v>n/a</v>
      </c>
      <c r="F138" s="16" t="str">
        <f>IF(AND(ISNUMBER(F133),ISNUMBER(F136),ISNUMBER(F137)),(1+F133)/((1+F136)*(1+F137))-1,"n/a")</f>
        <v>n/a</v>
      </c>
      <c r="G138" s="16" t="str">
        <f>IF(AND(ISNUMBER(G133),ISNUMBER(G136),ISNUMBER(G137)),(1+G133)/((1+G136)*(1+G137))-1,"n/a")</f>
        <v>n/a</v>
      </c>
      <c r="H138" s="32" t="str">
        <f>IF(AND(ISNUMBER(H133),ISNUMBER(H136),ISNUMBER(H137)),(1+H133)/((1+H136)*(1+H137))-1,"n/a")</f>
        <v>n/a</v>
      </c>
    </row>
    <row r="139">
      <c r="B139" s="1" t="s">
        <v>126</v>
      </c>
      <c r="C139" s="23">
        <v>2</v>
      </c>
      <c r="D139" s="23">
        <v>11</v>
      </c>
      <c r="E139" s="23">
        <v>9</v>
      </c>
      <c r="F139" s="23">
        <v>5</v>
      </c>
      <c r="G139" s="23">
        <v>23</v>
      </c>
      <c r="H139" s="35">
        <v>5</v>
      </c>
    </row>
    <row r="140">
      <c r="B140" s="25" t="s">
        <v>101</v>
      </c>
      <c r="C140" s="21">
        <f>IFERROR(C139/Inputs!C145-1,"n/a")</f>
        <v>1</v>
      </c>
      <c r="D140" s="21">
        <f>IFERROR(D139/Inputs!D145-1,"n/a")</f>
        <v>0.10000000000000009</v>
      </c>
      <c r="E140" s="21">
        <f>IFERROR(E139/Inputs!E145-1,"n/a")</f>
        <v>1.25</v>
      </c>
      <c r="F140" s="21">
        <f>IFERROR(F139/Inputs!F145-1,"n/a")</f>
        <v>-0.16666666666666663</v>
      </c>
      <c r="G140" s="21">
        <f>IFERROR(G139/Inputs!G145-1,"n/a")</f>
        <v>-0.04166666666666663</v>
      </c>
      <c r="H140" s="32">
        <f>IFERROR(H139/C139-1,"n/a")</f>
        <v>1.5</v>
      </c>
    </row>
    <row r="141">
      <c r="B141" s="25" t="s">
        <v>102</v>
      </c>
      <c r="C141" s="21">
        <f>IFERROR(C139/Inputs!F145-1,"n/a")</f>
        <v>-0.6666666666666667</v>
      </c>
      <c r="D141" s="16">
        <f>IFERROR(D139/C139-1,"n/a")</f>
        <v>4.5</v>
      </c>
      <c r="E141" s="16">
        <f>IFERROR(E139/D139-1,"n/a")</f>
        <v>-0.18181818181818177</v>
      </c>
      <c r="F141" s="16">
        <f>IFERROR(F139/E139-1,"n/a")</f>
        <v>-0.4444444444444444</v>
      </c>
      <c r="H141" s="32">
        <f>IFERROR(H139/F139-1,"n/a")</f>
        <v>0</v>
      </c>
    </row>
    <row r="142">
      <c r="B142" s="25" t="s">
        <v>103</v>
      </c>
      <c r="C142" s="16">
        <f>IFERROR(C139/C211,"n/a")</f>
        <v>0.00030726686126901216</v>
      </c>
      <c r="D142" s="16">
        <f>IFERROR(D139/D211,"n/a")</f>
        <v>0.001569634703196347</v>
      </c>
      <c r="E142" s="16">
        <f>IFERROR(E139/E211,"n/a")</f>
        <v>0.0013436846819946252</v>
      </c>
      <c r="F142" s="16">
        <f>IFERROR(F139/F211,"n/a")</f>
        <v>0.0007058159232072275</v>
      </c>
      <c r="G142" s="16">
        <f>IFERROR(G139/G211,"n/a")</f>
        <v>0.0009497852659398745</v>
      </c>
      <c r="H142" s="32">
        <f>IFERROR(H139/H211,"n/a")</f>
        <v>0.0006626847334974836</v>
      </c>
    </row>
    <row r="143">
      <c r="B143" s="25" t="s">
        <v>104</v>
      </c>
      <c r="C143" s="16" t="s">
        <v>37</v>
      </c>
      <c r="D143" s="16" t="s">
        <v>37</v>
      </c>
      <c r="E143" s="16" t="s">
        <v>37</v>
      </c>
      <c r="F143" s="16" t="s">
        <v>37</v>
      </c>
      <c r="G143" s="16" t="s">
        <v>37</v>
      </c>
      <c r="H143" s="43">
        <v>0</v>
      </c>
    </row>
    <row r="144">
      <c r="B144" s="25" t="s">
        <v>105</v>
      </c>
      <c r="C144" s="16" t="s">
        <v>37</v>
      </c>
      <c r="D144" s="16" t="s">
        <v>37</v>
      </c>
      <c r="E144" s="16" t="s">
        <v>37</v>
      </c>
      <c r="F144" s="16" t="s">
        <v>37</v>
      </c>
      <c r="G144" s="16" t="s">
        <v>37</v>
      </c>
      <c r="H144" s="43">
        <v>0</v>
      </c>
    </row>
    <row r="145">
      <c r="B145" s="25" t="s">
        <v>106</v>
      </c>
      <c r="C145" s="16" t="str">
        <f>IF(AND(ISNUMBER(C140),ISNUMBER(C143),ISNUMBER(C144)),(1+C140)/((1+C143)*(1+C144))-1,"n/a")</f>
        <v>n/a</v>
      </c>
      <c r="D145" s="16" t="str">
        <f>IF(AND(ISNUMBER(D140),ISNUMBER(D143),ISNUMBER(D144)),(1+D140)/((1+D143)*(1+D144))-1,"n/a")</f>
        <v>n/a</v>
      </c>
      <c r="E145" s="16" t="str">
        <f>IF(AND(ISNUMBER(E140),ISNUMBER(E143),ISNUMBER(E144)),(1+E140)/((1+E143)*(1+E144))-1,"n/a")</f>
        <v>n/a</v>
      </c>
      <c r="F145" s="16" t="str">
        <f>IF(AND(ISNUMBER(F140),ISNUMBER(F143),ISNUMBER(F144)),(1+F140)/((1+F143)*(1+F144))-1,"n/a")</f>
        <v>n/a</v>
      </c>
      <c r="G145" s="16" t="str">
        <f>IF(AND(ISNUMBER(G140),ISNUMBER(G143),ISNUMBER(G144)),(1+G140)/((1+G143)*(1+G144))-1,"n/a")</f>
        <v>n/a</v>
      </c>
      <c r="H145" s="32">
        <f>IF(AND(ISNUMBER(H140),ISNUMBER(H143),ISNUMBER(H144)),(1+H140)/((1+H143)*(1+H144))-1,"n/a")</f>
        <v>1.5</v>
      </c>
    </row>
    <row r="146">
      <c r="B146" s="1" t="s">
        <v>113</v>
      </c>
      <c r="C146" s="23">
        <v>298</v>
      </c>
      <c r="D146" s="23">
        <v>334</v>
      </c>
      <c r="E146" s="23">
        <v>232</v>
      </c>
      <c r="F146" s="23">
        <v>137</v>
      </c>
      <c r="G146" s="23">
        <v>695</v>
      </c>
      <c r="H146" s="35">
        <v>180</v>
      </c>
    </row>
    <row r="147">
      <c r="B147" s="25" t="s">
        <v>101</v>
      </c>
      <c r="C147" s="21">
        <f>IFERROR(C146/Inputs!C146-1,"n/a")</f>
        <v>41.57142857142857</v>
      </c>
      <c r="D147" s="21">
        <f>IFERROR(D146/Inputs!D146-1,"n/a")</f>
        <v>2.0925925925925926</v>
      </c>
      <c r="E147" s="21">
        <f>IFERROR(E146/Inputs!E146-1,"n/a")</f>
        <v>8.666666666666666</v>
      </c>
      <c r="F147" s="21">
        <f>IFERROR(F146/Inputs!F146-1,"n/a")</f>
        <v>2.5128205128205128</v>
      </c>
      <c r="G147" s="21">
        <f>IFERROR(G146/Inputs!G146-1,"n/a")</f>
        <v>1.2564935064935066</v>
      </c>
      <c r="H147" s="32">
        <f>IFERROR(H146/C146-1,"n/a")</f>
        <v>-0.3959731543624161</v>
      </c>
    </row>
    <row r="148">
      <c r="B148" s="25" t="s">
        <v>102</v>
      </c>
      <c r="C148" s="21">
        <f>IFERROR(C146/Inputs!F146-1,"n/a")</f>
        <v>6.641025641025641</v>
      </c>
      <c r="D148" s="16">
        <f>IFERROR(D146/C146-1,"n/a")</f>
        <v>0.12080536912751683</v>
      </c>
      <c r="E148" s="16">
        <f>IFERROR(E146/D146-1,"n/a")</f>
        <v>-0.3053892215568862</v>
      </c>
      <c r="F148" s="16">
        <f>IFERROR(F146/E146-1,"n/a")</f>
        <v>-0.4094827586206896</v>
      </c>
      <c r="H148" s="32">
        <f>IFERROR(H146/F146-1,"n/a")</f>
        <v>0.3138686131386861</v>
      </c>
    </row>
    <row r="149">
      <c r="B149" s="25" t="s">
        <v>103</v>
      </c>
      <c r="C149" s="16">
        <f>IFERROR(C146/C211,"n/a")</f>
        <v>0.04578276232908281</v>
      </c>
      <c r="D149" s="16">
        <f>IFERROR(D146/D211,"n/a")</f>
        <v>0.047659817351598174</v>
      </c>
      <c r="E149" s="16">
        <f>IFERROR(E146/E211,"n/a")</f>
        <v>0.03463720513586145</v>
      </c>
      <c r="F149" s="16">
        <f>IFERROR(F146/F211,"n/a")</f>
        <v>0.019339356295878036</v>
      </c>
      <c r="G149" s="16">
        <f>IFERROR(G146/G211,"n/a")</f>
        <v>0.02870003303600925</v>
      </c>
      <c r="H149" s="32">
        <f>IFERROR(H146/H211,"n/a")</f>
        <v>0.02385665040590941</v>
      </c>
    </row>
    <row r="150">
      <c r="B150" s="25" t="s">
        <v>104</v>
      </c>
      <c r="C150" s="16" t="s">
        <v>37</v>
      </c>
      <c r="D150" s="21">
        <f>IFERROR(D800/Inputs!D146,"n/a")</f>
        <v>1.462962962962963</v>
      </c>
      <c r="E150" s="21">
        <f>IFERROR(E800/Inputs!E146,"n/a")</f>
        <v>5.041666666666667</v>
      </c>
      <c r="F150" s="21">
        <f>IFERROR(F800/Inputs!F146,"n/a")</f>
        <v>2.948717948717949</v>
      </c>
      <c r="G150" s="16" t="s">
        <v>37</v>
      </c>
      <c r="H150" s="43">
        <v>0</v>
      </c>
    </row>
    <row r="151">
      <c r="B151" s="25" t="s">
        <v>105</v>
      </c>
      <c r="C151" s="16" t="s">
        <v>37</v>
      </c>
      <c r="D151" s="16" t="s">
        <v>37</v>
      </c>
      <c r="E151" s="16" t="s">
        <v>37</v>
      </c>
      <c r="F151" s="16" t="s">
        <v>37</v>
      </c>
      <c r="G151" s="16" t="s">
        <v>37</v>
      </c>
      <c r="H151" s="43">
        <v>0</v>
      </c>
    </row>
    <row r="152">
      <c r="B152" s="25" t="s">
        <v>106</v>
      </c>
      <c r="C152" s="16" t="str">
        <f>IF(AND(ISNUMBER(C147),ISNUMBER(C150),ISNUMBER(C151)),(1+C147)/((1+C150)*(1+C151))-1,"n/a")</f>
        <v>n/a</v>
      </c>
      <c r="D152" s="16" t="str">
        <f>IF(AND(ISNUMBER(D147),ISNUMBER(D150),ISNUMBER(D151)),(1+D147)/((1+D150)*(1+D151))-1,"n/a")</f>
        <v>n/a</v>
      </c>
      <c r="E152" s="16" t="str">
        <f>IF(AND(ISNUMBER(E147),ISNUMBER(E150),ISNUMBER(E151)),(1+E147)/((1+E150)*(1+E151))-1,"n/a")</f>
        <v>n/a</v>
      </c>
      <c r="F152" s="16" t="str">
        <f>IF(AND(ISNUMBER(F147),ISNUMBER(F150),ISNUMBER(F151)),(1+F147)/((1+F150)*(1+F151))-1,"n/a")</f>
        <v>n/a</v>
      </c>
      <c r="G152" s="16" t="str">
        <f>IF(AND(ISNUMBER(G147),ISNUMBER(G150),ISNUMBER(G151)),(1+G147)/((1+G150)*(1+G151))-1,"n/a")</f>
        <v>n/a</v>
      </c>
      <c r="H152" s="32">
        <f>IF(AND(ISNUMBER(H147),ISNUMBER(H150),ISNUMBER(H151)),(1+H147)/((1+H150)*(1+H151))-1,"n/a")</f>
        <v>-0.3959731543624161</v>
      </c>
    </row>
    <row r="153">
      <c r="B153" s="1" t="s">
        <v>114</v>
      </c>
      <c r="C153" s="23">
        <v>202</v>
      </c>
      <c r="D153" s="23">
        <v>311</v>
      </c>
      <c r="E153" s="23">
        <v>7</v>
      </c>
      <c r="F153" s="23">
        <v>100</v>
      </c>
      <c r="G153" s="23">
        <v>558</v>
      </c>
      <c r="H153" s="35">
        <v>220</v>
      </c>
    </row>
    <row r="154">
      <c r="B154" s="25" t="s">
        <v>101</v>
      </c>
      <c r="C154" s="21">
        <f>IFERROR(C153/Inputs!C147-1,"n/a")</f>
        <v>-0.44505494505494503</v>
      </c>
      <c r="D154" s="21">
        <f>IFERROR(D153/Inputs!D147-1,"n/a")</f>
        <v>0.5628140703517588</v>
      </c>
      <c r="E154" s="21">
        <f>IFERROR(E153/Inputs!E147-1,"n/a")</f>
        <v>-0.30000000000000004</v>
      </c>
      <c r="F154" s="21">
        <f>IFERROR(F153/Inputs!F147-1,"n/a")</f>
        <v>1.8571428571428572</v>
      </c>
      <c r="G154" s="21">
        <f>IFERROR(G153/Inputs!G147-1,"n/a")</f>
        <v>-0.17941176470588238</v>
      </c>
      <c r="H154" s="32">
        <f>IFERROR(H153/C153-1,"n/a")</f>
        <v>0.08910891089108919</v>
      </c>
    </row>
    <row r="155">
      <c r="B155" s="25" t="s">
        <v>102</v>
      </c>
      <c r="C155" s="21">
        <f>IFERROR(C153/Inputs!F147-1,"n/a")</f>
        <v>4.771428571428571</v>
      </c>
      <c r="D155" s="16">
        <f>IFERROR(D153/C153-1,"n/a")</f>
        <v>0.5396039603960396</v>
      </c>
      <c r="E155" s="16">
        <f>IFERROR(E153/D153-1,"n/a")</f>
        <v>-0.977491961414791</v>
      </c>
      <c r="F155" s="16">
        <f>IFERROR(F153/E153-1,"n/a")</f>
        <v>13.285714285714286</v>
      </c>
      <c r="H155" s="32">
        <f>IFERROR(H153/F153-1,"n/a")</f>
        <v>1.2000000000000002</v>
      </c>
    </row>
    <row r="156">
      <c r="B156" s="25" t="s">
        <v>103</v>
      </c>
      <c r="C156" s="16">
        <f>IFERROR(C153/C211,"n/a")</f>
        <v>0.031033952988170226</v>
      </c>
      <c r="D156" s="16">
        <f>IFERROR(D153/D211,"n/a")</f>
        <v>0.04437785388127854</v>
      </c>
      <c r="E156" s="16">
        <f>IFERROR(E153/E211,"n/a")</f>
        <v>0.0010450880859958196</v>
      </c>
      <c r="F156" s="16">
        <f>IFERROR(F153/F211,"n/a")</f>
        <v>0.014116318464144552</v>
      </c>
      <c r="G156" s="16">
        <f>IFERROR(G153/G211,"n/a")</f>
        <v>0.023042616451932608</v>
      </c>
      <c r="H156" s="32">
        <f>IFERROR(H153/H211,"n/a")</f>
        <v>0.029158128273889278</v>
      </c>
    </row>
    <row r="157">
      <c r="B157" s="25" t="s">
        <v>104</v>
      </c>
      <c r="C157" s="16" t="s">
        <v>37</v>
      </c>
      <c r="D157" s="16" t="s">
        <v>37</v>
      </c>
      <c r="E157" s="16" t="s">
        <v>37</v>
      </c>
      <c r="F157" s="16" t="s">
        <v>37</v>
      </c>
      <c r="G157" s="16" t="s">
        <v>37</v>
      </c>
      <c r="H157" s="43">
        <v>0</v>
      </c>
    </row>
    <row r="158">
      <c r="B158" s="25" t="s">
        <v>105</v>
      </c>
      <c r="C158" s="16" t="s">
        <v>37</v>
      </c>
      <c r="D158" s="16" t="s">
        <v>37</v>
      </c>
      <c r="E158" s="16" t="s">
        <v>37</v>
      </c>
      <c r="F158" s="16" t="s">
        <v>37</v>
      </c>
      <c r="G158" s="16" t="s">
        <v>37</v>
      </c>
      <c r="H158" s="43">
        <v>0</v>
      </c>
    </row>
    <row r="159">
      <c r="B159" s="25" t="s">
        <v>106</v>
      </c>
      <c r="C159" s="16" t="str">
        <f>IF(AND(ISNUMBER(C154),ISNUMBER(C157),ISNUMBER(C158)),(1+C154)/((1+C157)*(1+C158))-1,"n/a")</f>
        <v>n/a</v>
      </c>
      <c r="D159" s="16" t="str">
        <f>IF(AND(ISNUMBER(D154),ISNUMBER(D157),ISNUMBER(D158)),(1+D154)/((1+D157)*(1+D158))-1,"n/a")</f>
        <v>n/a</v>
      </c>
      <c r="E159" s="16" t="str">
        <f>IF(AND(ISNUMBER(E154),ISNUMBER(E157),ISNUMBER(E158)),(1+E154)/((1+E157)*(1+E158))-1,"n/a")</f>
        <v>n/a</v>
      </c>
      <c r="F159" s="16" t="str">
        <f>IF(AND(ISNUMBER(F154),ISNUMBER(F157),ISNUMBER(F158)),(1+F154)/((1+F157)*(1+F158))-1,"n/a")</f>
        <v>n/a</v>
      </c>
      <c r="G159" s="16" t="str">
        <f>IF(AND(ISNUMBER(G154),ISNUMBER(G157),ISNUMBER(G158)),(1+G154)/((1+G157)*(1+G158))-1,"n/a")</f>
        <v>n/a</v>
      </c>
      <c r="H159" s="32">
        <f>IF(AND(ISNUMBER(H154),ISNUMBER(H157),ISNUMBER(H158)),(1+H154)/((1+H157)*(1+H158))-1,"n/a")</f>
        <v>0.08910891089108919</v>
      </c>
    </row>
    <row r="160">
      <c r="B160" s="2" t="s">
        <v>115</v>
      </c>
      <c r="C160" s="42">
        <f>C146+C153</f>
        <v>500</v>
      </c>
      <c r="D160" s="42">
        <f>D146+D153</f>
        <v>645</v>
      </c>
      <c r="E160" s="42">
        <f>E146+E153</f>
        <v>239</v>
      </c>
      <c r="F160" s="42">
        <f>F146+F153</f>
        <v>237</v>
      </c>
      <c r="G160" s="42">
        <f>G146+G153</f>
        <v>1253</v>
      </c>
      <c r="H160" s="41">
        <f>H146+H153</f>
        <v>400</v>
      </c>
    </row>
    <row r="161">
      <c r="B161" s="25" t="s">
        <v>101</v>
      </c>
      <c r="C161" s="21">
        <f>IFERROR(C160/(Inputs!C146+Inputs!C147)-1,"n/a")</f>
        <v>0.34770889487870615</v>
      </c>
      <c r="D161" s="21">
        <f>IFERROR(D160/(Inputs!D146+Inputs!D147)-1,"n/a")</f>
        <v>1.1009771986970684</v>
      </c>
      <c r="E161" s="21">
        <f>IFERROR(E160/(Inputs!E146+Inputs!E147)-1,"n/a")</f>
        <v>6.029411764705882</v>
      </c>
      <c r="F161" s="21">
        <f>IFERROR(F160/(Inputs!F146+Inputs!F147)-1,"n/a")</f>
        <v>2.2027027027027026</v>
      </c>
      <c r="G161" s="21">
        <f>IFERROR(G160/(Inputs!G146+Inputs!G147)-1,"n/a")</f>
        <v>0.2682186234817814</v>
      </c>
      <c r="H161" s="32">
        <f>IFERROR(H160/C160-1,"n/a")</f>
        <v>-0.19999999999999996</v>
      </c>
    </row>
    <row r="162">
      <c r="B162" s="25" t="s">
        <v>102</v>
      </c>
      <c r="C162" s="21">
        <f>IFERROR(C160/(Inputs!F146+Inputs!F147)-1,"n/a")</f>
        <v>5.756756756756757</v>
      </c>
      <c r="D162" s="16">
        <f>IFERROR(D160/C160-1,"n/a")</f>
        <v>0.29000000000000004</v>
      </c>
      <c r="E162" s="16">
        <f>IFERROR(E160/D160-1,"n/a")</f>
        <v>-0.6294573643410852</v>
      </c>
      <c r="F162" s="16">
        <f>IFERROR(F160/E160-1,"n/a")</f>
        <v>-0.008368200836820106</v>
      </c>
      <c r="H162" s="32">
        <f>IFERROR(H160/F160-1,"n/a")</f>
        <v>0.6877637130801688</v>
      </c>
    </row>
    <row r="163">
      <c r="B163" s="25" t="s">
        <v>103</v>
      </c>
      <c r="C163" s="16">
        <f>IFERROR(C160/C211,"n/a")</f>
        <v>0.07681671531725304</v>
      </c>
      <c r="D163" s="16">
        <f>IFERROR(D160/D211,"n/a")</f>
        <v>0.0920376712328767</v>
      </c>
      <c r="E163" s="16">
        <f>IFERROR(E160/E211,"n/a")</f>
        <v>0.03568229322185727</v>
      </c>
      <c r="F163" s="16">
        <f>IFERROR(F160/F211,"n/a")</f>
        <v>0.033455674760022584</v>
      </c>
      <c r="G163" s="16">
        <f>IFERROR(G160/G211,"n/a")</f>
        <v>0.051742649487941855</v>
      </c>
      <c r="H163" s="32">
        <f>IFERROR(H160/H211,"n/a")</f>
        <v>0.05301477867979869</v>
      </c>
    </row>
    <row r="164">
      <c r="B164" s="25" t="s">
        <v>104</v>
      </c>
      <c r="C164" s="16" t="s">
        <v>37</v>
      </c>
      <c r="D164" s="21">
        <f>IFERROR(D800/(Inputs!D146+Inputs!D147),"n/a")</f>
        <v>0.5146579804560261</v>
      </c>
      <c r="E164" s="21">
        <f>IFERROR(E800/(Inputs!E146+Inputs!E147),"n/a")</f>
        <v>3.5588235294117645</v>
      </c>
      <c r="F164" s="21">
        <f>IFERROR(F800/(Inputs!F146+Inputs!F147),"n/a")</f>
        <v>1.554054054054054</v>
      </c>
      <c r="G164" s="16" t="s">
        <v>37</v>
      </c>
      <c r="H164" s="43">
        <v>0</v>
      </c>
    </row>
    <row r="165">
      <c r="B165" s="25" t="s">
        <v>105</v>
      </c>
      <c r="C165" s="16" t="s">
        <v>37</v>
      </c>
      <c r="D165" s="16" t="s">
        <v>37</v>
      </c>
      <c r="E165" s="16" t="s">
        <v>37</v>
      </c>
      <c r="F165" s="16" t="s">
        <v>37</v>
      </c>
      <c r="G165" s="16" t="s">
        <v>37</v>
      </c>
      <c r="H165" s="43">
        <v>0</v>
      </c>
    </row>
    <row r="166">
      <c r="B166" s="25" t="s">
        <v>106</v>
      </c>
      <c r="C166" s="16" t="str">
        <f>IF(AND(ISNUMBER(C161),ISNUMBER(C164),ISNUMBER(C165)),(1+C161)/((1+C164)*(1+C165))-1,"n/a")</f>
        <v>n/a</v>
      </c>
      <c r="D166" s="16" t="str">
        <f>IF(AND(ISNUMBER(D161),ISNUMBER(D164),ISNUMBER(D165)),(1+D161)/((1+D164)*(1+D165))-1,"n/a")</f>
        <v>n/a</v>
      </c>
      <c r="E166" s="16" t="str">
        <f>IF(AND(ISNUMBER(E161),ISNUMBER(E164),ISNUMBER(E165)),(1+E161)/((1+E164)*(1+E165))-1,"n/a")</f>
        <v>n/a</v>
      </c>
      <c r="F166" s="16" t="str">
        <f>IF(AND(ISNUMBER(F161),ISNUMBER(F164),ISNUMBER(F165)),(1+F161)/((1+F164)*(1+F165))-1,"n/a")</f>
        <v>n/a</v>
      </c>
      <c r="G166" s="16" t="str">
        <f>IF(AND(ISNUMBER(G161),ISNUMBER(G164),ISNUMBER(G165)),(1+G161)/((1+G164)*(1+G165))-1,"n/a")</f>
        <v>n/a</v>
      </c>
      <c r="H166" s="32">
        <f>IF(AND(ISNUMBER(H161),ISNUMBER(H164),ISNUMBER(H165)),(1+H161)/((1+H164)*(1+H165))-1,"n/a")</f>
        <v>-0.19999999999999996</v>
      </c>
    </row>
    <row r="167">
      <c r="B167" s="2" t="s">
        <v>127</v>
      </c>
      <c r="C167" s="42">
        <f>C125+C132+C139+C160</f>
        <v>516</v>
      </c>
      <c r="D167" s="42">
        <f>D125+D132+D139+D160</f>
        <v>754</v>
      </c>
      <c r="E167" s="42">
        <f>E125+E132+E139+E160</f>
        <v>272</v>
      </c>
      <c r="F167" s="42">
        <f>F125+F132+F139+F160</f>
        <v>305</v>
      </c>
      <c r="G167" s="42">
        <f>G125+G132+G139+G160</f>
        <v>1424</v>
      </c>
      <c r="H167" s="41">
        <f>H125+H132+H139+H160</f>
        <v>438</v>
      </c>
    </row>
    <row r="168">
      <c r="B168" s="25" t="s">
        <v>101</v>
      </c>
      <c r="C168" s="21">
        <f>IFERROR(C167/(Inputs!C143+Inputs!C144+Inputs!C145+Inputs!C146+Inputs!C147)-1,"n/a")</f>
        <v>0.3298969072164948</v>
      </c>
      <c r="D168" s="21">
        <f>IFERROR(D167/(Inputs!D143+Inputs!D144+Inputs!D145+Inputs!D146+Inputs!D147)-1,"n/a")</f>
        <v>0.6718403547671841</v>
      </c>
      <c r="E168" s="21">
        <f>IFERROR(E167/(Inputs!E143+Inputs!E144+Inputs!E145+Inputs!E146+Inputs!E147)-1,"n/a")</f>
        <v>3.533333333333333</v>
      </c>
      <c r="F168" s="21">
        <f>IFERROR(F167/(Inputs!F143+Inputs!F144+Inputs!F145+Inputs!F146+Inputs!F147)-1,"n/a")</f>
        <v>2.24468085106383</v>
      </c>
      <c r="G168" s="21">
        <f>IFERROR(G167/(Inputs!G143+Inputs!G144+Inputs!G145+Inputs!G146+Inputs!G147)-1,"n/a")</f>
        <v>0.17978458989229495</v>
      </c>
      <c r="H168" s="32">
        <f>IFERROR(H167/C167-1,"n/a")</f>
        <v>-0.15116279069767447</v>
      </c>
    </row>
    <row r="169">
      <c r="B169" s="25" t="s">
        <v>102</v>
      </c>
      <c r="C169" s="21">
        <f>IFERROR(C167/(Inputs!F143+Inputs!F144+Inputs!F145+Inputs!F146+Inputs!F147)-1,"n/a")</f>
        <v>4.48936170212766</v>
      </c>
      <c r="D169" s="16">
        <f>IFERROR(D167/C167-1,"n/a")</f>
        <v>0.4612403100775193</v>
      </c>
      <c r="E169" s="16">
        <f>IFERROR(E167/D167-1,"n/a")</f>
        <v>-0.6392572944297082</v>
      </c>
      <c r="F169" s="16">
        <f>IFERROR(F167/E167-1,"n/a")</f>
        <v>0.12132352941176472</v>
      </c>
      <c r="H169" s="32">
        <f>IFERROR(H167/F167-1,"n/a")</f>
        <v>0.4360655737704917</v>
      </c>
    </row>
    <row r="170">
      <c r="B170" s="25" t="s">
        <v>103</v>
      </c>
      <c r="C170" s="16">
        <f>IFERROR(C167/C211,"n/a")</f>
        <v>0.07927485020740513</v>
      </c>
      <c r="D170" s="16">
        <f>IFERROR(D167/D211,"n/a")</f>
        <v>0.10759132420091325</v>
      </c>
      <c r="E170" s="16">
        <f>IFERROR(E167/E211,"n/a")</f>
        <v>0.04060913705583756</v>
      </c>
      <c r="F170" s="16">
        <f>IFERROR(F167/F211,"n/a")</f>
        <v>0.04305477131564088</v>
      </c>
      <c r="G170" s="16">
        <f>IFERROR(G167/G211,"n/a")</f>
        <v>0.05880409646514701</v>
      </c>
      <c r="H170" s="32">
        <f>IFERROR(H167/H211,"n/a")</f>
        <v>0.058051182654379564</v>
      </c>
    </row>
    <row r="171">
      <c r="B171" s="25" t="s">
        <v>104</v>
      </c>
      <c r="C171" s="16" t="s">
        <v>37</v>
      </c>
      <c r="D171" s="21">
        <f>IFERROR(D800/(Inputs!D143+Inputs!D144+Inputs!D145+Inputs!D146+Inputs!D147),"n/a")</f>
        <v>0.35033259423503327</v>
      </c>
      <c r="E171" s="21">
        <f>IFERROR(E800/(Inputs!E143+Inputs!E144+Inputs!E145+Inputs!E146+Inputs!E147),"n/a")</f>
        <v>2.0166666666666666</v>
      </c>
      <c r="F171" s="21">
        <f>IFERROR(F800/(Inputs!F143+Inputs!F144+Inputs!F145+Inputs!F146+Inputs!F147),"n/a")</f>
        <v>1.2234042553191489</v>
      </c>
      <c r="G171" s="16" t="s">
        <v>37</v>
      </c>
      <c r="H171" s="43">
        <v>0</v>
      </c>
    </row>
    <row r="172">
      <c r="B172" s="25" t="s">
        <v>105</v>
      </c>
      <c r="C172" s="16" t="s">
        <v>37</v>
      </c>
      <c r="D172" s="16" t="s">
        <v>37</v>
      </c>
      <c r="E172" s="16" t="s">
        <v>37</v>
      </c>
      <c r="F172" s="16" t="s">
        <v>37</v>
      </c>
      <c r="G172" s="16" t="s">
        <v>37</v>
      </c>
      <c r="H172" s="43">
        <v>0</v>
      </c>
    </row>
    <row r="173">
      <c r="B173" s="25" t="s">
        <v>106</v>
      </c>
      <c r="C173" s="16" t="str">
        <f>IF(AND(ISNUMBER(C168),ISNUMBER(C171),ISNUMBER(C172)),(1+C168)/((1+C171)*(1+C172))-1,"n/a")</f>
        <v>n/a</v>
      </c>
      <c r="D173" s="16" t="str">
        <f>IF(AND(ISNUMBER(D168),ISNUMBER(D171),ISNUMBER(D172)),(1+D168)/((1+D171)*(1+D172))-1,"n/a")</f>
        <v>n/a</v>
      </c>
      <c r="E173" s="16" t="str">
        <f>IF(AND(ISNUMBER(E168),ISNUMBER(E171),ISNUMBER(E172)),(1+E168)/((1+E171)*(1+E172))-1,"n/a")</f>
        <v>n/a</v>
      </c>
      <c r="F173" s="16" t="str">
        <f>IF(AND(ISNUMBER(F168),ISNUMBER(F171),ISNUMBER(F172)),(1+F168)/((1+F171)*(1+F172))-1,"n/a")</f>
        <v>n/a</v>
      </c>
      <c r="G173" s="16" t="str">
        <f>IF(AND(ISNUMBER(G168),ISNUMBER(G171),ISNUMBER(G172)),(1+G168)/((1+G171)*(1+G172))-1,"n/a")</f>
        <v>n/a</v>
      </c>
      <c r="H173" s="32">
        <f>IF(AND(ISNUMBER(H168),ISNUMBER(H171),ISNUMBER(H172)),(1+H168)/((1+H171)*(1+H172))-1,"n/a")</f>
        <v>-0.15116279069767447</v>
      </c>
    </row>
    <row r="174">
      <c r="H174" s="39"/>
    </row>
    <row r="175" ht="27">
      <c r="B175" s="100" t="s">
        <v>128</v>
      </c>
      <c r="C175" s="23">
        <v>515</v>
      </c>
      <c r="D175" s="23">
        <v>531</v>
      </c>
      <c r="E175" s="23">
        <v>530</v>
      </c>
      <c r="F175" s="23">
        <v>566</v>
      </c>
      <c r="G175" s="23">
        <v>1981</v>
      </c>
      <c r="H175" s="30">
        <f>H717</f>
        <v>581.9499999999999</v>
      </c>
    </row>
    <row r="176">
      <c r="B176" s="25" t="s">
        <v>129</v>
      </c>
      <c r="C176" s="21">
        <f>IFERROR(C175/Inputs!C148-1,"n/a")</f>
        <v>0.2779156327543424</v>
      </c>
      <c r="D176" s="21">
        <f>IFERROR(D175/Inputs!D148-1,"n/a")</f>
        <v>0.24065420560747675</v>
      </c>
      <c r="E176" s="21">
        <f>IFERROR(E175/Inputs!E148-1,"n/a")</f>
        <v>0.2155963302752293</v>
      </c>
      <c r="F176" s="21">
        <f>IFERROR(F175/Inputs!F148-1,"n/a")</f>
        <v>0.13426853707414832</v>
      </c>
      <c r="G176" s="21">
        <f>IFERROR(G175/Inputs!G148-1,"n/a")</f>
        <v>0.23580786026200884</v>
      </c>
      <c r="H176" s="32">
        <f>IFERROR(H175/C175-1,"n/a")</f>
        <v>0.1299999999999999</v>
      </c>
    </row>
    <row r="177">
      <c r="B177" s="25" t="s">
        <v>130</v>
      </c>
      <c r="C177" s="21">
        <f>IFERROR(C175/Inputs!F148-1,"n/a")</f>
        <v>0.03206412825651306</v>
      </c>
      <c r="D177" s="16">
        <f>IFERROR(D175/C175-1,"n/a")</f>
        <v>0.03106796116504862</v>
      </c>
      <c r="E177" s="16">
        <f>IFERROR(E175/D175-1,"n/a")</f>
        <v>-0.0018832391713747842</v>
      </c>
      <c r="F177" s="16">
        <f>IFERROR(F175/E175-1,"n/a")</f>
        <v>0.06792452830188678</v>
      </c>
      <c r="H177" s="32">
        <f>IFERROR(H175/F175-1,"n/a")</f>
        <v>0.02818021201413412</v>
      </c>
    </row>
    <row r="178">
      <c r="B178" s="25" t="s">
        <v>131</v>
      </c>
      <c r="C178" s="16">
        <f>IFERROR(C175/C211,"n/a")</f>
        <v>0.07912121677677063</v>
      </c>
      <c r="D178" s="16">
        <f>IFERROR(D175/D211,"n/a")</f>
        <v>0.07577054794520548</v>
      </c>
      <c r="E178" s="16">
        <f>IFERROR(E175/E211,"n/a")</f>
        <v>0.07912809793968349</v>
      </c>
      <c r="F178" s="16">
        <f>IFERROR(F175/F211,"n/a")</f>
        <v>0.07989836250705816</v>
      </c>
      <c r="G178" s="16">
        <f>IFERROR(G175/G211,"n/a")</f>
        <v>0.08180541790551701</v>
      </c>
      <c r="H178" s="32">
        <f>IFERROR(H175/H211,"n/a")</f>
        <v>0.07712987613177211</v>
      </c>
    </row>
    <row r="179">
      <c r="B179" s="25" t="s">
        <v>132</v>
      </c>
      <c r="C179" s="21">
        <f>IFERROR(C801/Inputs!C148,"n/a")</f>
        <v>0.16129032258064516</v>
      </c>
      <c r="D179" s="21">
        <f>IFERROR(D801/Inputs!D148,"n/a")</f>
        <v>0.15186915887850466</v>
      </c>
      <c r="E179" s="16" t="s">
        <v>37</v>
      </c>
      <c r="F179" s="46">
        <v>0</v>
      </c>
      <c r="G179" s="16" t="s">
        <v>37</v>
      </c>
      <c r="H179" s="43">
        <v>0</v>
      </c>
    </row>
    <row r="180">
      <c r="B180" s="25" t="s">
        <v>133</v>
      </c>
      <c r="C180" s="16" t="s">
        <v>37</v>
      </c>
      <c r="D180" s="16" t="s">
        <v>37</v>
      </c>
      <c r="E180" s="16" t="s">
        <v>37</v>
      </c>
      <c r="F180" s="16" t="s">
        <v>37</v>
      </c>
      <c r="G180" s="16" t="s">
        <v>37</v>
      </c>
      <c r="H180" s="43">
        <v>0</v>
      </c>
    </row>
    <row r="181">
      <c r="B181" s="25" t="s">
        <v>134</v>
      </c>
      <c r="C181" s="16" t="str">
        <f>IF(AND(ISNUMBER(C176),ISNUMBER(C179),ISNUMBER(C180)),(1+C176)/((1+C179)*(1+C180))-1,"n/a")</f>
        <v>n/a</v>
      </c>
      <c r="D181" s="16" t="str">
        <f>IF(AND(ISNUMBER(D176),ISNUMBER(D179),ISNUMBER(D180)),(1+D176)/((1+D179)*(1+D180))-1,"n/a")</f>
        <v>n/a</v>
      </c>
      <c r="E181" s="16" t="str">
        <f>IF(AND(ISNUMBER(E176),ISNUMBER(E179),ISNUMBER(E180)),(1+E176)/((1+E179)*(1+E180))-1,"n/a")</f>
        <v>n/a</v>
      </c>
      <c r="F181" s="16" t="str">
        <f>IF(AND(ISNUMBER(F176),ISNUMBER(F179),ISNUMBER(F180)),(1+F176)/((1+F179)*(1+F180))-1,"n/a")</f>
        <v>n/a</v>
      </c>
      <c r="G181" s="16" t="str">
        <f>IF(AND(ISNUMBER(G176),ISNUMBER(G179),ISNUMBER(G180)),(1+G176)/((1+G179)*(1+G180))-1,"n/a")</f>
        <v>n/a</v>
      </c>
      <c r="H181" s="32">
        <f>IF(AND(ISNUMBER(H176),ISNUMBER(H179),ISNUMBER(H180)),(1+H176)/((1+H179)*(1+H180))-1,"n/a")</f>
        <v>0.1299999999999999</v>
      </c>
    </row>
    <row r="182">
      <c r="B182" s="1" t="s">
        <v>135</v>
      </c>
      <c r="C182" s="23">
        <v>355</v>
      </c>
      <c r="D182" s="23">
        <v>359</v>
      </c>
      <c r="E182" s="23">
        <v>389</v>
      </c>
      <c r="F182" s="23">
        <v>395</v>
      </c>
      <c r="G182" s="23">
        <v>1355</v>
      </c>
      <c r="H182" s="30">
        <f>H713</f>
        <v>416.703720991426</v>
      </c>
    </row>
    <row r="183">
      <c r="B183" s="25" t="s">
        <v>129</v>
      </c>
      <c r="C183" s="21">
        <f>IFERROR(C182/Inputs!C149-1,"n/a")</f>
        <v>0.09907120743034059</v>
      </c>
      <c r="D183" s="21">
        <f>IFERROR(D182/Inputs!D149-1,"n/a")</f>
        <v>0.11490683229813659</v>
      </c>
      <c r="E183" s="21">
        <f>IFERROR(E182/Inputs!E149-1,"n/a")</f>
        <v>0.21183800623052962</v>
      </c>
      <c r="F183" s="21">
        <f>IFERROR(F182/Inputs!F149-1,"n/a")</f>
        <v>0.234375</v>
      </c>
      <c r="G183" s="21">
        <f>IFERROR(G182/Inputs!G149-1,"n/a")</f>
        <v>0.06441476826394354</v>
      </c>
      <c r="H183" s="32">
        <f>IFERROR(H182/C182-1,"n/a")</f>
        <v>0.17381329856739725</v>
      </c>
    </row>
    <row r="184">
      <c r="B184" s="25" t="s">
        <v>130</v>
      </c>
      <c r="C184" s="21">
        <f>IFERROR(C182/Inputs!F149-1,"n/a")</f>
        <v>0.109375</v>
      </c>
      <c r="D184" s="16">
        <f>IFERROR(D182/C182-1,"n/a")</f>
        <v>0.011267605633802802</v>
      </c>
      <c r="E184" s="16">
        <f>IFERROR(E182/D182-1,"n/a")</f>
        <v>0.08356545961002793</v>
      </c>
      <c r="F184" s="16">
        <f>IFERROR(F182/E182-1,"n/a")</f>
        <v>0.015424164524421524</v>
      </c>
      <c r="H184" s="32">
        <f>IFERROR(H182/F182-1,"n/a")</f>
        <v>0.054946129092217744</v>
      </c>
    </row>
    <row r="185">
      <c r="B185" s="25" t="s">
        <v>131</v>
      </c>
      <c r="C185" s="16">
        <f>IFERROR(C182/C211,"n/a")</f>
        <v>0.054539867875249656</v>
      </c>
      <c r="D185" s="16">
        <f>IFERROR(D182/D211,"n/a")</f>
        <v>0.05122716894977169</v>
      </c>
      <c r="E185" s="16">
        <f>IFERROR(E182/E211,"n/a")</f>
        <v>0.058077037921767695</v>
      </c>
      <c r="F185" s="16">
        <f>IFERROR(F182/F211,"n/a")</f>
        <v>0.055759457933370976</v>
      </c>
      <c r="G185" s="16">
        <f>IFERROR(G182/G211,"n/a")</f>
        <v>0.055954740667327384</v>
      </c>
      <c r="H185" s="32">
        <f>IFERROR(H182/H211,"n/a")</f>
        <v>0.05522863885852258</v>
      </c>
    </row>
    <row r="186">
      <c r="B186" s="25" t="s">
        <v>132</v>
      </c>
      <c r="C186" s="16" t="s">
        <v>37</v>
      </c>
      <c r="D186" s="16" t="s">
        <v>37</v>
      </c>
      <c r="E186" s="16" t="s">
        <v>37</v>
      </c>
      <c r="F186" s="16" t="s">
        <v>37</v>
      </c>
      <c r="G186" s="16" t="s">
        <v>37</v>
      </c>
      <c r="H186" s="43">
        <v>0</v>
      </c>
    </row>
    <row r="187">
      <c r="B187" s="25" t="s">
        <v>133</v>
      </c>
      <c r="C187" s="16" t="s">
        <v>37</v>
      </c>
      <c r="D187" s="16" t="s">
        <v>37</v>
      </c>
      <c r="E187" s="16" t="s">
        <v>37</v>
      </c>
      <c r="F187" s="16" t="s">
        <v>37</v>
      </c>
      <c r="G187" s="16" t="s">
        <v>37</v>
      </c>
      <c r="H187" s="43">
        <v>0</v>
      </c>
    </row>
    <row r="188">
      <c r="B188" s="25" t="s">
        <v>134</v>
      </c>
      <c r="C188" s="16" t="str">
        <f>IF(AND(ISNUMBER(C183),ISNUMBER(C186),ISNUMBER(C187)),(1+C183)/((1+C186)*(1+C187))-1,"n/a")</f>
        <v>n/a</v>
      </c>
      <c r="D188" s="16" t="str">
        <f>IF(AND(ISNUMBER(D183),ISNUMBER(D186),ISNUMBER(D187)),(1+D183)/((1+D186)*(1+D187))-1,"n/a")</f>
        <v>n/a</v>
      </c>
      <c r="E188" s="16" t="str">
        <f>IF(AND(ISNUMBER(E183),ISNUMBER(E186),ISNUMBER(E187)),(1+E183)/((1+E186)*(1+E187))-1,"n/a")</f>
        <v>n/a</v>
      </c>
      <c r="F188" s="16" t="str">
        <f>IF(AND(ISNUMBER(F183),ISNUMBER(F186),ISNUMBER(F187)),(1+F183)/((1+F186)*(1+F187))-1,"n/a")</f>
        <v>n/a</v>
      </c>
      <c r="G188" s="16" t="str">
        <f>IF(AND(ISNUMBER(G183),ISNUMBER(G186),ISNUMBER(G187)),(1+G183)/((1+G186)*(1+G187))-1,"n/a")</f>
        <v>n/a</v>
      </c>
      <c r="H188" s="32">
        <f>IF(AND(ISNUMBER(H183),ISNUMBER(H186),ISNUMBER(H187)),(1+H183)/((1+H186)*(1+H187))-1,"n/a")</f>
        <v>0.17381329856739725</v>
      </c>
    </row>
    <row r="189">
      <c r="B189" s="1" t="s">
        <v>136</v>
      </c>
      <c r="C189" s="23">
        <v>12</v>
      </c>
      <c r="D189" s="23">
        <v>11</v>
      </c>
      <c r="E189" s="23">
        <v>12</v>
      </c>
      <c r="F189" s="23">
        <v>8</v>
      </c>
      <c r="G189" s="23">
        <v>50</v>
      </c>
      <c r="H189" s="35">
        <v>10</v>
      </c>
    </row>
    <row r="190">
      <c r="B190" s="25" t="s">
        <v>101</v>
      </c>
      <c r="C190" s="21">
        <f>IFERROR(C189/Inputs!C150-1,"n/a")</f>
        <v>0.09090909090909083</v>
      </c>
      <c r="D190" s="21">
        <f>IFERROR(D189/Inputs!D150-1,"n/a")</f>
        <v>-0.2142857142857143</v>
      </c>
      <c r="E190" s="21">
        <f>IFERROR(E189/Inputs!E150-1,"n/a")</f>
        <v>-0.1428571428571429</v>
      </c>
      <c r="F190" s="21">
        <f>IFERROR(F189/Inputs!F150-1,"n/a")</f>
        <v>-0.3846153846153846</v>
      </c>
      <c r="G190" s="21">
        <f>IFERROR(G189/Inputs!G150-1,"n/a")</f>
        <v>0.020408163265306145</v>
      </c>
      <c r="H190" s="32">
        <f>IFERROR(H189/C189-1,"n/a")</f>
        <v>-0.16666666666666663</v>
      </c>
    </row>
    <row r="191">
      <c r="B191" s="25" t="s">
        <v>102</v>
      </c>
      <c r="C191" s="21">
        <f>IFERROR(C189/Inputs!F150-1,"n/a")</f>
        <v>-0.07692307692307687</v>
      </c>
      <c r="D191" s="16">
        <f>IFERROR(D189/C189-1,"n/a")</f>
        <v>-0.08333333333333337</v>
      </c>
      <c r="E191" s="16">
        <f>IFERROR(E189/D189-1,"n/a")</f>
        <v>0.09090909090909083</v>
      </c>
      <c r="F191" s="16">
        <f>IFERROR(F189/E189-1,"n/a")</f>
        <v>-0.33333333333333337</v>
      </c>
      <c r="H191" s="32">
        <f>IFERROR(H189/F189-1,"n/a")</f>
        <v>0.25</v>
      </c>
    </row>
    <row r="192">
      <c r="B192" s="25" t="s">
        <v>103</v>
      </c>
      <c r="C192" s="16">
        <f>IFERROR(C189/C211,"n/a")</f>
        <v>0.0018436011676140728</v>
      </c>
      <c r="D192" s="16">
        <f>IFERROR(D189/D211,"n/a")</f>
        <v>0.001569634703196347</v>
      </c>
      <c r="E192" s="16">
        <f>IFERROR(E189/E211,"n/a")</f>
        <v>0.0017915795759928337</v>
      </c>
      <c r="F192" s="16">
        <f>IFERROR(F189/F211,"n/a")</f>
        <v>0.001129305477131564</v>
      </c>
      <c r="G192" s="16">
        <f>IFERROR(G189/G211,"n/a")</f>
        <v>0.002064750578130162</v>
      </c>
      <c r="H192" s="32">
        <f>IFERROR(H189/H211,"n/a")</f>
        <v>0.0013253694669949673</v>
      </c>
    </row>
    <row r="193">
      <c r="B193" s="25" t="s">
        <v>104</v>
      </c>
      <c r="C193" s="16" t="s">
        <v>37</v>
      </c>
      <c r="D193" s="16" t="s">
        <v>37</v>
      </c>
      <c r="E193" s="16" t="s">
        <v>37</v>
      </c>
      <c r="F193" s="16" t="s">
        <v>37</v>
      </c>
      <c r="G193" s="16" t="s">
        <v>37</v>
      </c>
      <c r="H193" s="43">
        <v>0</v>
      </c>
    </row>
    <row r="194">
      <c r="B194" s="25" t="s">
        <v>105</v>
      </c>
      <c r="C194" s="16" t="s">
        <v>37</v>
      </c>
      <c r="D194" s="16" t="s">
        <v>37</v>
      </c>
      <c r="E194" s="16" t="s">
        <v>37</v>
      </c>
      <c r="F194" s="16" t="s">
        <v>37</v>
      </c>
      <c r="G194" s="16" t="s">
        <v>37</v>
      </c>
      <c r="H194" s="43">
        <v>0</v>
      </c>
    </row>
    <row r="195">
      <c r="B195" s="25" t="s">
        <v>106</v>
      </c>
      <c r="C195" s="16" t="str">
        <f>IF(AND(ISNUMBER(C190),ISNUMBER(C193),ISNUMBER(C194)),(1+C190)/((1+C193)*(1+C194))-1,"n/a")</f>
        <v>n/a</v>
      </c>
      <c r="D195" s="16" t="str">
        <f>IF(AND(ISNUMBER(D190),ISNUMBER(D193),ISNUMBER(D194)),(1+D190)/((1+D193)*(1+D194))-1,"n/a")</f>
        <v>n/a</v>
      </c>
      <c r="E195" s="16" t="str">
        <f>IF(AND(ISNUMBER(E190),ISNUMBER(E193),ISNUMBER(E194)),(1+E190)/((1+E193)*(1+E194))-1,"n/a")</f>
        <v>n/a</v>
      </c>
      <c r="F195" s="16" t="str">
        <f>IF(AND(ISNUMBER(F190),ISNUMBER(F193),ISNUMBER(F194)),(1+F190)/((1+F193)*(1+F194))-1,"n/a")</f>
        <v>n/a</v>
      </c>
      <c r="G195" s="16" t="str">
        <f>IF(AND(ISNUMBER(G190),ISNUMBER(G193),ISNUMBER(G194)),(1+G190)/((1+G193)*(1+G194))-1,"n/a")</f>
        <v>n/a</v>
      </c>
      <c r="H195" s="32">
        <f>IF(AND(ISNUMBER(H190),ISNUMBER(H193),ISNUMBER(H194)),(1+H190)/((1+H193)*(1+H194))-1,"n/a")</f>
        <v>-0.16666666666666663</v>
      </c>
    </row>
    <row r="196">
      <c r="B196" s="1" t="s">
        <v>137</v>
      </c>
      <c r="C196" s="23">
        <v>65</v>
      </c>
      <c r="D196" s="23">
        <v>75</v>
      </c>
      <c r="E196" s="23">
        <v>57</v>
      </c>
      <c r="F196" s="23">
        <v>84</v>
      </c>
      <c r="G196" s="23">
        <v>227</v>
      </c>
      <c r="H196" s="35">
        <v>72</v>
      </c>
    </row>
    <row r="197">
      <c r="B197" s="25" t="s">
        <v>101</v>
      </c>
      <c r="C197" s="21">
        <f>IFERROR(C196/Inputs!C151-1,"n/a")</f>
        <v>0.5476190476190477</v>
      </c>
      <c r="D197" s="21">
        <f>IFERROR(D196/Inputs!D151-1,"n/a")</f>
        <v>0.6666666666666667</v>
      </c>
      <c r="E197" s="21">
        <f>IFERROR(E196/Inputs!E151-1,"n/a")</f>
        <v>0.2954545454545454</v>
      </c>
      <c r="F197" s="21">
        <f>IFERROR(F196/Inputs!F151-1,"n/a")</f>
        <v>0.9534883720930232</v>
      </c>
      <c r="G197" s="21">
        <f>IFERROR(G196/Inputs!G151-1,"n/a")</f>
        <v>0.29714285714285715</v>
      </c>
      <c r="H197" s="32">
        <f>IFERROR(H196/C196-1,"n/a")</f>
        <v>0.10769230769230775</v>
      </c>
    </row>
    <row r="198">
      <c r="B198" s="25" t="s">
        <v>102</v>
      </c>
      <c r="C198" s="21">
        <f>IFERROR(C196/Inputs!F151-1,"n/a")</f>
        <v>0.5116279069767442</v>
      </c>
      <c r="D198" s="16">
        <f>IFERROR(D196/C196-1,"n/a")</f>
        <v>0.15384615384615374</v>
      </c>
      <c r="E198" s="16">
        <f>IFERROR(E196/D196-1,"n/a")</f>
        <v>-0.24</v>
      </c>
      <c r="F198" s="16">
        <f>IFERROR(F196/E196-1,"n/a")</f>
        <v>0.4736842105263157</v>
      </c>
      <c r="H198" s="32">
        <f>IFERROR(H196/F196-1,"n/a")</f>
        <v>-0.1428571428571429</v>
      </c>
    </row>
    <row r="199">
      <c r="B199" s="25" t="s">
        <v>103</v>
      </c>
      <c r="C199" s="16">
        <f>IFERROR(C196/C211,"n/a")</f>
        <v>0.009986172991242895</v>
      </c>
      <c r="D199" s="16">
        <f>IFERROR(D196/D211,"n/a")</f>
        <v>0.010702054794520547</v>
      </c>
      <c r="E199" s="16">
        <f>IFERROR(E196/E211,"n/a")</f>
        <v>0.00851000298596596</v>
      </c>
      <c r="F199" s="16">
        <f>IFERROR(F196/F211,"n/a")</f>
        <v>0.011857707509881422</v>
      </c>
      <c r="G199" s="16">
        <f>IFERROR(G196/G211,"n/a")</f>
        <v>0.009373967624710934</v>
      </c>
      <c r="H199" s="32">
        <f>IFERROR(H196/H211,"n/a")</f>
        <v>0.009542660162363764</v>
      </c>
    </row>
    <row r="200">
      <c r="B200" s="25" t="s">
        <v>104</v>
      </c>
      <c r="C200" s="16" t="s">
        <v>37</v>
      </c>
      <c r="D200" s="16" t="s">
        <v>37</v>
      </c>
      <c r="E200" s="16" t="s">
        <v>37</v>
      </c>
      <c r="F200" s="16" t="s">
        <v>37</v>
      </c>
      <c r="G200" s="16" t="s">
        <v>37</v>
      </c>
      <c r="H200" s="43">
        <v>0</v>
      </c>
    </row>
    <row r="201">
      <c r="B201" s="25" t="s">
        <v>105</v>
      </c>
      <c r="C201" s="16" t="s">
        <v>37</v>
      </c>
      <c r="D201" s="16" t="s">
        <v>37</v>
      </c>
      <c r="E201" s="16" t="s">
        <v>37</v>
      </c>
      <c r="F201" s="16" t="s">
        <v>37</v>
      </c>
      <c r="G201" s="16" t="s">
        <v>37</v>
      </c>
      <c r="H201" s="43">
        <v>0</v>
      </c>
    </row>
    <row r="202">
      <c r="B202" s="25" t="s">
        <v>106</v>
      </c>
      <c r="C202" s="16" t="str">
        <f>IF(AND(ISNUMBER(C197),ISNUMBER(C200),ISNUMBER(C201)),(1+C197)/((1+C200)*(1+C201))-1,"n/a")</f>
        <v>n/a</v>
      </c>
      <c r="D202" s="16" t="str">
        <f>IF(AND(ISNUMBER(D197),ISNUMBER(D200),ISNUMBER(D201)),(1+D197)/((1+D200)*(1+D201))-1,"n/a")</f>
        <v>n/a</v>
      </c>
      <c r="E202" s="16" t="str">
        <f>IF(AND(ISNUMBER(E197),ISNUMBER(E200),ISNUMBER(E201)),(1+E197)/((1+E200)*(1+E201))-1,"n/a")</f>
        <v>n/a</v>
      </c>
      <c r="F202" s="16" t="str">
        <f>IF(AND(ISNUMBER(F197),ISNUMBER(F200),ISNUMBER(F201)),(1+F197)/((1+F200)*(1+F201))-1,"n/a")</f>
        <v>n/a</v>
      </c>
      <c r="G202" s="16" t="str">
        <f>IF(AND(ISNUMBER(G197),ISNUMBER(G200),ISNUMBER(G201)),(1+G197)/((1+G200)*(1+G201))-1,"n/a")</f>
        <v>n/a</v>
      </c>
      <c r="H202" s="32">
        <f>IF(AND(ISNUMBER(H197),ISNUMBER(H200),ISNUMBER(H201)),(1+H197)/((1+H200)*(1+H201))-1,"n/a")</f>
        <v>0.10769230769230775</v>
      </c>
    </row>
    <row r="203">
      <c r="B203" s="2" t="s">
        <v>138</v>
      </c>
      <c r="C203" s="42">
        <f>C189+C196</f>
        <v>77</v>
      </c>
      <c r="D203" s="42">
        <f>D189+D196</f>
        <v>86</v>
      </c>
      <c r="E203" s="42">
        <f>E189+E196</f>
        <v>69</v>
      </c>
      <c r="F203" s="42">
        <f>F189+F196</f>
        <v>92</v>
      </c>
      <c r="G203" s="42">
        <f>G189+G196</f>
        <v>277</v>
      </c>
      <c r="H203" s="41">
        <f>H189+H196</f>
        <v>82</v>
      </c>
    </row>
    <row r="204">
      <c r="B204" s="25" t="s">
        <v>101</v>
      </c>
      <c r="C204" s="21">
        <f>IFERROR(C203/(Inputs!C150+Inputs!C151)-1,"n/a")</f>
        <v>0.4528301886792452</v>
      </c>
      <c r="D204" s="21">
        <f>IFERROR(D203/(Inputs!D150+Inputs!D151)-1,"n/a")</f>
        <v>0.4576271186440677</v>
      </c>
      <c r="E204" s="21">
        <f>IFERROR(E203/(Inputs!E150+Inputs!E151)-1,"n/a")</f>
        <v>0.18965517241379315</v>
      </c>
      <c r="F204" s="21">
        <f>IFERROR(F203/(Inputs!F150+Inputs!F151)-1,"n/a")</f>
        <v>0.6428571428571428</v>
      </c>
      <c r="G204" s="21">
        <f>IFERROR(G203/(Inputs!G150+Inputs!G151)-1,"n/a")</f>
        <v>0.2366071428571428</v>
      </c>
      <c r="H204" s="32">
        <f>IFERROR(H203/C203-1,"n/a")</f>
        <v>0.06493506493506485</v>
      </c>
    </row>
    <row r="205">
      <c r="B205" s="25" t="s">
        <v>102</v>
      </c>
      <c r="C205" s="21">
        <f>IFERROR(C203/(Inputs!F150+Inputs!F151)-1,"n/a")</f>
        <v>0.375</v>
      </c>
      <c r="D205" s="16">
        <f>IFERROR(D203/C203-1,"n/a")</f>
        <v>0.11688311688311681</v>
      </c>
      <c r="E205" s="16">
        <f>IFERROR(E203/D203-1,"n/a")</f>
        <v>-0.19767441860465118</v>
      </c>
      <c r="F205" s="16">
        <f>IFERROR(F203/E203-1,"n/a")</f>
        <v>0.33333333333333326</v>
      </c>
      <c r="H205" s="32">
        <f>IFERROR(H203/F203-1,"n/a")</f>
        <v>-0.10869565217391308</v>
      </c>
    </row>
    <row r="206">
      <c r="B206" s="25" t="s">
        <v>103</v>
      </c>
      <c r="C206" s="16">
        <f>IFERROR(C203/C211,"n/a")</f>
        <v>0.011829774158856967</v>
      </c>
      <c r="D206" s="16">
        <f>IFERROR(D203/D211,"n/a")</f>
        <v>0.012271689497716894</v>
      </c>
      <c r="E206" s="16">
        <f>IFERROR(E203/E211,"n/a")</f>
        <v>0.010301582561958794</v>
      </c>
      <c r="F206" s="16">
        <f>IFERROR(F203/F211,"n/a")</f>
        <v>0.012987012987012988</v>
      </c>
      <c r="G206" s="16">
        <f>IFERROR(G203/G211,"n/a")</f>
        <v>0.011438718202841097</v>
      </c>
      <c r="H206" s="32">
        <f>IFERROR(H203/H211,"n/a")</f>
        <v>0.010868029629358731</v>
      </c>
    </row>
    <row r="207">
      <c r="B207" s="25" t="s">
        <v>104</v>
      </c>
      <c r="C207" s="16" t="s">
        <v>37</v>
      </c>
      <c r="D207" s="16" t="s">
        <v>37</v>
      </c>
      <c r="E207" s="16" t="s">
        <v>37</v>
      </c>
      <c r="F207" s="16" t="s">
        <v>37</v>
      </c>
      <c r="G207" s="16" t="s">
        <v>37</v>
      </c>
      <c r="H207" s="43">
        <v>0</v>
      </c>
    </row>
    <row r="208">
      <c r="B208" s="25" t="s">
        <v>105</v>
      </c>
      <c r="C208" s="16" t="s">
        <v>37</v>
      </c>
      <c r="D208" s="16" t="s">
        <v>37</v>
      </c>
      <c r="E208" s="16" t="s">
        <v>37</v>
      </c>
      <c r="F208" s="16" t="s">
        <v>37</v>
      </c>
      <c r="G208" s="16" t="s">
        <v>37</v>
      </c>
      <c r="H208" s="43">
        <v>0</v>
      </c>
    </row>
    <row r="209">
      <c r="B209" s="25" t="s">
        <v>106</v>
      </c>
      <c r="C209" s="16" t="str">
        <f>IF(AND(ISNUMBER(C204),ISNUMBER(C207),ISNUMBER(C208)),(1+C204)/((1+C207)*(1+C208))-1,"n/a")</f>
        <v>n/a</v>
      </c>
      <c r="D209" s="16" t="str">
        <f>IF(AND(ISNUMBER(D204),ISNUMBER(D207),ISNUMBER(D208)),(1+D204)/((1+D207)*(1+D208))-1,"n/a")</f>
        <v>n/a</v>
      </c>
      <c r="E209" s="16" t="str">
        <f>IF(AND(ISNUMBER(E204),ISNUMBER(E207),ISNUMBER(E208)),(1+E204)/((1+E207)*(1+E208))-1,"n/a")</f>
        <v>n/a</v>
      </c>
      <c r="F209" s="16" t="str">
        <f>IF(AND(ISNUMBER(F204),ISNUMBER(F207),ISNUMBER(F208)),(1+F204)/((1+F207)*(1+F208))-1,"n/a")</f>
        <v>n/a</v>
      </c>
      <c r="G209" s="16" t="str">
        <f>IF(AND(ISNUMBER(G204),ISNUMBER(G207),ISNUMBER(G208)),(1+G204)/((1+G207)*(1+G208))-1,"n/a")</f>
        <v>n/a</v>
      </c>
      <c r="H209" s="32">
        <f>IF(AND(ISNUMBER(H204),ISNUMBER(H207),ISNUMBER(H208)),(1+H204)/((1+H207)*(1+H208))-1,"n/a")</f>
        <v>0.06493506493506485</v>
      </c>
    </row>
    <row r="210">
      <c r="H210" s="39"/>
    </row>
    <row r="211">
      <c r="B211" s="2" t="s">
        <v>139</v>
      </c>
      <c r="C211" s="42">
        <f>C112+C167+C175+C182+C203</f>
        <v>6509</v>
      </c>
      <c r="D211" s="42">
        <f>D112+D167+D175+D182+D203</f>
        <v>7008</v>
      </c>
      <c r="E211" s="42">
        <f>E112+E167+E175+E182+E203</f>
        <v>6698</v>
      </c>
      <c r="F211" s="42">
        <f>F112+F167+F175+F182+F203</f>
        <v>7084</v>
      </c>
      <c r="G211" s="42">
        <f>G112+G167+G175+G182+G203</f>
        <v>24216</v>
      </c>
      <c r="H211" s="41">
        <f>H112+H167+H175+H182+H203</f>
        <v>7545.065922390057</v>
      </c>
    </row>
    <row r="212">
      <c r="B212" s="25" t="s">
        <v>129</v>
      </c>
      <c r="C212" s="21">
        <f>IFERROR(C211/Inputs!C152-1,"n/a")</f>
        <v>0.2524533384644987</v>
      </c>
      <c r="D212" s="21">
        <f>IFERROR(D211/Inputs!D152-1,"n/a")</f>
        <v>0.2344548176853971</v>
      </c>
      <c r="E212" s="21">
        <f>IFERROR(E211/Inputs!E152-1,"n/a")</f>
        <v>0.2695223654283547</v>
      </c>
      <c r="F212" s="21">
        <f>IFERROR(F211/Inputs!F152-1,"n/a")</f>
        <v>0.3062880324543611</v>
      </c>
      <c r="G212" s="21">
        <f>IFERROR(G211/Inputs!G152-1,"n/a")</f>
        <v>0.1866516391434312</v>
      </c>
      <c r="H212" s="32">
        <f>IFERROR(H211/C211-1,"n/a")</f>
        <v>0.15917436202028834</v>
      </c>
    </row>
    <row r="213">
      <c r="B213" s="25" t="s">
        <v>130</v>
      </c>
      <c r="C213" s="21">
        <f>IFERROR(C211/Inputs!F152-1,"n/a")</f>
        <v>0.20025815969020844</v>
      </c>
      <c r="D213" s="16">
        <f>IFERROR(D211/C211-1,"n/a")</f>
        <v>0.07666308188661852</v>
      </c>
      <c r="E213" s="16">
        <f>IFERROR(E211/D211-1,"n/a")</f>
        <v>-0.0442351598173516</v>
      </c>
      <c r="F213" s="16">
        <f>IFERROR(F211/E211-1,"n/a")</f>
        <v>0.05762914302776956</v>
      </c>
      <c r="H213" s="32">
        <f>IFERROR(H211/F211-1,"n/a")</f>
        <v>0.065085533934226</v>
      </c>
    </row>
    <row r="214">
      <c r="B214" s="25" t="s">
        <v>131</v>
      </c>
      <c r="C214" s="16">
        <f>IFERROR(C211/C211,"n/a")</f>
        <v>1</v>
      </c>
      <c r="D214" s="16">
        <f>IFERROR(D211/D211,"n/a")</f>
        <v>1</v>
      </c>
      <c r="E214" s="16">
        <f>IFERROR(E211/E211,"n/a")</f>
        <v>1</v>
      </c>
      <c r="F214" s="16">
        <f>IFERROR(F211/F211,"n/a")</f>
        <v>1</v>
      </c>
      <c r="G214" s="16">
        <f>IFERROR(G211/G211,"n/a")</f>
        <v>1</v>
      </c>
      <c r="H214" s="32">
        <f>IFERROR(H211/H211,"n/a")</f>
        <v>1</v>
      </c>
    </row>
    <row r="215" ht="27">
      <c r="B215" s="115" t="s">
        <v>140</v>
      </c>
      <c r="C215" s="21">
        <f>IFERROR((C798+C799+C801)/Inputs!C152,"n/a")</f>
        <v>0.09717144506446027</v>
      </c>
      <c r="D215" s="21">
        <f>IFERROR((D799+D800+D801)/Inputs!D152,"n/a")</f>
        <v>0.07979566672538313</v>
      </c>
      <c r="E215" s="16" t="s">
        <v>37</v>
      </c>
      <c r="F215" s="21">
        <f>IFERROR((F799+F800)/Inputs!F152,"n/a")</f>
        <v>0.06361792365849162</v>
      </c>
      <c r="G215" s="16" t="s">
        <v>37</v>
      </c>
      <c r="H215" s="43">
        <v>0</v>
      </c>
    </row>
    <row r="216">
      <c r="B216" s="25" t="s">
        <v>133</v>
      </c>
      <c r="C216" s="16" t="s">
        <v>37</v>
      </c>
      <c r="D216" s="16" t="s">
        <v>37</v>
      </c>
      <c r="E216" s="16" t="s">
        <v>37</v>
      </c>
      <c r="F216" s="16" t="s">
        <v>37</v>
      </c>
      <c r="G216" s="16" t="s">
        <v>37</v>
      </c>
      <c r="H216" s="43">
        <v>0</v>
      </c>
    </row>
    <row r="217">
      <c r="B217" s="25" t="s">
        <v>134</v>
      </c>
      <c r="C217" s="16" t="str">
        <f>IF(AND(ISNUMBER(C212),ISNUMBER(C215),ISNUMBER(C216)),(1+C212)/((1+C215)*(1+C216))-1,"n/a")</f>
        <v>n/a</v>
      </c>
      <c r="D217" s="16" t="str">
        <f>IF(AND(ISNUMBER(D212),ISNUMBER(D215),ISNUMBER(D216)),(1+D212)/((1+D215)*(1+D216))-1,"n/a")</f>
        <v>n/a</v>
      </c>
      <c r="E217" s="16" t="str">
        <f>IF(AND(ISNUMBER(E212),ISNUMBER(E215),ISNUMBER(E216)),(1+E212)/((1+E215)*(1+E216))-1,"n/a")</f>
        <v>n/a</v>
      </c>
      <c r="F217" s="16" t="str">
        <f>IF(AND(ISNUMBER(F212),ISNUMBER(F215),ISNUMBER(F216)),(1+F212)/((1+F215)*(1+F216))-1,"n/a")</f>
        <v>n/a</v>
      </c>
      <c r="G217" s="16" t="str">
        <f>IF(AND(ISNUMBER(G212),ISNUMBER(G215),ISNUMBER(G216)),(1+G212)/((1+G215)*(1+G216))-1,"n/a")</f>
        <v>n/a</v>
      </c>
      <c r="H217" s="32">
        <f>IF(AND(ISNUMBER(H212),ISNUMBER(H215),ISNUMBER(H216)),(1+H212)/((1+H215)*(1+H216))-1,"n/a")</f>
        <v>0.15917436202028834</v>
      </c>
    </row>
    <row r="218">
      <c r="B218" s="1" t="s">
        <v>141</v>
      </c>
      <c r="C218" s="23">
        <v>6509</v>
      </c>
      <c r="D218" s="23">
        <v>7008</v>
      </c>
      <c r="E218" s="23">
        <v>6698</v>
      </c>
      <c r="F218" s="23">
        <v>7084</v>
      </c>
      <c r="G218" s="23">
        <v>24216</v>
      </c>
      <c r="H218" s="39"/>
    </row>
    <row r="219" ht="27">
      <c r="B219" s="100" t="s">
        <v>142</v>
      </c>
      <c r="C219" s="6">
        <f>C211-C218</f>
        <v>0</v>
      </c>
      <c r="D219" s="6">
        <f>D211-D218</f>
        <v>0</v>
      </c>
      <c r="E219" s="6">
        <f>E211-E218</f>
        <v>0</v>
      </c>
      <c r="F219" s="6">
        <f>F211-F218</f>
        <v>0</v>
      </c>
      <c r="G219" s="6">
        <f>G211-G218</f>
        <v>0</v>
      </c>
      <c r="H219" s="39"/>
    </row>
    <row r="220">
      <c r="H220" s="39"/>
    </row>
    <row r="221">
      <c r="B221" s="34" t="s">
        <v>143</v>
      </c>
      <c r="H221" s="39"/>
    </row>
    <row r="222">
      <c r="B222" s="25" t="s">
        <v>144</v>
      </c>
      <c r="H222" s="43">
        <v>0.5</v>
      </c>
    </row>
    <row r="223" ht="27">
      <c r="B223" s="100" t="s">
        <v>145</v>
      </c>
      <c r="H223" s="75">
        <v>0.75</v>
      </c>
    </row>
    <row r="224">
      <c r="B224" s="2" t="s">
        <v>146</v>
      </c>
      <c r="H224" s="39"/>
    </row>
    <row r="225">
      <c r="B225" s="1" t="s">
        <v>147</v>
      </c>
      <c r="C225" s="4">
        <f>Inputs!F176</f>
        <v>6905.438</v>
      </c>
      <c r="D225" s="6">
        <f>C241</f>
        <v>7459.075000000001</v>
      </c>
      <c r="E225" s="6">
        <f>D241</f>
        <v>7793.875</v>
      </c>
      <c r="F225" s="6">
        <f>E241</f>
        <v>7661.385</v>
      </c>
      <c r="G225" s="4">
        <f>Inputs!G176</f>
        <v>6310.191</v>
      </c>
      <c r="H225" s="30">
        <f>F241</f>
        <v>8888.234</v>
      </c>
    </row>
    <row r="226">
      <c r="B226" s="1" t="s">
        <v>148</v>
      </c>
      <c r="C226" s="23">
        <v>45.978</v>
      </c>
      <c r="D226" s="23">
        <v>126.053</v>
      </c>
      <c r="E226" s="23">
        <v>71.842</v>
      </c>
      <c r="F226" s="23">
        <v>71.597</v>
      </c>
      <c r="G226" s="23">
        <v>220.126</v>
      </c>
      <c r="H226" s="35">
        <v>75</v>
      </c>
    </row>
    <row r="227">
      <c r="B227" s="25" t="s">
        <v>149</v>
      </c>
      <c r="C227" s="6" t="s">
        <v>37</v>
      </c>
      <c r="D227" s="6" t="s">
        <v>37</v>
      </c>
      <c r="E227" s="6" t="s">
        <v>37</v>
      </c>
      <c r="F227" s="6" t="s">
        <v>37</v>
      </c>
      <c r="G227" s="6" t="s">
        <v>37</v>
      </c>
      <c r="H227" s="30">
        <f>H226-C226</f>
        <v>29.022</v>
      </c>
    </row>
    <row r="228">
      <c r="B228" s="25" t="s">
        <v>150</v>
      </c>
      <c r="C228" s="6" t="s">
        <v>37</v>
      </c>
      <c r="D228" s="6">
        <f>D226-C226</f>
        <v>80.07499999999999</v>
      </c>
      <c r="E228" s="6">
        <f>E226-D226</f>
        <v>-54.211</v>
      </c>
      <c r="F228" s="6">
        <f>F226-E226</f>
        <v>-0.24500000000000455</v>
      </c>
      <c r="H228" s="30">
        <f>H226-F226</f>
        <v>3.403000000000006</v>
      </c>
    </row>
    <row r="229">
      <c r="B229" s="1" t="s">
        <v>151</v>
      </c>
      <c r="C229" s="23">
        <v>0</v>
      </c>
      <c r="D229" s="23">
        <v>0</v>
      </c>
      <c r="E229" s="23">
        <v>0</v>
      </c>
      <c r="F229" s="23">
        <v>0</v>
      </c>
      <c r="G229" s="23">
        <v>0</v>
      </c>
      <c r="H229" s="35">
        <v>0</v>
      </c>
    </row>
    <row r="230">
      <c r="B230" s="25" t="s">
        <v>149</v>
      </c>
      <c r="C230" s="6" t="s">
        <v>37</v>
      </c>
      <c r="D230" s="6" t="s">
        <v>37</v>
      </c>
      <c r="E230" s="6" t="s">
        <v>37</v>
      </c>
      <c r="F230" s="6" t="s">
        <v>37</v>
      </c>
      <c r="G230" s="6" t="s">
        <v>37</v>
      </c>
      <c r="H230" s="30">
        <f>H229-C229</f>
        <v>0</v>
      </c>
    </row>
    <row r="231">
      <c r="B231" s="25" t="s">
        <v>150</v>
      </c>
      <c r="C231" s="6" t="s">
        <v>37</v>
      </c>
      <c r="D231" s="6">
        <f>D229-C229</f>
        <v>0</v>
      </c>
      <c r="E231" s="6">
        <f>E229-D229</f>
        <v>0</v>
      </c>
      <c r="F231" s="6">
        <f>F229-E229</f>
        <v>0</v>
      </c>
      <c r="H231" s="30">
        <f>H229-F229</f>
        <v>0</v>
      </c>
    </row>
    <row r="232">
      <c r="B232" s="1" t="s">
        <v>152</v>
      </c>
      <c r="C232" s="23">
        <v>0</v>
      </c>
      <c r="D232" s="23">
        <v>0</v>
      </c>
      <c r="E232" s="23">
        <v>0</v>
      </c>
      <c r="F232" s="23">
        <v>0</v>
      </c>
      <c r="G232" s="23">
        <v>0</v>
      </c>
      <c r="H232" s="35">
        <v>0</v>
      </c>
    </row>
    <row r="233">
      <c r="B233" s="25" t="s">
        <v>149</v>
      </c>
      <c r="C233" s="6" t="s">
        <v>37</v>
      </c>
      <c r="D233" s="6" t="s">
        <v>37</v>
      </c>
      <c r="E233" s="6" t="s">
        <v>37</v>
      </c>
      <c r="F233" s="6" t="s">
        <v>37</v>
      </c>
      <c r="G233" s="6" t="s">
        <v>37</v>
      </c>
      <c r="H233" s="30">
        <f>H232-C232</f>
        <v>0</v>
      </c>
    </row>
    <row r="234">
      <c r="B234" s="25" t="s">
        <v>150</v>
      </c>
      <c r="C234" s="6" t="s">
        <v>37</v>
      </c>
      <c r="D234" s="6">
        <f>D232-C232</f>
        <v>0</v>
      </c>
      <c r="E234" s="6">
        <f>E232-D232</f>
        <v>0</v>
      </c>
      <c r="F234" s="6">
        <f>F232-E232</f>
        <v>0</v>
      </c>
      <c r="H234" s="30">
        <f>H232-F232</f>
        <v>0</v>
      </c>
    </row>
    <row r="235">
      <c r="B235" s="1" t="s">
        <v>153</v>
      </c>
      <c r="C235" s="23">
        <v>519.26</v>
      </c>
      <c r="D235" s="23">
        <v>218.485</v>
      </c>
      <c r="E235" s="23">
        <v>-179.623</v>
      </c>
      <c r="F235" s="23">
        <v>1167.28</v>
      </c>
      <c r="G235" s="23">
        <v>1163.276</v>
      </c>
      <c r="H235" s="30">
        <f>H225*H250</f>
        <v>141.87563669632422</v>
      </c>
    </row>
    <row r="236">
      <c r="B236" s="25" t="s">
        <v>149</v>
      </c>
      <c r="C236" s="6" t="s">
        <v>37</v>
      </c>
      <c r="D236" s="6" t="s">
        <v>37</v>
      </c>
      <c r="E236" s="6" t="s">
        <v>37</v>
      </c>
      <c r="F236" s="6" t="s">
        <v>37</v>
      </c>
      <c r="G236" s="6" t="s">
        <v>37</v>
      </c>
      <c r="H236" s="30">
        <f>H235-C235</f>
        <v>-377.38436330367574</v>
      </c>
    </row>
    <row r="237">
      <c r="B237" s="25" t="s">
        <v>150</v>
      </c>
      <c r="C237" s="6" t="s">
        <v>37</v>
      </c>
      <c r="D237" s="6">
        <f>D235-C235</f>
        <v>-300.775</v>
      </c>
      <c r="E237" s="6">
        <f>E235-D235</f>
        <v>-398.108</v>
      </c>
      <c r="F237" s="6">
        <f>F235-E235</f>
        <v>1346.903</v>
      </c>
      <c r="H237" s="30">
        <f>H235-F235</f>
        <v>-1025.4043633036758</v>
      </c>
    </row>
    <row r="238">
      <c r="B238" s="1" t="s">
        <v>133</v>
      </c>
      <c r="C238" s="23">
        <v>-11.601</v>
      </c>
      <c r="D238" s="23">
        <v>-9.738</v>
      </c>
      <c r="E238" s="23">
        <v>-24.709</v>
      </c>
      <c r="F238" s="23">
        <v>-12.028</v>
      </c>
      <c r="G238" s="23">
        <v>100.282</v>
      </c>
      <c r="H238" s="30">
        <f>H225*H253</f>
        <v>0</v>
      </c>
    </row>
    <row r="239">
      <c r="B239" s="25" t="s">
        <v>149</v>
      </c>
      <c r="C239" s="6" t="s">
        <v>37</v>
      </c>
      <c r="D239" s="6" t="s">
        <v>37</v>
      </c>
      <c r="E239" s="6" t="s">
        <v>37</v>
      </c>
      <c r="F239" s="6" t="s">
        <v>37</v>
      </c>
      <c r="G239" s="6" t="s">
        <v>37</v>
      </c>
      <c r="H239" s="30">
        <f>H238-C238</f>
        <v>11.601</v>
      </c>
    </row>
    <row r="240">
      <c r="B240" s="25" t="s">
        <v>150</v>
      </c>
      <c r="C240" s="6" t="s">
        <v>37</v>
      </c>
      <c r="D240" s="6">
        <f>D238-C238</f>
        <v>1.8630000000000013</v>
      </c>
      <c r="E240" s="6">
        <f>E238-D238</f>
        <v>-14.971</v>
      </c>
      <c r="F240" s="6">
        <f>F238-E238</f>
        <v>12.681</v>
      </c>
      <c r="H240" s="30">
        <f>H238-F238</f>
        <v>12.028</v>
      </c>
    </row>
    <row r="241">
      <c r="B241" s="2" t="s">
        <v>154</v>
      </c>
      <c r="C241" s="42">
        <f>C225+C226+C229+C232+C235+C238</f>
        <v>7459.075000000001</v>
      </c>
      <c r="D241" s="42">
        <f>D225+D226+D229+D232+D235+D238</f>
        <v>7793.875</v>
      </c>
      <c r="E241" s="42">
        <f>E225+E226+E229+E232+E235+E238</f>
        <v>7661.385</v>
      </c>
      <c r="F241" s="42">
        <f>F225+F226+F229+F232+F235+F238</f>
        <v>8888.234</v>
      </c>
      <c r="G241" s="42">
        <f>G225+G226+G229+G232+G235+G238</f>
        <v>7793.875</v>
      </c>
      <c r="H241" s="41">
        <f>H225+H226+H229+H232+H235+H238</f>
        <v>9105.109636696325</v>
      </c>
    </row>
    <row r="242">
      <c r="B242" s="25" t="s">
        <v>101</v>
      </c>
      <c r="C242" s="21">
        <f>IFERROR(C241/Inputs!C176-1,"n/a")</f>
        <v>0.18756188306987487</v>
      </c>
      <c r="D242" s="21">
        <f>IFERROR(D241/Inputs!D176-1,"n/a")</f>
        <v>0.2351250540593779</v>
      </c>
      <c r="E242" s="21">
        <f>IFERROR(E241/Inputs!E176-1,"n/a")</f>
        <v>0.23480127242125093</v>
      </c>
      <c r="F242" s="21">
        <f>IFERROR(F241/Inputs!F176-1,"n/a")</f>
        <v>0.287135443110198</v>
      </c>
      <c r="G242" s="21">
        <f>IFERROR(G241/Inputs!G176-1,"n/a")</f>
        <v>0.2351250540593779</v>
      </c>
      <c r="H242" s="32">
        <f>IFERROR(H241/C241-1,"n/a")</f>
        <v>0.22067543719513805</v>
      </c>
    </row>
    <row r="243">
      <c r="B243" s="25" t="s">
        <v>102</v>
      </c>
      <c r="C243" s="21">
        <f>IFERROR(C241/Inputs!F176-1,"n/a")</f>
        <v>0.08017405992204996</v>
      </c>
      <c r="D243" s="16">
        <f>IFERROR(D241/C241-1,"n/a")</f>
        <v>0.04488492205802985</v>
      </c>
      <c r="E243" s="16">
        <f>IFERROR(E241/D241-1,"n/a")</f>
        <v>-0.016999246202947793</v>
      </c>
      <c r="F243" s="16">
        <f>IFERROR(F241/E241-1,"n/a")</f>
        <v>0.1601341010796351</v>
      </c>
      <c r="H243" s="32">
        <f>IFERROR(H241/F241-1,"n/a")</f>
        <v>0.02440030682094152</v>
      </c>
    </row>
    <row r="244">
      <c r="B244" s="2" t="s">
        <v>155</v>
      </c>
      <c r="C244" s="29">
        <v>7135.969</v>
      </c>
      <c r="D244" s="29">
        <v>7629.717</v>
      </c>
      <c r="E244" s="29">
        <v>7930.545</v>
      </c>
      <c r="F244" s="29">
        <v>8467.69</v>
      </c>
      <c r="G244" s="29">
        <v>6918.801</v>
      </c>
      <c r="H244" s="55">
        <f>H225*(1+H256)+$H$222*(H226+H229)</f>
        <v>9010.687798993116</v>
      </c>
    </row>
    <row r="245">
      <c r="B245" s="25" t="s">
        <v>101</v>
      </c>
      <c r="C245" s="16" t="s">
        <v>37</v>
      </c>
      <c r="D245" s="16" t="s">
        <v>37</v>
      </c>
      <c r="E245" s="16" t="s">
        <v>37</v>
      </c>
      <c r="F245" s="16" t="s">
        <v>37</v>
      </c>
      <c r="G245" s="16" t="s">
        <v>37</v>
      </c>
      <c r="H245" s="32">
        <f>IFERROR(H244/C244-1,"n/a")</f>
        <v>0.2627139774560563</v>
      </c>
    </row>
    <row r="246">
      <c r="B246" s="25" t="s">
        <v>102</v>
      </c>
      <c r="C246" s="16" t="s">
        <v>37</v>
      </c>
      <c r="D246" s="16">
        <f>IFERROR(D244/C244-1,"n/a")</f>
        <v>0.06919144407718125</v>
      </c>
      <c r="E246" s="16">
        <f>IFERROR(E244/D244-1,"n/a")</f>
        <v>0.03942846110805953</v>
      </c>
      <c r="F246" s="16">
        <f>IFERROR(F244/E244-1,"n/a")</f>
        <v>0.0677311584512792</v>
      </c>
      <c r="H246" s="32">
        <f>IFERROR(H244/F244-1,"n/a")</f>
        <v>0.0641258476624813</v>
      </c>
    </row>
    <row r="247">
      <c r="B247" s="25" t="s">
        <v>156</v>
      </c>
      <c r="C247" s="16">
        <f>IFERROR((C226)/C225*365/C$7,"n/a")</f>
        <v>0.026415806990274092</v>
      </c>
      <c r="D247" s="16">
        <f>IFERROR((D226)/D225*365/D$7,"n/a")</f>
        <v>0.06704605813548684</v>
      </c>
      <c r="E247" s="16">
        <f>IFERROR((E226)/E225*365/E$7,"n/a")</f>
        <v>0.037383101759037994</v>
      </c>
      <c r="F247" s="16">
        <f>IFERROR((F226)/F225*365/F$7,"n/a")</f>
        <v>0.03748340283379313</v>
      </c>
      <c r="G247" s="16">
        <f>IFERROR((G226)/G225*365/G$7,"n/a")</f>
        <v>0.034884205565251514</v>
      </c>
      <c r="H247" s="32">
        <f>IFERROR((H226)/H225*365/H$7,"n/a")</f>
        <v>0.03347733057276473</v>
      </c>
    </row>
    <row r="248">
      <c r="B248" s="25" t="s">
        <v>157</v>
      </c>
      <c r="C248" s="40" t="s">
        <v>37</v>
      </c>
      <c r="D248" s="40">
        <f>(D247-C247)*10000</f>
        <v>406.3025114521274</v>
      </c>
      <c r="E248" s="40">
        <f>(E247-D247)*10000</f>
        <v>-296.6295637644884</v>
      </c>
      <c r="F248" s="40">
        <f>(F247-E247)*10000</f>
        <v>1.0030107475513668</v>
      </c>
      <c r="H248" s="37">
        <f>(H247-F247)*10000</f>
        <v>-40.060722610283996</v>
      </c>
    </row>
    <row r="249">
      <c r="B249" s="25" t="s">
        <v>158</v>
      </c>
      <c r="C249" s="40" t="s">
        <v>37</v>
      </c>
      <c r="D249" s="40" t="s">
        <v>37</v>
      </c>
      <c r="E249" s="40" t="s">
        <v>37</v>
      </c>
      <c r="F249" s="40" t="s">
        <v>37</v>
      </c>
      <c r="G249" s="40" t="s">
        <v>37</v>
      </c>
      <c r="H249" s="37">
        <f>(H247-C247)*10000</f>
        <v>70.61523582490639</v>
      </c>
    </row>
    <row r="250">
      <c r="B250" s="25" t="s">
        <v>159</v>
      </c>
      <c r="C250" s="16">
        <f>IFERROR(C235/C225,"n/a")</f>
        <v>0.0751958094475687</v>
      </c>
      <c r="D250" s="16">
        <f>IFERROR(D235/D225,"n/a")</f>
        <v>0.029291165459524135</v>
      </c>
      <c r="E250" s="16">
        <f>IFERROR(E235/E225,"n/a")</f>
        <v>-0.023046687302529227</v>
      </c>
      <c r="F250" s="16">
        <f>IFERROR(F235/F225,"n/a")</f>
        <v>0.15235887505979662</v>
      </c>
      <c r="G250" s="16">
        <f>IFERROR(G235/G225,"n/a")</f>
        <v>0.1843487780322339</v>
      </c>
      <c r="H250" s="70">
        <f>AVERAGE(Inputs!I115/Inputs!F115-1,Inputs!I121)</f>
        <v>0.015962185142326835</v>
      </c>
    </row>
    <row r="251">
      <c r="B251" s="25" t="s">
        <v>157</v>
      </c>
      <c r="C251" s="40" t="s">
        <v>37</v>
      </c>
      <c r="D251" s="40">
        <f>(D250-C250)*10000</f>
        <v>-459.0464398804457</v>
      </c>
      <c r="E251" s="40">
        <f>(E250-D250)*10000</f>
        <v>-523.3785276205336</v>
      </c>
      <c r="F251" s="40">
        <f>(F250-E250)*10000</f>
        <v>1754.0556236232585</v>
      </c>
      <c r="H251" s="37">
        <f>(H250-F250)*10000</f>
        <v>-1363.9668991746978</v>
      </c>
    </row>
    <row r="252">
      <c r="B252" s="25" t="s">
        <v>158</v>
      </c>
      <c r="C252" s="40" t="s">
        <v>37</v>
      </c>
      <c r="D252" s="40" t="s">
        <v>37</v>
      </c>
      <c r="E252" s="40" t="s">
        <v>37</v>
      </c>
      <c r="F252" s="40" t="s">
        <v>37</v>
      </c>
      <c r="G252" s="40" t="s">
        <v>37</v>
      </c>
      <c r="H252" s="37">
        <f>(H250-C250)*10000</f>
        <v>-592.3362430524187</v>
      </c>
    </row>
    <row r="253">
      <c r="B253" s="25" t="s">
        <v>160</v>
      </c>
      <c r="C253" s="16">
        <f>IFERROR(C238/C225,"n/a")</f>
        <v>-0.0016799803285468642</v>
      </c>
      <c r="D253" s="16">
        <f>IFERROR(D238/D225,"n/a")</f>
        <v>-0.0013055238082470009</v>
      </c>
      <c r="E253" s="16">
        <f>IFERROR(E238/E225,"n/a")</f>
        <v>-0.0031703100190854996</v>
      </c>
      <c r="F253" s="16">
        <f>IFERROR(F238/F225,"n/a")</f>
        <v>-0.0015699511250250443</v>
      </c>
      <c r="G253" s="16">
        <f>IFERROR(G238/G225,"n/a")</f>
        <v>0.015892070461892515</v>
      </c>
      <c r="H253" s="43">
        <v>0</v>
      </c>
    </row>
    <row r="254">
      <c r="B254" s="25" t="s">
        <v>157</v>
      </c>
      <c r="C254" s="40" t="s">
        <v>37</v>
      </c>
      <c r="D254" s="40">
        <f>(D253-C253)*10000</f>
        <v>3.744565202998633</v>
      </c>
      <c r="E254" s="40">
        <f>(E253-D253)*10000</f>
        <v>-18.647862108384988</v>
      </c>
      <c r="F254" s="40">
        <f>(F253-E253)*10000</f>
        <v>16.00358894060455</v>
      </c>
      <c r="H254" s="37">
        <f>(H253-F253)*10000</f>
        <v>15.699511250250444</v>
      </c>
    </row>
    <row r="255">
      <c r="B255" s="25" t="s">
        <v>158</v>
      </c>
      <c r="C255" s="40" t="s">
        <v>37</v>
      </c>
      <c r="D255" s="40" t="s">
        <v>37</v>
      </c>
      <c r="E255" s="40" t="s">
        <v>37</v>
      </c>
      <c r="F255" s="40" t="s">
        <v>37</v>
      </c>
      <c r="G255" s="40" t="s">
        <v>37</v>
      </c>
      <c r="H255" s="37">
        <f>(H253-C253)*10000</f>
        <v>16.79980328546864</v>
      </c>
    </row>
    <row r="256">
      <c r="B256" s="25" t="s">
        <v>161</v>
      </c>
      <c r="C256" s="16">
        <f>IFERROR((C244-$H$222*(C226+C229+C232))/C225-1,"n/a")</f>
        <v>0.030054864007178272</v>
      </c>
      <c r="D256" s="16">
        <f>IFERROR((D244-$H$222*(D226+D229+D232))/D225-1,"n/a")</f>
        <v>0.014427459168864676</v>
      </c>
      <c r="E256" s="16">
        <f>IFERROR((E244-$H$222*(E226+E229+E232))/E225-1,"n/a")</f>
        <v>0.012926689227117372</v>
      </c>
      <c r="F256" s="16">
        <f>IFERROR((F244-$H$222*(F226+F229+F232))/F225-1,"n/a")</f>
        <v>0.10057013190173825</v>
      </c>
      <c r="G256" s="16">
        <f>IFERROR((G244-$H$222*(G226+G229+G232))/G225-1,"n/a")</f>
        <v>0.07900664179578731</v>
      </c>
      <c r="H256" s="70">
        <f>AVERAGE(Inputs!I118/Inputs!F115-1,Inputs!I120)</f>
        <v>0.009558006572859656</v>
      </c>
    </row>
    <row r="257">
      <c r="B257" s="25" t="s">
        <v>157</v>
      </c>
      <c r="C257" s="40" t="s">
        <v>37</v>
      </c>
      <c r="D257" s="40">
        <f>(D256-C256)*10000</f>
        <v>-156.27404838313598</v>
      </c>
      <c r="E257" s="40">
        <f>(E256-D256)*10000</f>
        <v>-15.007699417473042</v>
      </c>
      <c r="F257" s="40">
        <f>(F256-E256)*10000</f>
        <v>876.4344267462087</v>
      </c>
      <c r="H257" s="37">
        <f>(H256-F256)*10000</f>
        <v>-910.1212532887859</v>
      </c>
    </row>
    <row r="258">
      <c r="B258" s="25" t="s">
        <v>158</v>
      </c>
      <c r="C258" s="40" t="s">
        <v>37</v>
      </c>
      <c r="D258" s="40" t="s">
        <v>37</v>
      </c>
      <c r="E258" s="40" t="s">
        <v>37</v>
      </c>
      <c r="F258" s="40" t="s">
        <v>37</v>
      </c>
      <c r="G258" s="40" t="s">
        <v>37</v>
      </c>
      <c r="H258" s="37">
        <f>(H256-C256)*10000</f>
        <v>-204.96857434318616</v>
      </c>
    </row>
    <row r="259">
      <c r="H259" s="39"/>
    </row>
    <row r="260">
      <c r="B260" s="2" t="s">
        <v>162</v>
      </c>
      <c r="H260" s="39"/>
    </row>
    <row r="261">
      <c r="B261" s="1" t="s">
        <v>147</v>
      </c>
      <c r="C261" s="4">
        <f>Inputs!F177</f>
        <v>3087.297</v>
      </c>
      <c r="D261" s="6">
        <f>C277</f>
        <v>3178.965</v>
      </c>
      <c r="E261" s="6">
        <f>D277</f>
        <v>3272.021</v>
      </c>
      <c r="F261" s="6">
        <f>E277</f>
        <v>3270.8630000000003</v>
      </c>
      <c r="G261" s="4">
        <f>Inputs!G177</f>
        <v>2905.669</v>
      </c>
      <c r="H261" s="30">
        <f>F277</f>
        <v>3390.1610000000005</v>
      </c>
    </row>
    <row r="262">
      <c r="B262" s="1" t="s">
        <v>148</v>
      </c>
      <c r="C262" s="23">
        <v>47.554</v>
      </c>
      <c r="D262" s="23">
        <v>83.771</v>
      </c>
      <c r="E262" s="23">
        <v>34.314</v>
      </c>
      <c r="F262" s="23">
        <v>92.096</v>
      </c>
      <c r="G262" s="23">
        <v>164.399</v>
      </c>
      <c r="H262" s="35">
        <v>55</v>
      </c>
    </row>
    <row r="263">
      <c r="B263" s="25" t="s">
        <v>149</v>
      </c>
      <c r="C263" s="6" t="s">
        <v>37</v>
      </c>
      <c r="D263" s="6" t="s">
        <v>37</v>
      </c>
      <c r="E263" s="6" t="s">
        <v>37</v>
      </c>
      <c r="F263" s="6" t="s">
        <v>37</v>
      </c>
      <c r="G263" s="6" t="s">
        <v>37</v>
      </c>
      <c r="H263" s="30">
        <f>H262-C262</f>
        <v>7.445999999999998</v>
      </c>
    </row>
    <row r="264">
      <c r="B264" s="25" t="s">
        <v>150</v>
      </c>
      <c r="C264" s="6" t="s">
        <v>37</v>
      </c>
      <c r="D264" s="6">
        <f>D262-C262</f>
        <v>36.217</v>
      </c>
      <c r="E264" s="6">
        <f>E262-D262</f>
        <v>-49.457</v>
      </c>
      <c r="F264" s="6">
        <f>F262-E262</f>
        <v>57.782000000000004</v>
      </c>
      <c r="H264" s="30">
        <f>H262-F262</f>
        <v>-37.096000000000004</v>
      </c>
    </row>
    <row r="265">
      <c r="B265" s="1" t="s">
        <v>151</v>
      </c>
      <c r="C265" s="23">
        <v>-1.265</v>
      </c>
      <c r="D265" s="23">
        <v>-0.225</v>
      </c>
      <c r="E265" s="23">
        <v>-0.957</v>
      </c>
      <c r="F265" s="23">
        <v>-0.915</v>
      </c>
      <c r="G265" s="23">
        <v>-2.752</v>
      </c>
      <c r="H265" s="35">
        <v>-1</v>
      </c>
    </row>
    <row r="266">
      <c r="B266" s="25" t="s">
        <v>149</v>
      </c>
      <c r="C266" s="6" t="s">
        <v>37</v>
      </c>
      <c r="D266" s="6" t="s">
        <v>37</v>
      </c>
      <c r="E266" s="6" t="s">
        <v>37</v>
      </c>
      <c r="F266" s="6" t="s">
        <v>37</v>
      </c>
      <c r="G266" s="6" t="s">
        <v>37</v>
      </c>
      <c r="H266" s="30">
        <f>H265-C265</f>
        <v>0.2649999999999999</v>
      </c>
    </row>
    <row r="267">
      <c r="B267" s="25" t="s">
        <v>150</v>
      </c>
      <c r="C267" s="6" t="s">
        <v>37</v>
      </c>
      <c r="D267" s="6">
        <f>D265-C265</f>
        <v>1.0399999999999998</v>
      </c>
      <c r="E267" s="6">
        <f>E265-D265</f>
        <v>-0.732</v>
      </c>
      <c r="F267" s="6">
        <f>F265-E265</f>
        <v>0.041999999999999926</v>
      </c>
      <c r="H267" s="30">
        <f>H265-F265</f>
        <v>-0.08499999999999996</v>
      </c>
    </row>
    <row r="268">
      <c r="B268" s="1" t="s">
        <v>152</v>
      </c>
      <c r="C268" s="23">
        <v>13.567</v>
      </c>
      <c r="D268" s="23">
        <v>0</v>
      </c>
      <c r="E268" s="23">
        <v>0</v>
      </c>
      <c r="F268" s="23">
        <v>0</v>
      </c>
      <c r="G268" s="23">
        <v>13.567</v>
      </c>
      <c r="H268" s="35">
        <v>0</v>
      </c>
    </row>
    <row r="269">
      <c r="B269" s="25" t="s">
        <v>149</v>
      </c>
      <c r="C269" s="6" t="s">
        <v>37</v>
      </c>
      <c r="D269" s="6" t="s">
        <v>37</v>
      </c>
      <c r="E269" s="6" t="s">
        <v>37</v>
      </c>
      <c r="F269" s="6" t="s">
        <v>37</v>
      </c>
      <c r="G269" s="6" t="s">
        <v>37</v>
      </c>
      <c r="H269" s="30">
        <f>H268-C268</f>
        <v>-13.567</v>
      </c>
    </row>
    <row r="270">
      <c r="B270" s="25" t="s">
        <v>150</v>
      </c>
      <c r="C270" s="6" t="s">
        <v>37</v>
      </c>
      <c r="D270" s="6">
        <f>D268-C268</f>
        <v>-13.567</v>
      </c>
      <c r="E270" s="6">
        <f>E268-D268</f>
        <v>0</v>
      </c>
      <c r="F270" s="6">
        <f>F268-E268</f>
        <v>0</v>
      </c>
      <c r="H270" s="30">
        <f>H268-F268</f>
        <v>0</v>
      </c>
    </row>
    <row r="271">
      <c r="B271" s="1" t="s">
        <v>153</v>
      </c>
      <c r="C271" s="23">
        <v>40.1</v>
      </c>
      <c r="D271" s="23">
        <v>17.997</v>
      </c>
      <c r="E271" s="23">
        <v>-19.649</v>
      </c>
      <c r="F271" s="23">
        <v>32.155</v>
      </c>
      <c r="G271" s="23">
        <v>122.151</v>
      </c>
      <c r="H271" s="30">
        <f>H261*H286</f>
        <v>-89.24598832500001</v>
      </c>
    </row>
    <row r="272">
      <c r="B272" s="25" t="s">
        <v>149</v>
      </c>
      <c r="C272" s="6" t="s">
        <v>37</v>
      </c>
      <c r="D272" s="6" t="s">
        <v>37</v>
      </c>
      <c r="E272" s="6" t="s">
        <v>37</v>
      </c>
      <c r="F272" s="6" t="s">
        <v>37</v>
      </c>
      <c r="G272" s="6" t="s">
        <v>37</v>
      </c>
      <c r="H272" s="30">
        <f>H271-C271</f>
        <v>-129.345988325</v>
      </c>
    </row>
    <row r="273">
      <c r="B273" s="25" t="s">
        <v>150</v>
      </c>
      <c r="C273" s="6" t="s">
        <v>37</v>
      </c>
      <c r="D273" s="6">
        <f>D271-C271</f>
        <v>-22.103</v>
      </c>
      <c r="E273" s="6">
        <f>E271-D271</f>
        <v>-37.646</v>
      </c>
      <c r="F273" s="6">
        <f>F271-E271</f>
        <v>51.804</v>
      </c>
      <c r="H273" s="30">
        <f>H271-F271</f>
        <v>-121.40098832500001</v>
      </c>
    </row>
    <row r="274">
      <c r="B274" s="1" t="s">
        <v>133</v>
      </c>
      <c r="C274" s="23">
        <v>-8.288</v>
      </c>
      <c r="D274" s="23">
        <v>-8.487</v>
      </c>
      <c r="E274" s="23">
        <v>-14.866</v>
      </c>
      <c r="F274" s="23">
        <v>-4.038</v>
      </c>
      <c r="G274" s="23">
        <v>68.987</v>
      </c>
      <c r="H274" s="30">
        <f>H261*H289</f>
        <v>0</v>
      </c>
    </row>
    <row r="275">
      <c r="B275" s="25" t="s">
        <v>149</v>
      </c>
      <c r="C275" s="6" t="s">
        <v>37</v>
      </c>
      <c r="D275" s="6" t="s">
        <v>37</v>
      </c>
      <c r="E275" s="6" t="s">
        <v>37</v>
      </c>
      <c r="F275" s="6" t="s">
        <v>37</v>
      </c>
      <c r="G275" s="6" t="s">
        <v>37</v>
      </c>
      <c r="H275" s="30">
        <f>H274-C274</f>
        <v>8.288</v>
      </c>
    </row>
    <row r="276">
      <c r="B276" s="25" t="s">
        <v>150</v>
      </c>
      <c r="C276" s="6" t="s">
        <v>37</v>
      </c>
      <c r="D276" s="6">
        <f>D274-C274</f>
        <v>-0.19899999999999984</v>
      </c>
      <c r="E276" s="6">
        <f>E274-D274</f>
        <v>-6.379</v>
      </c>
      <c r="F276" s="6">
        <f>F274-E274</f>
        <v>10.828</v>
      </c>
      <c r="H276" s="30">
        <f>H274-F274</f>
        <v>4.038</v>
      </c>
    </row>
    <row r="277">
      <c r="B277" s="2" t="s">
        <v>154</v>
      </c>
      <c r="C277" s="42">
        <f>C261+C262+C265+C268+C271+C274</f>
        <v>3178.965</v>
      </c>
      <c r="D277" s="42">
        <f>D261+D262+D265+D268+D271+D274</f>
        <v>3272.021</v>
      </c>
      <c r="E277" s="42">
        <f>E261+E262+E265+E268+E271+E274</f>
        <v>3270.8630000000003</v>
      </c>
      <c r="F277" s="42">
        <f>F261+F262+F265+F268+F271+F274</f>
        <v>3390.1610000000005</v>
      </c>
      <c r="G277" s="42">
        <f>G261+G262+G265+G268+G271+G274</f>
        <v>3272.0209999999997</v>
      </c>
      <c r="H277" s="41">
        <f>H261+H262+H265+H268+H271+H274</f>
        <v>3354.9150116750006</v>
      </c>
    </row>
    <row r="278">
      <c r="B278" s="25" t="s">
        <v>101</v>
      </c>
      <c r="C278" s="21">
        <f>IFERROR(C277/Inputs!C177-1,"n/a")</f>
        <v>0.05135142643402424</v>
      </c>
      <c r="D278" s="21">
        <f>IFERROR(D277/Inputs!D177-1,"n/a")</f>
        <v>0.12608180766632415</v>
      </c>
      <c r="E278" s="21">
        <f>IFERROR(E277/Inputs!E177-1,"n/a")</f>
        <v>0.08786897132043103</v>
      </c>
      <c r="F278" s="21">
        <f>IFERROR(F277/Inputs!F177-1,"n/a")</f>
        <v>0.09810005321807402</v>
      </c>
      <c r="G278" s="21">
        <f>IFERROR(G277/Inputs!G177-1,"n/a")</f>
        <v>0.12608180766632393</v>
      </c>
      <c r="H278" s="32">
        <f>IFERROR(H277/C277-1,"n/a")</f>
        <v>0.05534820662542694</v>
      </c>
    </row>
    <row r="279">
      <c r="B279" s="25" t="s">
        <v>102</v>
      </c>
      <c r="C279" s="21">
        <f>IFERROR(C277/Inputs!F177-1,"n/a")</f>
        <v>0.029691992704297787</v>
      </c>
      <c r="D279" s="16">
        <f>IFERROR(D277/C277-1,"n/a")</f>
        <v>0.029272420426144974</v>
      </c>
      <c r="E279" s="16">
        <f>IFERROR(E277/D277-1,"n/a")</f>
        <v>-0.0003539097090147214</v>
      </c>
      <c r="F279" s="16">
        <f>IFERROR(F277/E277-1,"n/a")</f>
        <v>0.03647294307343363</v>
      </c>
      <c r="H279" s="32">
        <f>IFERROR(H277/F277-1,"n/a")</f>
        <v>-0.010396552943945703</v>
      </c>
    </row>
    <row r="280">
      <c r="B280" s="2" t="s">
        <v>155</v>
      </c>
      <c r="C280" s="29">
        <v>3122.878</v>
      </c>
      <c r="D280" s="29">
        <v>3216.982</v>
      </c>
      <c r="E280" s="29">
        <v>3303.591</v>
      </c>
      <c r="F280" s="29">
        <v>3339.692</v>
      </c>
      <c r="G280" s="29">
        <v>3080.234</v>
      </c>
      <c r="H280" s="55">
        <f>H261*(1+H292)+$H$222*(H262+H265)</f>
        <v>3386.6495510000004</v>
      </c>
    </row>
    <row r="281">
      <c r="B281" s="25" t="s">
        <v>101</v>
      </c>
      <c r="C281" s="16" t="s">
        <v>37</v>
      </c>
      <c r="D281" s="16" t="s">
        <v>37</v>
      </c>
      <c r="E281" s="16" t="s">
        <v>37</v>
      </c>
      <c r="F281" s="16" t="s">
        <v>37</v>
      </c>
      <c r="G281" s="16" t="s">
        <v>37</v>
      </c>
      <c r="H281" s="32">
        <f>IFERROR(H280/C280-1,"n/a")</f>
        <v>0.08446425092494825</v>
      </c>
    </row>
    <row r="282">
      <c r="B282" s="25" t="s">
        <v>102</v>
      </c>
      <c r="C282" s="16" t="s">
        <v>37</v>
      </c>
      <c r="D282" s="16">
        <f>IFERROR(D280/C280-1,"n/a")</f>
        <v>0.03013374201617869</v>
      </c>
      <c r="E282" s="16">
        <f>IFERROR(E280/D280-1,"n/a")</f>
        <v>0.026922438484268785</v>
      </c>
      <c r="F282" s="16">
        <f>IFERROR(F280/E280-1,"n/a")</f>
        <v>0.010927805530406287</v>
      </c>
      <c r="H282" s="32">
        <f>IFERROR(H280/F280-1,"n/a")</f>
        <v>0.014060443597792904</v>
      </c>
    </row>
    <row r="283">
      <c r="B283" s="25" t="s">
        <v>156</v>
      </c>
      <c r="C283" s="16">
        <f>IFERROR((C262)/C261*365/C$7,"n/a")</f>
        <v>0.06111019642326493</v>
      </c>
      <c r="D283" s="16">
        <f>IFERROR((D262)/D261*365/D$7,"n/a")</f>
        <v>0.1045473407088539</v>
      </c>
      <c r="E283" s="16">
        <f>IFERROR((E262)/E261*365/E$7,"n/a")</f>
        <v>0.04253100250069707</v>
      </c>
      <c r="F283" s="16">
        <f>IFERROR((F262)/F261*365/F$7,"n/a")</f>
        <v>0.11293534579590889</v>
      </c>
      <c r="G283" s="16">
        <f>IFERROR((G262)/G261*365/G$7,"n/a")</f>
        <v>0.056578708724221514</v>
      </c>
      <c r="H283" s="32">
        <f>IFERROR((H262)/H261*365/H$7,"n/a")</f>
        <v>0.06436464868162026</v>
      </c>
    </row>
    <row r="284">
      <c r="B284" s="25" t="s">
        <v>157</v>
      </c>
      <c r="C284" s="40" t="s">
        <v>37</v>
      </c>
      <c r="D284" s="40">
        <f>(D283-C283)*10000</f>
        <v>434.37144285588965</v>
      </c>
      <c r="E284" s="40">
        <f>(E283-D283)*10000</f>
        <v>-620.1633820815682</v>
      </c>
      <c r="F284" s="40">
        <f>(F283-E283)*10000</f>
        <v>704.0434329521181</v>
      </c>
      <c r="H284" s="37">
        <f>(H283-F283)*10000</f>
        <v>-485.7069711428863</v>
      </c>
    </row>
    <row r="285">
      <c r="B285" s="25" t="s">
        <v>158</v>
      </c>
      <c r="C285" s="40" t="s">
        <v>37</v>
      </c>
      <c r="D285" s="40" t="s">
        <v>37</v>
      </c>
      <c r="E285" s="40" t="s">
        <v>37</v>
      </c>
      <c r="F285" s="40" t="s">
        <v>37</v>
      </c>
      <c r="G285" s="40" t="s">
        <v>37</v>
      </c>
      <c r="H285" s="37">
        <f>(H283-C283)*10000</f>
        <v>32.54452258355328</v>
      </c>
    </row>
    <row r="286">
      <c r="B286" s="25" t="s">
        <v>159</v>
      </c>
      <c r="C286" s="16">
        <f>IFERROR(C271/C261,"n/a")</f>
        <v>0.012988708245432818</v>
      </c>
      <c r="D286" s="16">
        <f>IFERROR(D271/D261,"n/a")</f>
        <v>0.005661276547555572</v>
      </c>
      <c r="E286" s="16">
        <f>IFERROR(E271/E261,"n/a")</f>
        <v>-0.006005157057366074</v>
      </c>
      <c r="F286" s="16">
        <f>IFERROR(F271/F261,"n/a")</f>
        <v>0.009830738860050084</v>
      </c>
      <c r="G286" s="16">
        <f>IFERROR(G271/G261,"n/a")</f>
        <v>0.042038855767811134</v>
      </c>
      <c r="H286" s="70">
        <f>Inputs!I122*$H$223</f>
        <v>-0.026325</v>
      </c>
    </row>
    <row r="287">
      <c r="B287" s="25" t="s">
        <v>157</v>
      </c>
      <c r="C287" s="40" t="s">
        <v>37</v>
      </c>
      <c r="D287" s="40">
        <f>(D286-C286)*10000</f>
        <v>-73.27431697877246</v>
      </c>
      <c r="E287" s="40">
        <f>(E286-D286)*10000</f>
        <v>-116.66433604921646</v>
      </c>
      <c r="F287" s="40">
        <f>(F286-E286)*10000</f>
        <v>158.35895917416158</v>
      </c>
      <c r="H287" s="37">
        <f>(H286-F286)*10000</f>
        <v>-361.5573886005009</v>
      </c>
    </row>
    <row r="288">
      <c r="B288" s="25" t="s">
        <v>158</v>
      </c>
      <c r="C288" s="40" t="s">
        <v>37</v>
      </c>
      <c r="D288" s="40" t="s">
        <v>37</v>
      </c>
      <c r="E288" s="40" t="s">
        <v>37</v>
      </c>
      <c r="F288" s="40" t="s">
        <v>37</v>
      </c>
      <c r="G288" s="40" t="s">
        <v>37</v>
      </c>
      <c r="H288" s="37">
        <f>(H286-C286)*10000</f>
        <v>-393.13708245432815</v>
      </c>
    </row>
    <row r="289">
      <c r="B289" s="25" t="s">
        <v>160</v>
      </c>
      <c r="C289" s="16">
        <f>IFERROR(C274/C261,"n/a")</f>
        <v>-0.0026845489760136455</v>
      </c>
      <c r="D289" s="16">
        <f>IFERROR(D274/D261,"n/a")</f>
        <v>-0.002669736848313838</v>
      </c>
      <c r="E289" s="16">
        <f>IFERROR(E274/E261,"n/a")</f>
        <v>-0.004543369373240575</v>
      </c>
      <c r="F289" s="16">
        <f>IFERROR(F274/F261,"n/a")</f>
        <v>-0.0012345365733752835</v>
      </c>
      <c r="G289" s="16">
        <f>IFERROR(G274/G261,"n/a")</f>
        <v>0.02374220876500386</v>
      </c>
      <c r="H289" s="43">
        <v>0</v>
      </c>
    </row>
    <row r="290">
      <c r="B290" s="25" t="s">
        <v>157</v>
      </c>
      <c r="C290" s="40" t="s">
        <v>37</v>
      </c>
      <c r="D290" s="40">
        <f>(D289-C289)*10000</f>
        <v>0.1481212769980766</v>
      </c>
      <c r="E290" s="40">
        <f>(E289-D289)*10000</f>
        <v>-18.73632524926737</v>
      </c>
      <c r="F290" s="40">
        <f>(F289-E289)*10000</f>
        <v>33.088327998652915</v>
      </c>
      <c r="H290" s="37">
        <f>(H289-F289)*10000</f>
        <v>12.345365733752836</v>
      </c>
    </row>
    <row r="291">
      <c r="B291" s="25" t="s">
        <v>158</v>
      </c>
      <c r="C291" s="40" t="s">
        <v>37</v>
      </c>
      <c r="D291" s="40" t="s">
        <v>37</v>
      </c>
      <c r="E291" s="40" t="s">
        <v>37</v>
      </c>
      <c r="F291" s="40" t="s">
        <v>37</v>
      </c>
      <c r="G291" s="40" t="s">
        <v>37</v>
      </c>
      <c r="H291" s="37">
        <f>(H289-C289)*10000</f>
        <v>26.845489760136456</v>
      </c>
    </row>
    <row r="292">
      <c r="B292" s="25" t="s">
        <v>161</v>
      </c>
      <c r="C292" s="16">
        <f>IFERROR((C280-$H$222*(C262+C265+C268))/C261-1,"n/a")</f>
        <v>0.001831051563876196</v>
      </c>
      <c r="D292" s="16">
        <f>IFERROR((D280-$H$222*(D262+D265+D268))/D261-1,"n/a")</f>
        <v>-0.0011815166256943233</v>
      </c>
      <c r="E292" s="16">
        <f>IFERROR((E280-$H$222*(E262+E265+E268))/E261-1,"n/a")</f>
        <v>0.004551162721755153</v>
      </c>
      <c r="F292" s="16">
        <f>IFERROR((F280-$H$222*(F262+F265+F268))/F261-1,"n/a")</f>
        <v>0.007104699891129718</v>
      </c>
      <c r="G292" s="16">
        <f>IFERROR((G280-$H$222*(G262+G265+G268))/G261-1,"n/a")</f>
        <v>0.029927015086715025</v>
      </c>
      <c r="H292" s="43">
        <v>-0.009</v>
      </c>
    </row>
    <row r="293">
      <c r="B293" s="25" t="s">
        <v>157</v>
      </c>
      <c r="C293" s="40" t="s">
        <v>37</v>
      </c>
      <c r="D293" s="40">
        <f>(D292-C292)*10000</f>
        <v>-30.125681895705192</v>
      </c>
      <c r="E293" s="40">
        <f>(E292-D292)*10000</f>
        <v>57.326793474494764</v>
      </c>
      <c r="F293" s="40">
        <f>(F292-E292)*10000</f>
        <v>25.535371693745645</v>
      </c>
      <c r="H293" s="37">
        <f>(H292-F292)*10000</f>
        <v>-161.04699891129718</v>
      </c>
    </row>
    <row r="294">
      <c r="B294" s="25" t="s">
        <v>158</v>
      </c>
      <c r="C294" s="40" t="s">
        <v>37</v>
      </c>
      <c r="D294" s="40" t="s">
        <v>37</v>
      </c>
      <c r="E294" s="40" t="s">
        <v>37</v>
      </c>
      <c r="F294" s="40" t="s">
        <v>37</v>
      </c>
      <c r="G294" s="40" t="s">
        <v>37</v>
      </c>
      <c r="H294" s="37">
        <f>(H292-C292)*10000</f>
        <v>-108.31051563876196</v>
      </c>
    </row>
    <row r="295">
      <c r="H295" s="39"/>
    </row>
    <row r="296">
      <c r="B296" s="2" t="s">
        <v>163</v>
      </c>
      <c r="H296" s="39"/>
    </row>
    <row r="297">
      <c r="B297" s="1" t="s">
        <v>147</v>
      </c>
      <c r="C297" s="4">
        <f>Inputs!F178</f>
        <v>1076.709</v>
      </c>
      <c r="D297" s="6">
        <f>C313</f>
        <v>1161.957</v>
      </c>
      <c r="E297" s="6">
        <f>D313</f>
        <v>1223.625</v>
      </c>
      <c r="F297" s="6">
        <f>E313</f>
        <v>1222.612</v>
      </c>
      <c r="G297" s="4">
        <f>Inputs!G178</f>
        <v>992.921</v>
      </c>
      <c r="H297" s="30">
        <f>F313</f>
        <v>1347.2990000000002</v>
      </c>
    </row>
    <row r="298">
      <c r="B298" s="1" t="s">
        <v>148</v>
      </c>
      <c r="C298" s="23">
        <v>33.598</v>
      </c>
      <c r="D298" s="23">
        <v>36.868</v>
      </c>
      <c r="E298" s="23">
        <v>17.827</v>
      </c>
      <c r="F298" s="23">
        <v>16.784</v>
      </c>
      <c r="G298" s="23">
        <v>72.269</v>
      </c>
      <c r="H298" s="35">
        <v>12</v>
      </c>
    </row>
    <row r="299">
      <c r="B299" s="25" t="s">
        <v>149</v>
      </c>
      <c r="C299" s="6" t="s">
        <v>37</v>
      </c>
      <c r="D299" s="6" t="s">
        <v>37</v>
      </c>
      <c r="E299" s="6" t="s">
        <v>37</v>
      </c>
      <c r="F299" s="6" t="s">
        <v>37</v>
      </c>
      <c r="G299" s="6" t="s">
        <v>37</v>
      </c>
      <c r="H299" s="30">
        <f>H298-C298</f>
        <v>-21.598</v>
      </c>
    </row>
    <row r="300">
      <c r="B300" s="25" t="s">
        <v>150</v>
      </c>
      <c r="C300" s="6" t="s">
        <v>37</v>
      </c>
      <c r="D300" s="6">
        <f>D298-C298</f>
        <v>3.270000000000003</v>
      </c>
      <c r="E300" s="6">
        <f>E298-D298</f>
        <v>-19.041</v>
      </c>
      <c r="F300" s="6">
        <f>F298-E298</f>
        <v>-1.0430000000000028</v>
      </c>
      <c r="H300" s="30">
        <f>H298-F298</f>
        <v>-4.783999999999999</v>
      </c>
    </row>
    <row r="301">
      <c r="B301" s="1" t="s">
        <v>151</v>
      </c>
      <c r="C301" s="23">
        <v>0</v>
      </c>
      <c r="D301" s="23">
        <v>0</v>
      </c>
      <c r="E301" s="23">
        <v>0</v>
      </c>
      <c r="F301" s="23">
        <v>0</v>
      </c>
      <c r="G301" s="23">
        <v>0</v>
      </c>
      <c r="H301" s="35">
        <v>0</v>
      </c>
    </row>
    <row r="302">
      <c r="B302" s="25" t="s">
        <v>149</v>
      </c>
      <c r="C302" s="6" t="s">
        <v>37</v>
      </c>
      <c r="D302" s="6" t="s">
        <v>37</v>
      </c>
      <c r="E302" s="6" t="s">
        <v>37</v>
      </c>
      <c r="F302" s="6" t="s">
        <v>37</v>
      </c>
      <c r="G302" s="6" t="s">
        <v>37</v>
      </c>
      <c r="H302" s="30">
        <f>H301-C301</f>
        <v>0</v>
      </c>
    </row>
    <row r="303">
      <c r="B303" s="25" t="s">
        <v>150</v>
      </c>
      <c r="C303" s="6" t="s">
        <v>37</v>
      </c>
      <c r="D303" s="6">
        <f>D301-C301</f>
        <v>0</v>
      </c>
      <c r="E303" s="6">
        <f>E301-D301</f>
        <v>0</v>
      </c>
      <c r="F303" s="6">
        <f>F301-E301</f>
        <v>0</v>
      </c>
      <c r="H303" s="30">
        <f>H301-F301</f>
        <v>0</v>
      </c>
    </row>
    <row r="304">
      <c r="B304" s="1" t="s">
        <v>152</v>
      </c>
      <c r="C304" s="23">
        <v>0</v>
      </c>
      <c r="D304" s="23">
        <v>0</v>
      </c>
      <c r="E304" s="23">
        <v>0</v>
      </c>
      <c r="F304" s="23">
        <v>0</v>
      </c>
      <c r="G304" s="23">
        <v>0</v>
      </c>
      <c r="H304" s="35">
        <v>0</v>
      </c>
    </row>
    <row r="305">
      <c r="B305" s="25" t="s">
        <v>149</v>
      </c>
      <c r="C305" s="6" t="s">
        <v>37</v>
      </c>
      <c r="D305" s="6" t="s">
        <v>37</v>
      </c>
      <c r="E305" s="6" t="s">
        <v>37</v>
      </c>
      <c r="F305" s="6" t="s">
        <v>37</v>
      </c>
      <c r="G305" s="6" t="s">
        <v>37</v>
      </c>
      <c r="H305" s="30">
        <f>H304-C304</f>
        <v>0</v>
      </c>
    </row>
    <row r="306">
      <c r="B306" s="25" t="s">
        <v>150</v>
      </c>
      <c r="C306" s="6" t="s">
        <v>37</v>
      </c>
      <c r="D306" s="6">
        <f>D304-C304</f>
        <v>0</v>
      </c>
      <c r="E306" s="6">
        <f>E304-D304</f>
        <v>0</v>
      </c>
      <c r="F306" s="6">
        <f>F304-E304</f>
        <v>0</v>
      </c>
      <c r="H306" s="30">
        <f>H304-F304</f>
        <v>0</v>
      </c>
    </row>
    <row r="307">
      <c r="B307" s="1" t="s">
        <v>153</v>
      </c>
      <c r="C307" s="23">
        <v>55.276</v>
      </c>
      <c r="D307" s="23">
        <v>24.104</v>
      </c>
      <c r="E307" s="23">
        <v>-12.714</v>
      </c>
      <c r="F307" s="23">
        <v>109.665</v>
      </c>
      <c r="G307" s="23">
        <v>132.762</v>
      </c>
      <c r="H307" s="30">
        <f>H297*H322</f>
        <v>4.0418970000000005</v>
      </c>
    </row>
    <row r="308">
      <c r="B308" s="25" t="s">
        <v>149</v>
      </c>
      <c r="C308" s="6" t="s">
        <v>37</v>
      </c>
      <c r="D308" s="6" t="s">
        <v>37</v>
      </c>
      <c r="E308" s="6" t="s">
        <v>37</v>
      </c>
      <c r="F308" s="6" t="s">
        <v>37</v>
      </c>
      <c r="G308" s="6" t="s">
        <v>37</v>
      </c>
      <c r="H308" s="30">
        <f>H307-C307</f>
        <v>-51.234103000000005</v>
      </c>
    </row>
    <row r="309">
      <c r="B309" s="25" t="s">
        <v>150</v>
      </c>
      <c r="C309" s="6" t="s">
        <v>37</v>
      </c>
      <c r="D309" s="6">
        <f>D307-C307</f>
        <v>-31.172000000000004</v>
      </c>
      <c r="E309" s="6">
        <f>E307-D307</f>
        <v>-36.818</v>
      </c>
      <c r="F309" s="6">
        <f>F307-E307</f>
        <v>122.379</v>
      </c>
      <c r="H309" s="30">
        <f>H307-F307</f>
        <v>-105.623103</v>
      </c>
    </row>
    <row r="310">
      <c r="B310" s="1" t="s">
        <v>133</v>
      </c>
      <c r="C310" s="23">
        <v>-3.626</v>
      </c>
      <c r="D310" s="23">
        <v>0.696</v>
      </c>
      <c r="E310" s="23">
        <v>-6.126</v>
      </c>
      <c r="F310" s="23">
        <v>-1.762</v>
      </c>
      <c r="G310" s="23">
        <v>25.673</v>
      </c>
      <c r="H310" s="30">
        <f>H297*H325</f>
        <v>0</v>
      </c>
    </row>
    <row r="311">
      <c r="B311" s="25" t="s">
        <v>149</v>
      </c>
      <c r="C311" s="6" t="s">
        <v>37</v>
      </c>
      <c r="D311" s="6" t="s">
        <v>37</v>
      </c>
      <c r="E311" s="6" t="s">
        <v>37</v>
      </c>
      <c r="F311" s="6" t="s">
        <v>37</v>
      </c>
      <c r="G311" s="6" t="s">
        <v>37</v>
      </c>
      <c r="H311" s="30">
        <f>H310-C310</f>
        <v>3.626</v>
      </c>
    </row>
    <row r="312">
      <c r="B312" s="25" t="s">
        <v>150</v>
      </c>
      <c r="C312" s="6" t="s">
        <v>37</v>
      </c>
      <c r="D312" s="6">
        <f>D310-C310</f>
        <v>4.322</v>
      </c>
      <c r="E312" s="6">
        <f>E310-D310</f>
        <v>-6.822</v>
      </c>
      <c r="F312" s="6">
        <f>F310-E310</f>
        <v>4.364000000000001</v>
      </c>
      <c r="H312" s="30">
        <f>H310-F310</f>
        <v>1.762</v>
      </c>
    </row>
    <row r="313">
      <c r="B313" s="2" t="s">
        <v>154</v>
      </c>
      <c r="C313" s="42">
        <f>C297+C298+C301+C304+C307+C310</f>
        <v>1161.957</v>
      </c>
      <c r="D313" s="42">
        <f>D297+D298+D301+D304+D307+D310</f>
        <v>1223.625</v>
      </c>
      <c r="E313" s="42">
        <f>E297+E298+E301+E304+E307+E310</f>
        <v>1222.612</v>
      </c>
      <c r="F313" s="42">
        <f>F297+F298+F301+F304+F307+F310</f>
        <v>1347.2990000000002</v>
      </c>
      <c r="G313" s="42">
        <f>G297+G298+G301+G304+G307+G310</f>
        <v>1223.625</v>
      </c>
      <c r="H313" s="41">
        <f>H297+H298+H301+H304+H307+H310</f>
        <v>1363.3408970000003</v>
      </c>
    </row>
    <row r="314">
      <c r="B314" s="25" t="s">
        <v>101</v>
      </c>
      <c r="C314" s="21">
        <f>IFERROR(C313/Inputs!C178-1,"n/a")</f>
        <v>0.16019929806343391</v>
      </c>
      <c r="D314" s="21">
        <f>IFERROR(D313/Inputs!D178-1,"n/a")</f>
        <v>0.23234879713491807</v>
      </c>
      <c r="E314" s="21">
        <f>IFERROR(E313/Inputs!E178-1,"n/a")</f>
        <v>0.2193429415736412</v>
      </c>
      <c r="F314" s="21">
        <f>IFERROR(F313/Inputs!F178-1,"n/a")</f>
        <v>0.2513121001124725</v>
      </c>
      <c r="G314" s="21">
        <f>IFERROR(G313/Inputs!G178-1,"n/a")</f>
        <v>0.23234879713491807</v>
      </c>
      <c r="H314" s="32">
        <f>IFERROR(H313/C313-1,"n/a")</f>
        <v>0.17331441438882855</v>
      </c>
    </row>
    <row r="315">
      <c r="B315" s="25" t="s">
        <v>102</v>
      </c>
      <c r="C315" s="21">
        <f>IFERROR(C313/Inputs!F178-1,"n/a")</f>
        <v>0.0791745959214607</v>
      </c>
      <c r="D315" s="16">
        <f>IFERROR(D313/C313-1,"n/a")</f>
        <v>0.053072531943953116</v>
      </c>
      <c r="E315" s="16">
        <f>IFERROR(E313/D313-1,"n/a")</f>
        <v>-0.0008278680151189155</v>
      </c>
      <c r="F315" s="16">
        <f>IFERROR(F313/E313-1,"n/a")</f>
        <v>0.10198411270296726</v>
      </c>
      <c r="H315" s="32">
        <f>IFERROR(H313/F313-1,"n/a")</f>
        <v>0.01190670890425971</v>
      </c>
    </row>
    <row r="316">
      <c r="B316" s="2" t="s">
        <v>155</v>
      </c>
      <c r="C316" s="29">
        <v>1119.948</v>
      </c>
      <c r="D316" s="29">
        <v>1185.944</v>
      </c>
      <c r="E316" s="29">
        <v>1247.632</v>
      </c>
      <c r="F316" s="29">
        <v>1299.289</v>
      </c>
      <c r="G316" s="29">
        <v>1087.995</v>
      </c>
      <c r="H316" s="55">
        <f>H297*(1+H328)+$H$222*(H298+H301)</f>
        <v>1355.9935980000002</v>
      </c>
    </row>
    <row r="317">
      <c r="B317" s="25" t="s">
        <v>101</v>
      </c>
      <c r="C317" s="16" t="s">
        <v>37</v>
      </c>
      <c r="D317" s="16" t="s">
        <v>37</v>
      </c>
      <c r="E317" s="16" t="s">
        <v>37</v>
      </c>
      <c r="F317" s="16" t="s">
        <v>37</v>
      </c>
      <c r="G317" s="16" t="s">
        <v>37</v>
      </c>
      <c r="H317" s="32">
        <f>IFERROR(H316/C316-1,"n/a")</f>
        <v>0.2107647837221016</v>
      </c>
    </row>
    <row r="318">
      <c r="B318" s="25" t="s">
        <v>102</v>
      </c>
      <c r="C318" s="16" t="s">
        <v>37</v>
      </c>
      <c r="D318" s="16">
        <f>IFERROR(D316/C316-1,"n/a")</f>
        <v>0.058927735930596636</v>
      </c>
      <c r="E318" s="16">
        <f>IFERROR(E316/D316-1,"n/a")</f>
        <v>0.052015946790067824</v>
      </c>
      <c r="F318" s="16">
        <f>IFERROR(F316/E316-1,"n/a")</f>
        <v>0.04140403580542973</v>
      </c>
      <c r="H318" s="32">
        <f>IFERROR(H316/F316-1,"n/a")</f>
        <v>0.04364279078788491</v>
      </c>
    </row>
    <row r="319">
      <c r="B319" s="25" t="s">
        <v>156</v>
      </c>
      <c r="C319" s="16">
        <f>IFERROR((C298)/C297*365/C$7,"n/a")</f>
        <v>0.1237998503249051</v>
      </c>
      <c r="D319" s="16">
        <f>IFERROR((D298)/D297*365/D$7,"n/a")</f>
        <v>0.12588226811206926</v>
      </c>
      <c r="E319" s="16">
        <f>IFERROR((E298)/E297*365/E$7,"n/a")</f>
        <v>0.05908541333242529</v>
      </c>
      <c r="F319" s="16">
        <f>IFERROR((F298)/F297*365/F$7,"n/a")</f>
        <v>0.05506279961299215</v>
      </c>
      <c r="G319" s="16">
        <f>IFERROR((G298)/G297*365/G$7,"n/a")</f>
        <v>0.07278423963235746</v>
      </c>
      <c r="H319" s="32">
        <f>IFERROR((H298)/H297*365/H$7,"n/a")</f>
        <v>0.035336399457116724</v>
      </c>
    </row>
    <row r="320">
      <c r="B320" s="25" t="s">
        <v>157</v>
      </c>
      <c r="C320" s="40" t="s">
        <v>37</v>
      </c>
      <c r="D320" s="40">
        <f>(D319-C319)*10000</f>
        <v>20.824177871641563</v>
      </c>
      <c r="E320" s="40">
        <f>(E319-D319)*10000</f>
        <v>-667.9685477964398</v>
      </c>
      <c r="F320" s="40">
        <f>(F319-E319)*10000</f>
        <v>-40.22613719433139</v>
      </c>
      <c r="H320" s="37">
        <f>(H319-F319)*10000</f>
        <v>-197.26400155875427</v>
      </c>
    </row>
    <row r="321">
      <c r="B321" s="25" t="s">
        <v>158</v>
      </c>
      <c r="C321" s="40" t="s">
        <v>37</v>
      </c>
      <c r="D321" s="40" t="s">
        <v>37</v>
      </c>
      <c r="E321" s="40" t="s">
        <v>37</v>
      </c>
      <c r="F321" s="40" t="s">
        <v>37</v>
      </c>
      <c r="G321" s="40" t="s">
        <v>37</v>
      </c>
      <c r="H321" s="37">
        <f>(H319-C319)*10000</f>
        <v>-884.6345086778838</v>
      </c>
    </row>
    <row r="322">
      <c r="B322" s="25" t="s">
        <v>159</v>
      </c>
      <c r="C322" s="16">
        <f>IFERROR(C307/C297,"n/a")</f>
        <v>0.051337919530718146</v>
      </c>
      <c r="D322" s="16">
        <f>IFERROR(D307/D297,"n/a")</f>
        <v>0.020744313257719516</v>
      </c>
      <c r="E322" s="16">
        <f>IFERROR(E307/E297,"n/a")</f>
        <v>-0.010390438247011953</v>
      </c>
      <c r="F322" s="16">
        <f>IFERROR(F307/F297,"n/a")</f>
        <v>0.08969730380529554</v>
      </c>
      <c r="G322" s="16">
        <f>IFERROR(G307/G297,"n/a")</f>
        <v>0.13370852263170988</v>
      </c>
      <c r="H322" s="43">
        <v>0.003</v>
      </c>
    </row>
    <row r="323">
      <c r="B323" s="25" t="s">
        <v>157</v>
      </c>
      <c r="C323" s="40" t="s">
        <v>37</v>
      </c>
      <c r="D323" s="40">
        <f>(D322-C322)*10000</f>
        <v>-305.9360627299863</v>
      </c>
      <c r="E323" s="40">
        <f>(E322-D322)*10000</f>
        <v>-311.3475150473147</v>
      </c>
      <c r="F323" s="40">
        <f>(F322-E322)*10000</f>
        <v>1000.877420523075</v>
      </c>
      <c r="H323" s="37">
        <f>(H322-F322)*10000</f>
        <v>-866.9730380529554</v>
      </c>
    </row>
    <row r="324">
      <c r="B324" s="25" t="s">
        <v>158</v>
      </c>
      <c r="C324" s="40" t="s">
        <v>37</v>
      </c>
      <c r="D324" s="40" t="s">
        <v>37</v>
      </c>
      <c r="E324" s="40" t="s">
        <v>37</v>
      </c>
      <c r="F324" s="40" t="s">
        <v>37</v>
      </c>
      <c r="G324" s="40" t="s">
        <v>37</v>
      </c>
      <c r="H324" s="37">
        <f>(H322-C322)*10000</f>
        <v>-483.3791953071814</v>
      </c>
    </row>
    <row r="325">
      <c r="B325" s="25" t="s">
        <v>160</v>
      </c>
      <c r="C325" s="16">
        <f>IFERROR(C310/C297,"n/a")</f>
        <v>-0.003367669444576018</v>
      </c>
      <c r="D325" s="16">
        <f>IFERROR(D310/D297,"n/a")</f>
        <v>0.0005989894634655154</v>
      </c>
      <c r="E325" s="16">
        <f>IFERROR(E310/E297,"n/a")</f>
        <v>-0.005006435795280417</v>
      </c>
      <c r="F325" s="16">
        <f>IFERROR(F310/F297,"n/a")</f>
        <v>-0.0014411767592662267</v>
      </c>
      <c r="G325" s="16">
        <f>IFERROR(G310/G297,"n/a")</f>
        <v>0.02585603487085075</v>
      </c>
      <c r="H325" s="43">
        <v>0</v>
      </c>
    </row>
    <row r="326">
      <c r="B326" s="25" t="s">
        <v>157</v>
      </c>
      <c r="C326" s="40" t="s">
        <v>37</v>
      </c>
      <c r="D326" s="40">
        <f>(D325-C325)*10000</f>
        <v>39.66658908041534</v>
      </c>
      <c r="E326" s="40">
        <f>(E325-D325)*10000</f>
        <v>-56.054252587459324</v>
      </c>
      <c r="F326" s="40">
        <f>(F325-E325)*10000</f>
        <v>35.6525903601419</v>
      </c>
      <c r="H326" s="37">
        <f>(H325-F325)*10000</f>
        <v>14.411767592662267</v>
      </c>
    </row>
    <row r="327">
      <c r="B327" s="25" t="s">
        <v>158</v>
      </c>
      <c r="C327" s="40" t="s">
        <v>37</v>
      </c>
      <c r="D327" s="40" t="s">
        <v>37</v>
      </c>
      <c r="E327" s="40" t="s">
        <v>37</v>
      </c>
      <c r="F327" s="40" t="s">
        <v>37</v>
      </c>
      <c r="G327" s="40" t="s">
        <v>37</v>
      </c>
      <c r="H327" s="37">
        <f>(H325-C325)*10000</f>
        <v>33.676694445760184</v>
      </c>
    </row>
    <row r="328">
      <c r="B328" s="25" t="s">
        <v>161</v>
      </c>
      <c r="C328" s="16">
        <f>IFERROR((C316-$H$222*(C298+C301+C304))/C297-1,"n/a")</f>
        <v>0.024556310015055205</v>
      </c>
      <c r="D328" s="16">
        <f>IFERROR((D316-$H$222*(D298+D301+D304))/D297-1,"n/a")</f>
        <v>0.004779006452045875</v>
      </c>
      <c r="E328" s="16">
        <f>IFERROR((E316-$H$222*(E298+E301+E304))/E297-1,"n/a")</f>
        <v>0.012335069976504132</v>
      </c>
      <c r="F328" s="16">
        <f>IFERROR((F316-$H$222*(F298+F301+F304))/F297-1,"n/a")</f>
        <v>0.0558517338288842</v>
      </c>
      <c r="G328" s="16">
        <f>IFERROR((G316-$H$222*(G298+G301+G304))/G297-1,"n/a")</f>
        <v>0.05935970736846108</v>
      </c>
      <c r="H328" s="43">
        <v>0.002</v>
      </c>
    </row>
    <row r="329">
      <c r="B329" s="25" t="s">
        <v>157</v>
      </c>
      <c r="C329" s="40" t="s">
        <v>37</v>
      </c>
      <c r="D329" s="40">
        <f>(D328-C328)*10000</f>
        <v>-197.7730356300933</v>
      </c>
      <c r="E329" s="40">
        <f>(E328-D328)*10000</f>
        <v>75.56063524458256</v>
      </c>
      <c r="F329" s="40">
        <f>(F328-E328)*10000</f>
        <v>435.16663852380066</v>
      </c>
      <c r="H329" s="37">
        <f>(H328-F328)*10000</f>
        <v>-538.517338288842</v>
      </c>
    </row>
    <row r="330">
      <c r="B330" s="25" t="s">
        <v>158</v>
      </c>
      <c r="C330" s="40" t="s">
        <v>37</v>
      </c>
      <c r="D330" s="40" t="s">
        <v>37</v>
      </c>
      <c r="E330" s="40" t="s">
        <v>37</v>
      </c>
      <c r="F330" s="40" t="s">
        <v>37</v>
      </c>
      <c r="G330" s="40" t="s">
        <v>37</v>
      </c>
      <c r="H330" s="37">
        <f>(H328-C328)*10000</f>
        <v>-225.56310015055203</v>
      </c>
    </row>
    <row r="331">
      <c r="H331" s="39"/>
    </row>
    <row r="332">
      <c r="B332" s="2" t="s">
        <v>164</v>
      </c>
      <c r="H332" s="39"/>
    </row>
    <row r="333">
      <c r="B333" s="1" t="s">
        <v>147</v>
      </c>
      <c r="C333" s="4">
        <f>Inputs!F179</f>
        <v>215.244</v>
      </c>
      <c r="D333" s="6">
        <f>C349</f>
        <v>320.886</v>
      </c>
      <c r="E333" s="6">
        <f>D349</f>
        <v>322.624</v>
      </c>
      <c r="F333" s="6">
        <f>E349</f>
        <v>320.43100000000004</v>
      </c>
      <c r="G333" s="4">
        <f>Inputs!G179</f>
        <v>211.974</v>
      </c>
      <c r="H333" s="30">
        <f>F349</f>
        <v>329.0830000000001</v>
      </c>
    </row>
    <row r="334">
      <c r="B334" s="1" t="s">
        <v>148</v>
      </c>
      <c r="C334" s="23">
        <v>13.163</v>
      </c>
      <c r="D334" s="23">
        <v>12.708</v>
      </c>
      <c r="E334" s="23">
        <v>9.076</v>
      </c>
      <c r="F334" s="23">
        <v>15.432</v>
      </c>
      <c r="G334" s="23">
        <v>39.834</v>
      </c>
      <c r="H334" s="35">
        <v>9</v>
      </c>
    </row>
    <row r="335">
      <c r="B335" s="25" t="s">
        <v>149</v>
      </c>
      <c r="C335" s="6" t="s">
        <v>37</v>
      </c>
      <c r="D335" s="6" t="s">
        <v>37</v>
      </c>
      <c r="E335" s="6" t="s">
        <v>37</v>
      </c>
      <c r="F335" s="6" t="s">
        <v>37</v>
      </c>
      <c r="G335" s="6" t="s">
        <v>37</v>
      </c>
      <c r="H335" s="30">
        <f>H334-C334</f>
        <v>-4.163</v>
      </c>
    </row>
    <row r="336">
      <c r="B336" s="25" t="s">
        <v>150</v>
      </c>
      <c r="C336" s="6" t="s">
        <v>37</v>
      </c>
      <c r="D336" s="6">
        <f>D334-C334</f>
        <v>-0.45500000000000007</v>
      </c>
      <c r="E336" s="6">
        <f>E334-D334</f>
        <v>-3.6319999999999997</v>
      </c>
      <c r="F336" s="6">
        <f>F334-E334</f>
        <v>6.356</v>
      </c>
      <c r="H336" s="30">
        <f>H334-F334</f>
        <v>-6.432</v>
      </c>
    </row>
    <row r="337">
      <c r="B337" s="1" t="s">
        <v>151</v>
      </c>
      <c r="C337" s="23">
        <v>-5.996</v>
      </c>
      <c r="D337" s="23">
        <v>-10.706</v>
      </c>
      <c r="E337" s="23">
        <v>-8.471</v>
      </c>
      <c r="F337" s="23">
        <v>-6.209</v>
      </c>
      <c r="G337" s="23">
        <v>-30.178</v>
      </c>
      <c r="H337" s="35">
        <v>-7</v>
      </c>
    </row>
    <row r="338">
      <c r="B338" s="25" t="s">
        <v>149</v>
      </c>
      <c r="C338" s="6" t="s">
        <v>37</v>
      </c>
      <c r="D338" s="6" t="s">
        <v>37</v>
      </c>
      <c r="E338" s="6" t="s">
        <v>37</v>
      </c>
      <c r="F338" s="6" t="s">
        <v>37</v>
      </c>
      <c r="G338" s="6" t="s">
        <v>37</v>
      </c>
      <c r="H338" s="30">
        <f>H337-C337</f>
        <v>-1.0039999999999996</v>
      </c>
    </row>
    <row r="339">
      <c r="B339" s="25" t="s">
        <v>150</v>
      </c>
      <c r="C339" s="6" t="s">
        <v>37</v>
      </c>
      <c r="D339" s="6">
        <f>D337-C337</f>
        <v>-4.709999999999999</v>
      </c>
      <c r="E339" s="6">
        <f>E337-D337</f>
        <v>2.2349999999999994</v>
      </c>
      <c r="F339" s="6">
        <f>F337-E337</f>
        <v>2.2620000000000005</v>
      </c>
      <c r="H339" s="30">
        <f>H337-F337</f>
        <v>-0.7910000000000004</v>
      </c>
    </row>
    <row r="340">
      <c r="B340" s="1" t="s">
        <v>152</v>
      </c>
      <c r="C340" s="23">
        <v>101.017</v>
      </c>
      <c r="D340" s="23">
        <v>0</v>
      </c>
      <c r="E340" s="23">
        <v>0</v>
      </c>
      <c r="F340" s="23">
        <v>0</v>
      </c>
      <c r="G340" s="23">
        <v>101.017</v>
      </c>
      <c r="H340" s="35">
        <v>0</v>
      </c>
    </row>
    <row r="341">
      <c r="B341" s="25" t="s">
        <v>149</v>
      </c>
      <c r="C341" s="6" t="s">
        <v>37</v>
      </c>
      <c r="D341" s="6" t="s">
        <v>37</v>
      </c>
      <c r="E341" s="6" t="s">
        <v>37</v>
      </c>
      <c r="F341" s="6" t="s">
        <v>37</v>
      </c>
      <c r="G341" s="6" t="s">
        <v>37</v>
      </c>
      <c r="H341" s="30">
        <f>H340-C340</f>
        <v>-101.017</v>
      </c>
    </row>
    <row r="342">
      <c r="B342" s="25" t="s">
        <v>150</v>
      </c>
      <c r="C342" s="6" t="s">
        <v>37</v>
      </c>
      <c r="D342" s="6">
        <f>D340-C340</f>
        <v>-101.017</v>
      </c>
      <c r="E342" s="6">
        <f>E340-D340</f>
        <v>0</v>
      </c>
      <c r="F342" s="6">
        <f>F340-E340</f>
        <v>0</v>
      </c>
      <c r="H342" s="30">
        <f>H340-F340</f>
        <v>0</v>
      </c>
    </row>
    <row r="343">
      <c r="B343" s="1" t="s">
        <v>153</v>
      </c>
      <c r="C343" s="23">
        <v>-2.364</v>
      </c>
      <c r="D343" s="23">
        <v>-0.317</v>
      </c>
      <c r="E343" s="23">
        <v>-1.989</v>
      </c>
      <c r="F343" s="23">
        <v>-0.469</v>
      </c>
      <c r="G343" s="23">
        <v>-5.161</v>
      </c>
      <c r="H343" s="30">
        <f>H333*H358</f>
        <v>0</v>
      </c>
    </row>
    <row r="344">
      <c r="B344" s="25" t="s">
        <v>149</v>
      </c>
      <c r="C344" s="6" t="s">
        <v>37</v>
      </c>
      <c r="D344" s="6" t="s">
        <v>37</v>
      </c>
      <c r="E344" s="6" t="s">
        <v>37</v>
      </c>
      <c r="F344" s="6" t="s">
        <v>37</v>
      </c>
      <c r="G344" s="6" t="s">
        <v>37</v>
      </c>
      <c r="H344" s="30">
        <f>H343-C343</f>
        <v>2.364</v>
      </c>
    </row>
    <row r="345">
      <c r="B345" s="25" t="s">
        <v>150</v>
      </c>
      <c r="C345" s="6" t="s">
        <v>37</v>
      </c>
      <c r="D345" s="6">
        <f>D343-C343</f>
        <v>2.0469999999999997</v>
      </c>
      <c r="E345" s="6">
        <f>E343-D343</f>
        <v>-1.6720000000000002</v>
      </c>
      <c r="F345" s="6">
        <f>F343-E343</f>
        <v>1.52</v>
      </c>
      <c r="H345" s="30">
        <f>H343-F343</f>
        <v>0.469</v>
      </c>
    </row>
    <row r="346">
      <c r="B346" s="1" t="s">
        <v>133</v>
      </c>
      <c r="C346" s="23">
        <v>-0.178</v>
      </c>
      <c r="D346" s="23">
        <v>0.053</v>
      </c>
      <c r="E346" s="23">
        <v>-0.809</v>
      </c>
      <c r="F346" s="23">
        <v>-0.102</v>
      </c>
      <c r="G346" s="23">
        <v>5.138</v>
      </c>
      <c r="H346" s="30">
        <f>H333*H361</f>
        <v>0</v>
      </c>
    </row>
    <row r="347">
      <c r="B347" s="25" t="s">
        <v>149</v>
      </c>
      <c r="C347" s="6" t="s">
        <v>37</v>
      </c>
      <c r="D347" s="6" t="s">
        <v>37</v>
      </c>
      <c r="E347" s="6" t="s">
        <v>37</v>
      </c>
      <c r="F347" s="6" t="s">
        <v>37</v>
      </c>
      <c r="G347" s="6" t="s">
        <v>37</v>
      </c>
      <c r="H347" s="30">
        <f>H346-C346</f>
        <v>0.178</v>
      </c>
    </row>
    <row r="348">
      <c r="B348" s="25" t="s">
        <v>150</v>
      </c>
      <c r="C348" s="6" t="s">
        <v>37</v>
      </c>
      <c r="D348" s="6">
        <f>D346-C346</f>
        <v>0.23099999999999998</v>
      </c>
      <c r="E348" s="6">
        <f>E346-D346</f>
        <v>-0.8620000000000001</v>
      </c>
      <c r="F348" s="6">
        <f>F346-E346</f>
        <v>0.7070000000000001</v>
      </c>
      <c r="H348" s="30">
        <f>H346-F346</f>
        <v>0.102</v>
      </c>
    </row>
    <row r="349">
      <c r="B349" s="2" t="s">
        <v>154</v>
      </c>
      <c r="C349" s="42">
        <f>C333+C334+C337+C340+C343+C346</f>
        <v>320.886</v>
      </c>
      <c r="D349" s="42">
        <f>D333+D334+D337+D340+D343+D346</f>
        <v>322.624</v>
      </c>
      <c r="E349" s="42">
        <f>E333+E334+E337+E340+E343+E346</f>
        <v>320.43100000000004</v>
      </c>
      <c r="F349" s="42">
        <f>F333+F334+F337+F340+F343+F346</f>
        <v>329.0830000000001</v>
      </c>
      <c r="G349" s="42">
        <f>G333+G334+G337+G340+G343+G346</f>
        <v>322.62399999999997</v>
      </c>
      <c r="H349" s="41">
        <f>H333+H334+H337+H340+H343+H346</f>
        <v>331.0830000000001</v>
      </c>
    </row>
    <row r="350">
      <c r="B350" s="25" t="s">
        <v>101</v>
      </c>
      <c r="C350" s="21">
        <f>IFERROR(C349/Inputs!C179-1,"n/a")</f>
        <v>1.2692049303792547</v>
      </c>
      <c r="D350" s="21">
        <f>IFERROR(D349/Inputs!D179-1,"n/a")</f>
        <v>0.5219979808844484</v>
      </c>
      <c r="E350" s="21">
        <f>IFERROR(E349/Inputs!E179-1,"n/a")</f>
        <v>0.5089473238083579</v>
      </c>
      <c r="F350" s="21">
        <f>IFERROR(F349/Inputs!F179-1,"n/a")</f>
        <v>0.5288834996562044</v>
      </c>
      <c r="G350" s="21">
        <f>IFERROR(G349/Inputs!G179-1,"n/a")</f>
        <v>0.5219979808844479</v>
      </c>
      <c r="H350" s="32">
        <f>IFERROR(H349/C349-1,"n/a")</f>
        <v>0.03177764065742994</v>
      </c>
    </row>
    <row r="351">
      <c r="B351" s="25" t="s">
        <v>102</v>
      </c>
      <c r="C351" s="21">
        <f>IFERROR(C349/Inputs!F179-1,"n/a")</f>
        <v>0.49080113731393227</v>
      </c>
      <c r="D351" s="16">
        <f>IFERROR(D349/C349-1,"n/a")</f>
        <v>0.005416253747436706</v>
      </c>
      <c r="E351" s="16">
        <f>IFERROR(E349/D349-1,"n/a")</f>
        <v>-0.006797386431263597</v>
      </c>
      <c r="F351" s="16">
        <f>IFERROR(F349/E349-1,"n/a")</f>
        <v>0.02700113284919392</v>
      </c>
      <c r="H351" s="32">
        <f>IFERROR(H349/F349-1,"n/a")</f>
        <v>0.0060774941276213745</v>
      </c>
    </row>
    <row r="352">
      <c r="B352" s="2" t="s">
        <v>155</v>
      </c>
      <c r="C352" s="29">
        <v>291.901</v>
      </c>
      <c r="D352" s="29">
        <v>320.397</v>
      </c>
      <c r="E352" s="29">
        <v>322.399</v>
      </c>
      <c r="F352" s="29">
        <v>324.696</v>
      </c>
      <c r="G352" s="29">
        <v>261.535</v>
      </c>
      <c r="H352" s="55">
        <f>H333*(1+H364)+$H$222*(H334+H337)</f>
        <v>330.0830000000001</v>
      </c>
    </row>
    <row r="353">
      <c r="B353" s="25" t="s">
        <v>101</v>
      </c>
      <c r="C353" s="16" t="s">
        <v>37</v>
      </c>
      <c r="D353" s="16" t="s">
        <v>37</v>
      </c>
      <c r="E353" s="16" t="s">
        <v>37</v>
      </c>
      <c r="F353" s="16" t="s">
        <v>37</v>
      </c>
      <c r="G353" s="16" t="s">
        <v>37</v>
      </c>
      <c r="H353" s="32">
        <f>IFERROR(H352/C352-1,"n/a")</f>
        <v>0.1308046221150323</v>
      </c>
    </row>
    <row r="354">
      <c r="B354" s="25" t="s">
        <v>102</v>
      </c>
      <c r="C354" s="16" t="s">
        <v>37</v>
      </c>
      <c r="D354" s="16">
        <f>IFERROR(D352/C352-1,"n/a")</f>
        <v>0.09762213901288441</v>
      </c>
      <c r="E354" s="16">
        <f>IFERROR(E352/D352-1,"n/a")</f>
        <v>0.006248497957221932</v>
      </c>
      <c r="F354" s="16">
        <f>IFERROR(F352/E352-1,"n/a")</f>
        <v>0.007124711925285299</v>
      </c>
      <c r="H354" s="32">
        <f>IFERROR(H352/F352-1,"n/a")</f>
        <v>0.016590903491265907</v>
      </c>
    </row>
    <row r="355">
      <c r="B355" s="25" t="s">
        <v>156</v>
      </c>
      <c r="C355" s="16">
        <f>IFERROR((C334)/C333*365/C$7,"n/a")</f>
        <v>0.2426212658152164</v>
      </c>
      <c r="D355" s="16">
        <f>IFERROR((D334)/D333*365/D$7,"n/a")</f>
        <v>0.15712000117067174</v>
      </c>
      <c r="E355" s="16">
        <f>IFERROR((E334)/E333*365/E$7,"n/a")</f>
        <v>0.11409015517203376</v>
      </c>
      <c r="F355" s="16">
        <f>IFERROR((F334)/F333*365/F$7,"n/a")</f>
        <v>0.1931697695216206</v>
      </c>
      <c r="G355" s="16">
        <f>IFERROR((G334)/G333*365/G$7,"n/a")</f>
        <v>0.18791927311840134</v>
      </c>
      <c r="H355" s="32">
        <f>IFERROR((H334)/H333*365/H$7,"n/a")</f>
        <v>0.10850308809367372</v>
      </c>
    </row>
    <row r="356">
      <c r="B356" s="25" t="s">
        <v>157</v>
      </c>
      <c r="C356" s="40" t="s">
        <v>37</v>
      </c>
      <c r="D356" s="40">
        <f>(D355-C355)*10000</f>
        <v>-855.0126464454466</v>
      </c>
      <c r="E356" s="40">
        <f>(E355-D355)*10000</f>
        <v>-430.2984599863797</v>
      </c>
      <c r="F356" s="40">
        <f>(F355-E355)*10000</f>
        <v>790.7961434958684</v>
      </c>
      <c r="H356" s="37">
        <f>(H355-F355)*10000</f>
        <v>-846.6668142794688</v>
      </c>
    </row>
    <row r="357">
      <c r="B357" s="25" t="s">
        <v>158</v>
      </c>
      <c r="C357" s="40" t="s">
        <v>37</v>
      </c>
      <c r="D357" s="40" t="s">
        <v>37</v>
      </c>
      <c r="E357" s="40" t="s">
        <v>37</v>
      </c>
      <c r="F357" s="40" t="s">
        <v>37</v>
      </c>
      <c r="G357" s="40" t="s">
        <v>37</v>
      </c>
      <c r="H357" s="37">
        <f>(H355-C355)*10000</f>
        <v>-1341.1817772154266</v>
      </c>
    </row>
    <row r="358">
      <c r="B358" s="25" t="s">
        <v>159</v>
      </c>
      <c r="C358" s="16">
        <f>IFERROR(C343/C333,"n/a")</f>
        <v>-0.010982884540335618</v>
      </c>
      <c r="D358" s="16">
        <f>IFERROR(D343/D333,"n/a")</f>
        <v>-0.000987889780171151</v>
      </c>
      <c r="E358" s="16">
        <f>IFERROR(E343/E333,"n/a")</f>
        <v>-0.0061650714144019046</v>
      </c>
      <c r="F358" s="16">
        <f>IFERROR(F343/F333,"n/a")</f>
        <v>-0.0014636536415016024</v>
      </c>
      <c r="G358" s="16">
        <f>IFERROR(G343/G333,"n/a")</f>
        <v>-0.024347325615405663</v>
      </c>
      <c r="H358" s="43">
        <v>0</v>
      </c>
    </row>
    <row r="359">
      <c r="B359" s="25" t="s">
        <v>157</v>
      </c>
      <c r="C359" s="40" t="s">
        <v>37</v>
      </c>
      <c r="D359" s="40">
        <f>(D358-C358)*10000</f>
        <v>99.94994760164468</v>
      </c>
      <c r="E359" s="40">
        <f>(E358-D358)*10000</f>
        <v>-51.77181634230753</v>
      </c>
      <c r="F359" s="40">
        <f>(F358-E358)*10000</f>
        <v>47.01417772900302</v>
      </c>
      <c r="H359" s="37">
        <f>(H358-F358)*10000</f>
        <v>14.636536415016023</v>
      </c>
    </row>
    <row r="360">
      <c r="B360" s="25" t="s">
        <v>158</v>
      </c>
      <c r="C360" s="40" t="s">
        <v>37</v>
      </c>
      <c r="D360" s="40" t="s">
        <v>37</v>
      </c>
      <c r="E360" s="40" t="s">
        <v>37</v>
      </c>
      <c r="F360" s="40" t="s">
        <v>37</v>
      </c>
      <c r="G360" s="40" t="s">
        <v>37</v>
      </c>
      <c r="H360" s="37">
        <f>(H358-C358)*10000</f>
        <v>109.82884540335618</v>
      </c>
    </row>
    <row r="361">
      <c r="B361" s="25" t="s">
        <v>160</v>
      </c>
      <c r="C361" s="16">
        <f>IFERROR(C346/C333,"n/a")</f>
        <v>-0.0008269684636970136</v>
      </c>
      <c r="D361" s="16">
        <f>IFERROR(D346/D333,"n/a")</f>
        <v>0.00016516769195290537</v>
      </c>
      <c r="E361" s="16">
        <f>IFERROR(E346/E333,"n/a")</f>
        <v>-0.002507562983535013</v>
      </c>
      <c r="F361" s="16">
        <f>IFERROR(F346/F333,"n/a")</f>
        <v>-0.00031832126105152116</v>
      </c>
      <c r="G361" s="16">
        <f>IFERROR(G346/G333,"n/a")</f>
        <v>0.02423882174228915</v>
      </c>
      <c r="H361" s="43">
        <v>0</v>
      </c>
    </row>
    <row r="362">
      <c r="B362" s="25" t="s">
        <v>157</v>
      </c>
      <c r="C362" s="40" t="s">
        <v>37</v>
      </c>
      <c r="D362" s="40">
        <f>(D361-C361)*10000</f>
        <v>9.921361556499189</v>
      </c>
      <c r="E362" s="40">
        <f>(E361-D361)*10000</f>
        <v>-26.727306754879184</v>
      </c>
      <c r="F362" s="40">
        <f>(F361-E361)*10000</f>
        <v>21.892417224834922</v>
      </c>
      <c r="H362" s="37">
        <f>(H361-F361)*10000</f>
        <v>3.1832126105152114</v>
      </c>
    </row>
    <row r="363">
      <c r="B363" s="25" t="s">
        <v>158</v>
      </c>
      <c r="C363" s="40" t="s">
        <v>37</v>
      </c>
      <c r="D363" s="40" t="s">
        <v>37</v>
      </c>
      <c r="E363" s="40" t="s">
        <v>37</v>
      </c>
      <c r="F363" s="40" t="s">
        <v>37</v>
      </c>
      <c r="G363" s="40" t="s">
        <v>37</v>
      </c>
      <c r="H363" s="37">
        <f>(H361-C361)*10000</f>
        <v>8.269684636970135</v>
      </c>
    </row>
    <row r="364">
      <c r="B364" s="25" t="s">
        <v>161</v>
      </c>
      <c r="C364" s="16">
        <f>IFERROR((C352-$H$222*(C334+C337+C340))/C333-1,"n/a")</f>
        <v>0.10483451338945571</v>
      </c>
      <c r="D364" s="16">
        <f>IFERROR((D352-$H$222*(D334+D337+D340))/D333-1,"n/a")</f>
        <v>-0.004643393603959045</v>
      </c>
      <c r="E364" s="16">
        <f>IFERROR((E352-$H$222*(E334+E337+E340))/E333-1,"n/a")</f>
        <v>-0.001635030251934233</v>
      </c>
      <c r="F364" s="16">
        <f>IFERROR((F352-$H$222*(F334+F337+F340))/F333-1,"n/a")</f>
        <v>-0.0010813560485720686</v>
      </c>
      <c r="G364" s="16">
        <f>IFERROR((G352-$H$222*(G334+G337+G340))/G333-1,"n/a")</f>
        <v>-0.027246266051496715</v>
      </c>
      <c r="H364" s="43">
        <v>0</v>
      </c>
    </row>
    <row r="365">
      <c r="B365" s="25" t="s">
        <v>157</v>
      </c>
      <c r="C365" s="40" t="s">
        <v>37</v>
      </c>
      <c r="D365" s="40">
        <f>(D364-C364)*10000</f>
        <v>-1094.7790699341476</v>
      </c>
      <c r="E365" s="40">
        <f>(E364-D364)*10000</f>
        <v>30.08363352024812</v>
      </c>
      <c r="F365" s="40">
        <f>(F364-E364)*10000</f>
        <v>5.536742033621644</v>
      </c>
      <c r="H365" s="37">
        <f>(H364-F364)*10000</f>
        <v>10.813560485720686</v>
      </c>
    </row>
    <row r="366">
      <c r="B366" s="25" t="s">
        <v>158</v>
      </c>
      <c r="C366" s="40" t="s">
        <v>37</v>
      </c>
      <c r="D366" s="40" t="s">
        <v>37</v>
      </c>
      <c r="E366" s="40" t="s">
        <v>37</v>
      </c>
      <c r="F366" s="40" t="s">
        <v>37</v>
      </c>
      <c r="G366" s="40" t="s">
        <v>37</v>
      </c>
      <c r="H366" s="37">
        <f>(H364-C364)*10000</f>
        <v>-1048.345133894557</v>
      </c>
    </row>
    <row r="367">
      <c r="H367" s="39"/>
    </row>
    <row r="368">
      <c r="B368" s="2" t="s">
        <v>165</v>
      </c>
      <c r="H368" s="39"/>
    </row>
    <row r="369">
      <c r="B369" s="1" t="s">
        <v>147</v>
      </c>
      <c r="C369" s="4">
        <f>Inputs!F180</f>
        <v>86.67</v>
      </c>
      <c r="D369" s="6">
        <f>C385</f>
        <v>97.448</v>
      </c>
      <c r="E369" s="6">
        <f>D385</f>
        <v>100.99</v>
      </c>
      <c r="F369" s="6">
        <f>E385</f>
        <v>108.639</v>
      </c>
      <c r="G369" s="4">
        <f>Inputs!G180</f>
        <v>76.39</v>
      </c>
      <c r="H369" s="30">
        <f>F385</f>
        <v>120.312</v>
      </c>
    </row>
    <row r="370">
      <c r="B370" s="1" t="s">
        <v>148</v>
      </c>
      <c r="C370" s="23">
        <v>3.178</v>
      </c>
      <c r="D370" s="23">
        <v>2.862</v>
      </c>
      <c r="E370" s="23">
        <v>5.551</v>
      </c>
      <c r="F370" s="23">
        <v>6.595</v>
      </c>
      <c r="G370" s="23">
        <v>11.143</v>
      </c>
      <c r="H370" s="35">
        <v>5</v>
      </c>
    </row>
    <row r="371">
      <c r="B371" s="25" t="s">
        <v>149</v>
      </c>
      <c r="C371" s="6" t="s">
        <v>37</v>
      </c>
      <c r="D371" s="6" t="s">
        <v>37</v>
      </c>
      <c r="E371" s="6" t="s">
        <v>37</v>
      </c>
      <c r="F371" s="6" t="s">
        <v>37</v>
      </c>
      <c r="G371" s="6" t="s">
        <v>37</v>
      </c>
      <c r="H371" s="30">
        <f>H370-C370</f>
        <v>1.822</v>
      </c>
    </row>
    <row r="372">
      <c r="B372" s="25" t="s">
        <v>150</v>
      </c>
      <c r="C372" s="6" t="s">
        <v>37</v>
      </c>
      <c r="D372" s="6">
        <f>D370-C370</f>
        <v>-0.31599999999999984</v>
      </c>
      <c r="E372" s="6">
        <f>E370-D370</f>
        <v>2.689</v>
      </c>
      <c r="F372" s="6">
        <f>F370-E370</f>
        <v>1.0439999999999996</v>
      </c>
      <c r="H372" s="30">
        <f>H370-F370</f>
        <v>-1.5949999999999998</v>
      </c>
    </row>
    <row r="373">
      <c r="B373" s="1" t="s">
        <v>151</v>
      </c>
      <c r="C373" s="23">
        <v>-0.03</v>
      </c>
      <c r="D373" s="23">
        <v>-0.136</v>
      </c>
      <c r="E373" s="23">
        <v>-0.695</v>
      </c>
      <c r="F373" s="23">
        <v>-0.07</v>
      </c>
      <c r="G373" s="23">
        <v>-0.195</v>
      </c>
      <c r="H373" s="35">
        <v>0</v>
      </c>
    </row>
    <row r="374">
      <c r="B374" s="25" t="s">
        <v>149</v>
      </c>
      <c r="C374" s="6" t="s">
        <v>37</v>
      </c>
      <c r="D374" s="6" t="s">
        <v>37</v>
      </c>
      <c r="E374" s="6" t="s">
        <v>37</v>
      </c>
      <c r="F374" s="6" t="s">
        <v>37</v>
      </c>
      <c r="G374" s="6" t="s">
        <v>37</v>
      </c>
      <c r="H374" s="30">
        <f>H373-C373</f>
        <v>0.03</v>
      </c>
    </row>
    <row r="375">
      <c r="B375" s="25" t="s">
        <v>150</v>
      </c>
      <c r="C375" s="6" t="s">
        <v>37</v>
      </c>
      <c r="D375" s="6">
        <f>D373-C373</f>
        <v>-0.10600000000000001</v>
      </c>
      <c r="E375" s="6">
        <f>E373-D373</f>
        <v>-0.5589999999999999</v>
      </c>
      <c r="F375" s="6">
        <f>F373-E373</f>
        <v>0.625</v>
      </c>
      <c r="H375" s="30">
        <f>H373-F373</f>
        <v>0.07</v>
      </c>
    </row>
    <row r="376">
      <c r="B376" s="1" t="s">
        <v>152</v>
      </c>
      <c r="C376" s="23">
        <v>6.377</v>
      </c>
      <c r="D376" s="23">
        <v>0</v>
      </c>
      <c r="E376" s="23">
        <v>0</v>
      </c>
      <c r="F376" s="23">
        <v>0</v>
      </c>
      <c r="G376" s="23">
        <v>6.377</v>
      </c>
      <c r="H376" s="35">
        <v>0</v>
      </c>
    </row>
    <row r="377">
      <c r="B377" s="25" t="s">
        <v>149</v>
      </c>
      <c r="C377" s="6" t="s">
        <v>37</v>
      </c>
      <c r="D377" s="6" t="s">
        <v>37</v>
      </c>
      <c r="E377" s="6" t="s">
        <v>37</v>
      </c>
      <c r="F377" s="6" t="s">
        <v>37</v>
      </c>
      <c r="G377" s="6" t="s">
        <v>37</v>
      </c>
      <c r="H377" s="30">
        <f>H376-C376</f>
        <v>-6.377</v>
      </c>
    </row>
    <row r="378">
      <c r="B378" s="25" t="s">
        <v>150</v>
      </c>
      <c r="C378" s="6" t="s">
        <v>37</v>
      </c>
      <c r="D378" s="6">
        <f>D376-C376</f>
        <v>-6.377</v>
      </c>
      <c r="E378" s="6">
        <f>E376-D376</f>
        <v>0</v>
      </c>
      <c r="F378" s="6">
        <f>F376-E376</f>
        <v>0</v>
      </c>
      <c r="H378" s="30">
        <f>H376-F376</f>
        <v>0</v>
      </c>
    </row>
    <row r="379">
      <c r="B379" s="1" t="s">
        <v>153</v>
      </c>
      <c r="C379" s="23">
        <v>1.237</v>
      </c>
      <c r="D379" s="23">
        <v>0.787</v>
      </c>
      <c r="E379" s="23">
        <v>2.707</v>
      </c>
      <c r="F379" s="23">
        <v>5.062</v>
      </c>
      <c r="G379" s="23">
        <v>6.392</v>
      </c>
      <c r="H379" s="30">
        <f>H369*H394</f>
        <v>2.40624</v>
      </c>
    </row>
    <row r="380">
      <c r="B380" s="25" t="s">
        <v>149</v>
      </c>
      <c r="C380" s="6" t="s">
        <v>37</v>
      </c>
      <c r="D380" s="6" t="s">
        <v>37</v>
      </c>
      <c r="E380" s="6" t="s">
        <v>37</v>
      </c>
      <c r="F380" s="6" t="s">
        <v>37</v>
      </c>
      <c r="G380" s="6" t="s">
        <v>37</v>
      </c>
      <c r="H380" s="30">
        <f>H379-C379</f>
        <v>1.1692399999999998</v>
      </c>
    </row>
    <row r="381">
      <c r="B381" s="25" t="s">
        <v>150</v>
      </c>
      <c r="C381" s="6" t="s">
        <v>37</v>
      </c>
      <c r="D381" s="6">
        <f>D379-C379</f>
        <v>-0.45000000000000007</v>
      </c>
      <c r="E381" s="6">
        <f>E379-D379</f>
        <v>1.92</v>
      </c>
      <c r="F381" s="6">
        <f>F379-E379</f>
        <v>2.3550000000000004</v>
      </c>
      <c r="H381" s="30">
        <f>H379-F379</f>
        <v>-2.6557600000000003</v>
      </c>
    </row>
    <row r="382">
      <c r="B382" s="1" t="s">
        <v>133</v>
      </c>
      <c r="C382" s="23">
        <v>0.016</v>
      </c>
      <c r="D382" s="23">
        <v>0.029</v>
      </c>
      <c r="E382" s="23">
        <v>0.086</v>
      </c>
      <c r="F382" s="23">
        <v>0.086</v>
      </c>
      <c r="G382" s="23">
        <v>0.883</v>
      </c>
      <c r="H382" s="30">
        <f>H369*H397</f>
        <v>0</v>
      </c>
    </row>
    <row r="383">
      <c r="B383" s="25" t="s">
        <v>149</v>
      </c>
      <c r="C383" s="6" t="s">
        <v>37</v>
      </c>
      <c r="D383" s="6" t="s">
        <v>37</v>
      </c>
      <c r="E383" s="6" t="s">
        <v>37</v>
      </c>
      <c r="F383" s="6" t="s">
        <v>37</v>
      </c>
      <c r="G383" s="6" t="s">
        <v>37</v>
      </c>
      <c r="H383" s="30">
        <f>H382-C382</f>
        <v>-0.016</v>
      </c>
    </row>
    <row r="384">
      <c r="B384" s="25" t="s">
        <v>150</v>
      </c>
      <c r="C384" s="6" t="s">
        <v>37</v>
      </c>
      <c r="D384" s="6">
        <f>D382-C382</f>
        <v>0.013000000000000001</v>
      </c>
      <c r="E384" s="6">
        <f>E382-D382</f>
        <v>0.056999999999999995</v>
      </c>
      <c r="F384" s="6">
        <f>F382-E382</f>
        <v>0</v>
      </c>
      <c r="H384" s="30">
        <f>H382-F382</f>
        <v>-0.086</v>
      </c>
    </row>
    <row r="385">
      <c r="B385" s="2" t="s">
        <v>154</v>
      </c>
      <c r="C385" s="42">
        <f>C369+C370+C373+C376+C379+C382</f>
        <v>97.448</v>
      </c>
      <c r="D385" s="42">
        <f>D369+D370+D373+D376+D379+D382</f>
        <v>100.99</v>
      </c>
      <c r="E385" s="42">
        <f>E369+E370+E373+E376+E379+E382</f>
        <v>108.639</v>
      </c>
      <c r="F385" s="42">
        <f>F369+F370+F373+F376+F379+F382</f>
        <v>120.312</v>
      </c>
      <c r="G385" s="42">
        <f>G369+G370+G373+G376+G379+G382</f>
        <v>100.99</v>
      </c>
      <c r="H385" s="41">
        <f>H369+H370+H373+H376+H379+H382</f>
        <v>127.71824</v>
      </c>
    </row>
    <row r="386">
      <c r="B386" s="25" t="s">
        <v>101</v>
      </c>
      <c r="C386" s="21">
        <f>IFERROR(C385/Inputs!C180-1,"n/a")</f>
        <v>0.28237926042900385</v>
      </c>
      <c r="D386" s="21">
        <f>IFERROR(D385/Inputs!D180-1,"n/a")</f>
        <v>0.32203167953920664</v>
      </c>
      <c r="E386" s="21">
        <f>IFERROR(E385/Inputs!E180-1,"n/a")</f>
        <v>0.3690080145168608</v>
      </c>
      <c r="F386" s="21">
        <f>IFERROR(F385/Inputs!F180-1,"n/a")</f>
        <v>0.38816199376947025</v>
      </c>
      <c r="G386" s="21">
        <f>IFERROR(G385/Inputs!G180-1,"n/a")</f>
        <v>0.32203167953920664</v>
      </c>
      <c r="H386" s="32">
        <f>IFERROR(H385/C385-1,"n/a")</f>
        <v>0.3106296691568837</v>
      </c>
    </row>
    <row r="387">
      <c r="B387" s="25" t="s">
        <v>102</v>
      </c>
      <c r="C387" s="21">
        <f>IFERROR(C385/Inputs!F180-1,"n/a")</f>
        <v>0.1243567555094034</v>
      </c>
      <c r="D387" s="16">
        <f>IFERROR(D385/C385-1,"n/a")</f>
        <v>0.03634759050981029</v>
      </c>
      <c r="E387" s="16">
        <f>IFERROR(E385/D385-1,"n/a")</f>
        <v>0.07574017229428653</v>
      </c>
      <c r="F387" s="16">
        <f>IFERROR(F385/E385-1,"n/a")</f>
        <v>0.10744760169000078</v>
      </c>
      <c r="H387" s="32">
        <f>IFERROR(H385/F385-1,"n/a")</f>
        <v>0.06155861426956588</v>
      </c>
    </row>
    <row r="388">
      <c r="B388" s="2" t="s">
        <v>155</v>
      </c>
      <c r="C388" s="29">
        <v>93.382</v>
      </c>
      <c r="D388" s="29">
        <v>98.845</v>
      </c>
      <c r="E388" s="29">
        <v>105.904</v>
      </c>
      <c r="F388" s="29">
        <v>114.686</v>
      </c>
      <c r="G388" s="29">
        <v>88.477</v>
      </c>
      <c r="H388" s="55">
        <f>H369*(1+H400)+$H$222*(H370+H373)</f>
        <v>124.01512</v>
      </c>
    </row>
    <row r="389">
      <c r="B389" s="25" t="s">
        <v>101</v>
      </c>
      <c r="C389" s="16" t="s">
        <v>37</v>
      </c>
      <c r="D389" s="16" t="s">
        <v>37</v>
      </c>
      <c r="E389" s="16" t="s">
        <v>37</v>
      </c>
      <c r="F389" s="16" t="s">
        <v>37</v>
      </c>
      <c r="G389" s="16" t="s">
        <v>37</v>
      </c>
      <c r="H389" s="32">
        <f>IFERROR(H388/C388-1,"n/a")</f>
        <v>0.32804095007603173</v>
      </c>
    </row>
    <row r="390">
      <c r="B390" s="25" t="s">
        <v>102</v>
      </c>
      <c r="C390" s="16" t="s">
        <v>37</v>
      </c>
      <c r="D390" s="16">
        <f>IFERROR(D388/C388-1,"n/a")</f>
        <v>0.058501638431389225</v>
      </c>
      <c r="E390" s="16">
        <f>IFERROR(E388/D388-1,"n/a")</f>
        <v>0.07141484141838239</v>
      </c>
      <c r="F390" s="16">
        <f>IFERROR(F388/E388-1,"n/a")</f>
        <v>0.08292415772775352</v>
      </c>
      <c r="H390" s="32">
        <f>IFERROR(H388/F388-1,"n/a")</f>
        <v>0.08134488952444063</v>
      </c>
    </row>
    <row r="391">
      <c r="B391" s="25" t="s">
        <v>156</v>
      </c>
      <c r="C391" s="16">
        <f>IFERROR((C370)/C369*365/C$7,"n/a")</f>
        <v>0.14547559207589006</v>
      </c>
      <c r="D391" s="16">
        <f>IFERROR((D370)/D369*365/D$7,"n/a")</f>
        <v>0.11652033816028527</v>
      </c>
      <c r="E391" s="16">
        <f>IFERROR((E370)/E369*365/E$7,"n/a")</f>
        <v>0.22291701048508653</v>
      </c>
      <c r="F391" s="16">
        <f>IFERROR((F370)/F369*365/F$7,"n/a")</f>
        <v>0.24348965406044354</v>
      </c>
      <c r="G391" s="16">
        <f>IFERROR((G370)/G369*365/G$7,"n/a")</f>
        <v>0.14586987825631628</v>
      </c>
      <c r="H391" s="32">
        <f>IFERROR((H370)/H369*365/H$7,"n/a")</f>
        <v>0.1648792848738208</v>
      </c>
    </row>
    <row r="392">
      <c r="B392" s="25" t="s">
        <v>157</v>
      </c>
      <c r="C392" s="40" t="s">
        <v>37</v>
      </c>
      <c r="D392" s="40">
        <f>(D391-C391)*10000</f>
        <v>-289.5525391560479</v>
      </c>
      <c r="E392" s="40">
        <f>(E391-D391)*10000</f>
        <v>1063.9667232480126</v>
      </c>
      <c r="F392" s="40">
        <f>(F391-E391)*10000</f>
        <v>205.72643575357014</v>
      </c>
      <c r="H392" s="37">
        <f>(H391-F391)*10000</f>
        <v>-786.1036918662273</v>
      </c>
    </row>
    <row r="393">
      <c r="B393" s="25" t="s">
        <v>158</v>
      </c>
      <c r="C393" s="40" t="s">
        <v>37</v>
      </c>
      <c r="D393" s="40" t="s">
        <v>37</v>
      </c>
      <c r="E393" s="40" t="s">
        <v>37</v>
      </c>
      <c r="F393" s="40" t="s">
        <v>37</v>
      </c>
      <c r="G393" s="40" t="s">
        <v>37</v>
      </c>
      <c r="H393" s="37">
        <f>(H391-C391)*10000</f>
        <v>194.0369279793075</v>
      </c>
    </row>
    <row r="394">
      <c r="B394" s="25" t="s">
        <v>159</v>
      </c>
      <c r="C394" s="16">
        <f>IFERROR(C379/C369,"n/a")</f>
        <v>0.014272527979693089</v>
      </c>
      <c r="D394" s="16">
        <f>IFERROR(D379/D369,"n/a")</f>
        <v>0.008076102126262212</v>
      </c>
      <c r="E394" s="16">
        <f>IFERROR(E379/E369,"n/a")</f>
        <v>0.026804634122190314</v>
      </c>
      <c r="F394" s="16">
        <f>IFERROR(F379/F369,"n/a")</f>
        <v>0.04659468514990013</v>
      </c>
      <c r="G394" s="16">
        <f>IFERROR(G379/G369,"n/a")</f>
        <v>0.08367587380547192</v>
      </c>
      <c r="H394" s="43">
        <v>0.02</v>
      </c>
    </row>
    <row r="395">
      <c r="B395" s="25" t="s">
        <v>157</v>
      </c>
      <c r="C395" s="40" t="s">
        <v>37</v>
      </c>
      <c r="D395" s="40">
        <f>(D394-C394)*10000</f>
        <v>-61.96425853430876</v>
      </c>
      <c r="E395" s="40">
        <f>(E394-D394)*10000</f>
        <v>187.28531995928103</v>
      </c>
      <c r="F395" s="40">
        <f>(F394-E394)*10000</f>
        <v>197.90051027709816</v>
      </c>
      <c r="H395" s="37">
        <f>(H394-F394)*10000</f>
        <v>-265.9468514990013</v>
      </c>
    </row>
    <row r="396">
      <c r="B396" s="25" t="s">
        <v>158</v>
      </c>
      <c r="C396" s="40" t="s">
        <v>37</v>
      </c>
      <c r="D396" s="40" t="s">
        <v>37</v>
      </c>
      <c r="E396" s="40" t="s">
        <v>37</v>
      </c>
      <c r="F396" s="40" t="s">
        <v>37</v>
      </c>
      <c r="G396" s="40" t="s">
        <v>37</v>
      </c>
      <c r="H396" s="37">
        <f>(H394-C394)*10000</f>
        <v>57.274720203069116</v>
      </c>
    </row>
    <row r="397">
      <c r="B397" s="25" t="s">
        <v>160</v>
      </c>
      <c r="C397" s="16">
        <f>IFERROR(C382/C369,"n/a")</f>
        <v>0.00018460828429675783</v>
      </c>
      <c r="D397" s="16">
        <f>IFERROR(D382/D369,"n/a")</f>
        <v>0.00029759461456366475</v>
      </c>
      <c r="E397" s="16">
        <f>IFERROR(E382/E369,"n/a")</f>
        <v>0.0008515694623230023</v>
      </c>
      <c r="F397" s="16">
        <f>IFERROR(F382/F369,"n/a")</f>
        <v>0.0007916125884811163</v>
      </c>
      <c r="G397" s="16">
        <f>IFERROR(G382/G369,"n/a")</f>
        <v>0.011559104594842258</v>
      </c>
      <c r="H397" s="43">
        <v>0</v>
      </c>
    </row>
    <row r="398">
      <c r="B398" s="25" t="s">
        <v>157</v>
      </c>
      <c r="C398" s="40" t="s">
        <v>37</v>
      </c>
      <c r="D398" s="40">
        <f>(D397-C397)*10000</f>
        <v>1.1298633026690692</v>
      </c>
      <c r="E398" s="40">
        <f>(E397-D397)*10000</f>
        <v>5.539748477593376</v>
      </c>
      <c r="F398" s="40">
        <f>(F397-E397)*10000</f>
        <v>-0.5995687384188602</v>
      </c>
      <c r="H398" s="37">
        <f>(H397-F397)*10000</f>
        <v>-7.916125884811163</v>
      </c>
    </row>
    <row r="399">
      <c r="B399" s="25" t="s">
        <v>158</v>
      </c>
      <c r="C399" s="40" t="s">
        <v>37</v>
      </c>
      <c r="D399" s="40" t="s">
        <v>37</v>
      </c>
      <c r="E399" s="40" t="s">
        <v>37</v>
      </c>
      <c r="F399" s="40" t="s">
        <v>37</v>
      </c>
      <c r="G399" s="40" t="s">
        <v>37</v>
      </c>
      <c r="H399" s="37">
        <f>(H397-C397)*10000</f>
        <v>-1.8460828429675782</v>
      </c>
    </row>
    <row r="400">
      <c r="B400" s="25" t="s">
        <v>161</v>
      </c>
      <c r="C400" s="16">
        <f>IFERROR((C388-$H$222*(C370+C373+C376))/C369-1,"n/a")</f>
        <v>0.022493365639782992</v>
      </c>
      <c r="D400" s="16">
        <f>IFERROR((D388-$H$222*(D370+D373+D376))/D369-1,"n/a")</f>
        <v>0.000348904030867736</v>
      </c>
      <c r="E400" s="16">
        <f>IFERROR((E388-$H$222*(E370+E373+E376))/E369-1,"n/a")</f>
        <v>0.02461629864343018</v>
      </c>
      <c r="F400" s="16">
        <f>IFERROR((F388-$H$222*(F370+F373+F376))/F369-1,"n/a")</f>
        <v>0.025630758751461258</v>
      </c>
      <c r="G400" s="16">
        <f>IFERROR((G388-$H$222*(G370+G373+G376))/G369-1,"n/a")</f>
        <v>0.04482916612122012</v>
      </c>
      <c r="H400" s="43">
        <v>0.01</v>
      </c>
    </row>
    <row r="401">
      <c r="B401" s="25" t="s">
        <v>157</v>
      </c>
      <c r="C401" s="40" t="s">
        <v>37</v>
      </c>
      <c r="D401" s="40">
        <f>(D400-C400)*10000</f>
        <v>-221.44461608915256</v>
      </c>
      <c r="E401" s="40">
        <f>(E400-D400)*10000</f>
        <v>242.67394612562444</v>
      </c>
      <c r="F401" s="40">
        <f>(F400-E400)*10000</f>
        <v>10.144601080310789</v>
      </c>
      <c r="H401" s="37">
        <f>(H400-F400)*10000</f>
        <v>-156.30758751461255</v>
      </c>
    </row>
    <row r="402">
      <c r="B402" s="25" t="s">
        <v>158</v>
      </c>
      <c r="C402" s="40" t="s">
        <v>37</v>
      </c>
      <c r="D402" s="40" t="s">
        <v>37</v>
      </c>
      <c r="E402" s="40" t="s">
        <v>37</v>
      </c>
      <c r="F402" s="40" t="s">
        <v>37</v>
      </c>
      <c r="G402" s="40" t="s">
        <v>37</v>
      </c>
      <c r="H402" s="37">
        <f>(H400-C400)*10000</f>
        <v>-124.93365639782992</v>
      </c>
    </row>
    <row r="403">
      <c r="H403" s="39"/>
    </row>
    <row r="404">
      <c r="B404" s="2" t="s">
        <v>166</v>
      </c>
      <c r="H404" s="39"/>
    </row>
    <row r="405">
      <c r="B405" s="1" t="s">
        <v>147</v>
      </c>
      <c r="C405" s="6">
        <f>C333+C369</f>
        <v>301.914</v>
      </c>
      <c r="D405" s="6">
        <f>D333+D369</f>
        <v>418.334</v>
      </c>
      <c r="E405" s="6">
        <f>E333+E369</f>
        <v>423.61400000000003</v>
      </c>
      <c r="F405" s="6">
        <f>F333+F369</f>
        <v>429.07000000000005</v>
      </c>
      <c r="G405" s="6">
        <f>G333+G369</f>
        <v>288.364</v>
      </c>
      <c r="H405" s="30">
        <f>H333+H369</f>
        <v>449.3950000000001</v>
      </c>
    </row>
    <row r="406">
      <c r="B406" s="1" t="s">
        <v>148</v>
      </c>
      <c r="C406" s="6">
        <f>C334+C370</f>
        <v>16.341</v>
      </c>
      <c r="D406" s="6">
        <f>D334+D370</f>
        <v>15.57</v>
      </c>
      <c r="E406" s="6">
        <f>E334+E370</f>
        <v>14.627</v>
      </c>
      <c r="F406" s="6">
        <f>F334+F370</f>
        <v>22.027</v>
      </c>
      <c r="G406" s="6">
        <f>G334+G370</f>
        <v>50.977000000000004</v>
      </c>
      <c r="H406" s="30">
        <f>H334+H370</f>
        <v>14</v>
      </c>
    </row>
    <row r="407">
      <c r="B407" s="25" t="s">
        <v>149</v>
      </c>
      <c r="C407" s="6" t="s">
        <v>37</v>
      </c>
      <c r="D407" s="6" t="s">
        <v>37</v>
      </c>
      <c r="E407" s="6" t="s">
        <v>37</v>
      </c>
      <c r="F407" s="6" t="s">
        <v>37</v>
      </c>
      <c r="G407" s="6" t="s">
        <v>37</v>
      </c>
      <c r="H407" s="30">
        <f>H406-C406</f>
        <v>-2.341000000000001</v>
      </c>
    </row>
    <row r="408">
      <c r="B408" s="25" t="s">
        <v>150</v>
      </c>
      <c r="C408" s="6" t="s">
        <v>37</v>
      </c>
      <c r="D408" s="6">
        <f>D406-C406</f>
        <v>-0.7710000000000008</v>
      </c>
      <c r="E408" s="6">
        <f>E406-D406</f>
        <v>-0.9429999999999996</v>
      </c>
      <c r="F408" s="6">
        <f>F406-E406</f>
        <v>7.4</v>
      </c>
      <c r="H408" s="30">
        <f>H406-F406</f>
        <v>-8.027000000000001</v>
      </c>
    </row>
    <row r="409">
      <c r="B409" s="1" t="s">
        <v>151</v>
      </c>
      <c r="C409" s="6">
        <f>C337+C373</f>
        <v>-6.026000000000001</v>
      </c>
      <c r="D409" s="6">
        <f>D337+D373</f>
        <v>-10.841999999999999</v>
      </c>
      <c r="E409" s="6">
        <f>E337+E373</f>
        <v>-9.166</v>
      </c>
      <c r="F409" s="6">
        <f>F337+F373</f>
        <v>-6.279</v>
      </c>
      <c r="G409" s="6">
        <f>G337+G373</f>
        <v>-30.373</v>
      </c>
      <c r="H409" s="30">
        <f>H337+H373</f>
        <v>-7</v>
      </c>
    </row>
    <row r="410">
      <c r="B410" s="25" t="s">
        <v>149</v>
      </c>
      <c r="C410" s="6" t="s">
        <v>37</v>
      </c>
      <c r="D410" s="6" t="s">
        <v>37</v>
      </c>
      <c r="E410" s="6" t="s">
        <v>37</v>
      </c>
      <c r="F410" s="6" t="s">
        <v>37</v>
      </c>
      <c r="G410" s="6" t="s">
        <v>37</v>
      </c>
      <c r="H410" s="30">
        <f>H409-C409</f>
        <v>-0.9739999999999993</v>
      </c>
    </row>
    <row r="411">
      <c r="B411" s="25" t="s">
        <v>150</v>
      </c>
      <c r="C411" s="6" t="s">
        <v>37</v>
      </c>
      <c r="D411" s="6">
        <f>D409-C409</f>
        <v>-4.815999999999998</v>
      </c>
      <c r="E411" s="6">
        <f>E409-D409</f>
        <v>1.6759999999999984</v>
      </c>
      <c r="F411" s="6">
        <f>F409-E409</f>
        <v>2.8870000000000005</v>
      </c>
      <c r="H411" s="30">
        <f>H409-F409</f>
        <v>-0.7210000000000001</v>
      </c>
    </row>
    <row r="412">
      <c r="B412" s="1" t="s">
        <v>152</v>
      </c>
      <c r="C412" s="6">
        <f>C340+C376</f>
        <v>107.39399999999999</v>
      </c>
      <c r="D412" s="6">
        <f>D340+D376</f>
        <v>0</v>
      </c>
      <c r="E412" s="6">
        <f>E340+E376</f>
        <v>0</v>
      </c>
      <c r="F412" s="6">
        <f>F340+F376</f>
        <v>0</v>
      </c>
      <c r="G412" s="6">
        <f>G340+G376</f>
        <v>107.39399999999999</v>
      </c>
      <c r="H412" s="30">
        <f>H340+H376</f>
        <v>0</v>
      </c>
    </row>
    <row r="413">
      <c r="B413" s="25" t="s">
        <v>149</v>
      </c>
      <c r="C413" s="6" t="s">
        <v>37</v>
      </c>
      <c r="D413" s="6" t="s">
        <v>37</v>
      </c>
      <c r="E413" s="6" t="s">
        <v>37</v>
      </c>
      <c r="F413" s="6" t="s">
        <v>37</v>
      </c>
      <c r="G413" s="6" t="s">
        <v>37</v>
      </c>
      <c r="H413" s="30">
        <f>H412-C412</f>
        <v>-107.39399999999999</v>
      </c>
    </row>
    <row r="414">
      <c r="B414" s="25" t="s">
        <v>150</v>
      </c>
      <c r="C414" s="6" t="s">
        <v>37</v>
      </c>
      <c r="D414" s="6">
        <f>D412-C412</f>
        <v>-107.39399999999999</v>
      </c>
      <c r="E414" s="6">
        <f>E412-D412</f>
        <v>0</v>
      </c>
      <c r="F414" s="6">
        <f>F412-E412</f>
        <v>0</v>
      </c>
      <c r="H414" s="30">
        <f>H412-F412</f>
        <v>0</v>
      </c>
    </row>
    <row r="415">
      <c r="B415" s="1" t="s">
        <v>153</v>
      </c>
      <c r="C415" s="6">
        <f>C343+C379</f>
        <v>-1.1269999999999998</v>
      </c>
      <c r="D415" s="6">
        <f>D343+D379</f>
        <v>0.47000000000000003</v>
      </c>
      <c r="E415" s="6">
        <f>E343+E379</f>
        <v>0.7179999999999997</v>
      </c>
      <c r="F415" s="6">
        <f>F343+F379</f>
        <v>4.593</v>
      </c>
      <c r="G415" s="6">
        <f>G343+G379</f>
        <v>1.2310000000000008</v>
      </c>
      <c r="H415" s="30">
        <f>H343+H379</f>
        <v>2.40624</v>
      </c>
    </row>
    <row r="416">
      <c r="B416" s="25" t="s">
        <v>149</v>
      </c>
      <c r="C416" s="6" t="s">
        <v>37</v>
      </c>
      <c r="D416" s="6" t="s">
        <v>37</v>
      </c>
      <c r="E416" s="6" t="s">
        <v>37</v>
      </c>
      <c r="F416" s="6" t="s">
        <v>37</v>
      </c>
      <c r="G416" s="6" t="s">
        <v>37</v>
      </c>
      <c r="H416" s="30">
        <f>H415-C415</f>
        <v>3.5332399999999997</v>
      </c>
    </row>
    <row r="417">
      <c r="B417" s="25" t="s">
        <v>150</v>
      </c>
      <c r="C417" s="6" t="s">
        <v>37</v>
      </c>
      <c r="D417" s="6">
        <f>D415-C415</f>
        <v>1.5969999999999998</v>
      </c>
      <c r="E417" s="6">
        <f>E415-D415</f>
        <v>0.24799999999999972</v>
      </c>
      <c r="F417" s="6">
        <f>F415-E415</f>
        <v>3.875</v>
      </c>
      <c r="H417" s="30">
        <f>H415-F415</f>
        <v>-2.18676</v>
      </c>
    </row>
    <row r="418">
      <c r="B418" s="1" t="s">
        <v>133</v>
      </c>
      <c r="C418" s="6">
        <f>C346+C382</f>
        <v>-0.16199999999999998</v>
      </c>
      <c r="D418" s="6">
        <f>D346+D382</f>
        <v>0.082</v>
      </c>
      <c r="E418" s="6">
        <f>E346+E382</f>
        <v>-0.7230000000000001</v>
      </c>
      <c r="F418" s="6">
        <f>F346+F382</f>
        <v>-0.016</v>
      </c>
      <c r="G418" s="6">
        <f>G346+G382</f>
        <v>6.021</v>
      </c>
      <c r="H418" s="30">
        <f>H346+H382</f>
        <v>0</v>
      </c>
    </row>
    <row r="419">
      <c r="B419" s="25" t="s">
        <v>149</v>
      </c>
      <c r="C419" s="6" t="s">
        <v>37</v>
      </c>
      <c r="D419" s="6" t="s">
        <v>37</v>
      </c>
      <c r="E419" s="6" t="s">
        <v>37</v>
      </c>
      <c r="F419" s="6" t="s">
        <v>37</v>
      </c>
      <c r="G419" s="6" t="s">
        <v>37</v>
      </c>
      <c r="H419" s="30">
        <f>H418-C418</f>
        <v>0.16199999999999998</v>
      </c>
    </row>
    <row r="420">
      <c r="B420" s="25" t="s">
        <v>150</v>
      </c>
      <c r="C420" s="6" t="s">
        <v>37</v>
      </c>
      <c r="D420" s="6">
        <f>D418-C418</f>
        <v>0.244</v>
      </c>
      <c r="E420" s="6">
        <f>E418-D418</f>
        <v>-0.805</v>
      </c>
      <c r="F420" s="6">
        <f>F418-E418</f>
        <v>0.7070000000000001</v>
      </c>
      <c r="H420" s="30">
        <f>H418-F418</f>
        <v>0.016</v>
      </c>
    </row>
    <row r="421">
      <c r="B421" s="2" t="s">
        <v>154</v>
      </c>
      <c r="C421" s="42">
        <f>C405+C406+C409+C412+C415+C418</f>
        <v>418.334</v>
      </c>
      <c r="D421" s="42">
        <f>D405+D406+D409+D412+D415+D418</f>
        <v>423.61400000000003</v>
      </c>
      <c r="E421" s="42">
        <f>E405+E406+E409+E412+E415+E418</f>
        <v>429.07000000000005</v>
      </c>
      <c r="F421" s="42">
        <f>F405+F406+F409+F412+F415+F418</f>
        <v>449.39500000000004</v>
      </c>
      <c r="G421" s="42">
        <f>G405+G406+G409+G412+G415+G418</f>
        <v>423.61400000000003</v>
      </c>
      <c r="H421" s="41">
        <f>H405+H406+H409+H412+H415+H418</f>
        <v>458.8012400000001</v>
      </c>
    </row>
    <row r="422">
      <c r="B422" s="25" t="s">
        <v>101</v>
      </c>
      <c r="C422" s="21">
        <f>IFERROR(C421/(Inputs!C179+Inputs!C180)-1,"n/a")</f>
        <v>0.924268280902856</v>
      </c>
      <c r="D422" s="21">
        <f>IFERROR(D421/(Inputs!D179+Inputs!D180)-1,"n/a")</f>
        <v>0.4690252597411606</v>
      </c>
      <c r="E422" s="21">
        <f>IFERROR(E421/(Inputs!E179+Inputs!E180)-1,"n/a")</f>
        <v>0.47087861232045514</v>
      </c>
      <c r="F422" s="21">
        <f>IFERROR(F421/(Inputs!F179+Inputs!F180)-1,"n/a")</f>
        <v>0.48848678762826525</v>
      </c>
      <c r="G422" s="21">
        <f>IFERROR(G421/(Inputs!G179+Inputs!G180)-1,"n/a")</f>
        <v>0.4690252597411606</v>
      </c>
      <c r="H422" s="32">
        <f>IFERROR(H421/C421-1,"n/a")</f>
        <v>0.09673428408879059</v>
      </c>
    </row>
    <row r="423">
      <c r="B423" s="25" t="s">
        <v>102</v>
      </c>
      <c r="C423" s="21">
        <f>IFERROR(C421/(Inputs!F179+Inputs!F180)-1,"n/a")</f>
        <v>0.3856064972144386</v>
      </c>
      <c r="D423" s="16">
        <f>IFERROR(D421/C421-1,"n/a")</f>
        <v>0.012621493830288877</v>
      </c>
      <c r="E423" s="16">
        <f>IFERROR(E421/D421-1,"n/a")</f>
        <v>0.012879649869928844</v>
      </c>
      <c r="F423" s="16">
        <f>IFERROR(F421/E421-1,"n/a")</f>
        <v>0.04736989302444816</v>
      </c>
      <c r="H423" s="32">
        <f>IFERROR(H421/F421-1,"n/a")</f>
        <v>0.020930895982376407</v>
      </c>
    </row>
    <row r="424">
      <c r="B424" s="2" t="s">
        <v>155</v>
      </c>
      <c r="C424" s="58">
        <f>C352+C388</f>
        <v>385.283</v>
      </c>
      <c r="D424" s="58">
        <f>D352+D388</f>
        <v>419.24199999999996</v>
      </c>
      <c r="E424" s="58">
        <f>E352+E388</f>
        <v>428.303</v>
      </c>
      <c r="F424" s="58">
        <f>F352+F388</f>
        <v>439.38200000000006</v>
      </c>
      <c r="G424" s="58">
        <f>G352+G388</f>
        <v>350.01200000000006</v>
      </c>
      <c r="H424" s="55">
        <f>H352+H388</f>
        <v>454.0981200000001</v>
      </c>
    </row>
    <row r="425">
      <c r="B425" s="25" t="s">
        <v>101</v>
      </c>
      <c r="C425" s="16" t="s">
        <v>37</v>
      </c>
      <c r="D425" s="16" t="s">
        <v>37</v>
      </c>
      <c r="E425" s="16" t="s">
        <v>37</v>
      </c>
      <c r="F425" s="16" t="s">
        <v>37</v>
      </c>
      <c r="G425" s="16" t="s">
        <v>37</v>
      </c>
      <c r="H425" s="32">
        <f>IFERROR(H424/C424-1,"n/a")</f>
        <v>0.1786092820082903</v>
      </c>
    </row>
    <row r="426">
      <c r="B426" s="25" t="s">
        <v>102</v>
      </c>
      <c r="C426" s="16" t="s">
        <v>37</v>
      </c>
      <c r="D426" s="16">
        <f>IFERROR(D424/C424-1,"n/a")</f>
        <v>0.08814040588346739</v>
      </c>
      <c r="E426" s="16">
        <f>IFERROR(E424/D424-1,"n/a")</f>
        <v>0.021612815509896466</v>
      </c>
      <c r="F426" s="16">
        <f>IFERROR(F424/E424-1,"n/a")</f>
        <v>0.025867201490533676</v>
      </c>
      <c r="H426" s="32">
        <f>IFERROR(H424/F424-1,"n/a")</f>
        <v>0.03349276938973378</v>
      </c>
    </row>
    <row r="427">
      <c r="B427" s="25" t="s">
        <v>156</v>
      </c>
      <c r="C427" s="16">
        <f>IFERROR((C406)/C405*365/C$7,"n/a")</f>
        <v>0.21473380268668504</v>
      </c>
      <c r="D427" s="16">
        <f>IFERROR((D406)/D405*365/D$7,"n/a")</f>
        <v>0.1476625916341862</v>
      </c>
      <c r="E427" s="16">
        <f>IFERROR((E406)/E405*365/E$7,"n/a")</f>
        <v>0.14003458599364307</v>
      </c>
      <c r="F427" s="16">
        <f>IFERROR((F406)/F405*365/F$7,"n/a")</f>
        <v>0.20591058555726324</v>
      </c>
      <c r="G427" s="16">
        <f>IFERROR((G406)/G405*365/G$7,"n/a")</f>
        <v>0.17678004189149826</v>
      </c>
      <c r="H427" s="32">
        <f>IFERROR((H406)/H405*365/H$7,"n/a")</f>
        <v>0.12359611980745125</v>
      </c>
    </row>
    <row r="428">
      <c r="B428" s="25" t="s">
        <v>157</v>
      </c>
      <c r="C428" s="40" t="s">
        <v>37</v>
      </c>
      <c r="D428" s="40">
        <f>(D427-C427)*10000</f>
        <v>-670.7121105249882</v>
      </c>
      <c r="E428" s="40">
        <f>(E427-D427)*10000</f>
        <v>-76.2800564054314</v>
      </c>
      <c r="F428" s="40">
        <f>(F427-E427)*10000</f>
        <v>658.7599956362017</v>
      </c>
      <c r="H428" s="37">
        <f>(H427-F427)*10000</f>
        <v>-823.14465749812</v>
      </c>
    </row>
    <row r="429">
      <c r="B429" s="25" t="s">
        <v>158</v>
      </c>
      <c r="C429" s="40" t="s">
        <v>37</v>
      </c>
      <c r="D429" s="40" t="s">
        <v>37</v>
      </c>
      <c r="E429" s="40" t="s">
        <v>37</v>
      </c>
      <c r="F429" s="40" t="s">
        <v>37</v>
      </c>
      <c r="G429" s="40" t="s">
        <v>37</v>
      </c>
      <c r="H429" s="37">
        <f>(H427-C427)*10000</f>
        <v>-911.376828792338</v>
      </c>
    </row>
    <row r="430">
      <c r="B430" s="25" t="s">
        <v>159</v>
      </c>
      <c r="C430" s="16">
        <f>IFERROR(C415/C405,"n/a")</f>
        <v>-0.0037328510767967032</v>
      </c>
      <c r="D430" s="16">
        <f>IFERROR(D415/D405,"n/a")</f>
        <v>0.0011235041856507003</v>
      </c>
      <c r="E430" s="16">
        <f>IFERROR(E415/E405,"n/a")</f>
        <v>0.00169493926074209</v>
      </c>
      <c r="F430" s="16">
        <f>IFERROR(F415/F405,"n/a")</f>
        <v>0.010704547043605937</v>
      </c>
      <c r="G430" s="16">
        <f>IFERROR(G415/G405,"n/a")</f>
        <v>0.004268910127477774</v>
      </c>
      <c r="H430" s="32">
        <f>IFERROR(H415/H405,"n/a")</f>
        <v>0.0053543986915742265</v>
      </c>
    </row>
    <row r="431">
      <c r="B431" s="25" t="s">
        <v>157</v>
      </c>
      <c r="C431" s="40" t="s">
        <v>37</v>
      </c>
      <c r="D431" s="40">
        <f>(D430-C430)*10000</f>
        <v>48.563552624474035</v>
      </c>
      <c r="E431" s="40">
        <f>(E430-D430)*10000</f>
        <v>5.714350750913896</v>
      </c>
      <c r="F431" s="40">
        <f>(F430-E430)*10000</f>
        <v>90.09607782863846</v>
      </c>
      <c r="H431" s="37">
        <f>(H430-F430)*10000</f>
        <v>-53.5014835203171</v>
      </c>
    </row>
    <row r="432">
      <c r="B432" s="25" t="s">
        <v>158</v>
      </c>
      <c r="C432" s="40" t="s">
        <v>37</v>
      </c>
      <c r="D432" s="40" t="s">
        <v>37</v>
      </c>
      <c r="E432" s="40" t="s">
        <v>37</v>
      </c>
      <c r="F432" s="40" t="s">
        <v>37</v>
      </c>
      <c r="G432" s="40" t="s">
        <v>37</v>
      </c>
      <c r="H432" s="37">
        <f>(H430-C430)*10000</f>
        <v>90.8724976837093</v>
      </c>
    </row>
    <row r="433">
      <c r="B433" s="25" t="s">
        <v>160</v>
      </c>
      <c r="C433" s="16">
        <f>IFERROR(C418/C405,"n/a")</f>
        <v>-0.0005365766410302271</v>
      </c>
      <c r="D433" s="16">
        <f>IFERROR(D418/D405,"n/a")</f>
        <v>0.00019601562387948387</v>
      </c>
      <c r="E433" s="16">
        <f>IFERROR(E418/E405,"n/a")</f>
        <v>-0.0017067424589366736</v>
      </c>
      <c r="F433" s="16">
        <f>IFERROR(F418/F405,"n/a")</f>
        <v>-0.00003728995268837252</v>
      </c>
      <c r="G433" s="16">
        <f>IFERROR(G418/G405,"n/a")</f>
        <v>0.02087986017672109</v>
      </c>
      <c r="H433" s="32">
        <f>IFERROR(H418/H405,"n/a")</f>
        <v>0</v>
      </c>
    </row>
    <row r="434">
      <c r="B434" s="25" t="s">
        <v>157</v>
      </c>
      <c r="C434" s="40" t="s">
        <v>37</v>
      </c>
      <c r="D434" s="40">
        <f>(D433-C433)*10000</f>
        <v>7.3259226490971106</v>
      </c>
      <c r="E434" s="40">
        <f>(E433-D433)*10000</f>
        <v>-19.027580828161575</v>
      </c>
      <c r="F434" s="40">
        <f>(F433-E433)*10000</f>
        <v>16.694525062483013</v>
      </c>
      <c r="H434" s="37">
        <f>(H433-F433)*10000</f>
        <v>0.37289952688372524</v>
      </c>
    </row>
    <row r="435">
      <c r="B435" s="25" t="s">
        <v>158</v>
      </c>
      <c r="C435" s="40" t="s">
        <v>37</v>
      </c>
      <c r="D435" s="40" t="s">
        <v>37</v>
      </c>
      <c r="E435" s="40" t="s">
        <v>37</v>
      </c>
      <c r="F435" s="40" t="s">
        <v>37</v>
      </c>
      <c r="G435" s="40" t="s">
        <v>37</v>
      </c>
      <c r="H435" s="37">
        <f>(H433-C433)*10000</f>
        <v>5.365766410302271</v>
      </c>
    </row>
    <row r="436">
      <c r="B436" s="25" t="s">
        <v>161</v>
      </c>
      <c r="C436" s="16">
        <f>IFERROR((C424-$H$222*(C406+C409+C412))/C405-1,"n/a")</f>
        <v>0.08119696337367621</v>
      </c>
      <c r="D436" s="16">
        <f>IFERROR((D424-$H$222*(D406+D409+D412))/D405-1,"n/a")</f>
        <v>-0.0034804725410796378</v>
      </c>
      <c r="E436" s="16">
        <f>IFERROR((E424-$H$222*(E406+E409+E412))/E405-1,"n/a")</f>
        <v>0.004623312732817908</v>
      </c>
      <c r="F436" s="16">
        <f>IFERROR((F424-$H$222*(F406+F409+F412))/F405-1,"n/a")</f>
        <v>0.005682056540890823</v>
      </c>
      <c r="G436" s="16">
        <f>IFERROR((G424-$H$222*(G406+G409+G412))/G405-1,"n/a")</f>
        <v>-0.008152890097237964</v>
      </c>
      <c r="H436" s="32">
        <f>IFERROR((H424-$H$222*(H406+H409+H412))/H405-1,"n/a")</f>
        <v>0.002677199345787251</v>
      </c>
    </row>
    <row r="437">
      <c r="B437" s="25" t="s">
        <v>157</v>
      </c>
      <c r="C437" s="40" t="s">
        <v>37</v>
      </c>
      <c r="D437" s="40">
        <f>(D436-C436)*10000</f>
        <v>-846.7743591475585</v>
      </c>
      <c r="E437" s="40">
        <f>(E436-D436)*10000</f>
        <v>81.03785273897546</v>
      </c>
      <c r="F437" s="40">
        <f>(F436-E436)*10000</f>
        <v>10.58743808072915</v>
      </c>
      <c r="H437" s="37">
        <f>(H436-F436)*10000</f>
        <v>-30.04857195103572</v>
      </c>
    </row>
    <row r="438">
      <c r="B438" s="25" t="s">
        <v>158</v>
      </c>
      <c r="C438" s="40" t="s">
        <v>37</v>
      </c>
      <c r="D438" s="40" t="s">
        <v>37</v>
      </c>
      <c r="E438" s="40" t="s">
        <v>37</v>
      </c>
      <c r="F438" s="40" t="s">
        <v>37</v>
      </c>
      <c r="G438" s="40" t="s">
        <v>37</v>
      </c>
      <c r="H438" s="37">
        <f>(H436-C436)*10000</f>
        <v>-785.1976402788896</v>
      </c>
    </row>
    <row r="439">
      <c r="H439" s="39"/>
    </row>
    <row r="440">
      <c r="B440" s="2" t="s">
        <v>167</v>
      </c>
      <c r="H440" s="39"/>
    </row>
    <row r="441">
      <c r="B441" s="1" t="s">
        <v>147</v>
      </c>
      <c r="C441" s="4">
        <f>Inputs!F181</f>
        <v>79.551</v>
      </c>
      <c r="D441" s="6">
        <f>C457</f>
        <v>103.965</v>
      </c>
      <c r="E441" s="6">
        <f>D457</f>
        <v>78.435</v>
      </c>
      <c r="F441" s="6">
        <f>E457</f>
        <v>60.671</v>
      </c>
      <c r="G441" s="4">
        <f>Inputs!G181</f>
        <v>55.306</v>
      </c>
      <c r="H441" s="30">
        <f>F457</f>
        <v>48.839</v>
      </c>
    </row>
    <row r="442">
      <c r="B442" s="1" t="s">
        <v>148</v>
      </c>
      <c r="C442" s="23">
        <v>16.691</v>
      </c>
      <c r="D442" s="23">
        <v>0.579</v>
      </c>
      <c r="E442" s="23">
        <v>0.935</v>
      </c>
      <c r="F442" s="23">
        <v>-3.116</v>
      </c>
      <c r="G442" s="23">
        <v>34.763</v>
      </c>
      <c r="H442" s="35">
        <v>8</v>
      </c>
    </row>
    <row r="443">
      <c r="B443" s="25" t="s">
        <v>149</v>
      </c>
      <c r="C443" s="6" t="s">
        <v>37</v>
      </c>
      <c r="D443" s="6" t="s">
        <v>37</v>
      </c>
      <c r="E443" s="6" t="s">
        <v>37</v>
      </c>
      <c r="F443" s="6" t="s">
        <v>37</v>
      </c>
      <c r="G443" s="6" t="s">
        <v>37</v>
      </c>
      <c r="H443" s="30">
        <f>H442-C442</f>
        <v>-8.690999999999999</v>
      </c>
    </row>
    <row r="444">
      <c r="B444" s="25" t="s">
        <v>150</v>
      </c>
      <c r="C444" s="6" t="s">
        <v>37</v>
      </c>
      <c r="D444" s="6">
        <f>D442-C442</f>
        <v>-16.112</v>
      </c>
      <c r="E444" s="6">
        <f>E442-D442</f>
        <v>0.3560000000000001</v>
      </c>
      <c r="F444" s="6">
        <f>F442-E442</f>
        <v>-4.051</v>
      </c>
      <c r="H444" s="30">
        <f>H442-F442</f>
        <v>11.116</v>
      </c>
    </row>
    <row r="445">
      <c r="B445" s="1" t="s">
        <v>151</v>
      </c>
      <c r="C445" s="23">
        <v>0</v>
      </c>
      <c r="D445" s="23">
        <v>0</v>
      </c>
      <c r="E445" s="23">
        <v>0</v>
      </c>
      <c r="F445" s="23">
        <v>0</v>
      </c>
      <c r="G445" s="23">
        <v>0</v>
      </c>
      <c r="H445" s="35">
        <v>0</v>
      </c>
    </row>
    <row r="446">
      <c r="B446" s="25" t="s">
        <v>149</v>
      </c>
      <c r="C446" s="6" t="s">
        <v>37</v>
      </c>
      <c r="D446" s="6" t="s">
        <v>37</v>
      </c>
      <c r="E446" s="6" t="s">
        <v>37</v>
      </c>
      <c r="F446" s="6" t="s">
        <v>37</v>
      </c>
      <c r="G446" s="6" t="s">
        <v>37</v>
      </c>
      <c r="H446" s="30">
        <f>H445-C445</f>
        <v>0</v>
      </c>
    </row>
    <row r="447">
      <c r="B447" s="25" t="s">
        <v>150</v>
      </c>
      <c r="C447" s="6" t="s">
        <v>37</v>
      </c>
      <c r="D447" s="6">
        <f>D445-C445</f>
        <v>0</v>
      </c>
      <c r="E447" s="6">
        <f>E445-D445</f>
        <v>0</v>
      </c>
      <c r="F447" s="6">
        <f>F445-E445</f>
        <v>0</v>
      </c>
      <c r="H447" s="30">
        <f>H445-F445</f>
        <v>0</v>
      </c>
    </row>
    <row r="448">
      <c r="B448" s="1" t="s">
        <v>152</v>
      </c>
      <c r="C448" s="23">
        <v>0</v>
      </c>
      <c r="D448" s="23">
        <v>0</v>
      </c>
      <c r="E448" s="23">
        <v>0</v>
      </c>
      <c r="F448" s="23">
        <v>0</v>
      </c>
      <c r="G448" s="23">
        <v>0</v>
      </c>
      <c r="H448" s="35">
        <v>0</v>
      </c>
    </row>
    <row r="449">
      <c r="B449" s="25" t="s">
        <v>149</v>
      </c>
      <c r="C449" s="6" t="s">
        <v>37</v>
      </c>
      <c r="D449" s="6" t="s">
        <v>37</v>
      </c>
      <c r="E449" s="6" t="s">
        <v>37</v>
      </c>
      <c r="F449" s="6" t="s">
        <v>37</v>
      </c>
      <c r="G449" s="6" t="s">
        <v>37</v>
      </c>
      <c r="H449" s="30">
        <f>H448-C448</f>
        <v>0</v>
      </c>
    </row>
    <row r="450">
      <c r="B450" s="25" t="s">
        <v>150</v>
      </c>
      <c r="C450" s="6" t="s">
        <v>37</v>
      </c>
      <c r="D450" s="6">
        <f>D448-C448</f>
        <v>0</v>
      </c>
      <c r="E450" s="6">
        <f>E448-D448</f>
        <v>0</v>
      </c>
      <c r="F450" s="6">
        <f>F448-E448</f>
        <v>0</v>
      </c>
      <c r="H450" s="30">
        <f>H448-F448</f>
        <v>0</v>
      </c>
    </row>
    <row r="451">
      <c r="B451" s="1" t="s">
        <v>153</v>
      </c>
      <c r="C451" s="23">
        <v>7.728</v>
      </c>
      <c r="D451" s="23">
        <v>-26.113</v>
      </c>
      <c r="E451" s="23">
        <v>-18.694</v>
      </c>
      <c r="F451" s="23">
        <v>-8.71</v>
      </c>
      <c r="G451" s="23">
        <v>-11.64</v>
      </c>
      <c r="H451" s="30">
        <f>H441*H466</f>
        <v>21.97755</v>
      </c>
    </row>
    <row r="452">
      <c r="B452" s="25" t="s">
        <v>149</v>
      </c>
      <c r="C452" s="6" t="s">
        <v>37</v>
      </c>
      <c r="D452" s="6" t="s">
        <v>37</v>
      </c>
      <c r="E452" s="6" t="s">
        <v>37</v>
      </c>
      <c r="F452" s="6" t="s">
        <v>37</v>
      </c>
      <c r="G452" s="6" t="s">
        <v>37</v>
      </c>
      <c r="H452" s="30">
        <f>H451-C451</f>
        <v>14.249550000000001</v>
      </c>
    </row>
    <row r="453">
      <c r="B453" s="25" t="s">
        <v>150</v>
      </c>
      <c r="C453" s="6" t="s">
        <v>37</v>
      </c>
      <c r="D453" s="6">
        <f>D451-C451</f>
        <v>-33.841</v>
      </c>
      <c r="E453" s="6">
        <f>E451-D451</f>
        <v>7.4190000000000005</v>
      </c>
      <c r="F453" s="6">
        <f>F451-E451</f>
        <v>9.983999999999998</v>
      </c>
      <c r="H453" s="30">
        <f>H451-F451</f>
        <v>30.68755</v>
      </c>
    </row>
    <row r="454">
      <c r="B454" s="1" t="s">
        <v>133</v>
      </c>
      <c r="C454" s="23">
        <v>-0.005</v>
      </c>
      <c r="D454" s="23">
        <v>0.004</v>
      </c>
      <c r="E454" s="23">
        <v>-0.005</v>
      </c>
      <c r="F454" s="23">
        <v>-0.006</v>
      </c>
      <c r="G454" s="23">
        <v>0.006</v>
      </c>
      <c r="H454" s="30">
        <f>H441*H469</f>
        <v>0</v>
      </c>
    </row>
    <row r="455">
      <c r="B455" s="25" t="s">
        <v>149</v>
      </c>
      <c r="C455" s="6" t="s">
        <v>37</v>
      </c>
      <c r="D455" s="6" t="s">
        <v>37</v>
      </c>
      <c r="E455" s="6" t="s">
        <v>37</v>
      </c>
      <c r="F455" s="6" t="s">
        <v>37</v>
      </c>
      <c r="G455" s="6" t="s">
        <v>37</v>
      </c>
      <c r="H455" s="30">
        <f>H454-C454</f>
        <v>0.005</v>
      </c>
    </row>
    <row r="456">
      <c r="B456" s="25" t="s">
        <v>150</v>
      </c>
      <c r="C456" s="6" t="s">
        <v>37</v>
      </c>
      <c r="D456" s="6">
        <f>D454-C454</f>
        <v>0.009000000000000001</v>
      </c>
      <c r="E456" s="6">
        <f>E454-D454</f>
        <v>-0.009000000000000001</v>
      </c>
      <c r="F456" s="6">
        <f>F454-E454</f>
        <v>-0.001</v>
      </c>
      <c r="H456" s="30">
        <f>H454-F454</f>
        <v>0.006</v>
      </c>
    </row>
    <row r="457">
      <c r="B457" s="2" t="s">
        <v>154</v>
      </c>
      <c r="C457" s="42">
        <f>C441+C442+C445+C448+C451+C454</f>
        <v>103.965</v>
      </c>
      <c r="D457" s="42">
        <f>D441+D442+D445+D448+D451+D454</f>
        <v>78.435</v>
      </c>
      <c r="E457" s="42">
        <f>E441+E442+E445+E448+E451+E454</f>
        <v>60.671</v>
      </c>
      <c r="F457" s="42">
        <f>F441+F442+F445+F448+F451+F454</f>
        <v>48.839</v>
      </c>
      <c r="G457" s="42">
        <f>G441+G442+G445+G448+G451+G454</f>
        <v>78.43499999999999</v>
      </c>
      <c r="H457" s="41">
        <f>H441+H442+H445+H448+H451+H454</f>
        <v>78.81655</v>
      </c>
    </row>
    <row r="458">
      <c r="B458" s="25" t="s">
        <v>101</v>
      </c>
      <c r="C458" s="21">
        <f>IFERROR(C457/Inputs!C181-1,"n/a")</f>
        <v>3.2893390543774244</v>
      </c>
      <c r="D458" s="21">
        <f>IFERROR(D457/Inputs!D181-1,"n/a")</f>
        <v>0.41820055690160207</v>
      </c>
      <c r="E458" s="21">
        <f>IFERROR(E457/Inputs!E181-1,"n/a")</f>
        <v>0.20548788968586695</v>
      </c>
      <c r="F458" s="21">
        <f>IFERROR(F457/Inputs!F181-1,"n/a")</f>
        <v>-0.3860667999145203</v>
      </c>
      <c r="G458" s="21">
        <f>IFERROR(G457/Inputs!G181-1,"n/a")</f>
        <v>0.41820055690160185</v>
      </c>
      <c r="H458" s="32">
        <f>IFERROR(H457/C457-1,"n/a")</f>
        <v>-0.24189342567210115</v>
      </c>
    </row>
    <row r="459">
      <c r="B459" s="25" t="s">
        <v>102</v>
      </c>
      <c r="C459" s="21">
        <f>IFERROR(C457/Inputs!F181-1,"n/a")</f>
        <v>0.30689746200550583</v>
      </c>
      <c r="D459" s="16">
        <f>IFERROR(D457/C457-1,"n/a")</f>
        <v>-0.24556341076323762</v>
      </c>
      <c r="E459" s="16">
        <f>IFERROR(E457/D457-1,"n/a")</f>
        <v>-0.22648052527570606</v>
      </c>
      <c r="F459" s="16">
        <f>IFERROR(F457/E457-1,"n/a")</f>
        <v>-0.1950190371017455</v>
      </c>
      <c r="H459" s="32">
        <f>IFERROR(H457/F457-1,"n/a")</f>
        <v>0.6138035176805423</v>
      </c>
    </row>
    <row r="460">
      <c r="B460" s="2" t="s">
        <v>155</v>
      </c>
      <c r="C460" s="29">
        <v>94.98</v>
      </c>
      <c r="D460" s="29">
        <v>92.317</v>
      </c>
      <c r="E460" s="29">
        <v>67.74</v>
      </c>
      <c r="F460" s="29">
        <v>61.479</v>
      </c>
      <c r="G460" s="29">
        <v>76.809</v>
      </c>
      <c r="H460" s="55">
        <f>H441*(1+H472)+$H$222*(H442+H445)</f>
        <v>62.60679999999999</v>
      </c>
    </row>
    <row r="461">
      <c r="B461" s="25" t="s">
        <v>101</v>
      </c>
      <c r="C461" s="16" t="s">
        <v>37</v>
      </c>
      <c r="D461" s="16" t="s">
        <v>37</v>
      </c>
      <c r="E461" s="16" t="s">
        <v>37</v>
      </c>
      <c r="F461" s="16" t="s">
        <v>37</v>
      </c>
      <c r="G461" s="16" t="s">
        <v>37</v>
      </c>
      <c r="H461" s="32">
        <f>IFERROR(H460/C460-1,"n/a")</f>
        <v>-0.3408422825858076</v>
      </c>
    </row>
    <row r="462">
      <c r="B462" s="25" t="s">
        <v>102</v>
      </c>
      <c r="C462" s="16" t="s">
        <v>37</v>
      </c>
      <c r="D462" s="16">
        <f>IFERROR(D460/C460-1,"n/a")</f>
        <v>-0.02803748157506858</v>
      </c>
      <c r="E462" s="16">
        <f>IFERROR(E460/D460-1,"n/a")</f>
        <v>-0.266223989081101</v>
      </c>
      <c r="F462" s="16">
        <f>IFERROR(F460/E460-1,"n/a")</f>
        <v>-0.09242692648361372</v>
      </c>
      <c r="H462" s="32">
        <f>IFERROR(H460/F460-1,"n/a")</f>
        <v>0.018344475349306055</v>
      </c>
    </row>
    <row r="463">
      <c r="B463" s="25" t="s">
        <v>156</v>
      </c>
      <c r="C463" s="16">
        <f>IFERROR((C442)/C441*365/C$7,"n/a")</f>
        <v>0.8324185523861367</v>
      </c>
      <c r="D463" s="16">
        <f>IFERROR((D442)/D441*365/D$7,"n/a")</f>
        <v>0.022095123986124093</v>
      </c>
      <c r="E463" s="16">
        <f>IFERROR((E442)/E441*365/E$7,"n/a")</f>
        <v>0.04834505570784017</v>
      </c>
      <c r="F463" s="16">
        <f>IFERROR((F442)/F441*365/F$7,"n/a")</f>
        <v>-0.20600025973268546</v>
      </c>
      <c r="G463" s="16">
        <f>IFERROR((G442)/G441*365/G$7,"n/a")</f>
        <v>0.6285574802010632</v>
      </c>
      <c r="H463" s="32">
        <f>IFERROR((H442)/H441*365/H$7,"n/a")</f>
        <v>0.6498726516673685</v>
      </c>
    </row>
    <row r="464">
      <c r="B464" s="25" t="s">
        <v>157</v>
      </c>
      <c r="C464" s="40" t="s">
        <v>37</v>
      </c>
      <c r="D464" s="40">
        <f>(D463-C463)*10000</f>
        <v>-8103.234284000126</v>
      </c>
      <c r="E464" s="40">
        <f>(E463-D463)*10000</f>
        <v>262.4993172171608</v>
      </c>
      <c r="F464" s="40">
        <f>(F463-E463)*10000</f>
        <v>-2543.453154405256</v>
      </c>
      <c r="H464" s="37">
        <f>(H463-F463)*10000</f>
        <v>8558.72911400054</v>
      </c>
    </row>
    <row r="465">
      <c r="B465" s="25" t="s">
        <v>158</v>
      </c>
      <c r="C465" s="40" t="s">
        <v>37</v>
      </c>
      <c r="D465" s="40" t="s">
        <v>37</v>
      </c>
      <c r="E465" s="40" t="s">
        <v>37</v>
      </c>
      <c r="F465" s="40" t="s">
        <v>37</v>
      </c>
      <c r="G465" s="40" t="s">
        <v>37</v>
      </c>
      <c r="H465" s="37">
        <f>(H463-C463)*10000</f>
        <v>-1825.459007187682</v>
      </c>
    </row>
    <row r="466">
      <c r="B466" s="25" t="s">
        <v>159</v>
      </c>
      <c r="C466" s="16">
        <f>IFERROR(C451/C441,"n/a")</f>
        <v>0.09714522758984802</v>
      </c>
      <c r="D466" s="16">
        <f>IFERROR(D451/D441,"n/a")</f>
        <v>-0.25117106718607224</v>
      </c>
      <c r="E466" s="16">
        <f>IFERROR(E451/E441,"n/a")</f>
        <v>-0.23833747689169374</v>
      </c>
      <c r="F466" s="16">
        <f>IFERROR(F451/F441,"n/a")</f>
        <v>-0.14356117420184275</v>
      </c>
      <c r="G466" s="16">
        <f>IFERROR(G451/G441,"n/a")</f>
        <v>-0.2104654106245254</v>
      </c>
      <c r="H466" s="43">
        <v>0.45</v>
      </c>
    </row>
    <row r="467">
      <c r="B467" s="25" t="s">
        <v>157</v>
      </c>
      <c r="C467" s="40" t="s">
        <v>37</v>
      </c>
      <c r="D467" s="40">
        <f>(D466-C466)*10000</f>
        <v>-3483.1629477592023</v>
      </c>
      <c r="E467" s="40">
        <f>(E466-D466)*10000</f>
        <v>128.335902943785</v>
      </c>
      <c r="F467" s="40">
        <f>(F466-E466)*10000</f>
        <v>947.7630268985099</v>
      </c>
      <c r="H467" s="37">
        <f>(H466-F466)*10000</f>
        <v>5935.611742018427</v>
      </c>
    </row>
    <row r="468">
      <c r="B468" s="25" t="s">
        <v>158</v>
      </c>
      <c r="C468" s="40" t="s">
        <v>37</v>
      </c>
      <c r="D468" s="40" t="s">
        <v>37</v>
      </c>
      <c r="E468" s="40" t="s">
        <v>37</v>
      </c>
      <c r="F468" s="40" t="s">
        <v>37</v>
      </c>
      <c r="G468" s="40" t="s">
        <v>37</v>
      </c>
      <c r="H468" s="37">
        <f>(H466-C466)*10000</f>
        <v>3528.54772410152</v>
      </c>
    </row>
    <row r="469">
      <c r="B469" s="25" t="s">
        <v>160</v>
      </c>
      <c r="C469" s="16">
        <f>IFERROR(C454/C441,"n/a")</f>
        <v>-0.00006285276112179608</v>
      </c>
      <c r="D469" s="16">
        <f>IFERROR(D454/D441,"n/a")</f>
        <v>0.00003847448660606935</v>
      </c>
      <c r="E469" s="16">
        <f>IFERROR(E454/E441,"n/a")</f>
        <v>-0.00006374705169885892</v>
      </c>
      <c r="F469" s="16">
        <f>IFERROR(F454/F441,"n/a")</f>
        <v>-0.00009889403504145309</v>
      </c>
      <c r="G469" s="16">
        <f>IFERROR(G454/G441,"n/a")</f>
        <v>0.00010848732506418834</v>
      </c>
      <c r="H469" s="43">
        <v>0</v>
      </c>
    </row>
    <row r="470">
      <c r="B470" s="25" t="s">
        <v>157</v>
      </c>
      <c r="C470" s="40" t="s">
        <v>37</v>
      </c>
      <c r="D470" s="40">
        <f>(D469-C469)*10000</f>
        <v>1.0132724772786543</v>
      </c>
      <c r="E470" s="40">
        <f>(E469-D469)*10000</f>
        <v>-1.0222153830492826</v>
      </c>
      <c r="F470" s="40">
        <f>(F469-E469)*10000</f>
        <v>-0.3514698334259417</v>
      </c>
      <c r="H470" s="37">
        <f>(H469-F469)*10000</f>
        <v>0.9889403504145309</v>
      </c>
    </row>
    <row r="471">
      <c r="B471" s="25" t="s">
        <v>158</v>
      </c>
      <c r="C471" s="40" t="s">
        <v>37</v>
      </c>
      <c r="D471" s="40" t="s">
        <v>37</v>
      </c>
      <c r="E471" s="40" t="s">
        <v>37</v>
      </c>
      <c r="F471" s="40" t="s">
        <v>37</v>
      </c>
      <c r="G471" s="40" t="s">
        <v>37</v>
      </c>
      <c r="H471" s="37">
        <f>(H469-C469)*10000</f>
        <v>0.6285276112179609</v>
      </c>
    </row>
    <row r="472">
      <c r="B472" s="25" t="s">
        <v>161</v>
      </c>
      <c r="C472" s="16">
        <f>IFERROR((C460-$H$222*(C442+C445+C448))/C441-1,"n/a")</f>
        <v>0.0890435066812485</v>
      </c>
      <c r="D472" s="16">
        <f>IFERROR((D460-$H$222*(D442+D445+D448))/D441-1,"n/a")</f>
        <v>-0.11482229596498839</v>
      </c>
      <c r="E472" s="16">
        <f>IFERROR((E460-$H$222*(E442+E445+E448))/E441-1,"n/a")</f>
        <v>-0.14231529291770262</v>
      </c>
      <c r="F472" s="16">
        <f>IFERROR((F460-$H$222*(F442+F445+F448))/F441-1,"n/a")</f>
        <v>0.03899721448467974</v>
      </c>
      <c r="G472" s="16">
        <f>IFERROR((G460-$H$222*(G442+G445+G448))/G441-1,"n/a")</f>
        <v>0.07452175170867537</v>
      </c>
      <c r="H472" s="43">
        <v>0.2</v>
      </c>
    </row>
    <row r="473">
      <c r="B473" s="25" t="s">
        <v>157</v>
      </c>
      <c r="C473" s="40" t="s">
        <v>37</v>
      </c>
      <c r="D473" s="40">
        <f>(D472-C472)*10000</f>
        <v>-2038.6580264623688</v>
      </c>
      <c r="E473" s="40">
        <f>(E472-D472)*10000</f>
        <v>-274.9299695271423</v>
      </c>
      <c r="F473" s="40">
        <f>(F472-E472)*10000</f>
        <v>1813.1250740238236</v>
      </c>
      <c r="H473" s="37">
        <f>(H472-F472)*10000</f>
        <v>1610.0278551532026</v>
      </c>
    </row>
    <row r="474">
      <c r="B474" s="25" t="s">
        <v>158</v>
      </c>
      <c r="C474" s="40" t="s">
        <v>37</v>
      </c>
      <c r="D474" s="40" t="s">
        <v>37</v>
      </c>
      <c r="E474" s="40" t="s">
        <v>37</v>
      </c>
      <c r="F474" s="40" t="s">
        <v>37</v>
      </c>
      <c r="G474" s="40" t="s">
        <v>37</v>
      </c>
      <c r="H474" s="37">
        <f>(H472-C472)*10000</f>
        <v>1109.5649331875152</v>
      </c>
    </row>
    <row r="475">
      <c r="H475" s="39"/>
    </row>
    <row r="476">
      <c r="B476" s="2" t="s">
        <v>168</v>
      </c>
      <c r="H476" s="39"/>
    </row>
    <row r="477">
      <c r="B477" s="1" t="s">
        <v>147</v>
      </c>
      <c r="C477" s="4">
        <f>Inputs!F182</f>
        <v>106.98</v>
      </c>
      <c r="D477" s="6">
        <f>C493</f>
        <v>136.60000000000002</v>
      </c>
      <c r="E477" s="6">
        <f>D493</f>
        <v>169.216</v>
      </c>
      <c r="F477" s="6">
        <f>E493</f>
        <v>176.67600000000002</v>
      </c>
      <c r="G477" s="4">
        <f>Inputs!G182</f>
        <v>78.137</v>
      </c>
      <c r="H477" s="30">
        <f>F493</f>
        <v>151.84900000000002</v>
      </c>
    </row>
    <row r="478">
      <c r="B478" s="1" t="s">
        <v>148</v>
      </c>
      <c r="C478" s="23">
        <v>10.384</v>
      </c>
      <c r="D478" s="23">
        <v>4.957</v>
      </c>
      <c r="E478" s="23">
        <v>-3.644</v>
      </c>
      <c r="F478" s="23">
        <v>-0.254</v>
      </c>
      <c r="G478" s="23">
        <v>24.953</v>
      </c>
      <c r="H478" s="35">
        <v>2</v>
      </c>
    </row>
    <row r="479">
      <c r="B479" s="25" t="s">
        <v>149</v>
      </c>
      <c r="C479" s="6" t="s">
        <v>37</v>
      </c>
      <c r="D479" s="6" t="s">
        <v>37</v>
      </c>
      <c r="E479" s="6" t="s">
        <v>37</v>
      </c>
      <c r="F479" s="6" t="s">
        <v>37</v>
      </c>
      <c r="G479" s="6" t="s">
        <v>37</v>
      </c>
      <c r="H479" s="30">
        <f>H478-C478</f>
        <v>-8.384</v>
      </c>
    </row>
    <row r="480">
      <c r="B480" s="25" t="s">
        <v>150</v>
      </c>
      <c r="C480" s="6" t="s">
        <v>37</v>
      </c>
      <c r="D480" s="6">
        <f>D478-C478</f>
        <v>-5.4270000000000005</v>
      </c>
      <c r="E480" s="6">
        <f>E478-D478</f>
        <v>-8.600999999999999</v>
      </c>
      <c r="F480" s="6">
        <f>F478-E478</f>
        <v>3.39</v>
      </c>
      <c r="H480" s="30">
        <f>H478-F478</f>
        <v>2.254</v>
      </c>
    </row>
    <row r="481">
      <c r="B481" s="1" t="s">
        <v>151</v>
      </c>
      <c r="C481" s="23">
        <v>0</v>
      </c>
      <c r="D481" s="23">
        <v>0</v>
      </c>
      <c r="E481" s="23">
        <v>0</v>
      </c>
      <c r="F481" s="23">
        <v>0</v>
      </c>
      <c r="G481" s="23">
        <v>0</v>
      </c>
      <c r="H481" s="35">
        <v>0</v>
      </c>
    </row>
    <row r="482">
      <c r="B482" s="25" t="s">
        <v>149</v>
      </c>
      <c r="C482" s="6" t="s">
        <v>37</v>
      </c>
      <c r="D482" s="6" t="s">
        <v>37</v>
      </c>
      <c r="E482" s="6" t="s">
        <v>37</v>
      </c>
      <c r="F482" s="6" t="s">
        <v>37</v>
      </c>
      <c r="G482" s="6" t="s">
        <v>37</v>
      </c>
      <c r="H482" s="30">
        <f>H481-C481</f>
        <v>0</v>
      </c>
    </row>
    <row r="483">
      <c r="B483" s="25" t="s">
        <v>150</v>
      </c>
      <c r="C483" s="6" t="s">
        <v>37</v>
      </c>
      <c r="D483" s="6">
        <f>D481-C481</f>
        <v>0</v>
      </c>
      <c r="E483" s="6">
        <f>E481-D481</f>
        <v>0</v>
      </c>
      <c r="F483" s="6">
        <f>F481-E481</f>
        <v>0</v>
      </c>
      <c r="H483" s="30">
        <f>H481-F481</f>
        <v>0</v>
      </c>
    </row>
    <row r="484">
      <c r="B484" s="1" t="s">
        <v>152</v>
      </c>
      <c r="C484" s="23">
        <v>0</v>
      </c>
      <c r="D484" s="23">
        <v>0</v>
      </c>
      <c r="E484" s="23">
        <v>0</v>
      </c>
      <c r="F484" s="23">
        <v>0</v>
      </c>
      <c r="G484" s="23">
        <v>0</v>
      </c>
      <c r="H484" s="35">
        <v>0</v>
      </c>
    </row>
    <row r="485">
      <c r="B485" s="25" t="s">
        <v>149</v>
      </c>
      <c r="C485" s="6" t="s">
        <v>37</v>
      </c>
      <c r="D485" s="6" t="s">
        <v>37</v>
      </c>
      <c r="E485" s="6" t="s">
        <v>37</v>
      </c>
      <c r="F485" s="6" t="s">
        <v>37</v>
      </c>
      <c r="G485" s="6" t="s">
        <v>37</v>
      </c>
      <c r="H485" s="30">
        <f>H484-C484</f>
        <v>0</v>
      </c>
    </row>
    <row r="486">
      <c r="B486" s="25" t="s">
        <v>150</v>
      </c>
      <c r="C486" s="6" t="s">
        <v>37</v>
      </c>
      <c r="D486" s="6">
        <f>D484-C484</f>
        <v>0</v>
      </c>
      <c r="E486" s="6">
        <f>E484-D484</f>
        <v>0</v>
      </c>
      <c r="F486" s="6">
        <f>F484-E484</f>
        <v>0</v>
      </c>
      <c r="H486" s="30">
        <f>H484-F484</f>
        <v>0</v>
      </c>
    </row>
    <row r="487">
      <c r="B487" s="1" t="s">
        <v>153</v>
      </c>
      <c r="C487" s="23">
        <v>19.323</v>
      </c>
      <c r="D487" s="23">
        <v>27.739</v>
      </c>
      <c r="E487" s="23">
        <v>11.305</v>
      </c>
      <c r="F487" s="23">
        <v>-24.483</v>
      </c>
      <c r="G487" s="23">
        <v>65.795</v>
      </c>
      <c r="H487" s="30">
        <f>H477*H502</f>
        <v>4.555470000000001</v>
      </c>
    </row>
    <row r="488">
      <c r="B488" s="25" t="s">
        <v>149</v>
      </c>
      <c r="C488" s="6" t="s">
        <v>37</v>
      </c>
      <c r="D488" s="6" t="s">
        <v>37</v>
      </c>
      <c r="E488" s="6" t="s">
        <v>37</v>
      </c>
      <c r="F488" s="6" t="s">
        <v>37</v>
      </c>
      <c r="G488" s="6" t="s">
        <v>37</v>
      </c>
      <c r="H488" s="30">
        <f>H487-C487</f>
        <v>-14.76753</v>
      </c>
    </row>
    <row r="489">
      <c r="B489" s="25" t="s">
        <v>150</v>
      </c>
      <c r="C489" s="6" t="s">
        <v>37</v>
      </c>
      <c r="D489" s="6">
        <f>D487-C487</f>
        <v>8.416</v>
      </c>
      <c r="E489" s="6">
        <f>E487-D487</f>
        <v>-16.434</v>
      </c>
      <c r="F489" s="6">
        <f>F487-E487</f>
        <v>-35.788</v>
      </c>
      <c r="H489" s="30">
        <f>H487-F487</f>
        <v>29.03847</v>
      </c>
    </row>
    <row r="490">
      <c r="B490" s="1" t="s">
        <v>133</v>
      </c>
      <c r="C490" s="23">
        <v>-0.087</v>
      </c>
      <c r="D490" s="23">
        <v>-0.08</v>
      </c>
      <c r="E490" s="23">
        <v>-0.201</v>
      </c>
      <c r="F490" s="23">
        <v>-0.09</v>
      </c>
      <c r="G490" s="23">
        <v>0.331</v>
      </c>
      <c r="H490" s="30">
        <f>H477*H505</f>
        <v>0</v>
      </c>
    </row>
    <row r="491">
      <c r="B491" s="25" t="s">
        <v>149</v>
      </c>
      <c r="C491" s="6" t="s">
        <v>37</v>
      </c>
      <c r="D491" s="6" t="s">
        <v>37</v>
      </c>
      <c r="E491" s="6" t="s">
        <v>37</v>
      </c>
      <c r="F491" s="6" t="s">
        <v>37</v>
      </c>
      <c r="G491" s="6" t="s">
        <v>37</v>
      </c>
      <c r="H491" s="30">
        <f>H490-C490</f>
        <v>0.087</v>
      </c>
    </row>
    <row r="492">
      <c r="B492" s="25" t="s">
        <v>150</v>
      </c>
      <c r="C492" s="6" t="s">
        <v>37</v>
      </c>
      <c r="D492" s="6">
        <f>D490-C490</f>
        <v>0.006999999999999992</v>
      </c>
      <c r="E492" s="6">
        <f>E490-D490</f>
        <v>-0.12100000000000001</v>
      </c>
      <c r="F492" s="6">
        <f>F490-E490</f>
        <v>0.11100000000000002</v>
      </c>
      <c r="H492" s="30">
        <f>H490-F490</f>
        <v>0.09</v>
      </c>
    </row>
    <row r="493">
      <c r="B493" s="2" t="s">
        <v>154</v>
      </c>
      <c r="C493" s="42">
        <f>C477+C478+C481+C484+C487+C490</f>
        <v>136.60000000000002</v>
      </c>
      <c r="D493" s="42">
        <f>D477+D478+D481+D484+D487+D490</f>
        <v>169.216</v>
      </c>
      <c r="E493" s="42">
        <f>E477+E478+E481+E484+E487+E490</f>
        <v>176.67600000000002</v>
      </c>
      <c r="F493" s="42">
        <f>F477+F478+F481+F484+F487+F490</f>
        <v>151.84900000000002</v>
      </c>
      <c r="G493" s="42">
        <f>G477+G478+G481+G484+G487+G490</f>
        <v>169.21599999999998</v>
      </c>
      <c r="H493" s="41">
        <f>H477+H478+H481+H484+H487+H490</f>
        <v>158.40447000000003</v>
      </c>
    </row>
    <row r="494">
      <c r="B494" s="25" t="s">
        <v>101</v>
      </c>
      <c r="C494" s="21">
        <f>IFERROR(C493/Inputs!C182-1,"n/a")</f>
        <v>0.7483681044413162</v>
      </c>
      <c r="D494" s="21">
        <f>IFERROR(D493/Inputs!D182-1,"n/a")</f>
        <v>1.1656321589003928</v>
      </c>
      <c r="E494" s="21">
        <f>IFERROR(E493/Inputs!E182-1,"n/a")</f>
        <v>0.8147604129217811</v>
      </c>
      <c r="F494" s="21">
        <f>IFERROR(F493/Inputs!F182-1,"n/a")</f>
        <v>0.41941484389605543</v>
      </c>
      <c r="G494" s="21">
        <f>IFERROR(G493/Inputs!G182-1,"n/a")</f>
        <v>1.1656321589003928</v>
      </c>
      <c r="H494" s="32">
        <f>IFERROR(H493/C493-1,"n/a")</f>
        <v>0.15962276720351398</v>
      </c>
    </row>
    <row r="495">
      <c r="B495" s="25" t="s">
        <v>102</v>
      </c>
      <c r="C495" s="21">
        <f>IFERROR(C493/Inputs!F182-1,"n/a")</f>
        <v>0.2768741820901104</v>
      </c>
      <c r="D495" s="16">
        <f>IFERROR(D493/C493-1,"n/a")</f>
        <v>0.23877013177159578</v>
      </c>
      <c r="E495" s="16">
        <f>IFERROR(E493/D493-1,"n/a")</f>
        <v>0.04408566565809391</v>
      </c>
      <c r="F495" s="16">
        <f>IFERROR(F493/E493-1,"n/a")</f>
        <v>-0.14052276483506532</v>
      </c>
      <c r="H495" s="32">
        <f>IFERROR(H493/F493-1,"n/a")</f>
        <v>0.043170979064728776</v>
      </c>
    </row>
    <row r="496">
      <c r="B496" s="2" t="s">
        <v>155</v>
      </c>
      <c r="C496" s="29">
        <v>117.115</v>
      </c>
      <c r="D496" s="29">
        <v>149.998</v>
      </c>
      <c r="E496" s="29">
        <v>190.349</v>
      </c>
      <c r="F496" s="29">
        <v>171.774</v>
      </c>
      <c r="G496" s="29">
        <v>114.002</v>
      </c>
      <c r="H496" s="55">
        <f>H477*(1+H508)+$H$222*(H478+H481)</f>
        <v>155.88598000000002</v>
      </c>
    </row>
    <row r="497">
      <c r="B497" s="25" t="s">
        <v>101</v>
      </c>
      <c r="C497" s="16" t="s">
        <v>37</v>
      </c>
      <c r="D497" s="16" t="s">
        <v>37</v>
      </c>
      <c r="E497" s="16" t="s">
        <v>37</v>
      </c>
      <c r="F497" s="16" t="s">
        <v>37</v>
      </c>
      <c r="G497" s="16" t="s">
        <v>37</v>
      </c>
      <c r="H497" s="32">
        <f>IFERROR(H496/C496-1,"n/a")</f>
        <v>0.3310505059129918</v>
      </c>
    </row>
    <row r="498">
      <c r="B498" s="25" t="s">
        <v>102</v>
      </c>
      <c r="C498" s="16" t="s">
        <v>37</v>
      </c>
      <c r="D498" s="16">
        <f>IFERROR(D496/C496-1,"n/a")</f>
        <v>0.2807753063228451</v>
      </c>
      <c r="E498" s="16">
        <f>IFERROR(E496/D496-1,"n/a")</f>
        <v>0.26901025347004626</v>
      </c>
      <c r="F498" s="16">
        <f>IFERROR(F496/E496-1,"n/a")</f>
        <v>-0.09758391165700886</v>
      </c>
      <c r="H498" s="32">
        <f>IFERROR(H496/F496-1,"n/a")</f>
        <v>-0.092493741776986</v>
      </c>
    </row>
    <row r="499">
      <c r="B499" s="25" t="s">
        <v>156</v>
      </c>
      <c r="C499" s="16">
        <f>IFERROR((C478)/C477*365/C$7,"n/a")</f>
        <v>0.38509432888715484</v>
      </c>
      <c r="D499" s="16">
        <f>IFERROR((D478)/D477*365/D$7,"n/a")</f>
        <v>0.14397041504869817</v>
      </c>
      <c r="E499" s="16">
        <f>IFERROR((E478)/E477*365/E$7,"n/a")</f>
        <v>-0.08733479366280046</v>
      </c>
      <c r="F499" s="16">
        <f>IFERROR((F478)/F477*365/F$7,"n/a")</f>
        <v>-0.005766438049260842</v>
      </c>
      <c r="G499" s="16">
        <f>IFERROR((G478)/G477*365/G$7,"n/a")</f>
        <v>0.3193493479401564</v>
      </c>
      <c r="H499" s="32">
        <f>IFERROR((H478)/H477*365/H$7,"n/a")</f>
        <v>0.05225442781115221</v>
      </c>
    </row>
    <row r="500">
      <c r="B500" s="25" t="s">
        <v>157</v>
      </c>
      <c r="C500" s="40" t="s">
        <v>37</v>
      </c>
      <c r="D500" s="40">
        <f>(D499-C499)*10000</f>
        <v>-2411.2391383845666</v>
      </c>
      <c r="E500" s="40">
        <f>(E499-D499)*10000</f>
        <v>-2313.052087114986</v>
      </c>
      <c r="F500" s="40">
        <f>(F499-E499)*10000</f>
        <v>815.6835561353962</v>
      </c>
      <c r="H500" s="37">
        <f>(H499-F499)*10000</f>
        <v>580.2086586041305</v>
      </c>
    </row>
    <row r="501">
      <c r="B501" s="25" t="s">
        <v>158</v>
      </c>
      <c r="C501" s="40" t="s">
        <v>37</v>
      </c>
      <c r="D501" s="40" t="s">
        <v>37</v>
      </c>
      <c r="E501" s="40" t="s">
        <v>37</v>
      </c>
      <c r="F501" s="40" t="s">
        <v>37</v>
      </c>
      <c r="G501" s="40" t="s">
        <v>37</v>
      </c>
      <c r="H501" s="37">
        <f>(H499-C499)*10000</f>
        <v>-3328.3990107600266</v>
      </c>
    </row>
    <row r="502">
      <c r="B502" s="25" t="s">
        <v>159</v>
      </c>
      <c r="C502" s="16">
        <f>IFERROR(C487/C477,"n/a")</f>
        <v>0.1806225462703309</v>
      </c>
      <c r="D502" s="16">
        <f>IFERROR(D487/D477,"n/a")</f>
        <v>0.20306734992679354</v>
      </c>
      <c r="E502" s="16">
        <f>IFERROR(E487/E477,"n/a")</f>
        <v>0.0668081032526475</v>
      </c>
      <c r="F502" s="16">
        <f>IFERROR(F487/F477,"n/a")</f>
        <v>-0.13857569788765875</v>
      </c>
      <c r="G502" s="16">
        <f>IFERROR(G487/G477,"n/a")</f>
        <v>0.8420466616327732</v>
      </c>
      <c r="H502" s="43">
        <v>0.03</v>
      </c>
    </row>
    <row r="503">
      <c r="B503" s="25" t="s">
        <v>157</v>
      </c>
      <c r="C503" s="40" t="s">
        <v>37</v>
      </c>
      <c r="D503" s="40">
        <f>(D502-C502)*10000</f>
        <v>224.44803656462648</v>
      </c>
      <c r="E503" s="40">
        <f>(E502-D502)*10000</f>
        <v>-1362.5924667414604</v>
      </c>
      <c r="F503" s="40">
        <f>(F502-E502)*10000</f>
        <v>-2053.8380114030624</v>
      </c>
      <c r="H503" s="37">
        <f>(H502-F502)*10000</f>
        <v>1685.7569788765875</v>
      </c>
    </row>
    <row r="504">
      <c r="B504" s="25" t="s">
        <v>158</v>
      </c>
      <c r="C504" s="40" t="s">
        <v>37</v>
      </c>
      <c r="D504" s="40" t="s">
        <v>37</v>
      </c>
      <c r="E504" s="40" t="s">
        <v>37</v>
      </c>
      <c r="F504" s="40" t="s">
        <v>37</v>
      </c>
      <c r="G504" s="40" t="s">
        <v>37</v>
      </c>
      <c r="H504" s="37">
        <f>(H502-C502)*10000</f>
        <v>-1506.225462703309</v>
      </c>
    </row>
    <row r="505">
      <c r="B505" s="25" t="s">
        <v>160</v>
      </c>
      <c r="C505" s="16">
        <f>IFERROR(C490/C477,"n/a")</f>
        <v>-0.0008132361189007291</v>
      </c>
      <c r="D505" s="16">
        <f>IFERROR(D490/D477,"n/a")</f>
        <v>-0.0005856515373352854</v>
      </c>
      <c r="E505" s="16">
        <f>IFERROR(E490/E477,"n/a")</f>
        <v>-0.0011878309379727686</v>
      </c>
      <c r="F505" s="16">
        <f>IFERROR(F490/F477,"n/a")</f>
        <v>-0.0005094070501935746</v>
      </c>
      <c r="G505" s="16">
        <f>IFERROR(G490/G477,"n/a")</f>
        <v>0.004236149327463302</v>
      </c>
      <c r="H505" s="43">
        <v>0</v>
      </c>
    </row>
    <row r="506">
      <c r="B506" s="25" t="s">
        <v>157</v>
      </c>
      <c r="C506" s="40" t="s">
        <v>37</v>
      </c>
      <c r="D506" s="40">
        <f>(D505-C505)*10000</f>
        <v>2.2758458156544368</v>
      </c>
      <c r="E506" s="40">
        <f>(E505-D505)*10000</f>
        <v>-6.021794006374833</v>
      </c>
      <c r="F506" s="40">
        <f>(F505-E505)*10000</f>
        <v>6.784238877791941</v>
      </c>
      <c r="H506" s="37">
        <f>(H505-F505)*10000</f>
        <v>5.094070501935746</v>
      </c>
    </row>
    <row r="507">
      <c r="B507" s="25" t="s">
        <v>158</v>
      </c>
      <c r="C507" s="40" t="s">
        <v>37</v>
      </c>
      <c r="D507" s="40" t="s">
        <v>37</v>
      </c>
      <c r="E507" s="40" t="s">
        <v>37</v>
      </c>
      <c r="F507" s="40" t="s">
        <v>37</v>
      </c>
      <c r="G507" s="40" t="s">
        <v>37</v>
      </c>
      <c r="H507" s="37">
        <f>(H505-C505)*10000</f>
        <v>8.132361189007291</v>
      </c>
    </row>
    <row r="508">
      <c r="B508" s="25" t="s">
        <v>161</v>
      </c>
      <c r="C508" s="16">
        <f>IFERROR((C496-$H$222*(C478+C481+C484))/C477-1,"n/a")</f>
        <v>0.04620489811179662</v>
      </c>
      <c r="D508" s="16">
        <f>IFERROR((D496-$H$222*(D478+D481+D484))/D477-1,"n/a")</f>
        <v>0.07993777452415785</v>
      </c>
      <c r="E508" s="16">
        <f>IFERROR((E496-$H$222*(E478+E481+E484))/E477-1,"n/a")</f>
        <v>0.13565502080181524</v>
      </c>
      <c r="F508" s="16">
        <f>IFERROR((F496-$H$222*(F478+F481+F484))/F477-1,"n/a")</f>
        <v>-0.027026874051936933</v>
      </c>
      <c r="G508" s="16">
        <f>IFERROR((G496-$H$222*(G478+G481+G484))/G477-1,"n/a")</f>
        <v>0.2993268233999258</v>
      </c>
      <c r="H508" s="43">
        <v>0.02</v>
      </c>
    </row>
    <row r="509">
      <c r="B509" s="25" t="s">
        <v>157</v>
      </c>
      <c r="C509" s="40" t="s">
        <v>37</v>
      </c>
      <c r="D509" s="40">
        <f>(D508-C508)*10000</f>
        <v>337.32876412361225</v>
      </c>
      <c r="E509" s="40">
        <f>(E508-D508)*10000</f>
        <v>557.172462776574</v>
      </c>
      <c r="F509" s="40">
        <f>(F508-E508)*10000</f>
        <v>-1626.8189485375217</v>
      </c>
      <c r="H509" s="37">
        <f>(H508-F508)*10000</f>
        <v>470.2687405193694</v>
      </c>
    </row>
    <row r="510">
      <c r="B510" s="25" t="s">
        <v>158</v>
      </c>
      <c r="C510" s="40" t="s">
        <v>37</v>
      </c>
      <c r="D510" s="40" t="s">
        <v>37</v>
      </c>
      <c r="E510" s="40" t="s">
        <v>37</v>
      </c>
      <c r="F510" s="40" t="s">
        <v>37</v>
      </c>
      <c r="G510" s="40" t="s">
        <v>37</v>
      </c>
      <c r="H510" s="37">
        <f>(H508-C508)*10000</f>
        <v>-262.0489811179662</v>
      </c>
    </row>
    <row r="511">
      <c r="H511" s="39"/>
    </row>
    <row r="512">
      <c r="B512" s="2" t="s">
        <v>169</v>
      </c>
      <c r="H512" s="39"/>
    </row>
    <row r="513">
      <c r="B513" s="1" t="s">
        <v>147</v>
      </c>
      <c r="C513" s="6">
        <f>C225+C261+C297+C405+C441+C477</f>
        <v>11557.889000000001</v>
      </c>
      <c r="D513" s="6">
        <f>D225+D261+D297+D405+D441+D477</f>
        <v>12458.896000000002</v>
      </c>
      <c r="E513" s="6">
        <f>E225+E261+E297+E405+E441+E477</f>
        <v>12960.786</v>
      </c>
      <c r="F513" s="6">
        <f>F225+F261+F297+F405+F441+F477</f>
        <v>12821.277</v>
      </c>
      <c r="G513" s="6">
        <f>G225+G261+G297+G405+G441+G477</f>
        <v>10630.588000000002</v>
      </c>
      <c r="H513" s="30">
        <f>H225+H261+H297+H405+H441+H477</f>
        <v>14275.777000000002</v>
      </c>
    </row>
    <row r="514">
      <c r="B514" s="1" t="s">
        <v>148</v>
      </c>
      <c r="C514" s="6">
        <f>C226+C262+C298+C406+C442+C478</f>
        <v>170.546</v>
      </c>
      <c r="D514" s="6">
        <f>D226+D262+D298+D406+D442+D478</f>
        <v>267.798</v>
      </c>
      <c r="E514" s="6">
        <f>E226+E262+E298+E406+E442+E478</f>
        <v>135.901</v>
      </c>
      <c r="F514" s="6">
        <f>F226+F262+F298+F406+F442+F478</f>
        <v>199.13399999999996</v>
      </c>
      <c r="G514" s="6">
        <f>G226+G262+G298+G406+G442+G478</f>
        <v>567.487</v>
      </c>
      <c r="H514" s="30">
        <f>H226+H262+H298+H406+H442+H478</f>
        <v>166</v>
      </c>
    </row>
    <row r="515">
      <c r="B515" s="25" t="s">
        <v>149</v>
      </c>
      <c r="C515" s="6" t="s">
        <v>37</v>
      </c>
      <c r="D515" s="6" t="s">
        <v>37</v>
      </c>
      <c r="E515" s="6" t="s">
        <v>37</v>
      </c>
      <c r="F515" s="6" t="s">
        <v>37</v>
      </c>
      <c r="G515" s="6" t="s">
        <v>37</v>
      </c>
      <c r="H515" s="30">
        <f>H514-C514</f>
        <v>-4.545999999999992</v>
      </c>
    </row>
    <row r="516">
      <c r="B516" s="25" t="s">
        <v>150</v>
      </c>
      <c r="C516" s="6" t="s">
        <v>37</v>
      </c>
      <c r="D516" s="6">
        <f>D514-C514</f>
        <v>97.25200000000001</v>
      </c>
      <c r="E516" s="6">
        <f>E514-D514</f>
        <v>-131.897</v>
      </c>
      <c r="F516" s="6">
        <f>F514-E514</f>
        <v>63.23299999999995</v>
      </c>
      <c r="H516" s="30">
        <f>H514-F514</f>
        <v>-33.13399999999996</v>
      </c>
    </row>
    <row r="517">
      <c r="B517" s="1" t="s">
        <v>151</v>
      </c>
      <c r="C517" s="6">
        <f>C229+C265+C301+C409+C445+C481</f>
        <v>-7.291</v>
      </c>
      <c r="D517" s="6">
        <f>D229+D265+D301+D409+D445+D481</f>
        <v>-11.066999999999998</v>
      </c>
      <c r="E517" s="6">
        <f>E229+E265+E301+E409+E445+E481</f>
        <v>-10.123000000000001</v>
      </c>
      <c r="F517" s="6">
        <f>F229+F265+F301+F409+F445+F481</f>
        <v>-7.194</v>
      </c>
      <c r="G517" s="6">
        <f>G229+G265+G301+G409+G445+G481</f>
        <v>-33.125</v>
      </c>
      <c r="H517" s="30">
        <f>H229+H265+H301+H409+H445+H481</f>
        <v>-8</v>
      </c>
    </row>
    <row r="518">
      <c r="B518" s="25" t="s">
        <v>149</v>
      </c>
      <c r="C518" s="6" t="s">
        <v>37</v>
      </c>
      <c r="D518" s="6" t="s">
        <v>37</v>
      </c>
      <c r="E518" s="6" t="s">
        <v>37</v>
      </c>
      <c r="F518" s="6" t="s">
        <v>37</v>
      </c>
      <c r="G518" s="6" t="s">
        <v>37</v>
      </c>
      <c r="H518" s="30">
        <f>H517-C517</f>
        <v>-0.7089999999999996</v>
      </c>
    </row>
    <row r="519">
      <c r="B519" s="25" t="s">
        <v>150</v>
      </c>
      <c r="C519" s="6" t="s">
        <v>37</v>
      </c>
      <c r="D519" s="6">
        <f>D517-C517</f>
        <v>-3.775999999999998</v>
      </c>
      <c r="E519" s="6">
        <f>E517-D517</f>
        <v>0.9439999999999973</v>
      </c>
      <c r="F519" s="6">
        <f>F517-E517</f>
        <v>2.929000000000001</v>
      </c>
      <c r="H519" s="30">
        <f>H517-F517</f>
        <v>-0.806</v>
      </c>
    </row>
    <row r="520">
      <c r="B520" s="1" t="s">
        <v>152</v>
      </c>
      <c r="C520" s="6">
        <f>C232+C268+C304+C412+C448+C484</f>
        <v>120.96099999999998</v>
      </c>
      <c r="D520" s="6">
        <f>D232+D268+D304+D412+D448+D484</f>
        <v>0</v>
      </c>
      <c r="E520" s="6">
        <f>E232+E268+E304+E412+E448+E484</f>
        <v>0</v>
      </c>
      <c r="F520" s="6">
        <f>F232+F268+F304+F412+F448+F484</f>
        <v>0</v>
      </c>
      <c r="G520" s="6">
        <f>G232+G268+G304+G412+G448+G484</f>
        <v>120.96099999999998</v>
      </c>
      <c r="H520" s="30">
        <f>H232+H268+H304+H412+H448+H484</f>
        <v>0</v>
      </c>
    </row>
    <row r="521">
      <c r="B521" s="25" t="s">
        <v>149</v>
      </c>
      <c r="C521" s="6" t="s">
        <v>37</v>
      </c>
      <c r="D521" s="6" t="s">
        <v>37</v>
      </c>
      <c r="E521" s="6" t="s">
        <v>37</v>
      </c>
      <c r="F521" s="6" t="s">
        <v>37</v>
      </c>
      <c r="G521" s="6" t="s">
        <v>37</v>
      </c>
      <c r="H521" s="30">
        <f>H520-C520</f>
        <v>-120.96099999999998</v>
      </c>
    </row>
    <row r="522">
      <c r="B522" s="25" t="s">
        <v>150</v>
      </c>
      <c r="C522" s="6" t="s">
        <v>37</v>
      </c>
      <c r="D522" s="6">
        <f>D520-C520</f>
        <v>-120.96099999999998</v>
      </c>
      <c r="E522" s="6">
        <f>E520-D520</f>
        <v>0</v>
      </c>
      <c r="F522" s="6">
        <f>F520-E520</f>
        <v>0</v>
      </c>
      <c r="H522" s="30">
        <f>H520-F520</f>
        <v>0</v>
      </c>
    </row>
    <row r="523">
      <c r="B523" s="1" t="s">
        <v>153</v>
      </c>
      <c r="C523" s="6">
        <f>C235+C271+C307+C415+C451+C487</f>
        <v>640.56</v>
      </c>
      <c r="D523" s="6">
        <f>D235+D271+D307+D415+D451+D487</f>
        <v>262.682</v>
      </c>
      <c r="E523" s="6">
        <f>E235+E271+E307+E415+E451+E487</f>
        <v>-218.65699999999998</v>
      </c>
      <c r="F523" s="6">
        <f>F235+F271+F307+F415+F451+F487</f>
        <v>1280.5</v>
      </c>
      <c r="G523" s="6">
        <f>G235+G271+G307+G415+G451+G487</f>
        <v>1473.575</v>
      </c>
      <c r="H523" s="30">
        <f>H235+H271+H307+H415+H451+H487</f>
        <v>85.6108053713242</v>
      </c>
    </row>
    <row r="524">
      <c r="B524" s="25" t="s">
        <v>149</v>
      </c>
      <c r="C524" s="6" t="s">
        <v>37</v>
      </c>
      <c r="D524" s="6" t="s">
        <v>37</v>
      </c>
      <c r="E524" s="6" t="s">
        <v>37</v>
      </c>
      <c r="F524" s="6" t="s">
        <v>37</v>
      </c>
      <c r="G524" s="6" t="s">
        <v>37</v>
      </c>
      <c r="H524" s="30">
        <f>H523-C523</f>
        <v>-554.9491946286757</v>
      </c>
    </row>
    <row r="525">
      <c r="B525" s="25" t="s">
        <v>150</v>
      </c>
      <c r="C525" s="6" t="s">
        <v>37</v>
      </c>
      <c r="D525" s="6">
        <f>D523-C523</f>
        <v>-377.87799999999993</v>
      </c>
      <c r="E525" s="6">
        <f>E523-D523</f>
        <v>-481.339</v>
      </c>
      <c r="F525" s="6">
        <f>F523-E523</f>
        <v>1499.157</v>
      </c>
      <c r="H525" s="30">
        <f>H523-F523</f>
        <v>-1194.8891946286758</v>
      </c>
    </row>
    <row r="526">
      <c r="B526" s="1" t="s">
        <v>133</v>
      </c>
      <c r="C526" s="6">
        <f>C238+C274+C310+C418+C454+C490</f>
        <v>-23.769000000000002</v>
      </c>
      <c r="D526" s="6">
        <f>D238+D274+D310+D418+D454+D490</f>
        <v>-17.522999999999996</v>
      </c>
      <c r="E526" s="6">
        <f>E238+E274+E310+E418+E454+E490</f>
        <v>-46.63</v>
      </c>
      <c r="F526" s="6">
        <f>F238+F274+F310+F418+F454+F490</f>
        <v>-17.94</v>
      </c>
      <c r="G526" s="6">
        <f>G238+G274+G310+G418+G454+G490</f>
        <v>201.29999999999998</v>
      </c>
      <c r="H526" s="30">
        <f>H238+H274+H310+H418+H454+H490</f>
        <v>0</v>
      </c>
    </row>
    <row r="527">
      <c r="B527" s="25" t="s">
        <v>149</v>
      </c>
      <c r="C527" s="6" t="s">
        <v>37</v>
      </c>
      <c r="D527" s="6" t="s">
        <v>37</v>
      </c>
      <c r="E527" s="6" t="s">
        <v>37</v>
      </c>
      <c r="F527" s="6" t="s">
        <v>37</v>
      </c>
      <c r="G527" s="6" t="s">
        <v>37</v>
      </c>
      <c r="H527" s="30">
        <f>H526-C526</f>
        <v>23.769000000000002</v>
      </c>
    </row>
    <row r="528">
      <c r="B528" s="25" t="s">
        <v>150</v>
      </c>
      <c r="C528" s="6" t="s">
        <v>37</v>
      </c>
      <c r="D528" s="6">
        <f>D526-C526</f>
        <v>6.246000000000006</v>
      </c>
      <c r="E528" s="6">
        <f>E526-D526</f>
        <v>-29.107000000000006</v>
      </c>
      <c r="F528" s="6">
        <f>F526-E526</f>
        <v>28.69</v>
      </c>
      <c r="H528" s="30">
        <f>H526-F526</f>
        <v>17.94</v>
      </c>
    </row>
    <row r="529">
      <c r="B529" s="2" t="s">
        <v>154</v>
      </c>
      <c r="C529" s="42">
        <f>C513+C514+C517+C520+C523+C526</f>
        <v>12458.896</v>
      </c>
      <c r="D529" s="42">
        <f>D513+D514+D517+D520+D523+D526</f>
        <v>12960.786000000006</v>
      </c>
      <c r="E529" s="42">
        <f>E513+E514+E517+E520+E523+E526</f>
        <v>12821.277000000002</v>
      </c>
      <c r="F529" s="42">
        <f>F513+F514+F517+F520+F523+F526</f>
        <v>14275.777</v>
      </c>
      <c r="G529" s="42">
        <f>G513+G514+G517+G520+G523+G526</f>
        <v>12960.786</v>
      </c>
      <c r="H529" s="41">
        <f>H513+H514+H517+H520+H523+H526</f>
        <v>14519.387805371327</v>
      </c>
    </row>
    <row r="530">
      <c r="B530" s="25" t="s">
        <v>101</v>
      </c>
      <c r="C530" s="21">
        <f>IFERROR(C529/(Inputs!C176+Inputs!C177+Inputs!C178+Inputs!C179+Inputs!C180+Inputs!C181+Inputs!C182)-1,"n/a")</f>
        <v>0.17249438286839602</v>
      </c>
      <c r="D530" s="21">
        <f>IFERROR(D529/(Inputs!D176+Inputs!D177+Inputs!D178+Inputs!D179+Inputs!D180+Inputs!D181+Inputs!D182)-1,"n/a")</f>
        <v>0.21919747054443306</v>
      </c>
      <c r="E530" s="21">
        <f>IFERROR(E529/(Inputs!E176+Inputs!E177+Inputs!E178+Inputs!E179+Inputs!E180+Inputs!E181+Inputs!E182)-1,"n/a")</f>
        <v>0.2035035360894013</v>
      </c>
      <c r="F530" s="21">
        <f>IFERROR(F529/(Inputs!F176+Inputs!F177+Inputs!F178+Inputs!F179+Inputs!F180+Inputs!F181+Inputs!F182)-1,"n/a")</f>
        <v>0.23515436080066165</v>
      </c>
      <c r="G530" s="21">
        <f>IFERROR(G529/(Inputs!G176+Inputs!G177+Inputs!G178+Inputs!G179+Inputs!G180+Inputs!G181+Inputs!G182)-1,"n/a")</f>
        <v>0.21919747054443262</v>
      </c>
      <c r="H530" s="32">
        <f>IFERROR(H529/C529-1,"n/a")</f>
        <v>0.16538317723908502</v>
      </c>
    </row>
    <row r="531">
      <c r="B531" s="25" t="s">
        <v>102</v>
      </c>
      <c r="C531" s="21">
        <f>IFERROR(C529/(Inputs!F176+Inputs!F177+Inputs!F178+Inputs!F179+Inputs!F180+Inputs!F181+Inputs!F182)-1,"n/a")</f>
        <v>0.07795601774683947</v>
      </c>
      <c r="D531" s="16">
        <f>IFERROR(D529/C529-1,"n/a")</f>
        <v>0.04028366558321106</v>
      </c>
      <c r="E531" s="16">
        <f>IFERROR(E529/D529-1,"n/a")</f>
        <v>-0.01076393052088076</v>
      </c>
      <c r="F531" s="16">
        <f>IFERROR(F529/E529-1,"n/a")</f>
        <v>0.11344423804274717</v>
      </c>
      <c r="H531" s="32">
        <f>IFERROR(H529/F529-1,"n/a")</f>
        <v>0.01706462670097242</v>
      </c>
    </row>
    <row r="532">
      <c r="B532" s="2" t="s">
        <v>155</v>
      </c>
      <c r="C532" s="58">
        <f>C244+C280+C316+C424+C460+C496</f>
        <v>11976.172999999999</v>
      </c>
      <c r="D532" s="58">
        <f>D244+D280+D316+D424+D460+D496</f>
        <v>12694.199999999999</v>
      </c>
      <c r="E532" s="58">
        <f>E244+E280+E316+E424+E460+E496</f>
        <v>13168.16</v>
      </c>
      <c r="F532" s="58">
        <f>F244+F280+F316+F424+F460+F496</f>
        <v>13779.306</v>
      </c>
      <c r="G532" s="58">
        <f>G244+G280+G316+G424+G460+G496</f>
        <v>11627.853</v>
      </c>
      <c r="H532" s="55">
        <f>H244+H280+H316+H424+H460+H496</f>
        <v>14425.921847993119</v>
      </c>
    </row>
    <row r="533">
      <c r="B533" s="25" t="s">
        <v>101</v>
      </c>
      <c r="C533" s="16" t="s">
        <v>37</v>
      </c>
      <c r="D533" s="16" t="s">
        <v>37</v>
      </c>
      <c r="E533" s="16" t="s">
        <v>37</v>
      </c>
      <c r="F533" s="16" t="s">
        <v>37</v>
      </c>
      <c r="G533" s="16" t="s">
        <v>37</v>
      </c>
      <c r="H533" s="32">
        <f>IFERROR(H532/C532-1,"n/a")</f>
        <v>0.20455189216063596</v>
      </c>
    </row>
    <row r="534">
      <c r="B534" s="25" t="s">
        <v>102</v>
      </c>
      <c r="C534" s="16" t="s">
        <v>37</v>
      </c>
      <c r="D534" s="16">
        <f>IFERROR(D532/C532-1,"n/a")</f>
        <v>0.05995462824393072</v>
      </c>
      <c r="E534" s="16">
        <f>IFERROR(E532/D532-1,"n/a")</f>
        <v>0.037336736462321385</v>
      </c>
      <c r="F534" s="16">
        <f>IFERROR(F532/E532-1,"n/a")</f>
        <v>0.04641088808155436</v>
      </c>
      <c r="H534" s="32">
        <f>IFERROR(H532/F532-1,"n/a")</f>
        <v>0.04692659035172886</v>
      </c>
    </row>
    <row r="535">
      <c r="B535" s="25" t="s">
        <v>156</v>
      </c>
      <c r="C535" s="16">
        <f>IFERROR((C514)/C513*365/C$7,"n/a")</f>
        <v>0.05854206744772373</v>
      </c>
      <c r="D535" s="16">
        <f>IFERROR((D514)/D513*365/D$7,"n/a")</f>
        <v>0.08527717516236903</v>
      </c>
      <c r="E535" s="16">
        <f>IFERROR((E514)/E513*365/E$7,"n/a")</f>
        <v>0.042524740054774114</v>
      </c>
      <c r="F535" s="16">
        <f>IFERROR((F514)/F513*365/F$7,"n/a")</f>
        <v>0.062296781023784574</v>
      </c>
      <c r="G535" s="16">
        <f>IFERROR((G514)/G513*365/G$7,"n/a")</f>
        <v>0.05338246576765086</v>
      </c>
      <c r="H535" s="32">
        <f>IFERROR((H514)/H513*365/H$7,"n/a")</f>
        <v>0.046133177656231185</v>
      </c>
    </row>
    <row r="536">
      <c r="B536" s="25" t="s">
        <v>157</v>
      </c>
      <c r="C536" s="40" t="s">
        <v>37</v>
      </c>
      <c r="D536" s="40">
        <f>(D535-C535)*10000</f>
        <v>267.351077146453</v>
      </c>
      <c r="E536" s="40">
        <f>(E535-D535)*10000</f>
        <v>-427.5243510759492</v>
      </c>
      <c r="F536" s="40">
        <f>(F535-E535)*10000</f>
        <v>197.7204096901046</v>
      </c>
      <c r="H536" s="37">
        <f>(H535-F535)*10000</f>
        <v>-161.6360336755339</v>
      </c>
    </row>
    <row r="537">
      <c r="B537" s="25" t="s">
        <v>158</v>
      </c>
      <c r="C537" s="40" t="s">
        <v>37</v>
      </c>
      <c r="D537" s="40" t="s">
        <v>37</v>
      </c>
      <c r="E537" s="40" t="s">
        <v>37</v>
      </c>
      <c r="F537" s="40" t="s">
        <v>37</v>
      </c>
      <c r="G537" s="40" t="s">
        <v>37</v>
      </c>
      <c r="H537" s="37">
        <f>(H535-C535)*10000</f>
        <v>-124.08889791492544</v>
      </c>
    </row>
    <row r="538">
      <c r="B538" s="25" t="s">
        <v>159</v>
      </c>
      <c r="C538" s="16">
        <f>IFERROR(C523/C513,"n/a")</f>
        <v>0.05542188543253875</v>
      </c>
      <c r="D538" s="16">
        <f>IFERROR(D523/D513,"n/a")</f>
        <v>0.02108389057906896</v>
      </c>
      <c r="E538" s="16">
        <f>IFERROR(E523/E513,"n/a")</f>
        <v>-0.01687065892454362</v>
      </c>
      <c r="F538" s="16">
        <f>IFERROR(F523/F513,"n/a")</f>
        <v>0.09987304696716247</v>
      </c>
      <c r="G538" s="16">
        <f>IFERROR(G523/G513,"n/a")</f>
        <v>0.13861650926552696</v>
      </c>
      <c r="H538" s="32">
        <f>IFERROR(H523/H513,"n/a")</f>
        <v>0.005996927899008523</v>
      </c>
    </row>
    <row r="539">
      <c r="B539" s="25" t="s">
        <v>157</v>
      </c>
      <c r="C539" s="40" t="s">
        <v>37</v>
      </c>
      <c r="D539" s="40">
        <f>(D538-C538)*10000</f>
        <v>-343.3799485346979</v>
      </c>
      <c r="E539" s="40">
        <f>(E538-D538)*10000</f>
        <v>-379.54549503612577</v>
      </c>
      <c r="F539" s="40">
        <f>(F538-E538)*10000</f>
        <v>1167.4370589170608</v>
      </c>
      <c r="H539" s="37">
        <f>(H538-F538)*10000</f>
        <v>-938.7611906815395</v>
      </c>
    </row>
    <row r="540">
      <c r="B540" s="25" t="s">
        <v>158</v>
      </c>
      <c r="C540" s="40" t="s">
        <v>37</v>
      </c>
      <c r="D540" s="40" t="s">
        <v>37</v>
      </c>
      <c r="E540" s="40" t="s">
        <v>37</v>
      </c>
      <c r="F540" s="40" t="s">
        <v>37</v>
      </c>
      <c r="G540" s="40" t="s">
        <v>37</v>
      </c>
      <c r="H540" s="37">
        <f>(H538-C538)*10000</f>
        <v>-494.24957533530227</v>
      </c>
    </row>
    <row r="541">
      <c r="B541" s="25" t="s">
        <v>160</v>
      </c>
      <c r="C541" s="16">
        <f>IFERROR(C526/C513,"n/a")</f>
        <v>-0.0020565174142094635</v>
      </c>
      <c r="D541" s="16">
        <f>IFERROR(D526/D513,"n/a")</f>
        <v>-0.0014064649066819399</v>
      </c>
      <c r="E541" s="16">
        <f>IFERROR(E526/E513,"n/a")</f>
        <v>-0.003597775628731159</v>
      </c>
      <c r="F541" s="16">
        <f>IFERROR(F526/F513,"n/a")</f>
        <v>-0.001399236597103393</v>
      </c>
      <c r="G541" s="16">
        <f>IFERROR(G526/G513,"n/a")</f>
        <v>0.0189359233938894</v>
      </c>
      <c r="H541" s="32">
        <f>IFERROR(H526/H513,"n/a")</f>
        <v>0</v>
      </c>
    </row>
    <row r="542">
      <c r="B542" s="25" t="s">
        <v>157</v>
      </c>
      <c r="C542" s="40" t="s">
        <v>37</v>
      </c>
      <c r="D542" s="40">
        <f>(D541-C541)*10000</f>
        <v>6.500525075275236</v>
      </c>
      <c r="E542" s="40">
        <f>(E541-D541)*10000</f>
        <v>-21.91310722049219</v>
      </c>
      <c r="F542" s="40">
        <f>(F541-E541)*10000</f>
        <v>21.98539031627766</v>
      </c>
      <c r="H542" s="37">
        <f>(H541-F541)*10000</f>
        <v>13.99236597103393</v>
      </c>
    </row>
    <row r="543">
      <c r="B543" s="25" t="s">
        <v>158</v>
      </c>
      <c r="C543" s="40" t="s">
        <v>37</v>
      </c>
      <c r="D543" s="40" t="s">
        <v>37</v>
      </c>
      <c r="E543" s="40" t="s">
        <v>37</v>
      </c>
      <c r="F543" s="40" t="s">
        <v>37</v>
      </c>
      <c r="G543" s="40" t="s">
        <v>37</v>
      </c>
      <c r="H543" s="37">
        <f>(H541-C541)*10000</f>
        <v>20.565174142094634</v>
      </c>
    </row>
    <row r="544">
      <c r="B544" s="25" t="s">
        <v>161</v>
      </c>
      <c r="C544" s="16">
        <f>IFERROR((C532-$H$222*(C514+C517+C520))/C513-1,"n/a")</f>
        <v>0.02389502096792917</v>
      </c>
      <c r="D544" s="16">
        <f>IFERROR((D532-$H$222*(D514+D517+D520))/D513-1,"n/a")</f>
        <v>0.00858330465235424</v>
      </c>
      <c r="E544" s="16">
        <f>IFERROR((E532-$H$222*(E514+E517+E520))/E513-1,"n/a")</f>
        <v>0.011147857853682774</v>
      </c>
      <c r="F544" s="16">
        <f>IFERROR((F532-$H$222*(F514+F517+F520))/F513-1,"n/a")</f>
        <v>0.06723659429556061</v>
      </c>
      <c r="G544" s="16">
        <f>IFERROR((G532-$H$222*(G514+G517+G520))/G513-1,"n/a")</f>
        <v>0.06298837844153082</v>
      </c>
      <c r="H544" s="32">
        <f>IFERROR((H532-$H$222*(H514+H517+H520))/H513-1,"n/a")</f>
        <v>0.00498360600569181</v>
      </c>
    </row>
    <row r="545">
      <c r="B545" s="25" t="s">
        <v>157</v>
      </c>
      <c r="C545" s="40" t="s">
        <v>37</v>
      </c>
      <c r="D545" s="40">
        <f>(D544-C544)*10000</f>
        <v>-153.1171631557493</v>
      </c>
      <c r="E545" s="40">
        <f>(E544-D544)*10000</f>
        <v>25.645532013285344</v>
      </c>
      <c r="F545" s="40">
        <f>(F544-E544)*10000</f>
        <v>560.8873644187784</v>
      </c>
      <c r="H545" s="37">
        <f>(H544-F544)*10000</f>
        <v>-622.529882898688</v>
      </c>
    </row>
    <row r="546">
      <c r="B546" s="25" t="s">
        <v>158</v>
      </c>
      <c r="C546" s="40" t="s">
        <v>37</v>
      </c>
      <c r="D546" s="40" t="s">
        <v>37</v>
      </c>
      <c r="E546" s="40" t="s">
        <v>37</v>
      </c>
      <c r="F546" s="40" t="s">
        <v>37</v>
      </c>
      <c r="G546" s="40" t="s">
        <v>37</v>
      </c>
      <c r="H546" s="37">
        <f>(H544-C544)*10000</f>
        <v>-189.11414962237362</v>
      </c>
    </row>
    <row r="547">
      <c r="H547" s="39"/>
    </row>
    <row r="548">
      <c r="B548" s="2" t="s">
        <v>170</v>
      </c>
      <c r="H548" s="39"/>
    </row>
    <row r="549">
      <c r="B549" s="1" t="s">
        <v>147</v>
      </c>
      <c r="C549" s="4">
        <f>Inputs!F183</f>
        <v>969.701</v>
      </c>
      <c r="D549" s="6">
        <f>C565</f>
        <v>1004.729</v>
      </c>
      <c r="E549" s="6">
        <f>D565</f>
        <v>1080.7320000000002</v>
      </c>
      <c r="F549" s="6">
        <f>E565</f>
        <v>1073.323</v>
      </c>
      <c r="G549" s="4">
        <f>Inputs!G183</f>
        <v>920.663</v>
      </c>
      <c r="H549" s="30">
        <f>F565</f>
        <v>1068.847</v>
      </c>
    </row>
    <row r="550">
      <c r="B550" s="1" t="s">
        <v>148</v>
      </c>
      <c r="C550" s="23">
        <v>34.096</v>
      </c>
      <c r="D550" s="23">
        <v>73.913</v>
      </c>
      <c r="E550" s="23">
        <v>-6.177</v>
      </c>
      <c r="F550" s="23">
        <v>-7.434</v>
      </c>
      <c r="G550" s="23">
        <v>130.774</v>
      </c>
      <c r="H550" s="35">
        <v>8</v>
      </c>
    </row>
    <row r="551">
      <c r="B551" s="25" t="s">
        <v>149</v>
      </c>
      <c r="C551" s="6" t="s">
        <v>37</v>
      </c>
      <c r="D551" s="6" t="s">
        <v>37</v>
      </c>
      <c r="E551" s="6" t="s">
        <v>37</v>
      </c>
      <c r="F551" s="6" t="s">
        <v>37</v>
      </c>
      <c r="G551" s="6" t="s">
        <v>37</v>
      </c>
      <c r="H551" s="30">
        <f>H550-C550</f>
        <v>-26.095999999999997</v>
      </c>
    </row>
    <row r="552">
      <c r="B552" s="25" t="s">
        <v>150</v>
      </c>
      <c r="C552" s="6" t="s">
        <v>37</v>
      </c>
      <c r="D552" s="6">
        <f>D550-C550</f>
        <v>39.817</v>
      </c>
      <c r="E552" s="6">
        <f>E550-D550</f>
        <v>-80.09</v>
      </c>
      <c r="F552" s="6">
        <f>F550-E550</f>
        <v>-1.2570000000000006</v>
      </c>
      <c r="H552" s="30">
        <f>H550-F550</f>
        <v>15.434000000000001</v>
      </c>
    </row>
    <row r="553">
      <c r="B553" s="1" t="s">
        <v>151</v>
      </c>
      <c r="C553" s="23">
        <v>0</v>
      </c>
      <c r="D553" s="23">
        <v>0</v>
      </c>
      <c r="E553" s="23">
        <v>0</v>
      </c>
      <c r="F553" s="23">
        <v>0</v>
      </c>
      <c r="G553" s="23">
        <v>0</v>
      </c>
      <c r="H553" s="35">
        <v>0</v>
      </c>
    </row>
    <row r="554">
      <c r="B554" s="25" t="s">
        <v>149</v>
      </c>
      <c r="C554" s="6" t="s">
        <v>37</v>
      </c>
      <c r="D554" s="6" t="s">
        <v>37</v>
      </c>
      <c r="E554" s="6" t="s">
        <v>37</v>
      </c>
      <c r="F554" s="6" t="s">
        <v>37</v>
      </c>
      <c r="G554" s="6" t="s">
        <v>37</v>
      </c>
      <c r="H554" s="30">
        <f>H553-C553</f>
        <v>0</v>
      </c>
    </row>
    <row r="555">
      <c r="B555" s="25" t="s">
        <v>150</v>
      </c>
      <c r="C555" s="6" t="s">
        <v>37</v>
      </c>
      <c r="D555" s="6">
        <f>D553-C553</f>
        <v>0</v>
      </c>
      <c r="E555" s="6">
        <f>E553-D553</f>
        <v>0</v>
      </c>
      <c r="F555" s="6">
        <f>F553-E553</f>
        <v>0</v>
      </c>
      <c r="H555" s="30">
        <f>H553-F553</f>
        <v>0</v>
      </c>
    </row>
    <row r="556">
      <c r="B556" s="1" t="s">
        <v>152</v>
      </c>
      <c r="C556" s="23">
        <v>0</v>
      </c>
      <c r="D556" s="23">
        <v>0</v>
      </c>
      <c r="E556" s="23">
        <v>0</v>
      </c>
      <c r="F556" s="23">
        <v>0</v>
      </c>
      <c r="G556" s="23">
        <v>0</v>
      </c>
      <c r="H556" s="35">
        <v>0</v>
      </c>
    </row>
    <row r="557">
      <c r="B557" s="25" t="s">
        <v>149</v>
      </c>
      <c r="C557" s="6" t="s">
        <v>37</v>
      </c>
      <c r="D557" s="6" t="s">
        <v>37</v>
      </c>
      <c r="E557" s="6" t="s">
        <v>37</v>
      </c>
      <c r="F557" s="6" t="s">
        <v>37</v>
      </c>
      <c r="G557" s="6" t="s">
        <v>37</v>
      </c>
      <c r="H557" s="30">
        <f>H556-C556</f>
        <v>0</v>
      </c>
    </row>
    <row r="558">
      <c r="B558" s="25" t="s">
        <v>150</v>
      </c>
      <c r="C558" s="6" t="s">
        <v>37</v>
      </c>
      <c r="D558" s="6">
        <f>D556-C556</f>
        <v>0</v>
      </c>
      <c r="E558" s="6">
        <f>E556-D556</f>
        <v>0</v>
      </c>
      <c r="F558" s="6">
        <f>F556-E556</f>
        <v>0</v>
      </c>
      <c r="H558" s="30">
        <f>H556-F556</f>
        <v>0</v>
      </c>
    </row>
    <row r="559">
      <c r="B559" s="1" t="s">
        <v>153</v>
      </c>
      <c r="C559" s="23">
        <v>2.266</v>
      </c>
      <c r="D559" s="23">
        <v>2.246</v>
      </c>
      <c r="E559" s="23">
        <v>2.206</v>
      </c>
      <c r="F559" s="23">
        <v>3.138</v>
      </c>
      <c r="G559" s="23">
        <v>10.054</v>
      </c>
      <c r="H559" s="30">
        <f>H549*H574</f>
        <v>3.206541</v>
      </c>
    </row>
    <row r="560">
      <c r="B560" s="25" t="s">
        <v>149</v>
      </c>
      <c r="C560" s="6" t="s">
        <v>37</v>
      </c>
      <c r="D560" s="6" t="s">
        <v>37</v>
      </c>
      <c r="E560" s="6" t="s">
        <v>37</v>
      </c>
      <c r="F560" s="6" t="s">
        <v>37</v>
      </c>
      <c r="G560" s="6" t="s">
        <v>37</v>
      </c>
      <c r="H560" s="30">
        <f>H559-C559</f>
        <v>0.9405410000000001</v>
      </c>
    </row>
    <row r="561">
      <c r="B561" s="25" t="s">
        <v>150</v>
      </c>
      <c r="C561" s="6" t="s">
        <v>37</v>
      </c>
      <c r="D561" s="6">
        <f>D559-C559</f>
        <v>-0.020000000000000018</v>
      </c>
      <c r="E561" s="6">
        <f>E559-D559</f>
        <v>-0.040000000000000036</v>
      </c>
      <c r="F561" s="6">
        <f>F559-E559</f>
        <v>0.9319999999999999</v>
      </c>
      <c r="H561" s="30">
        <f>H559-F559</f>
        <v>0.06854100000000019</v>
      </c>
    </row>
    <row r="562">
      <c r="B562" s="1" t="s">
        <v>133</v>
      </c>
      <c r="C562" s="23">
        <v>-1.334</v>
      </c>
      <c r="D562" s="23">
        <v>-0.156</v>
      </c>
      <c r="E562" s="23">
        <v>-3.438</v>
      </c>
      <c r="F562" s="23">
        <v>-0.18</v>
      </c>
      <c r="G562" s="23">
        <v>19.241</v>
      </c>
      <c r="H562" s="30">
        <f>H549*H577</f>
        <v>0</v>
      </c>
    </row>
    <row r="563">
      <c r="B563" s="25" t="s">
        <v>149</v>
      </c>
      <c r="C563" s="6" t="s">
        <v>37</v>
      </c>
      <c r="D563" s="6" t="s">
        <v>37</v>
      </c>
      <c r="E563" s="6" t="s">
        <v>37</v>
      </c>
      <c r="F563" s="6" t="s">
        <v>37</v>
      </c>
      <c r="G563" s="6" t="s">
        <v>37</v>
      </c>
      <c r="H563" s="30">
        <f>H562-C562</f>
        <v>1.334</v>
      </c>
    </row>
    <row r="564">
      <c r="B564" s="25" t="s">
        <v>150</v>
      </c>
      <c r="C564" s="6" t="s">
        <v>37</v>
      </c>
      <c r="D564" s="6">
        <f>D562-C562</f>
        <v>1.1780000000000002</v>
      </c>
      <c r="E564" s="6">
        <f>E562-D562</f>
        <v>-3.282</v>
      </c>
      <c r="F564" s="6">
        <f>F562-E562</f>
        <v>3.258</v>
      </c>
      <c r="H564" s="30">
        <f>H562-F562</f>
        <v>0.18</v>
      </c>
    </row>
    <row r="565">
      <c r="B565" s="2" t="s">
        <v>154</v>
      </c>
      <c r="C565" s="42">
        <f>C549+C550+C553+C556+C559+C562</f>
        <v>1004.729</v>
      </c>
      <c r="D565" s="42">
        <f>D549+D550+D553+D556+D559+D562</f>
        <v>1080.7320000000002</v>
      </c>
      <c r="E565" s="42">
        <f>E549+E550+E553+E556+E559+E562</f>
        <v>1073.323</v>
      </c>
      <c r="F565" s="42">
        <f>F549+F550+F553+F556+F559+F562</f>
        <v>1068.847</v>
      </c>
      <c r="G565" s="42">
        <f>G549+G550+G553+G556+G559+G562</f>
        <v>1080.732</v>
      </c>
      <c r="H565" s="41">
        <f>H549+H550+H553+H556+H559+H562</f>
        <v>1080.053541</v>
      </c>
    </row>
    <row r="566">
      <c r="B566" s="25" t="s">
        <v>101</v>
      </c>
      <c r="C566" s="21">
        <f>IFERROR(C565/Inputs!C183-1,"n/a")</f>
        <v>0.18288718805444404</v>
      </c>
      <c r="D566" s="21">
        <f>IFERROR(D565/Inputs!D183-1,"n/a")</f>
        <v>0.1738627489102964</v>
      </c>
      <c r="E566" s="21">
        <f>IFERROR(E565/Inputs!E183-1,"n/a")</f>
        <v>0.15332450780865536</v>
      </c>
      <c r="F566" s="21">
        <f>IFERROR(F565/Inputs!F183-1,"n/a")</f>
        <v>0.10224388754884228</v>
      </c>
      <c r="G566" s="21">
        <f>IFERROR(G565/Inputs!G183-1,"n/a")</f>
        <v>0.17386274891029618</v>
      </c>
      <c r="H566" s="32">
        <f>IFERROR(H565/C565-1,"n/a")</f>
        <v>0.07497000783295782</v>
      </c>
    </row>
    <row r="567">
      <c r="B567" s="25" t="s">
        <v>102</v>
      </c>
      <c r="C567" s="21">
        <f>IFERROR(C565/Inputs!F183-1,"n/a")</f>
        <v>0.03612247486596387</v>
      </c>
      <c r="D567" s="16">
        <f>IFERROR(D565/C565-1,"n/a")</f>
        <v>0.0756452735016111</v>
      </c>
      <c r="E567" s="16">
        <f>IFERROR(E565/D565-1,"n/a")</f>
        <v>-0.006855538653431248</v>
      </c>
      <c r="F567" s="16">
        <f>IFERROR(F565/E565-1,"n/a")</f>
        <v>-0.004170226483547035</v>
      </c>
      <c r="H567" s="32">
        <f>IFERROR(H565/F565-1,"n/a")</f>
        <v>0.010484700803763403</v>
      </c>
    </row>
    <row r="568">
      <c r="B568" s="2" t="s">
        <v>155</v>
      </c>
      <c r="C568" s="29">
        <v>984.6</v>
      </c>
      <c r="D568" s="29">
        <v>1036.912</v>
      </c>
      <c r="E568" s="29">
        <v>1072.769</v>
      </c>
      <c r="F568" s="29">
        <v>1074.69</v>
      </c>
      <c r="G568" s="29">
        <v>975.78</v>
      </c>
      <c r="H568" s="55">
        <f>H549*(1+H580)+$H$222*(H550+H553)</f>
        <v>1073.9158469999998</v>
      </c>
    </row>
    <row r="569">
      <c r="B569" s="25" t="s">
        <v>101</v>
      </c>
      <c r="C569" s="16" t="s">
        <v>37</v>
      </c>
      <c r="D569" s="16" t="s">
        <v>37</v>
      </c>
      <c r="E569" s="16" t="s">
        <v>37</v>
      </c>
      <c r="F569" s="16" t="s">
        <v>37</v>
      </c>
      <c r="G569" s="16" t="s">
        <v>37</v>
      </c>
      <c r="H569" s="32">
        <f>IFERROR(H568/C568-1,"n/a")</f>
        <v>0.09071282449725748</v>
      </c>
    </row>
    <row r="570">
      <c r="B570" s="25" t="s">
        <v>102</v>
      </c>
      <c r="C570" s="16" t="s">
        <v>37</v>
      </c>
      <c r="D570" s="16">
        <f>IFERROR(D568/C568-1,"n/a")</f>
        <v>0.053130205159455546</v>
      </c>
      <c r="E570" s="16">
        <f>IFERROR(E568/D568-1,"n/a")</f>
        <v>0.03458056228493822</v>
      </c>
      <c r="F570" s="16">
        <f>IFERROR(F568/E568-1,"n/a")</f>
        <v>0.001790693056939574</v>
      </c>
      <c r="H570" s="32">
        <f>IFERROR(H568/F568-1,"n/a")</f>
        <v>-0.0007203500544346042</v>
      </c>
    </row>
    <row r="571">
      <c r="B571" s="25" t="s">
        <v>156</v>
      </c>
      <c r="C571" s="16">
        <f>IFERROR((C550)/C549*365/C$7,"n/a")</f>
        <v>0.13949884955573258</v>
      </c>
      <c r="D571" s="16">
        <f>IFERROR((D550)/D549*365/D$7,"n/a")</f>
        <v>0.2918615800661281</v>
      </c>
      <c r="E571" s="16">
        <f>IFERROR((E550)/E549*365/E$7,"n/a")</f>
        <v>-0.023179813928584203</v>
      </c>
      <c r="F571" s="16">
        <f>IFERROR((F550)/F549*365/F$7,"n/a")</f>
        <v>-0.02778072612595864</v>
      </c>
      <c r="G571" s="16">
        <f>IFERROR((G550)/G549*365/G$7,"n/a")</f>
        <v>0.1420432883693599</v>
      </c>
      <c r="H571" s="32">
        <f>IFERROR((H550)/H549*365/H$7,"n/a")</f>
        <v>0.029694736884495733</v>
      </c>
    </row>
    <row r="572">
      <c r="B572" s="25" t="s">
        <v>157</v>
      </c>
      <c r="C572" s="40" t="s">
        <v>37</v>
      </c>
      <c r="D572" s="40">
        <f>(D571-C571)*10000</f>
        <v>1523.6273051039552</v>
      </c>
      <c r="E572" s="40">
        <f>(E571-D571)*10000</f>
        <v>-3150.4139399471233</v>
      </c>
      <c r="F572" s="40">
        <f>(F571-E571)*10000</f>
        <v>-46.009121973744385</v>
      </c>
      <c r="H572" s="37">
        <f>(H571-F571)*10000</f>
        <v>574.7546301045438</v>
      </c>
    </row>
    <row r="573">
      <c r="B573" s="25" t="s">
        <v>158</v>
      </c>
      <c r="C573" s="40" t="s">
        <v>37</v>
      </c>
      <c r="D573" s="40" t="s">
        <v>37</v>
      </c>
      <c r="E573" s="40" t="s">
        <v>37</v>
      </c>
      <c r="F573" s="40" t="s">
        <v>37</v>
      </c>
      <c r="G573" s="40" t="s">
        <v>37</v>
      </c>
      <c r="H573" s="37">
        <f>(H571-C571)*10000</f>
        <v>-1098.0411267123686</v>
      </c>
    </row>
    <row r="574">
      <c r="B574" s="25" t="s">
        <v>159</v>
      </c>
      <c r="C574" s="16">
        <f>IFERROR(C559/C549,"n/a")</f>
        <v>0.002336802787663414</v>
      </c>
      <c r="D574" s="16">
        <f>IFERROR(D559/D549,"n/a")</f>
        <v>0.0022354286578769</v>
      </c>
      <c r="E574" s="16">
        <f>IFERROR(E559/E549,"n/a")</f>
        <v>0.0020412091064204627</v>
      </c>
      <c r="F574" s="16">
        <f>IFERROR(F559/F549,"n/a")</f>
        <v>0.0029236306312265736</v>
      </c>
      <c r="G574" s="16">
        <f>IFERROR(G559/G549,"n/a")</f>
        <v>0.010920391066003522</v>
      </c>
      <c r="H574" s="43">
        <v>0.003</v>
      </c>
    </row>
    <row r="575">
      <c r="B575" s="25" t="s">
        <v>157</v>
      </c>
      <c r="C575" s="40" t="s">
        <v>37</v>
      </c>
      <c r="D575" s="40">
        <f>(D574-C574)*10000</f>
        <v>-1.01374129786514</v>
      </c>
      <c r="E575" s="40">
        <f>(E574-D574)*10000</f>
        <v>-1.942195514564372</v>
      </c>
      <c r="F575" s="40">
        <f>(F574-E574)*10000</f>
        <v>8.824215248061108</v>
      </c>
      <c r="H575" s="37">
        <f>(H574-F574)*10000</f>
        <v>0.7636936877342647</v>
      </c>
    </row>
    <row r="576">
      <c r="B576" s="25" t="s">
        <v>158</v>
      </c>
      <c r="C576" s="40" t="s">
        <v>37</v>
      </c>
      <c r="D576" s="40" t="s">
        <v>37</v>
      </c>
      <c r="E576" s="40" t="s">
        <v>37</v>
      </c>
      <c r="F576" s="40" t="s">
        <v>37</v>
      </c>
      <c r="G576" s="40" t="s">
        <v>37</v>
      </c>
      <c r="H576" s="37">
        <f>(H574-C574)*10000</f>
        <v>6.631972123365862</v>
      </c>
    </row>
    <row r="577">
      <c r="B577" s="25" t="s">
        <v>160</v>
      </c>
      <c r="C577" s="16">
        <f>IFERROR(C562/C549,"n/a")</f>
        <v>-0.0013756817823225923</v>
      </c>
      <c r="D577" s="16">
        <f>IFERROR(D562/D549,"n/a")</f>
        <v>-0.00015526574827640088</v>
      </c>
      <c r="E577" s="16">
        <f>IFERROR(E562/E549,"n/a")</f>
        <v>-0.0031811772021185635</v>
      </c>
      <c r="F577" s="16">
        <f>IFERROR(F562/F549,"n/a")</f>
        <v>-0.00016770347789062562</v>
      </c>
      <c r="G577" s="16">
        <f>IFERROR(G562/G549,"n/a")</f>
        <v>0.020899069474932738</v>
      </c>
      <c r="H577" s="43">
        <v>0</v>
      </c>
    </row>
    <row r="578">
      <c r="B578" s="25" t="s">
        <v>157</v>
      </c>
      <c r="C578" s="40" t="s">
        <v>37</v>
      </c>
      <c r="D578" s="40">
        <f>(D577-C577)*10000</f>
        <v>12.204160340461915</v>
      </c>
      <c r="E578" s="40">
        <f>(E577-D577)*10000</f>
        <v>-30.259114538421628</v>
      </c>
      <c r="F578" s="40">
        <f>(F577-E577)*10000</f>
        <v>30.13473724227938</v>
      </c>
      <c r="H578" s="37">
        <f>(H577-F577)*10000</f>
        <v>1.6770347789062563</v>
      </c>
    </row>
    <row r="579">
      <c r="B579" s="25" t="s">
        <v>158</v>
      </c>
      <c r="C579" s="40" t="s">
        <v>37</v>
      </c>
      <c r="D579" s="40" t="s">
        <v>37</v>
      </c>
      <c r="E579" s="40" t="s">
        <v>37</v>
      </c>
      <c r="F579" s="40" t="s">
        <v>37</v>
      </c>
      <c r="G579" s="40" t="s">
        <v>37</v>
      </c>
      <c r="H579" s="37">
        <f>(H577-C577)*10000</f>
        <v>13.756817823225923</v>
      </c>
    </row>
    <row r="580">
      <c r="B580" s="25" t="s">
        <v>161</v>
      </c>
      <c r="C580" s="16">
        <f>IFERROR((C568-$H$222*(C550+C553+C556))/C549-1,"n/a")</f>
        <v>-0.0022161470391388605</v>
      </c>
      <c r="D580" s="16">
        <f>IFERROR((D568-$H$222*(D550+D553+D556))/D549-1,"n/a")</f>
        <v>-0.004751032367932062</v>
      </c>
      <c r="E580" s="16">
        <f>IFERROR((E568-$H$222*(E550+E553+E556))/E549-1,"n/a")</f>
        <v>-0.00451036889811729</v>
      </c>
      <c r="F580" s="16">
        <f>IFERROR((F568-$H$222*(F550+F553+F556))/F549-1,"n/a")</f>
        <v>0.004736691564422024</v>
      </c>
      <c r="G580" s="16">
        <f>IFERROR((G568-$H$222*(G550+G553+G556))/G549-1,"n/a")</f>
        <v>-0.011155004599945895</v>
      </c>
      <c r="H580" s="43">
        <v>0.001</v>
      </c>
    </row>
    <row r="581">
      <c r="B581" s="25" t="s">
        <v>157</v>
      </c>
      <c r="C581" s="40" t="s">
        <v>37</v>
      </c>
      <c r="D581" s="40">
        <f>(D580-C580)*10000</f>
        <v>-25.348853287932016</v>
      </c>
      <c r="E581" s="40">
        <f>(E580-D580)*10000</f>
        <v>2.406634698147725</v>
      </c>
      <c r="F581" s="40">
        <f>(F580-E580)*10000</f>
        <v>92.47060462539314</v>
      </c>
      <c r="H581" s="37">
        <f>(H580-F580)*10000</f>
        <v>-37.36691564422024</v>
      </c>
    </row>
    <row r="582">
      <c r="B582" s="25" t="s">
        <v>158</v>
      </c>
      <c r="C582" s="40" t="s">
        <v>37</v>
      </c>
      <c r="D582" s="40" t="s">
        <v>37</v>
      </c>
      <c r="E582" s="40" t="s">
        <v>37</v>
      </c>
      <c r="F582" s="40" t="s">
        <v>37</v>
      </c>
      <c r="G582" s="40" t="s">
        <v>37</v>
      </c>
      <c r="H582" s="37">
        <f>(H580-C580)*10000</f>
        <v>32.161470391388605</v>
      </c>
    </row>
    <row r="583">
      <c r="H583" s="39"/>
    </row>
    <row r="584">
      <c r="B584" s="2" t="s">
        <v>171</v>
      </c>
      <c r="H584" s="39"/>
    </row>
    <row r="585">
      <c r="B585" s="1" t="s">
        <v>147</v>
      </c>
      <c r="C585" s="6">
        <f>C513+C549</f>
        <v>12527.59</v>
      </c>
      <c r="D585" s="6">
        <f>D513+D549</f>
        <v>13463.625000000002</v>
      </c>
      <c r="E585" s="6">
        <f>E513+E549</f>
        <v>14041.518</v>
      </c>
      <c r="F585" s="6">
        <f>F513+F549</f>
        <v>13894.6</v>
      </c>
      <c r="G585" s="6">
        <f>G513+G549</f>
        <v>11551.251000000002</v>
      </c>
      <c r="H585" s="30">
        <f>H513+H549</f>
        <v>15344.624000000002</v>
      </c>
    </row>
    <row r="586">
      <c r="B586" s="1" t="s">
        <v>148</v>
      </c>
      <c r="C586" s="6">
        <f>C514+C550</f>
        <v>204.642</v>
      </c>
      <c r="D586" s="6">
        <f>D514+D550</f>
        <v>341.711</v>
      </c>
      <c r="E586" s="6">
        <f>E514+E550</f>
        <v>129.72400000000002</v>
      </c>
      <c r="F586" s="6">
        <f>F514+F550</f>
        <v>191.69999999999996</v>
      </c>
      <c r="G586" s="6">
        <f>G514+G550</f>
        <v>698.261</v>
      </c>
      <c r="H586" s="30">
        <f>H514+H550</f>
        <v>174</v>
      </c>
    </row>
    <row r="587">
      <c r="B587" s="25" t="s">
        <v>149</v>
      </c>
      <c r="C587" s="4">
        <f>C586-Inputs!C185</f>
        <v>-16.53800000000001</v>
      </c>
      <c r="D587" s="4">
        <f>D586-Inputs!D185</f>
        <v>60.295000000000016</v>
      </c>
      <c r="E587" s="4">
        <f>E586-Inputs!E185</f>
        <v>45.55300000000001</v>
      </c>
      <c r="F587" s="4">
        <f>F586-Inputs!F185</f>
        <v>123.96299999999997</v>
      </c>
      <c r="G587" s="4">
        <f>G586-Inputs!G185</f>
        <v>56.90999999999997</v>
      </c>
      <c r="H587" s="30">
        <f>H586-C586</f>
        <v>-30.641999999999996</v>
      </c>
    </row>
    <row r="588">
      <c r="B588" s="25" t="s">
        <v>150</v>
      </c>
      <c r="C588" s="4">
        <f>C586-Inputs!F185</f>
        <v>136.905</v>
      </c>
      <c r="D588" s="6">
        <f>D586-C586</f>
        <v>137.06900000000002</v>
      </c>
      <c r="E588" s="6">
        <f>E586-D586</f>
        <v>-211.987</v>
      </c>
      <c r="F588" s="6">
        <f>F586-E586</f>
        <v>61.97599999999994</v>
      </c>
      <c r="H588" s="30">
        <f>H586-F586</f>
        <v>-17.69999999999996</v>
      </c>
    </row>
    <row r="589">
      <c r="B589" s="1" t="s">
        <v>151</v>
      </c>
      <c r="C589" s="6">
        <f>C517+C553</f>
        <v>-7.291</v>
      </c>
      <c r="D589" s="6">
        <f>D517+D553</f>
        <v>-11.066999999999998</v>
      </c>
      <c r="E589" s="6">
        <f>E517+E553</f>
        <v>-10.123000000000001</v>
      </c>
      <c r="F589" s="6">
        <f>F517+F553</f>
        <v>-7.194</v>
      </c>
      <c r="G589" s="6">
        <f>G517+G553</f>
        <v>-33.125</v>
      </c>
      <c r="H589" s="30">
        <f>H517+H553</f>
        <v>-8</v>
      </c>
    </row>
    <row r="590">
      <c r="B590" s="25" t="s">
        <v>149</v>
      </c>
      <c r="C590" s="6" t="s">
        <v>37</v>
      </c>
      <c r="D590" s="6" t="s">
        <v>37</v>
      </c>
      <c r="E590" s="6" t="s">
        <v>37</v>
      </c>
      <c r="F590" s="6" t="s">
        <v>37</v>
      </c>
      <c r="G590" s="6" t="s">
        <v>37</v>
      </c>
      <c r="H590" s="30">
        <f>H589-C589</f>
        <v>-0.7089999999999996</v>
      </c>
    </row>
    <row r="591">
      <c r="B591" s="25" t="s">
        <v>150</v>
      </c>
      <c r="C591" s="6" t="s">
        <v>37</v>
      </c>
      <c r="D591" s="6">
        <f>D589-C589</f>
        <v>-3.775999999999998</v>
      </c>
      <c r="E591" s="6">
        <f>E589-D589</f>
        <v>0.9439999999999973</v>
      </c>
      <c r="F591" s="6">
        <f>F589-E589</f>
        <v>2.929000000000001</v>
      </c>
      <c r="H591" s="30">
        <f>H589-F589</f>
        <v>-0.806</v>
      </c>
    </row>
    <row r="592">
      <c r="B592" s="1" t="s">
        <v>152</v>
      </c>
      <c r="C592" s="6">
        <f>C520+C556</f>
        <v>120.96099999999998</v>
      </c>
      <c r="D592" s="6">
        <f>D520+D556</f>
        <v>0</v>
      </c>
      <c r="E592" s="6">
        <f>E520+E556</f>
        <v>0</v>
      </c>
      <c r="F592" s="6">
        <f>F520+F556</f>
        <v>0</v>
      </c>
      <c r="G592" s="6">
        <f>G520+G556</f>
        <v>120.96099999999998</v>
      </c>
      <c r="H592" s="30">
        <f>H520+H556</f>
        <v>0</v>
      </c>
    </row>
    <row r="593">
      <c r="B593" s="25" t="s">
        <v>149</v>
      </c>
      <c r="C593" s="6" t="s">
        <v>37</v>
      </c>
      <c r="D593" s="6" t="s">
        <v>37</v>
      </c>
      <c r="E593" s="6" t="s">
        <v>37</v>
      </c>
      <c r="F593" s="6" t="s">
        <v>37</v>
      </c>
      <c r="G593" s="6" t="s">
        <v>37</v>
      </c>
      <c r="H593" s="30">
        <f>H592-C592</f>
        <v>-120.96099999999998</v>
      </c>
    </row>
    <row r="594">
      <c r="B594" s="25" t="s">
        <v>150</v>
      </c>
      <c r="C594" s="6" t="s">
        <v>37</v>
      </c>
      <c r="D594" s="6">
        <f>D592-C592</f>
        <v>-120.96099999999998</v>
      </c>
      <c r="E594" s="6">
        <f>E592-D592</f>
        <v>0</v>
      </c>
      <c r="F594" s="6">
        <f>F592-E592</f>
        <v>0</v>
      </c>
      <c r="H594" s="30">
        <f>H592-F592</f>
        <v>0</v>
      </c>
    </row>
    <row r="595">
      <c r="B595" s="1" t="s">
        <v>153</v>
      </c>
      <c r="C595" s="6">
        <f>C523+C559</f>
        <v>642.8259999999999</v>
      </c>
      <c r="D595" s="6">
        <f>D523+D559</f>
        <v>264.928</v>
      </c>
      <c r="E595" s="6">
        <f>E523+E559</f>
        <v>-216.451</v>
      </c>
      <c r="F595" s="6">
        <f>F523+F559</f>
        <v>1283.638</v>
      </c>
      <c r="G595" s="6">
        <f>G523+G559</f>
        <v>1483.6290000000001</v>
      </c>
      <c r="H595" s="30">
        <f>H523+H559</f>
        <v>88.8173463713242</v>
      </c>
    </row>
    <row r="596">
      <c r="B596" s="25" t="s">
        <v>149</v>
      </c>
      <c r="C596" s="6" t="s">
        <v>37</v>
      </c>
      <c r="D596" s="6" t="s">
        <v>37</v>
      </c>
      <c r="E596" s="6" t="s">
        <v>37</v>
      </c>
      <c r="F596" s="6" t="s">
        <v>37</v>
      </c>
      <c r="G596" s="6" t="s">
        <v>37</v>
      </c>
      <c r="H596" s="30">
        <f>H595-C595</f>
        <v>-554.0086536286757</v>
      </c>
    </row>
    <row r="597">
      <c r="B597" s="25" t="s">
        <v>150</v>
      </c>
      <c r="C597" s="6" t="s">
        <v>37</v>
      </c>
      <c r="D597" s="6">
        <f>D595-C595</f>
        <v>-377.8979999999999</v>
      </c>
      <c r="E597" s="6">
        <f>E595-D595</f>
        <v>-481.379</v>
      </c>
      <c r="F597" s="6">
        <f>F595-E595</f>
        <v>1500.089</v>
      </c>
      <c r="H597" s="30">
        <f>H595-F595</f>
        <v>-1194.8206536286757</v>
      </c>
    </row>
    <row r="598">
      <c r="B598" s="1" t="s">
        <v>133</v>
      </c>
      <c r="C598" s="6">
        <f>C526+C562</f>
        <v>-25.103</v>
      </c>
      <c r="D598" s="6">
        <f>D526+D562</f>
        <v>-17.678999999999995</v>
      </c>
      <c r="E598" s="6">
        <f>E526+E562</f>
        <v>-50.068000000000005</v>
      </c>
      <c r="F598" s="6">
        <f>F526+F562</f>
        <v>-18.12</v>
      </c>
      <c r="G598" s="6">
        <f>G526+G562</f>
        <v>220.541</v>
      </c>
      <c r="H598" s="30">
        <f>H526+H562</f>
        <v>0</v>
      </c>
    </row>
    <row r="599">
      <c r="B599" s="25" t="s">
        <v>149</v>
      </c>
      <c r="C599" s="6" t="s">
        <v>37</v>
      </c>
      <c r="D599" s="6" t="s">
        <v>37</v>
      </c>
      <c r="E599" s="6" t="s">
        <v>37</v>
      </c>
      <c r="F599" s="6" t="s">
        <v>37</v>
      </c>
      <c r="G599" s="6" t="s">
        <v>37</v>
      </c>
      <c r="H599" s="30">
        <f>H598-C598</f>
        <v>25.103</v>
      </c>
    </row>
    <row r="600">
      <c r="B600" s="25" t="s">
        <v>150</v>
      </c>
      <c r="C600" s="6" t="s">
        <v>37</v>
      </c>
      <c r="D600" s="6">
        <f>D598-C598</f>
        <v>7.424000000000007</v>
      </c>
      <c r="E600" s="6">
        <f>E598-D598</f>
        <v>-32.38900000000001</v>
      </c>
      <c r="F600" s="6">
        <f>F598-E598</f>
        <v>31.948000000000004</v>
      </c>
      <c r="H600" s="30">
        <f>H598-F598</f>
        <v>18.12</v>
      </c>
    </row>
    <row r="601">
      <c r="B601" s="2" t="s">
        <v>154</v>
      </c>
      <c r="C601" s="42">
        <f>C585+C586+C589+C592+C595+C598</f>
        <v>13463.625</v>
      </c>
      <c r="D601" s="42">
        <f>D585+D586+D589+D592+D595+D598</f>
        <v>14041.518000000002</v>
      </c>
      <c r="E601" s="42">
        <f>E585+E586+E589+E592+E595+E598</f>
        <v>13894.600000000002</v>
      </c>
      <c r="F601" s="42">
        <f>F585+F586+F589+F592+F595+F598</f>
        <v>15344.624000000002</v>
      </c>
      <c r="G601" s="42">
        <f>G585+G586+G589+G592+G595+G598</f>
        <v>14041.518000000002</v>
      </c>
      <c r="H601" s="41">
        <f>H585+H586+H589+H592+H595+H598</f>
        <v>15599.441346371326</v>
      </c>
    </row>
    <row r="602">
      <c r="B602" s="25" t="s">
        <v>101</v>
      </c>
      <c r="C602" s="21">
        <f>IFERROR(C601/Inputs!C175-1,"n/a")</f>
        <v>0.1732636408332915</v>
      </c>
      <c r="D602" s="21">
        <f>IFERROR(D601/Inputs!D175-1,"n/a")</f>
        <v>0.21558418218078734</v>
      </c>
      <c r="E602" s="21">
        <f>IFERROR(E601/Inputs!E175-1,"n/a")</f>
        <v>0.19947223428874916</v>
      </c>
      <c r="F602" s="21">
        <f>IFERROR(F601/Inputs!F175-1,"n/a")</f>
        <v>0.22486639489319193</v>
      </c>
      <c r="G602" s="21">
        <f>IFERROR(G601/Inputs!G175-1,"n/a")</f>
        <v>0.21558418218078734</v>
      </c>
      <c r="H602" s="32">
        <f>IFERROR(H601/C601-1,"n/a")</f>
        <v>0.15863605428488436</v>
      </c>
    </row>
    <row r="603">
      <c r="B603" s="25" t="s">
        <v>102</v>
      </c>
      <c r="C603" s="21">
        <f>IFERROR(C601/Inputs!F175-1,"n/a")</f>
        <v>0.074717882689328</v>
      </c>
      <c r="D603" s="16">
        <f>IFERROR(D601/C601-1,"n/a")</f>
        <v>0.042922541291814165</v>
      </c>
      <c r="E603" s="16">
        <f>IFERROR(E601/D601-1,"n/a")</f>
        <v>-0.01046311374596387</v>
      </c>
      <c r="F603" s="16">
        <f>IFERROR(F601/E601-1,"n/a")</f>
        <v>0.1043588156550026</v>
      </c>
      <c r="H603" s="32">
        <f>IFERROR(H601/F601-1,"n/a")</f>
        <v>0.016606294580520542</v>
      </c>
    </row>
    <row r="604">
      <c r="B604" s="2" t="s">
        <v>155</v>
      </c>
      <c r="C604" s="58">
        <f>C532+C568</f>
        <v>12960.773</v>
      </c>
      <c r="D604" s="58">
        <f>D532+D568</f>
        <v>13731.112</v>
      </c>
      <c r="E604" s="58">
        <f>E532+E568</f>
        <v>14240.929</v>
      </c>
      <c r="F604" s="58">
        <f>F532+F568</f>
        <v>14853.996000000001</v>
      </c>
      <c r="G604" s="58">
        <f>G532+G568</f>
        <v>12603.633</v>
      </c>
      <c r="H604" s="55">
        <f>H532+H568</f>
        <v>15499.837694993119</v>
      </c>
    </row>
    <row r="605">
      <c r="B605" s="25" t="s">
        <v>101</v>
      </c>
      <c r="C605" s="21">
        <f>IFERROR(C604/Inputs!C184-1,"n/a")</f>
        <v>0.17069958858144596</v>
      </c>
      <c r="D605" s="21">
        <f>IFERROR(D604/Inputs!D184-1,"n/a")</f>
        <v>0.1882818075028596</v>
      </c>
      <c r="E605" s="21">
        <f>IFERROR(E604/Inputs!E184-1,"n/a")</f>
        <v>0.21833135424437589</v>
      </c>
      <c r="F605" s="21">
        <f>IFERROR(F604/Inputs!F184-1,"n/a")</f>
        <v>0.24043491560505803</v>
      </c>
      <c r="G605" s="21">
        <f>IFERROR(G604/Inputs!G184-1,"n/a")</f>
        <v>0.1665702363947006</v>
      </c>
      <c r="H605" s="32">
        <f>IFERROR(H604/C604-1,"n/a")</f>
        <v>0.19590380103047256</v>
      </c>
    </row>
    <row r="606">
      <c r="B606" s="25" t="s">
        <v>102</v>
      </c>
      <c r="C606" s="21">
        <f>IFERROR(C604/Inputs!F184-1,"n/a")</f>
        <v>0.08233470390266118</v>
      </c>
      <c r="D606" s="16">
        <f>IFERROR(D604/C604-1,"n/a")</f>
        <v>0.059436192578945723</v>
      </c>
      <c r="E606" s="16">
        <f>IFERROR(E604/D604-1,"n/a")</f>
        <v>0.037128602548722967</v>
      </c>
      <c r="F606" s="16">
        <f>IFERROR(F604/E604-1,"n/a")</f>
        <v>0.04304964935925182</v>
      </c>
      <c r="H606" s="32">
        <f>IFERROR(H604/F604-1,"n/a")</f>
        <v>0.04347932334121518</v>
      </c>
    </row>
    <row r="607">
      <c r="B607" s="25" t="s">
        <v>156</v>
      </c>
      <c r="C607" s="16">
        <f>IFERROR((C586)/C585*365/C$7,"n/a")</f>
        <v>0.06480854588187734</v>
      </c>
      <c r="D607" s="16">
        <f>IFERROR((D586)/D585*365/D$7,"n/a")</f>
        <v>0.1006936282019144</v>
      </c>
      <c r="E607" s="16">
        <f>IFERROR((E586)/E585*365/E$7,"n/a")</f>
        <v>0.03746766474172444</v>
      </c>
      <c r="F607" s="16">
        <f>IFERROR((F586)/F585*365/F$7,"n/a")</f>
        <v>0.0553385195260456</v>
      </c>
      <c r="G607" s="16">
        <f>IFERROR((G586)/G585*365/G$7,"n/a")</f>
        <v>0.060448950507611676</v>
      </c>
      <c r="H607" s="32">
        <f>IFERROR((H586)/H585*365/H$7,"n/a")</f>
        <v>0.04498813962183248</v>
      </c>
    </row>
    <row r="608">
      <c r="B608" s="25" t="s">
        <v>157</v>
      </c>
      <c r="C608" s="40" t="s">
        <v>37</v>
      </c>
      <c r="D608" s="40">
        <f>(D607-C607)*10000</f>
        <v>358.8508232003705</v>
      </c>
      <c r="E608" s="40">
        <f>(E607-D607)*10000</f>
        <v>-632.2596346018996</v>
      </c>
      <c r="F608" s="40">
        <f>(F607-E607)*10000</f>
        <v>178.70854784321162</v>
      </c>
      <c r="H608" s="37">
        <f>(H607-F607)*10000</f>
        <v>-103.5037990421312</v>
      </c>
    </row>
    <row r="609">
      <c r="B609" s="25" t="s">
        <v>158</v>
      </c>
      <c r="C609" s="40" t="s">
        <v>37</v>
      </c>
      <c r="D609" s="40" t="s">
        <v>37</v>
      </c>
      <c r="E609" s="40" t="s">
        <v>37</v>
      </c>
      <c r="F609" s="40" t="s">
        <v>37</v>
      </c>
      <c r="G609" s="40" t="s">
        <v>37</v>
      </c>
      <c r="H609" s="37">
        <f>(H607-C607)*10000</f>
        <v>-198.20406260044865</v>
      </c>
    </row>
    <row r="610">
      <c r="B610" s="25" t="s">
        <v>159</v>
      </c>
      <c r="C610" s="16">
        <f>IFERROR(C595/C585,"n/a")</f>
        <v>0.05131282233853438</v>
      </c>
      <c r="D610" s="16">
        <f>IFERROR(D595/D585,"n/a")</f>
        <v>0.01967731573034751</v>
      </c>
      <c r="E610" s="16">
        <f>IFERROR(E595/E585,"n/a")</f>
        <v>-0.015415071219507748</v>
      </c>
      <c r="F610" s="16">
        <f>IFERROR(F595/F585,"n/a")</f>
        <v>0.09238394772069725</v>
      </c>
      <c r="G610" s="16">
        <f>IFERROR(G595/G585,"n/a")</f>
        <v>0.12843881584773803</v>
      </c>
      <c r="H610" s="32">
        <f>IFERROR(H595/H585,"n/a")</f>
        <v>0.005788173523921095</v>
      </c>
    </row>
    <row r="611">
      <c r="B611" s="25" t="s">
        <v>157</v>
      </c>
      <c r="C611" s="40" t="s">
        <v>37</v>
      </c>
      <c r="D611" s="40">
        <f>(D610-C610)*10000</f>
        <v>-316.3550660818687</v>
      </c>
      <c r="E611" s="40">
        <f>(E610-D610)*10000</f>
        <v>-350.9238694985525</v>
      </c>
      <c r="F611" s="40">
        <f>(F610-E610)*10000</f>
        <v>1077.99018940205</v>
      </c>
      <c r="H611" s="37">
        <f>(H610-F610)*10000</f>
        <v>-865.9577419677615</v>
      </c>
    </row>
    <row r="612">
      <c r="B612" s="25" t="s">
        <v>158</v>
      </c>
      <c r="C612" s="40" t="s">
        <v>37</v>
      </c>
      <c r="D612" s="40" t="s">
        <v>37</v>
      </c>
      <c r="E612" s="40" t="s">
        <v>37</v>
      </c>
      <c r="F612" s="40" t="s">
        <v>37</v>
      </c>
      <c r="G612" s="40" t="s">
        <v>37</v>
      </c>
      <c r="H612" s="37">
        <f>(H610-C610)*10000</f>
        <v>-455.2464881461329</v>
      </c>
    </row>
    <row r="613">
      <c r="B613" s="25" t="s">
        <v>160</v>
      </c>
      <c r="C613" s="16">
        <f>IFERROR(C598/C585,"n/a")</f>
        <v>-0.002003817174731932</v>
      </c>
      <c r="D613" s="16">
        <f>IFERROR(D598/D585,"n/a")</f>
        <v>-0.0013130936133470734</v>
      </c>
      <c r="E613" s="16">
        <f>IFERROR(E598/E585,"n/a")</f>
        <v>-0.0035657113426055508</v>
      </c>
      <c r="F613" s="16">
        <f>IFERROR(F598/F585,"n/a")</f>
        <v>-0.0013041037525369568</v>
      </c>
      <c r="G613" s="16">
        <f>IFERROR(G598/G585,"n/a")</f>
        <v>0.01909239094536167</v>
      </c>
      <c r="H613" s="32">
        <f>IFERROR(H598/H585,"n/a")</f>
        <v>0</v>
      </c>
    </row>
    <row r="614">
      <c r="B614" s="25" t="s">
        <v>157</v>
      </c>
      <c r="C614" s="40" t="s">
        <v>37</v>
      </c>
      <c r="D614" s="40">
        <f>(D613-C613)*10000</f>
        <v>6.9072356138485835</v>
      </c>
      <c r="E614" s="40">
        <f>(E613-D613)*10000</f>
        <v>-22.526177292584777</v>
      </c>
      <c r="F614" s="40">
        <f>(F613-E613)*10000</f>
        <v>22.61607590068594</v>
      </c>
      <c r="H614" s="37">
        <f>(H613-F613)*10000</f>
        <v>13.041037525369568</v>
      </c>
    </row>
    <row r="615">
      <c r="B615" s="25" t="s">
        <v>158</v>
      </c>
      <c r="C615" s="40" t="s">
        <v>37</v>
      </c>
      <c r="D615" s="40" t="s">
        <v>37</v>
      </c>
      <c r="E615" s="40" t="s">
        <v>37</v>
      </c>
      <c r="F615" s="40" t="s">
        <v>37</v>
      </c>
      <c r="G615" s="40" t="s">
        <v>37</v>
      </c>
      <c r="H615" s="37">
        <f>(H613-C613)*10000</f>
        <v>20.038171747319318</v>
      </c>
    </row>
    <row r="616">
      <c r="B616" s="25" t="s">
        <v>161</v>
      </c>
      <c r="C616" s="16">
        <f>IFERROR((C604-$H$222*(C586+C589+C592))/C585-1,"n/a")</f>
        <v>0.02187387997212542</v>
      </c>
      <c r="D616" s="16">
        <f>IFERROR((D604-$H$222*(D586+D589+D592))/D585-1,"n/a")</f>
        <v>0.0075882238253068834</v>
      </c>
      <c r="E616" s="16">
        <f>IFERROR((E604-$H$222*(E586+E589+E592))/E585-1,"n/a")</f>
        <v>0.00994269280572091</v>
      </c>
      <c r="F616" s="16">
        <f>IFERROR((F604-$H$222*(F586+F589+F592))/F585-1,"n/a")</f>
        <v>0.06240863356987614</v>
      </c>
      <c r="G616" s="16">
        <f>IFERROR((G604-$H$222*(G586+G589+G592))/G585-1,"n/a")</f>
        <v>0.0570789691956306</v>
      </c>
      <c r="H616" s="32">
        <f>IFERROR((H604-$H$222*(H586+H589+H592))/H585-1,"n/a")</f>
        <v>0.004706123460119782</v>
      </c>
    </row>
    <row r="617">
      <c r="B617" s="25" t="s">
        <v>157</v>
      </c>
      <c r="C617" s="40" t="s">
        <v>37</v>
      </c>
      <c r="D617" s="40">
        <f>(D616-C616)*10000</f>
        <v>-142.85656146818536</v>
      </c>
      <c r="E617" s="40">
        <f>(E616-D616)*10000</f>
        <v>23.544689804140262</v>
      </c>
      <c r="F617" s="40">
        <f>(F616-E616)*10000</f>
        <v>524.6594076415523</v>
      </c>
      <c r="H617" s="37">
        <f>(H616-F616)*10000</f>
        <v>-577.0251010975636</v>
      </c>
    </row>
    <row r="618">
      <c r="B618" s="25" t="s">
        <v>158</v>
      </c>
      <c r="C618" s="40" t="s">
        <v>37</v>
      </c>
      <c r="D618" s="40" t="s">
        <v>37</v>
      </c>
      <c r="E618" s="40" t="s">
        <v>37</v>
      </c>
      <c r="F618" s="40" t="s">
        <v>37</v>
      </c>
      <c r="G618" s="40" t="s">
        <v>37</v>
      </c>
      <c r="H618" s="37">
        <f>(H616-C616)*10000</f>
        <v>-171.67756512005639</v>
      </c>
    </row>
    <row r="619">
      <c r="H619" s="39"/>
    </row>
    <row r="620">
      <c r="B620" s="1" t="s">
        <v>172</v>
      </c>
      <c r="C620" s="23">
        <v>13463.625</v>
      </c>
      <c r="D620" s="23">
        <v>14041.518</v>
      </c>
      <c r="E620" s="23">
        <v>13894.6</v>
      </c>
      <c r="F620" s="23">
        <v>15344.624</v>
      </c>
      <c r="G620" s="23">
        <v>14041.518</v>
      </c>
      <c r="H620" s="39"/>
    </row>
    <row r="621">
      <c r="B621" s="1" t="s">
        <v>173</v>
      </c>
      <c r="C621" s="6">
        <f>ROUND(C601-C620,1)</f>
        <v>0</v>
      </c>
      <c r="D621" s="6">
        <f>ROUND(D601-D620,1)</f>
        <v>0</v>
      </c>
      <c r="E621" s="6">
        <f>ROUND(E601-E620,1)</f>
        <v>0</v>
      </c>
      <c r="F621" s="6">
        <f>ROUND(F601-F620,1)</f>
        <v>0</v>
      </c>
      <c r="G621" s="6">
        <f>ROUND(G601-G620,1)</f>
        <v>0</v>
      </c>
      <c r="H621" s="39"/>
    </row>
    <row r="622">
      <c r="B622" s="1" t="s">
        <v>174</v>
      </c>
      <c r="C622" s="23">
        <v>12960.773</v>
      </c>
      <c r="D622" s="23">
        <v>13731.112</v>
      </c>
      <c r="E622" s="23">
        <v>14240.929</v>
      </c>
      <c r="F622" s="23">
        <v>14853.996</v>
      </c>
      <c r="G622" s="23">
        <v>12603.633</v>
      </c>
      <c r="H622" s="39"/>
    </row>
    <row r="623">
      <c r="B623" s="1" t="s">
        <v>175</v>
      </c>
      <c r="C623" s="6">
        <f>ROUND(C604-C622,0)</f>
        <v>0</v>
      </c>
      <c r="D623" s="6">
        <f>ROUND(D604-D622,0)</f>
        <v>0</v>
      </c>
      <c r="E623" s="6">
        <f>ROUND(E604-E622,0)</f>
        <v>0</v>
      </c>
      <c r="F623" s="6">
        <f>ROUND(F604-F622,0)</f>
        <v>0</v>
      </c>
      <c r="G623" s="6">
        <f>ROUND(G604-G622,0)</f>
        <v>0</v>
      </c>
      <c r="H623" s="39"/>
    </row>
    <row r="624">
      <c r="H624" s="39"/>
    </row>
    <row r="625">
      <c r="B625" s="34" t="s">
        <v>176</v>
      </c>
      <c r="H625" s="39"/>
    </row>
    <row r="626">
      <c r="B626" s="2" t="s">
        <v>177</v>
      </c>
      <c r="H626" s="39"/>
    </row>
    <row r="627">
      <c r="B627" s="1" t="s">
        <v>178</v>
      </c>
      <c r="C627" s="6">
        <f>C244</f>
        <v>7135.969</v>
      </c>
      <c r="D627" s="6">
        <f>D244</f>
        <v>7629.717</v>
      </c>
      <c r="E627" s="6">
        <f>E244</f>
        <v>7930.545</v>
      </c>
      <c r="F627" s="6">
        <f>F244</f>
        <v>8467.69</v>
      </c>
      <c r="G627" s="6">
        <f>G244</f>
        <v>6918.801</v>
      </c>
      <c r="H627" s="30">
        <f>H244</f>
        <v>9010.687798993116</v>
      </c>
    </row>
    <row r="628">
      <c r="B628" s="25" t="s">
        <v>101</v>
      </c>
      <c r="C628" s="16" t="s">
        <v>37</v>
      </c>
      <c r="D628" s="16" t="s">
        <v>37</v>
      </c>
      <c r="E628" s="16" t="s">
        <v>37</v>
      </c>
      <c r="F628" s="16" t="s">
        <v>37</v>
      </c>
      <c r="G628" s="16" t="s">
        <v>37</v>
      </c>
      <c r="H628" s="32">
        <f>IFERROR(H627/C627-1,"n/a")</f>
        <v>0.2627139774560563</v>
      </c>
    </row>
    <row r="629">
      <c r="B629" s="25" t="s">
        <v>102</v>
      </c>
      <c r="C629" s="16" t="s">
        <v>37</v>
      </c>
      <c r="D629" s="16">
        <f>IFERROR(D627/C627-1,"n/a")</f>
        <v>0.06919144407718125</v>
      </c>
      <c r="E629" s="16">
        <f>IFERROR(E627/D627-1,"n/a")</f>
        <v>0.03942846110805953</v>
      </c>
      <c r="F629" s="16">
        <f>IFERROR(F627/E627-1,"n/a")</f>
        <v>0.0677311584512792</v>
      </c>
      <c r="H629" s="32">
        <f>IFERROR(H627/F627-1,"n/a")</f>
        <v>0.0641258476624813</v>
      </c>
    </row>
    <row r="630">
      <c r="B630" s="1" t="s">
        <v>179</v>
      </c>
      <c r="C630" s="62">
        <f>IFERROR(C14/C627*3650/C$7,"n/a")</f>
        <v>3.096758066804577</v>
      </c>
      <c r="D630" s="62">
        <f>IFERROR(D14/D627*3650/D$7,"n/a")</f>
        <v>3.041952818228354</v>
      </c>
      <c r="E630" s="62">
        <f>IFERROR(E14/E627*3650/E$7,"n/a")</f>
        <v>3.0325084145471015</v>
      </c>
      <c r="F630" s="62">
        <f>IFERROR(F14/F627*3650/F$7,"n/a")</f>
        <v>2.9652468629332445</v>
      </c>
      <c r="G630" s="62">
        <f>IFERROR(G14/G627*3650/G$7,"n/a")</f>
        <v>3.1320455668547194</v>
      </c>
      <c r="H630" s="59">
        <f>F630+H631</f>
        <v>2.9652468629332445</v>
      </c>
    </row>
    <row r="631">
      <c r="B631" s="1" t="s">
        <v>180</v>
      </c>
      <c r="C631" s="62" t="s">
        <v>37</v>
      </c>
      <c r="D631" s="62">
        <f>D630-C630</f>
        <v>-0.05480524857622271</v>
      </c>
      <c r="E631" s="62">
        <f>E630-D630</f>
        <v>-0.009444403681252656</v>
      </c>
      <c r="F631" s="62">
        <f>F630-E630</f>
        <v>-0.06726155161385705</v>
      </c>
      <c r="H631" s="64">
        <v>0</v>
      </c>
    </row>
    <row r="632">
      <c r="B632" s="1" t="s">
        <v>158</v>
      </c>
      <c r="C632" s="62" t="s">
        <v>37</v>
      </c>
      <c r="D632" s="62" t="s">
        <v>37</v>
      </c>
      <c r="E632" s="62" t="s">
        <v>37</v>
      </c>
      <c r="F632" s="62" t="s">
        <v>37</v>
      </c>
      <c r="G632" s="62" t="s">
        <v>37</v>
      </c>
      <c r="H632" s="59">
        <f>H630-C630</f>
        <v>-0.13151120387133242</v>
      </c>
    </row>
    <row r="633">
      <c r="B633" s="1" t="s">
        <v>181</v>
      </c>
      <c r="C633" s="6">
        <f>C14</f>
        <v>557</v>
      </c>
      <c r="D633" s="6">
        <f>D14</f>
        <v>585</v>
      </c>
      <c r="E633" s="6">
        <f>E14</f>
        <v>593</v>
      </c>
      <c r="F633" s="6">
        <f>F14</f>
        <v>626</v>
      </c>
      <c r="G633" s="6">
        <f>G14</f>
        <v>2167</v>
      </c>
      <c r="H633" s="30">
        <f>H627*H630*H$7/3650</f>
        <v>673.4630309733803</v>
      </c>
    </row>
    <row r="634">
      <c r="B634" s="2" t="s">
        <v>182</v>
      </c>
      <c r="H634" s="39"/>
    </row>
    <row r="635">
      <c r="B635" s="1" t="s">
        <v>178</v>
      </c>
      <c r="C635" s="6">
        <f>C244</f>
        <v>7135.969</v>
      </c>
      <c r="D635" s="6">
        <f>D244</f>
        <v>7629.717</v>
      </c>
      <c r="E635" s="6">
        <f>E244</f>
        <v>7930.545</v>
      </c>
      <c r="F635" s="6">
        <f>F244</f>
        <v>8467.69</v>
      </c>
      <c r="G635" s="6">
        <f>G244</f>
        <v>6918.801</v>
      </c>
      <c r="H635" s="30">
        <f>H244</f>
        <v>9010.687798993116</v>
      </c>
    </row>
    <row r="636">
      <c r="B636" s="25" t="s">
        <v>101</v>
      </c>
      <c r="C636" s="16" t="s">
        <v>37</v>
      </c>
      <c r="D636" s="16" t="s">
        <v>37</v>
      </c>
      <c r="E636" s="16" t="s">
        <v>37</v>
      </c>
      <c r="F636" s="16" t="s">
        <v>37</v>
      </c>
      <c r="G636" s="16" t="s">
        <v>37</v>
      </c>
      <c r="H636" s="32">
        <f>IFERROR(H635/C635-1,"n/a")</f>
        <v>0.2627139774560563</v>
      </c>
    </row>
    <row r="637">
      <c r="B637" s="25" t="s">
        <v>102</v>
      </c>
      <c r="C637" s="16" t="s">
        <v>37</v>
      </c>
      <c r="D637" s="16">
        <f>IFERROR(D635/C635-1,"n/a")</f>
        <v>0.06919144407718125</v>
      </c>
      <c r="E637" s="16">
        <f>IFERROR(E635/D635-1,"n/a")</f>
        <v>0.03942846110805953</v>
      </c>
      <c r="F637" s="16">
        <f>IFERROR(F635/E635-1,"n/a")</f>
        <v>0.0677311584512792</v>
      </c>
      <c r="H637" s="32">
        <f>IFERROR(H635/F635-1,"n/a")</f>
        <v>0.0641258476624813</v>
      </c>
    </row>
    <row r="638">
      <c r="B638" s="1" t="s">
        <v>179</v>
      </c>
      <c r="C638" s="62">
        <f>IFERROR(C21/C635*3650/C$7,"n/a")</f>
        <v>8.878855713980089</v>
      </c>
      <c r="D638" s="62">
        <f>IFERROR(D21/D635*3650/D$7,"n/a")</f>
        <v>8.819063213188528</v>
      </c>
      <c r="E638" s="62">
        <f>IFERROR(E21/E635*3650/E$7,"n/a")</f>
        <v>9.16911903420397</v>
      </c>
      <c r="F638" s="62">
        <f>IFERROR(F21/F635*3650/F$7,"n/a")</f>
        <v>9.421527173121763</v>
      </c>
      <c r="G638" s="62">
        <f>IFERROR(G21/G635*3650/G$7,"n/a")</f>
        <v>8.734172293725457</v>
      </c>
      <c r="H638" s="59">
        <f>F638+H639</f>
        <v>9.421527173121763</v>
      </c>
    </row>
    <row r="639">
      <c r="B639" s="1" t="s">
        <v>180</v>
      </c>
      <c r="C639" s="62" t="s">
        <v>37</v>
      </c>
      <c r="D639" s="62">
        <f>D638-C638</f>
        <v>-0.059792500791560954</v>
      </c>
      <c r="E639" s="62">
        <f>E638-D638</f>
        <v>0.35005582101544164</v>
      </c>
      <c r="F639" s="62">
        <f>F638-E638</f>
        <v>0.2524081389177937</v>
      </c>
      <c r="H639" s="64">
        <v>0</v>
      </c>
    </row>
    <row r="640">
      <c r="B640" s="1" t="s">
        <v>158</v>
      </c>
      <c r="C640" s="62" t="s">
        <v>37</v>
      </c>
      <c r="D640" s="62" t="s">
        <v>37</v>
      </c>
      <c r="E640" s="62" t="s">
        <v>37</v>
      </c>
      <c r="F640" s="62" t="s">
        <v>37</v>
      </c>
      <c r="G640" s="62" t="s">
        <v>37</v>
      </c>
      <c r="H640" s="59">
        <f>H638-C638</f>
        <v>0.5426714591416744</v>
      </c>
    </row>
    <row r="641">
      <c r="B641" s="1" t="s">
        <v>181</v>
      </c>
      <c r="C641" s="6">
        <f>C21</f>
        <v>1597</v>
      </c>
      <c r="D641" s="6">
        <f>D21</f>
        <v>1696</v>
      </c>
      <c r="E641" s="6">
        <f>E21</f>
        <v>1793</v>
      </c>
      <c r="F641" s="6">
        <f>F21</f>
        <v>1989</v>
      </c>
      <c r="G641" s="6">
        <f>G21</f>
        <v>6043</v>
      </c>
      <c r="H641" s="30">
        <f>H635*H638*H$7/3650</f>
        <v>2139.8050616710125</v>
      </c>
    </row>
    <row r="642">
      <c r="B642" s="2" t="s">
        <v>183</v>
      </c>
      <c r="H642" s="39"/>
    </row>
    <row r="643">
      <c r="B643" s="1" t="s">
        <v>184</v>
      </c>
      <c r="C643" s="6">
        <f>C280</f>
        <v>3122.878</v>
      </c>
      <c r="D643" s="6">
        <f>D280</f>
        <v>3216.982</v>
      </c>
      <c r="E643" s="6">
        <f>E280</f>
        <v>3303.591</v>
      </c>
      <c r="F643" s="6">
        <f>F280</f>
        <v>3339.692</v>
      </c>
      <c r="G643" s="6">
        <f>G280</f>
        <v>3080.234</v>
      </c>
      <c r="H643" s="30">
        <f>H280</f>
        <v>3386.6495510000004</v>
      </c>
    </row>
    <row r="644">
      <c r="B644" s="25" t="s">
        <v>101</v>
      </c>
      <c r="C644" s="16" t="s">
        <v>37</v>
      </c>
      <c r="D644" s="16" t="s">
        <v>37</v>
      </c>
      <c r="E644" s="16" t="s">
        <v>37</v>
      </c>
      <c r="F644" s="16" t="s">
        <v>37</v>
      </c>
      <c r="G644" s="16" t="s">
        <v>37</v>
      </c>
      <c r="H644" s="32">
        <f>IFERROR(H643/C643-1,"n/a")</f>
        <v>0.08446425092494825</v>
      </c>
    </row>
    <row r="645">
      <c r="B645" s="25" t="s">
        <v>102</v>
      </c>
      <c r="C645" s="16" t="s">
        <v>37</v>
      </c>
      <c r="D645" s="16">
        <f>IFERROR(D643/C643-1,"n/a")</f>
        <v>0.03013374201617869</v>
      </c>
      <c r="E645" s="16">
        <f>IFERROR(E643/D643-1,"n/a")</f>
        <v>0.026922438484268785</v>
      </c>
      <c r="F645" s="16">
        <f>IFERROR(F643/E643-1,"n/a")</f>
        <v>0.010927805530406287</v>
      </c>
      <c r="H645" s="32">
        <f>IFERROR(H643/F643-1,"n/a")</f>
        <v>0.014060443597792904</v>
      </c>
    </row>
    <row r="646">
      <c r="B646" s="1" t="s">
        <v>179</v>
      </c>
      <c r="C646" s="62">
        <f>IFERROR(C35/C643*3650/C$7,"n/a")</f>
        <v>6.517295069261222</v>
      </c>
      <c r="D646" s="62">
        <f>IFERROR(D35/D643*3650/D$7,"n/a")</f>
        <v>6.486973896922508</v>
      </c>
      <c r="E646" s="62">
        <f>IFERROR(E35/E643*3650/E$7,"n/a")</f>
        <v>6.518664084022508</v>
      </c>
      <c r="F646" s="62">
        <f>IFERROR(F35/F643*3650/F$7,"n/a")</f>
        <v>6.473420533759032</v>
      </c>
      <c r="G646" s="62">
        <f>IFERROR(G35/G643*3650/G$7,"n/a")</f>
        <v>6.551450311891888</v>
      </c>
      <c r="H646" s="59">
        <f>F646+H647</f>
        <v>6.473420533759032</v>
      </c>
    </row>
    <row r="647">
      <c r="B647" s="1" t="s">
        <v>180</v>
      </c>
      <c r="C647" s="62" t="s">
        <v>37</v>
      </c>
      <c r="D647" s="62">
        <f>D646-C646</f>
        <v>-0.030321172338714675</v>
      </c>
      <c r="E647" s="62">
        <f>E646-D646</f>
        <v>0.0316901871000006</v>
      </c>
      <c r="F647" s="62">
        <f>F646-E646</f>
        <v>-0.045243550263476706</v>
      </c>
      <c r="H647" s="64">
        <v>0</v>
      </c>
    </row>
    <row r="648">
      <c r="B648" s="1" t="s">
        <v>158</v>
      </c>
      <c r="C648" s="62" t="s">
        <v>37</v>
      </c>
      <c r="D648" s="62" t="s">
        <v>37</v>
      </c>
      <c r="E648" s="62" t="s">
        <v>37</v>
      </c>
      <c r="F648" s="62" t="s">
        <v>37</v>
      </c>
      <c r="G648" s="62" t="s">
        <v>37</v>
      </c>
      <c r="H648" s="59">
        <f>H646-C646</f>
        <v>-0.04387453550219078</v>
      </c>
    </row>
    <row r="649">
      <c r="B649" s="1" t="s">
        <v>181</v>
      </c>
      <c r="C649" s="6">
        <f>C35</f>
        <v>513</v>
      </c>
      <c r="D649" s="6">
        <f>D35</f>
        <v>526</v>
      </c>
      <c r="E649" s="6">
        <f>E35</f>
        <v>531</v>
      </c>
      <c r="F649" s="6">
        <f>F35</f>
        <v>539</v>
      </c>
      <c r="G649" s="6">
        <f>G35</f>
        <v>2018</v>
      </c>
      <c r="H649" s="30">
        <f>H643*H646*H$7/3650</f>
        <v>552.5849371112896</v>
      </c>
    </row>
    <row r="650">
      <c r="B650" s="2" t="s">
        <v>185</v>
      </c>
      <c r="H650" s="39"/>
    </row>
    <row r="651">
      <c r="B651" s="1" t="s">
        <v>184</v>
      </c>
      <c r="C651" s="6">
        <f>C280</f>
        <v>3122.878</v>
      </c>
      <c r="D651" s="6">
        <f>D280</f>
        <v>3216.982</v>
      </c>
      <c r="E651" s="6">
        <f>E280</f>
        <v>3303.591</v>
      </c>
      <c r="F651" s="6">
        <f>F280</f>
        <v>3339.692</v>
      </c>
      <c r="G651" s="6">
        <f>G280</f>
        <v>3080.234</v>
      </c>
      <c r="H651" s="30">
        <f>H280</f>
        <v>3386.6495510000004</v>
      </c>
    </row>
    <row r="652">
      <c r="B652" s="25" t="s">
        <v>101</v>
      </c>
      <c r="C652" s="16" t="s">
        <v>37</v>
      </c>
      <c r="D652" s="16" t="s">
        <v>37</v>
      </c>
      <c r="E652" s="16" t="s">
        <v>37</v>
      </c>
      <c r="F652" s="16" t="s">
        <v>37</v>
      </c>
      <c r="G652" s="16" t="s">
        <v>37</v>
      </c>
      <c r="H652" s="32">
        <f>IFERROR(H651/C651-1,"n/a")</f>
        <v>0.08446425092494825</v>
      </c>
    </row>
    <row r="653">
      <c r="B653" s="25" t="s">
        <v>102</v>
      </c>
      <c r="C653" s="16" t="s">
        <v>37</v>
      </c>
      <c r="D653" s="16">
        <f>IFERROR(D651/C651-1,"n/a")</f>
        <v>0.03013374201617869</v>
      </c>
      <c r="E653" s="16">
        <f>IFERROR(E651/D651-1,"n/a")</f>
        <v>0.026922438484268785</v>
      </c>
      <c r="F653" s="16">
        <f>IFERROR(F651/E651-1,"n/a")</f>
        <v>0.010927805530406287</v>
      </c>
      <c r="H653" s="32">
        <f>IFERROR(H651/F651-1,"n/a")</f>
        <v>0.014060443597792904</v>
      </c>
    </row>
    <row r="654">
      <c r="B654" s="1" t="s">
        <v>179</v>
      </c>
      <c r="C654" s="62">
        <f>IFERROR(C42/C651*3650/C$7,"n/a")</f>
        <v>4.992781602767368</v>
      </c>
      <c r="D654" s="62">
        <f>IFERROR(D42/D651*3650/D$7,"n/a")</f>
        <v>5.192045647536837</v>
      </c>
      <c r="E654" s="62">
        <f>IFERROR(E42/E651*3650/E$7,"n/a")</f>
        <v>5.327872339860204</v>
      </c>
      <c r="F654" s="62">
        <f>IFERROR(F42/F651*3650/F$7,"n/a")</f>
        <v>5.320455095464288</v>
      </c>
      <c r="G654" s="62">
        <f>IFERROR(G42/G651*3650/G$7,"n/a")</f>
        <v>4.973648105955586</v>
      </c>
      <c r="H654" s="59">
        <f>F654+H655</f>
        <v>5.320455095464288</v>
      </c>
    </row>
    <row r="655">
      <c r="B655" s="1" t="s">
        <v>180</v>
      </c>
      <c r="C655" s="62" t="s">
        <v>37</v>
      </c>
      <c r="D655" s="62">
        <f>D654-C654</f>
        <v>0.19926404476946846</v>
      </c>
      <c r="E655" s="62">
        <f>E654-D654</f>
        <v>0.1358266923233673</v>
      </c>
      <c r="F655" s="62">
        <f>F654-E654</f>
        <v>-0.007417244395916178</v>
      </c>
      <c r="H655" s="64">
        <v>0</v>
      </c>
    </row>
    <row r="656">
      <c r="B656" s="1" t="s">
        <v>158</v>
      </c>
      <c r="C656" s="62" t="s">
        <v>37</v>
      </c>
      <c r="D656" s="62" t="s">
        <v>37</v>
      </c>
      <c r="E656" s="62" t="s">
        <v>37</v>
      </c>
      <c r="F656" s="62" t="s">
        <v>37</v>
      </c>
      <c r="G656" s="62" t="s">
        <v>37</v>
      </c>
      <c r="H656" s="59">
        <f>H654-C654</f>
        <v>0.3276734926969196</v>
      </c>
    </row>
    <row r="657">
      <c r="B657" s="1" t="s">
        <v>181</v>
      </c>
      <c r="C657" s="6">
        <f>C42</f>
        <v>393</v>
      </c>
      <c r="D657" s="6">
        <f>D42</f>
        <v>421</v>
      </c>
      <c r="E657" s="6">
        <f>E42</f>
        <v>434</v>
      </c>
      <c r="F657" s="6">
        <f>F42</f>
        <v>443</v>
      </c>
      <c r="G657" s="6">
        <f>G42</f>
        <v>1532</v>
      </c>
      <c r="H657" s="30">
        <f>H651*H654*H$7/3650</f>
        <v>454.1653564755126</v>
      </c>
    </row>
    <row r="658">
      <c r="B658" s="2" t="s">
        <v>186</v>
      </c>
      <c r="H658" s="39"/>
    </row>
    <row r="659">
      <c r="B659" s="1" t="s">
        <v>187</v>
      </c>
      <c r="C659" s="6">
        <f>C316</f>
        <v>1119.948</v>
      </c>
      <c r="D659" s="6">
        <f>D316</f>
        <v>1185.944</v>
      </c>
      <c r="E659" s="6">
        <f>E316</f>
        <v>1247.632</v>
      </c>
      <c r="F659" s="6">
        <f>F316</f>
        <v>1299.289</v>
      </c>
      <c r="G659" s="6">
        <f>G316</f>
        <v>1087.995</v>
      </c>
      <c r="H659" s="30">
        <f>H316</f>
        <v>1355.9935980000002</v>
      </c>
    </row>
    <row r="660">
      <c r="B660" s="25" t="s">
        <v>101</v>
      </c>
      <c r="C660" s="16" t="s">
        <v>37</v>
      </c>
      <c r="D660" s="16" t="s">
        <v>37</v>
      </c>
      <c r="E660" s="16" t="s">
        <v>37</v>
      </c>
      <c r="F660" s="16" t="s">
        <v>37</v>
      </c>
      <c r="G660" s="16" t="s">
        <v>37</v>
      </c>
      <c r="H660" s="32">
        <f>IFERROR(H659/C659-1,"n/a")</f>
        <v>0.2107647837221016</v>
      </c>
    </row>
    <row r="661">
      <c r="B661" s="25" t="s">
        <v>102</v>
      </c>
      <c r="C661" s="16" t="s">
        <v>37</v>
      </c>
      <c r="D661" s="16">
        <f>IFERROR(D659/C659-1,"n/a")</f>
        <v>0.058927735930596636</v>
      </c>
      <c r="E661" s="16">
        <f>IFERROR(E659/D659-1,"n/a")</f>
        <v>0.052015946790067824</v>
      </c>
      <c r="F661" s="16">
        <f>IFERROR(F659/E659-1,"n/a")</f>
        <v>0.04140403580542973</v>
      </c>
      <c r="H661" s="32">
        <f>IFERROR(H659/F659-1,"n/a")</f>
        <v>0.04364279078788491</v>
      </c>
    </row>
    <row r="662">
      <c r="B662" s="1" t="s">
        <v>179</v>
      </c>
      <c r="C662" s="62">
        <f>IFERROR(C56/C659*3650/C$7,"n/a")</f>
        <v>12.186124790576455</v>
      </c>
      <c r="D662" s="62">
        <f>IFERROR(D56/D659*3650/D$7,"n/a")</f>
        <v>12.1436007389747</v>
      </c>
      <c r="E662" s="62">
        <f>IFERROR(E56/E659*3650/E$7,"n/a")</f>
        <v>12.059734850589846</v>
      </c>
      <c r="F662" s="62">
        <f>IFERROR(F56/F659*3650/F$7,"n/a")</f>
        <v>11.946939805176118</v>
      </c>
      <c r="G662" s="62">
        <f>IFERROR(G56/G659*3650/G$7,"n/a")</f>
        <v>12.242703321246882</v>
      </c>
      <c r="H662" s="59">
        <f>F662+H663</f>
        <v>11.946939805176118</v>
      </c>
    </row>
    <row r="663">
      <c r="B663" s="1" t="s">
        <v>180</v>
      </c>
      <c r="C663" s="62" t="s">
        <v>37</v>
      </c>
      <c r="D663" s="62">
        <f>D662-C662</f>
        <v>-0.042524051601755986</v>
      </c>
      <c r="E663" s="62">
        <f>E662-D662</f>
        <v>-0.0838658883848531</v>
      </c>
      <c r="F663" s="62">
        <f>F662-E662</f>
        <v>-0.11279504541372809</v>
      </c>
      <c r="H663" s="64">
        <v>0</v>
      </c>
    </row>
    <row r="664">
      <c r="B664" s="1" t="s">
        <v>158</v>
      </c>
      <c r="C664" s="62" t="s">
        <v>37</v>
      </c>
      <c r="D664" s="62" t="s">
        <v>37</v>
      </c>
      <c r="E664" s="62" t="s">
        <v>37</v>
      </c>
      <c r="F664" s="62" t="s">
        <v>37</v>
      </c>
      <c r="G664" s="62" t="s">
        <v>37</v>
      </c>
      <c r="H664" s="59">
        <f>H662-C662</f>
        <v>-0.23918498540033717</v>
      </c>
    </row>
    <row r="665">
      <c r="B665" s="1" t="s">
        <v>181</v>
      </c>
      <c r="C665" s="6">
        <f>C56</f>
        <v>344</v>
      </c>
      <c r="D665" s="6">
        <f>D56</f>
        <v>363</v>
      </c>
      <c r="E665" s="6">
        <f>E56</f>
        <v>371</v>
      </c>
      <c r="F665" s="6">
        <f>F56</f>
        <v>387</v>
      </c>
      <c r="G665" s="6">
        <f>G56</f>
        <v>1332</v>
      </c>
      <c r="H665" s="30">
        <f>H659*H662*H$7/3650</f>
        <v>408.3281090462841</v>
      </c>
    </row>
    <row r="666">
      <c r="B666" s="2" t="s">
        <v>188</v>
      </c>
      <c r="H666" s="39"/>
    </row>
    <row r="667">
      <c r="B667" s="1" t="s">
        <v>189</v>
      </c>
      <c r="C667" s="6">
        <f>C352</f>
        <v>291.901</v>
      </c>
      <c r="D667" s="6">
        <f>D352</f>
        <v>320.397</v>
      </c>
      <c r="E667" s="6">
        <f>E352</f>
        <v>322.399</v>
      </c>
      <c r="F667" s="6">
        <f>F352</f>
        <v>324.696</v>
      </c>
      <c r="G667" s="6">
        <f>G352</f>
        <v>261.535</v>
      </c>
      <c r="H667" s="30">
        <f>H352</f>
        <v>330.0830000000001</v>
      </c>
    </row>
    <row r="668">
      <c r="B668" s="25" t="s">
        <v>101</v>
      </c>
      <c r="C668" s="16" t="s">
        <v>37</v>
      </c>
      <c r="D668" s="16" t="s">
        <v>37</v>
      </c>
      <c r="E668" s="16" t="s">
        <v>37</v>
      </c>
      <c r="F668" s="16" t="s">
        <v>37</v>
      </c>
      <c r="G668" s="16" t="s">
        <v>37</v>
      </c>
      <c r="H668" s="32">
        <f>IFERROR(H667/C667-1,"n/a")</f>
        <v>0.1308046221150323</v>
      </c>
    </row>
    <row r="669">
      <c r="B669" s="25" t="s">
        <v>102</v>
      </c>
      <c r="C669" s="16" t="s">
        <v>37</v>
      </c>
      <c r="D669" s="16">
        <f>IFERROR(D667/C667-1,"n/a")</f>
        <v>0.09762213901288441</v>
      </c>
      <c r="E669" s="16">
        <f>IFERROR(E667/D667-1,"n/a")</f>
        <v>0.006248497957221932</v>
      </c>
      <c r="F669" s="16">
        <f>IFERROR(F667/E667-1,"n/a")</f>
        <v>0.007124711925285299</v>
      </c>
      <c r="H669" s="32">
        <f>IFERROR(H667/F667-1,"n/a")</f>
        <v>0.016590903491265907</v>
      </c>
    </row>
    <row r="670">
      <c r="B670" s="1" t="s">
        <v>179</v>
      </c>
      <c r="C670" s="62">
        <f>IFERROR(C63/C667*3650/C$7,"n/a")</f>
        <v>88.75291697319058</v>
      </c>
      <c r="D670" s="62">
        <f>IFERROR(D63/D667*3650/D$7,"n/a")</f>
        <v>82.09753633094594</v>
      </c>
      <c r="E670" s="62">
        <f>IFERROR(E63/E667*3650/E$7,"n/a")</f>
        <v>82.771831040281</v>
      </c>
      <c r="F670" s="62">
        <f>IFERROR(F63/F667*3650/F$7,"n/a")</f>
        <v>78.93605027539539</v>
      </c>
      <c r="G670" s="62">
        <f>IFERROR(G63/G667*3650/G$7,"n/a")</f>
        <v>89.85413042231441</v>
      </c>
      <c r="H670" s="59">
        <f>F670+H671</f>
        <v>78.93605027539539</v>
      </c>
    </row>
    <row r="671">
      <c r="B671" s="1" t="s">
        <v>180</v>
      </c>
      <c r="C671" s="62" t="s">
        <v>37</v>
      </c>
      <c r="D671" s="62">
        <f>D670-C670</f>
        <v>-6.655380642244637</v>
      </c>
      <c r="E671" s="62">
        <f>E670-D670</f>
        <v>0.674294709335058</v>
      </c>
      <c r="F671" s="62">
        <f>F670-E670</f>
        <v>-3.8357807648856124</v>
      </c>
      <c r="H671" s="64">
        <v>0</v>
      </c>
    </row>
    <row r="672">
      <c r="B672" s="1" t="s">
        <v>158</v>
      </c>
      <c r="C672" s="62" t="s">
        <v>37</v>
      </c>
      <c r="D672" s="62" t="s">
        <v>37</v>
      </c>
      <c r="E672" s="62" t="s">
        <v>37</v>
      </c>
      <c r="F672" s="62" t="s">
        <v>37</v>
      </c>
      <c r="G672" s="62" t="s">
        <v>37</v>
      </c>
      <c r="H672" s="59">
        <f>H670-C670</f>
        <v>-9.816866697795191</v>
      </c>
    </row>
    <row r="673">
      <c r="B673" s="1" t="s">
        <v>181</v>
      </c>
      <c r="C673" s="6">
        <f>C63</f>
        <v>653</v>
      </c>
      <c r="D673" s="6">
        <f>D63</f>
        <v>663</v>
      </c>
      <c r="E673" s="6">
        <f>E63</f>
        <v>658</v>
      </c>
      <c r="F673" s="6">
        <f>F63</f>
        <v>639</v>
      </c>
      <c r="G673" s="6">
        <f>G63</f>
        <v>2350</v>
      </c>
      <c r="H673" s="30">
        <f>H667*H670*H$7/3650</f>
        <v>656.7400663125774</v>
      </c>
    </row>
    <row r="674">
      <c r="B674" s="2" t="s">
        <v>190</v>
      </c>
      <c r="H674" s="39"/>
    </row>
    <row r="675">
      <c r="B675" s="1" t="s">
        <v>191</v>
      </c>
      <c r="C675" s="6">
        <f>C388</f>
        <v>93.382</v>
      </c>
      <c r="D675" s="6">
        <f>D388</f>
        <v>98.845</v>
      </c>
      <c r="E675" s="6">
        <f>E388</f>
        <v>105.904</v>
      </c>
      <c r="F675" s="6">
        <f>F388</f>
        <v>114.686</v>
      </c>
      <c r="G675" s="6">
        <f>G388</f>
        <v>88.477</v>
      </c>
      <c r="H675" s="30">
        <f>H388</f>
        <v>124.01512</v>
      </c>
    </row>
    <row r="676">
      <c r="B676" s="25" t="s">
        <v>101</v>
      </c>
      <c r="C676" s="16" t="s">
        <v>37</v>
      </c>
      <c r="D676" s="16" t="s">
        <v>37</v>
      </c>
      <c r="E676" s="16" t="s">
        <v>37</v>
      </c>
      <c r="F676" s="16" t="s">
        <v>37</v>
      </c>
      <c r="G676" s="16" t="s">
        <v>37</v>
      </c>
      <c r="H676" s="32">
        <f>IFERROR(H675/C675-1,"n/a")</f>
        <v>0.32804095007603173</v>
      </c>
    </row>
    <row r="677">
      <c r="B677" s="25" t="s">
        <v>102</v>
      </c>
      <c r="C677" s="16" t="s">
        <v>37</v>
      </c>
      <c r="D677" s="16">
        <f>IFERROR(D675/C675-1,"n/a")</f>
        <v>0.058501638431389225</v>
      </c>
      <c r="E677" s="16">
        <f>IFERROR(E675/D675-1,"n/a")</f>
        <v>0.07141484141838239</v>
      </c>
      <c r="F677" s="16">
        <f>IFERROR(F675/E675-1,"n/a")</f>
        <v>0.08292415772775352</v>
      </c>
      <c r="H677" s="32">
        <f>IFERROR(H675/F675-1,"n/a")</f>
        <v>0.08134488952444063</v>
      </c>
    </row>
    <row r="678">
      <c r="B678" s="1" t="s">
        <v>179</v>
      </c>
      <c r="C678" s="62">
        <f>IFERROR(C70/C675*3650/C$7,"n/a")</f>
        <v>75.62438715961459</v>
      </c>
      <c r="D678" s="62">
        <f>IFERROR(D70/D675*3650/D$7,"n/a")</f>
        <v>73.85300217512267</v>
      </c>
      <c r="E678" s="62">
        <f>IFERROR(E70/E675*3650/E$7,"n/a")</f>
        <v>75.44044081851908</v>
      </c>
      <c r="F678" s="62">
        <f>IFERROR(F70/F675*3650/F$7,"n/a")</f>
        <v>74.14415624659244</v>
      </c>
      <c r="G678" s="62">
        <f>IFERROR(G70/G675*3650/G$7,"n/a")</f>
        <v>75.61287114165263</v>
      </c>
      <c r="H678" s="59">
        <f>F678+H679</f>
        <v>74.14415624659244</v>
      </c>
    </row>
    <row r="679">
      <c r="B679" s="1" t="s">
        <v>180</v>
      </c>
      <c r="C679" s="62" t="s">
        <v>37</v>
      </c>
      <c r="D679" s="62">
        <f>D678-C678</f>
        <v>-1.7713849844919167</v>
      </c>
      <c r="E679" s="62">
        <f>E678-D678</f>
        <v>1.5874386433964105</v>
      </c>
      <c r="F679" s="62">
        <f>F678-E678</f>
        <v>-1.296284571926634</v>
      </c>
      <c r="H679" s="64">
        <v>0</v>
      </c>
    </row>
    <row r="680">
      <c r="B680" s="1" t="s">
        <v>158</v>
      </c>
      <c r="C680" s="62" t="s">
        <v>37</v>
      </c>
      <c r="D680" s="62" t="s">
        <v>37</v>
      </c>
      <c r="E680" s="62" t="s">
        <v>37</v>
      </c>
      <c r="F680" s="62" t="s">
        <v>37</v>
      </c>
      <c r="G680" s="62" t="s">
        <v>37</v>
      </c>
      <c r="H680" s="59">
        <f>H678-C678</f>
        <v>-1.4802309130221403</v>
      </c>
    </row>
    <row r="681">
      <c r="B681" s="1" t="s">
        <v>181</v>
      </c>
      <c r="C681" s="6">
        <f>C70</f>
        <v>178</v>
      </c>
      <c r="D681" s="6">
        <f>D70</f>
        <v>184</v>
      </c>
      <c r="E681" s="6">
        <f>E70</f>
        <v>197</v>
      </c>
      <c r="F681" s="6">
        <f>F70</f>
        <v>212</v>
      </c>
      <c r="G681" s="6">
        <f>G70</f>
        <v>669</v>
      </c>
      <c r="H681" s="30">
        <f>H675*H678*H$7/3650</f>
        <v>231.76429368444707</v>
      </c>
    </row>
    <row r="682">
      <c r="B682" s="2" t="s">
        <v>192</v>
      </c>
      <c r="H682" s="39"/>
    </row>
    <row r="683">
      <c r="B683" s="1" t="s">
        <v>193</v>
      </c>
      <c r="C683" s="6">
        <f>C244+C280</f>
        <v>10258.847</v>
      </c>
      <c r="D683" s="6">
        <f>D244+D280</f>
        <v>10846.699</v>
      </c>
      <c r="E683" s="6">
        <f>E244+E280</f>
        <v>11234.136</v>
      </c>
      <c r="F683" s="6">
        <f>F244+F280</f>
        <v>11807.382000000001</v>
      </c>
      <c r="G683" s="6">
        <f>G244+G280</f>
        <v>9999.035</v>
      </c>
      <c r="H683" s="30">
        <f>H244+H280</f>
        <v>12397.337349993117</v>
      </c>
    </row>
    <row r="684">
      <c r="B684" s="25" t="s">
        <v>101</v>
      </c>
      <c r="C684" s="16" t="s">
        <v>37</v>
      </c>
      <c r="D684" s="16" t="s">
        <v>37</v>
      </c>
      <c r="E684" s="16" t="s">
        <v>37</v>
      </c>
      <c r="F684" s="16" t="s">
        <v>37</v>
      </c>
      <c r="G684" s="16" t="s">
        <v>37</v>
      </c>
      <c r="H684" s="32">
        <f>IFERROR(H683/C683-1,"n/a")</f>
        <v>0.20845328427191845</v>
      </c>
    </row>
    <row r="685">
      <c r="B685" s="25" t="s">
        <v>102</v>
      </c>
      <c r="C685" s="16" t="s">
        <v>37</v>
      </c>
      <c r="D685" s="16">
        <f>IFERROR(D683/C683-1,"n/a")</f>
        <v>0.057301956058025016</v>
      </c>
      <c r="E685" s="16">
        <f>IFERROR(E683/D683-1,"n/a")</f>
        <v>0.03571934650348463</v>
      </c>
      <c r="F685" s="16">
        <f>IFERROR(F683/E683-1,"n/a")</f>
        <v>0.051027155092300935</v>
      </c>
      <c r="H685" s="32">
        <f>IFERROR(H683/F683-1,"n/a")</f>
        <v>0.04996495836190573</v>
      </c>
    </row>
    <row r="686">
      <c r="B686" s="1" t="s">
        <v>179</v>
      </c>
      <c r="C686" s="62">
        <f>IFERROR(C84/C683*3650/C$7,"n/a")</f>
        <v>1.3651525658144457</v>
      </c>
      <c r="D686" s="62">
        <f>IFERROR(D84/D683*3650/D$7,"n/a")</f>
        <v>1.2728777427243474</v>
      </c>
      <c r="E686" s="62">
        <f>IFERROR(E84/E683*3650/E$7,"n/a")</f>
        <v>1.234629881639318</v>
      </c>
      <c r="F686" s="62">
        <f>IFERROR(F84/F683*3650/F$7,"n/a")</f>
        <v>1.3078519600964627</v>
      </c>
      <c r="G686" s="62">
        <f>IFERROR(G84/G683*3650/G$7,"n/a")</f>
        <v>1.3211274888026694</v>
      </c>
      <c r="H686" s="59">
        <f>F686+H687</f>
        <v>1.3078519600964627</v>
      </c>
    </row>
    <row r="687">
      <c r="B687" s="1" t="s">
        <v>180</v>
      </c>
      <c r="C687" s="62" t="s">
        <v>37</v>
      </c>
      <c r="D687" s="62">
        <f>D686-C686</f>
        <v>-0.09227482309009827</v>
      </c>
      <c r="E687" s="62">
        <f>E686-D686</f>
        <v>-0.03824786108502942</v>
      </c>
      <c r="F687" s="62">
        <f>F686-E686</f>
        <v>0.07322207845714468</v>
      </c>
      <c r="H687" s="64">
        <v>0</v>
      </c>
    </row>
    <row r="688">
      <c r="B688" s="1" t="s">
        <v>158</v>
      </c>
      <c r="C688" s="62" t="s">
        <v>37</v>
      </c>
      <c r="D688" s="62" t="s">
        <v>37</v>
      </c>
      <c r="E688" s="62" t="s">
        <v>37</v>
      </c>
      <c r="F688" s="62" t="s">
        <v>37</v>
      </c>
      <c r="G688" s="62" t="s">
        <v>37</v>
      </c>
      <c r="H688" s="59">
        <f>H686-C686</f>
        <v>-0.05730060571798301</v>
      </c>
    </row>
    <row r="689">
      <c r="B689" s="1" t="s">
        <v>181</v>
      </c>
      <c r="C689" s="6">
        <f>C84</f>
        <v>353</v>
      </c>
      <c r="D689" s="6">
        <f>D84</f>
        <v>348</v>
      </c>
      <c r="E689" s="6">
        <f>E84</f>
        <v>342</v>
      </c>
      <c r="F689" s="6">
        <f>F84</f>
        <v>385</v>
      </c>
      <c r="G689" s="6">
        <f>G84</f>
        <v>1321</v>
      </c>
      <c r="H689" s="30">
        <f>H683*H686*H$7/3650</f>
        <v>408.6786684085572</v>
      </c>
    </row>
    <row r="690">
      <c r="B690" s="2" t="s">
        <v>194</v>
      </c>
      <c r="H690" s="39"/>
    </row>
    <row r="691">
      <c r="B691" s="1" t="s">
        <v>195</v>
      </c>
      <c r="C691" s="6">
        <f>C460+C496</f>
        <v>212.095</v>
      </c>
      <c r="D691" s="6">
        <f>D460+D496</f>
        <v>242.315</v>
      </c>
      <c r="E691" s="6">
        <f>E460+E496</f>
        <v>258.089</v>
      </c>
      <c r="F691" s="6">
        <f>F460+F496</f>
        <v>233.253</v>
      </c>
      <c r="G691" s="6">
        <f>G460+G496</f>
        <v>190.81099999999998</v>
      </c>
      <c r="H691" s="30">
        <f>H460+H496</f>
        <v>218.49278</v>
      </c>
    </row>
    <row r="692">
      <c r="B692" s="25" t="s">
        <v>101</v>
      </c>
      <c r="C692" s="16" t="s">
        <v>37</v>
      </c>
      <c r="D692" s="16" t="s">
        <v>37</v>
      </c>
      <c r="E692" s="16" t="s">
        <v>37</v>
      </c>
      <c r="F692" s="16" t="s">
        <v>37</v>
      </c>
      <c r="G692" s="16" t="s">
        <v>37</v>
      </c>
      <c r="H692" s="32">
        <f>IFERROR(H691/C691-1,"n/a")</f>
        <v>0.030164690351021983</v>
      </c>
    </row>
    <row r="693">
      <c r="B693" s="25" t="s">
        <v>102</v>
      </c>
      <c r="C693" s="16" t="s">
        <v>37</v>
      </c>
      <c r="D693" s="16">
        <f>IFERROR(D691/C691-1,"n/a")</f>
        <v>0.1424833211532568</v>
      </c>
      <c r="E693" s="16">
        <f>IFERROR(E691/D691-1,"n/a")</f>
        <v>0.06509708437364581</v>
      </c>
      <c r="F693" s="16">
        <f>IFERROR(F691/E691-1,"n/a")</f>
        <v>-0.09623037014363267</v>
      </c>
      <c r="H693" s="32">
        <f>IFERROR(H691/F691-1,"n/a")</f>
        <v>-0.06327987207024122</v>
      </c>
    </row>
    <row r="694">
      <c r="B694" s="1" t="s">
        <v>179</v>
      </c>
      <c r="C694" s="62">
        <f>IFERROR(C91/C691*3650/C$7,"n/a")</f>
        <v>26.188018699577814</v>
      </c>
      <c r="D694" s="62">
        <f>IFERROR(D91/D691*3650/D$7,"n/a")</f>
        <v>26.524044788987386</v>
      </c>
      <c r="E694" s="62">
        <f>IFERROR(E91/E691*3650/E$7,"n/a")</f>
        <v>28.127678608714216</v>
      </c>
      <c r="F694" s="62">
        <f>IFERROR(F91/F691*3650/F$7,"n/a")</f>
        <v>28.02927331229218</v>
      </c>
      <c r="G694" s="62">
        <f>IFERROR(G91/G691*3650/G$7,"n/a")</f>
        <v>26.308755784519764</v>
      </c>
      <c r="H694" s="59">
        <f>F694+H695</f>
        <v>28.02927331229218</v>
      </c>
    </row>
    <row r="695">
      <c r="B695" s="1" t="s">
        <v>180</v>
      </c>
      <c r="C695" s="62" t="s">
        <v>37</v>
      </c>
      <c r="D695" s="62">
        <f>D694-C694</f>
        <v>0.3360260894095717</v>
      </c>
      <c r="E695" s="62">
        <f>E694-D694</f>
        <v>1.6036338197268307</v>
      </c>
      <c r="F695" s="62">
        <f>F694-E694</f>
        <v>-0.09840529642203677</v>
      </c>
      <c r="H695" s="64">
        <v>0</v>
      </c>
    </row>
    <row r="696">
      <c r="B696" s="1" t="s">
        <v>158</v>
      </c>
      <c r="C696" s="62" t="s">
        <v>37</v>
      </c>
      <c r="D696" s="62" t="s">
        <v>37</v>
      </c>
      <c r="E696" s="62" t="s">
        <v>37</v>
      </c>
      <c r="F696" s="62" t="s">
        <v>37</v>
      </c>
      <c r="G696" s="62" t="s">
        <v>37</v>
      </c>
      <c r="H696" s="59">
        <f>H694-C694</f>
        <v>1.8412546127143656</v>
      </c>
    </row>
    <row r="697">
      <c r="B697" s="1" t="s">
        <v>181</v>
      </c>
      <c r="C697" s="6">
        <f>C91</f>
        <v>140</v>
      </c>
      <c r="D697" s="6">
        <f>D91</f>
        <v>162</v>
      </c>
      <c r="E697" s="6">
        <f>E91</f>
        <v>179</v>
      </c>
      <c r="F697" s="6">
        <f>F91</f>
        <v>163</v>
      </c>
      <c r="G697" s="6">
        <f>G91</f>
        <v>502</v>
      </c>
      <c r="H697" s="30">
        <f>H691*H694*H$7/3650</f>
        <v>154.36324218060068</v>
      </c>
    </row>
    <row r="698">
      <c r="B698" s="2" t="s">
        <v>196</v>
      </c>
      <c r="H698" s="39"/>
    </row>
    <row r="699">
      <c r="B699" s="1" t="s">
        <v>197</v>
      </c>
      <c r="C699" s="6">
        <f>C568</f>
        <v>984.6</v>
      </c>
      <c r="D699" s="6">
        <f>D568</f>
        <v>1036.912</v>
      </c>
      <c r="E699" s="6">
        <f>E568</f>
        <v>1072.769</v>
      </c>
      <c r="F699" s="6">
        <f>F568</f>
        <v>1074.69</v>
      </c>
      <c r="G699" s="6">
        <f>G568</f>
        <v>975.78</v>
      </c>
      <c r="H699" s="30">
        <f>H568</f>
        <v>1073.9158469999998</v>
      </c>
    </row>
    <row r="700">
      <c r="B700" s="25" t="s">
        <v>101</v>
      </c>
      <c r="C700" s="16" t="s">
        <v>37</v>
      </c>
      <c r="D700" s="16" t="s">
        <v>37</v>
      </c>
      <c r="E700" s="16" t="s">
        <v>37</v>
      </c>
      <c r="F700" s="16" t="s">
        <v>37</v>
      </c>
      <c r="G700" s="16" t="s">
        <v>37</v>
      </c>
      <c r="H700" s="32">
        <f>IFERROR(H699/C699-1,"n/a")</f>
        <v>0.09071282449725748</v>
      </c>
    </row>
    <row r="701">
      <c r="B701" s="25" t="s">
        <v>102</v>
      </c>
      <c r="C701" s="16" t="s">
        <v>37</v>
      </c>
      <c r="D701" s="16">
        <f>IFERROR(D699/C699-1,"n/a")</f>
        <v>0.053130205159455546</v>
      </c>
      <c r="E701" s="16">
        <f>IFERROR(E699/D699-1,"n/a")</f>
        <v>0.03458056228493822</v>
      </c>
      <c r="F701" s="16">
        <f>IFERROR(F699/E699-1,"n/a")</f>
        <v>0.001790693056939574</v>
      </c>
      <c r="H701" s="32">
        <f>IFERROR(H699/F699-1,"n/a")</f>
        <v>-0.0007203500544346042</v>
      </c>
    </row>
    <row r="702">
      <c r="B702" s="1" t="s">
        <v>179</v>
      </c>
      <c r="C702" s="62">
        <f>IFERROR(C105/C699*3650/C$7,"n/a")</f>
        <v>12.813634316297062</v>
      </c>
      <c r="D702" s="62">
        <f>IFERROR(D105/D699*3650/D$7,"n/a")</f>
        <v>12.626328275058855</v>
      </c>
      <c r="E702" s="62">
        <f>IFERROR(E105/E699*3650/E$7,"n/a")</f>
        <v>12.853548982948695</v>
      </c>
      <c r="F702" s="62">
        <f>IFERROR(F105/F699*3650/F$7,"n/a")</f>
        <v>12.801544917783088</v>
      </c>
      <c r="G702" s="62">
        <f>IFERROR(G105/G699*3650/G$7,"n/a")</f>
        <v>12.759023550390458</v>
      </c>
      <c r="H702" s="59">
        <f>F702+H703</f>
        <v>12.801544917783088</v>
      </c>
    </row>
    <row r="703">
      <c r="B703" s="1" t="s">
        <v>180</v>
      </c>
      <c r="C703" s="62" t="s">
        <v>37</v>
      </c>
      <c r="D703" s="62">
        <f>D702-C702</f>
        <v>-0.18730604123820704</v>
      </c>
      <c r="E703" s="62">
        <f>E702-D702</f>
        <v>0.22722070788984006</v>
      </c>
      <c r="F703" s="62">
        <f>F702-E702</f>
        <v>-0.052004065165606406</v>
      </c>
      <c r="H703" s="64">
        <v>0</v>
      </c>
    </row>
    <row r="704">
      <c r="B704" s="1" t="s">
        <v>158</v>
      </c>
      <c r="C704" s="62" t="s">
        <v>37</v>
      </c>
      <c r="D704" s="62" t="s">
        <v>37</v>
      </c>
      <c r="E704" s="62" t="s">
        <v>37</v>
      </c>
      <c r="F704" s="62" t="s">
        <v>37</v>
      </c>
      <c r="G704" s="62" t="s">
        <v>37</v>
      </c>
      <c r="H704" s="59">
        <f>H702-C702</f>
        <v>-0.012089398513973393</v>
      </c>
    </row>
    <row r="705">
      <c r="B705" s="1" t="s">
        <v>181</v>
      </c>
      <c r="C705" s="6">
        <f>C105</f>
        <v>318</v>
      </c>
      <c r="D705" s="6">
        <f>D105</f>
        <v>330</v>
      </c>
      <c r="E705" s="6">
        <f>E105</f>
        <v>340</v>
      </c>
      <c r="F705" s="6">
        <f>F105</f>
        <v>343</v>
      </c>
      <c r="G705" s="6">
        <f>G105</f>
        <v>1245</v>
      </c>
      <c r="H705" s="30">
        <f>H699*H702*H$7/3650</f>
        <v>346.51943553496994</v>
      </c>
    </row>
    <row r="706">
      <c r="B706" s="2" t="s">
        <v>135</v>
      </c>
      <c r="H706" s="39"/>
    </row>
    <row r="707">
      <c r="B707" s="1" t="s">
        <v>198</v>
      </c>
      <c r="C707" s="6">
        <f>C604</f>
        <v>12960.773</v>
      </c>
      <c r="D707" s="6">
        <f>D604</f>
        <v>13731.112</v>
      </c>
      <c r="E707" s="6">
        <f>E604</f>
        <v>14240.929</v>
      </c>
      <c r="F707" s="6">
        <f>F604</f>
        <v>14853.996000000001</v>
      </c>
      <c r="G707" s="6">
        <f>G604</f>
        <v>12603.633</v>
      </c>
      <c r="H707" s="30">
        <f>H604</f>
        <v>15499.837694993119</v>
      </c>
    </row>
    <row r="708">
      <c r="B708" s="25" t="s">
        <v>101</v>
      </c>
      <c r="C708" s="21">
        <f>IFERROR(C707/Inputs!C184-1,"n/a")</f>
        <v>0.17069958858144596</v>
      </c>
      <c r="D708" s="21">
        <f>IFERROR(D707/Inputs!D184-1,"n/a")</f>
        <v>0.1882818075028596</v>
      </c>
      <c r="E708" s="21">
        <f>IFERROR(E707/Inputs!E184-1,"n/a")</f>
        <v>0.21833135424437589</v>
      </c>
      <c r="F708" s="21">
        <f>IFERROR(F707/Inputs!F184-1,"n/a")</f>
        <v>0.24043491560505803</v>
      </c>
      <c r="G708" s="21">
        <f>IFERROR(G707/Inputs!G184-1,"n/a")</f>
        <v>0.1665702363947006</v>
      </c>
      <c r="H708" s="32">
        <f>IFERROR(H707/C707-1,"n/a")</f>
        <v>0.19590380103047256</v>
      </c>
    </row>
    <row r="709">
      <c r="B709" s="25" t="s">
        <v>102</v>
      </c>
      <c r="C709" s="21">
        <f>IFERROR(C707/Inputs!F184-1,"n/a")</f>
        <v>0.08233470390266118</v>
      </c>
      <c r="D709" s="16">
        <f>IFERROR(D707/C707-1,"n/a")</f>
        <v>0.059436192578945723</v>
      </c>
      <c r="E709" s="16">
        <f>IFERROR(E707/D707-1,"n/a")</f>
        <v>0.037128602548722967</v>
      </c>
      <c r="F709" s="16">
        <f>IFERROR(F707/E707-1,"n/a")</f>
        <v>0.04304964935925182</v>
      </c>
      <c r="H709" s="32">
        <f>IFERROR(H707/F707-1,"n/a")</f>
        <v>0.04347932334121518</v>
      </c>
    </row>
    <row r="710">
      <c r="B710" s="1" t="s">
        <v>199</v>
      </c>
      <c r="C710" s="62">
        <f>IFERROR(C182/C707*3650/C$7,"n/a")</f>
        <v>1.0866820312673313</v>
      </c>
      <c r="D710" s="62">
        <f>IFERROR(D182/D707*3650/D$7,"n/a")</f>
        <v>1.0372746783078235</v>
      </c>
      <c r="E710" s="62">
        <f>IFERROR(E182/E707*3650/E$7,"n/a")</f>
        <v>1.1078006997374337</v>
      </c>
      <c r="F710" s="62">
        <f>IFERROR(F182/F707*3650/F$7,"n/a")</f>
        <v>1.0666090520965936</v>
      </c>
      <c r="G710" s="62">
        <f>IFERROR(G182/G707*3650/G$7,"n/a")</f>
        <v>1.0750868420240418</v>
      </c>
      <c r="H710" s="59">
        <f>F710+H711</f>
        <v>1.0666090520965936</v>
      </c>
    </row>
    <row r="711">
      <c r="B711" s="1" t="s">
        <v>180</v>
      </c>
      <c r="C711" s="62" t="s">
        <v>37</v>
      </c>
      <c r="D711" s="62">
        <f>D710-C710</f>
        <v>-0.04940735295950782</v>
      </c>
      <c r="E711" s="62">
        <f>E710-D710</f>
        <v>0.07052602142961018</v>
      </c>
      <c r="F711" s="62">
        <f>F710-E710</f>
        <v>-0.041191647640840046</v>
      </c>
      <c r="H711" s="64">
        <v>0</v>
      </c>
    </row>
    <row r="712">
      <c r="B712" s="1" t="s">
        <v>158</v>
      </c>
      <c r="C712" s="56">
        <f>IFERROR(C710-Inputs!C149/Inputs!C184*3650/C$7,"n/a")</f>
        <v>-0.0708209570039231</v>
      </c>
      <c r="D712" s="56">
        <f>IFERROR(D710-Inputs!D149/Inputs!D184*3650/D$7,"n/a")</f>
        <v>-0.06826579728141002</v>
      </c>
      <c r="E712" s="56">
        <f>IFERROR(E710-Inputs!E149/Inputs!E184*3650/E$7,"n/a")</f>
        <v>-0.005935888655409283</v>
      </c>
      <c r="F712" s="56">
        <f>IFERROR(F710-Inputs!F149/Inputs!F184*3650/F$7,"n/a")</f>
        <v>-0.00523630245208806</v>
      </c>
      <c r="G712" s="56">
        <f>IFERROR(G710-Inputs!G149/Inputs!G184*3650/(EDATE(G$6,-12)-EDATE(G$6,-24)),"n/a")</f>
        <v>-0.09996039547172919</v>
      </c>
      <c r="H712" s="59">
        <f>H710-C710</f>
        <v>-0.020072979170737693</v>
      </c>
    </row>
    <row r="713">
      <c r="B713" s="1" t="s">
        <v>200</v>
      </c>
      <c r="C713" s="6">
        <f>C182</f>
        <v>355</v>
      </c>
      <c r="D713" s="6">
        <f>D182</f>
        <v>359</v>
      </c>
      <c r="E713" s="6">
        <f>E182</f>
        <v>389</v>
      </c>
      <c r="F713" s="6">
        <f>F182</f>
        <v>395</v>
      </c>
      <c r="G713" s="6">
        <f>G182</f>
        <v>1355</v>
      </c>
      <c r="H713" s="30">
        <f>H707*H710*H$7/3650</f>
        <v>416.703720991426</v>
      </c>
    </row>
    <row r="714">
      <c r="B714" s="2" t="s">
        <v>128</v>
      </c>
      <c r="H714" s="39"/>
    </row>
    <row r="715">
      <c r="B715" s="25" t="s">
        <v>201</v>
      </c>
      <c r="C715" s="21">
        <f>IFERROR(C175/Inputs!C148-1,"n/a")</f>
        <v>0.2779156327543424</v>
      </c>
      <c r="D715" s="21">
        <f>IFERROR(D175/Inputs!D148-1,"n/a")</f>
        <v>0.24065420560747675</v>
      </c>
      <c r="E715" s="21">
        <f>IFERROR(E175/Inputs!E148-1,"n/a")</f>
        <v>0.2155963302752293</v>
      </c>
      <c r="F715" s="21">
        <f>IFERROR(F175/Inputs!F148-1,"n/a")</f>
        <v>0.13426853707414832</v>
      </c>
      <c r="G715" s="21">
        <f>IFERROR(G175/Inputs!G148-1,"n/a")</f>
        <v>0.23580786026200884</v>
      </c>
      <c r="H715" s="43">
        <v>0.13</v>
      </c>
    </row>
    <row r="716">
      <c r="B716" s="25" t="s">
        <v>202</v>
      </c>
      <c r="C716" s="46">
        <v>0.29</v>
      </c>
      <c r="D716" s="46">
        <v>0.31</v>
      </c>
      <c r="E716" s="46">
        <v>0.14</v>
      </c>
      <c r="F716" s="46">
        <v>0.15</v>
      </c>
      <c r="H716" s="39"/>
    </row>
    <row r="717">
      <c r="B717" s="1" t="s">
        <v>181</v>
      </c>
      <c r="C717" s="6">
        <f>C175</f>
        <v>515</v>
      </c>
      <c r="D717" s="6">
        <f>D175</f>
        <v>531</v>
      </c>
      <c r="E717" s="6">
        <f>E175</f>
        <v>530</v>
      </c>
      <c r="F717" s="6">
        <f>F175</f>
        <v>566</v>
      </c>
      <c r="G717" s="6">
        <f>G175</f>
        <v>1981</v>
      </c>
      <c r="H717" s="30">
        <f>C175*(1+H715)</f>
        <v>581.9499999999999</v>
      </c>
    </row>
    <row r="718">
      <c r="H718" s="39"/>
    </row>
    <row r="719">
      <c r="B719" s="34" t="s">
        <v>203</v>
      </c>
      <c r="H719" s="39"/>
    </row>
    <row r="720">
      <c r="B720" s="1" t="s">
        <v>204</v>
      </c>
      <c r="C720" s="23">
        <v>1173.568</v>
      </c>
      <c r="D720" s="23">
        <v>1278.732</v>
      </c>
      <c r="E720" s="23">
        <v>1262.374</v>
      </c>
      <c r="F720" s="23">
        <v>1396.257</v>
      </c>
      <c r="G720" s="23">
        <v>1278.732</v>
      </c>
      <c r="H720" s="30">
        <f>IFERROR(F720/F601*H601,"n/a")</f>
        <v>1419.4436550521139</v>
      </c>
    </row>
    <row r="721">
      <c r="B721" s="25" t="s">
        <v>101</v>
      </c>
      <c r="C721" s="21">
        <f>IFERROR(C720/Inputs!C186-1,"n/a")</f>
        <v>0.12783757004729246</v>
      </c>
      <c r="D721" s="21">
        <f>IFERROR(D720/Inputs!D186-1,"n/a")</f>
        <v>0.2595602336831093</v>
      </c>
      <c r="E721" s="21">
        <f>IFERROR(E720/Inputs!E186-1,"n/a")</f>
        <v>0.23413694666040996</v>
      </c>
      <c r="F721" s="21">
        <f>IFERROR(F720/Inputs!F186-1,"n/a")</f>
        <v>0.2681751176433722</v>
      </c>
      <c r="G721" s="21">
        <f>IFERROR(G720/Inputs!G186-1,"n/a")</f>
        <v>0.2595602336831093</v>
      </c>
      <c r="H721" s="32">
        <f>IFERROR(H720/C720-1,"n/a")</f>
        <v>0.2095112128586616</v>
      </c>
    </row>
    <row r="722">
      <c r="B722" s="25" t="s">
        <v>102</v>
      </c>
      <c r="C722" s="21">
        <f>IFERROR(C720/Inputs!F186-1,"n/a")</f>
        <v>0.0659138944066151</v>
      </c>
      <c r="D722" s="16">
        <f>IFERROR(D720/C720-1,"n/a")</f>
        <v>0.08961048699351037</v>
      </c>
      <c r="E722" s="16">
        <f>IFERROR(E720/D720-1,"n/a")</f>
        <v>-0.01279235993155714</v>
      </c>
      <c r="F722" s="16">
        <f>IFERROR(F720/E720-1,"n/a")</f>
        <v>0.10605652524529185</v>
      </c>
      <c r="H722" s="32">
        <f>IFERROR(H720/F720-1,"n/a")</f>
        <v>0.016606294580520542</v>
      </c>
    </row>
    <row r="723">
      <c r="B723" s="1" t="s">
        <v>205</v>
      </c>
      <c r="C723" s="23">
        <v>5193.314</v>
      </c>
      <c r="D723" s="23">
        <v>5467.71</v>
      </c>
      <c r="E723" s="23">
        <v>5485.544</v>
      </c>
      <c r="F723" s="23">
        <v>6246.07</v>
      </c>
      <c r="G723" s="23">
        <v>5467.71</v>
      </c>
      <c r="H723" s="30">
        <f>IFERROR(F723/F601*H601,"n/a")</f>
        <v>6349.794078390551</v>
      </c>
    </row>
    <row r="724">
      <c r="B724" s="25" t="s">
        <v>101</v>
      </c>
      <c r="C724" s="21">
        <f>IFERROR(C723/Inputs!C187-1,"n/a")</f>
        <v>0.23994713889887032</v>
      </c>
      <c r="D724" s="21">
        <f>IFERROR(D723/Inputs!D187-1,"n/a")</f>
        <v>0.2924882545873593</v>
      </c>
      <c r="E724" s="21">
        <f>IFERROR(E723/Inputs!E187-1,"n/a")</f>
        <v>0.2748893094457254</v>
      </c>
      <c r="F724" s="21">
        <f>IFERROR(F723/Inputs!F187-1,"n/a")</f>
        <v>0.31530325339119525</v>
      </c>
      <c r="G724" s="21">
        <f>IFERROR(G723/Inputs!G187-1,"n/a")</f>
        <v>0.2924882545873593</v>
      </c>
      <c r="H724" s="32">
        <f>IFERROR(H723/C723-1,"n/a")</f>
        <v>0.22268633831702656</v>
      </c>
    </row>
    <row r="725">
      <c r="B725" s="25" t="s">
        <v>102</v>
      </c>
      <c r="C725" s="21">
        <f>IFERROR(C723/Inputs!F187-1,"n/a")</f>
        <v>0.09361291181207432</v>
      </c>
      <c r="D725" s="16">
        <f>IFERROR(D723/C723-1,"n/a")</f>
        <v>0.05283639695192699</v>
      </c>
      <c r="E725" s="16">
        <f>IFERROR(E723/D723-1,"n/a")</f>
        <v>0.003261694566829565</v>
      </c>
      <c r="F725" s="16">
        <f>IFERROR(F723/E723-1,"n/a")</f>
        <v>0.13864185575760568</v>
      </c>
      <c r="H725" s="32">
        <f>IFERROR(H723/F723-1,"n/a")</f>
        <v>0.01660629458052032</v>
      </c>
    </row>
    <row r="726">
      <c r="B726" s="1" t="s">
        <v>206</v>
      </c>
      <c r="C726" s="23">
        <v>2475.614</v>
      </c>
      <c r="D726" s="23">
        <v>2518.17</v>
      </c>
      <c r="E726" s="23">
        <v>2509.266</v>
      </c>
      <c r="F726" s="23">
        <v>2687.174</v>
      </c>
      <c r="G726" s="23">
        <v>2518.17</v>
      </c>
      <c r="H726" s="30">
        <f>IFERROR(F726/F601*H601,"n/a")</f>
        <v>2731.7980030331155</v>
      </c>
    </row>
    <row r="727">
      <c r="B727" s="25" t="s">
        <v>101</v>
      </c>
      <c r="C727" s="21">
        <f>IFERROR(C726/Inputs!C188-1,"n/a")</f>
        <v>0.1737407107833142</v>
      </c>
      <c r="D727" s="21">
        <f>IFERROR(D726/Inputs!D188-1,"n/a")</f>
        <v>0.17941824602652345</v>
      </c>
      <c r="E727" s="21">
        <f>IFERROR(E726/Inputs!E188-1,"n/a")</f>
        <v>0.16429640614371532</v>
      </c>
      <c r="F727" s="21">
        <f>IFERROR(F726/Inputs!F188-1,"n/a")</f>
        <v>0.17968353866341347</v>
      </c>
      <c r="G727" s="21">
        <f>IFERROR(G726/Inputs!G188-1,"n/a")</f>
        <v>0.17941824602652345</v>
      </c>
      <c r="H727" s="32">
        <f>IFERROR(H726/C726-1,"n/a")</f>
        <v>0.10348301594397014</v>
      </c>
    </row>
    <row r="728">
      <c r="B728" s="25" t="s">
        <v>102</v>
      </c>
      <c r="C728" s="21">
        <f>IFERROR(C726/Inputs!F188-1,"n/a")</f>
        <v>0.08680758443059045</v>
      </c>
      <c r="D728" s="16">
        <f>IFERROR(D726/C726-1,"n/a")</f>
        <v>0.017190078905677586</v>
      </c>
      <c r="E728" s="16">
        <f>IFERROR(E726/D726-1,"n/a")</f>
        <v>-0.003535901071015868</v>
      </c>
      <c r="F728" s="16">
        <f>IFERROR(F726/E726-1,"n/a")</f>
        <v>0.07090041470294506</v>
      </c>
      <c r="H728" s="32">
        <f>IFERROR(H726/F726-1,"n/a")</f>
        <v>0.016606294580520542</v>
      </c>
    </row>
    <row r="729">
      <c r="B729" s="1" t="s">
        <v>207</v>
      </c>
      <c r="C729" s="23">
        <v>3616.4</v>
      </c>
      <c r="D729" s="23">
        <v>3696.174</v>
      </c>
      <c r="E729" s="23">
        <v>3564.093</v>
      </c>
      <c r="F729" s="23">
        <v>3946.276</v>
      </c>
      <c r="G729" s="23">
        <v>3696.174</v>
      </c>
      <c r="H729" s="30">
        <f>IFERROR(F729/F601*H601,"n/a")</f>
        <v>4011.809021752038</v>
      </c>
    </row>
    <row r="730">
      <c r="B730" s="25" t="s">
        <v>101</v>
      </c>
      <c r="C730" s="21">
        <f>IFERROR(C729/Inputs!C189-1,"n/a")</f>
        <v>0.0999027654811071</v>
      </c>
      <c r="D730" s="21">
        <f>IFERROR(D729/Inputs!D189-1,"n/a")</f>
        <v>0.13732035199884796</v>
      </c>
      <c r="E730" s="21">
        <f>IFERROR(E729/Inputs!E189-1,"n/a")</f>
        <v>0.12344242271412686</v>
      </c>
      <c r="F730" s="21">
        <f>IFERROR(F729/Inputs!F189-1,"n/a")</f>
        <v>0.15043493952476306</v>
      </c>
      <c r="G730" s="21">
        <f>IFERROR(G729/Inputs!G189-1,"n/a")</f>
        <v>0.13732035199884796</v>
      </c>
      <c r="H730" s="32">
        <f>IFERROR(H729/C729-1,"n/a")</f>
        <v>0.10933774520297468</v>
      </c>
    </row>
    <row r="731">
      <c r="B731" s="25" t="s">
        <v>102</v>
      </c>
      <c r="C731" s="21">
        <f>IFERROR(C729/Inputs!F189-1,"n/a")</f>
        <v>0.0542681037254753</v>
      </c>
      <c r="D731" s="16">
        <f>IFERROR(D729/C729-1,"n/a")</f>
        <v>0.02205895365556909</v>
      </c>
      <c r="E731" s="16">
        <f>IFERROR(E729/D729-1,"n/a")</f>
        <v>-0.0357345189918008</v>
      </c>
      <c r="F731" s="16">
        <f>IFERROR(F729/E729-1,"n/a")</f>
        <v>0.10723148918953584</v>
      </c>
      <c r="H731" s="32">
        <f>IFERROR(H729/F729-1,"n/a")</f>
        <v>0.016606294580520542</v>
      </c>
    </row>
    <row r="732">
      <c r="B732" s="2" t="s">
        <v>208</v>
      </c>
      <c r="C732" s="42">
        <f>C726+C729</f>
        <v>6092.014</v>
      </c>
      <c r="D732" s="42">
        <f>D726+D729</f>
        <v>6214.344</v>
      </c>
      <c r="E732" s="42">
        <f>E726+E729</f>
        <v>6073.359</v>
      </c>
      <c r="F732" s="42">
        <f>F726+F729</f>
        <v>6633.45</v>
      </c>
      <c r="G732" s="42">
        <f>G726+G729</f>
        <v>6214.344</v>
      </c>
      <c r="H732" s="41">
        <f>H726+H729</f>
        <v>6743.607024785153</v>
      </c>
    </row>
    <row r="733">
      <c r="B733" s="1" t="s">
        <v>209</v>
      </c>
      <c r="C733" s="23">
        <v>517.176</v>
      </c>
      <c r="D733" s="23">
        <v>546.028</v>
      </c>
      <c r="E733" s="23">
        <v>535.995</v>
      </c>
      <c r="F733" s="23">
        <v>619.239</v>
      </c>
      <c r="G733" s="23">
        <v>546.028</v>
      </c>
      <c r="H733" s="30">
        <f>IFERROR(F733/F601*H601,"n/a")</f>
        <v>629.522265249747</v>
      </c>
    </row>
    <row r="734">
      <c r="B734" s="25" t="s">
        <v>101</v>
      </c>
      <c r="C734" s="21">
        <f>IFERROR(C733/Inputs!C190-1,"n/a")</f>
        <v>0.05075854390452528</v>
      </c>
      <c r="D734" s="21">
        <f>IFERROR(D733/Inputs!D190-1,"n/a")</f>
        <v>0.16881687976145376</v>
      </c>
      <c r="E734" s="21">
        <f>IFERROR(E733/Inputs!E190-1,"n/a")</f>
        <v>0.16862092723086586</v>
      </c>
      <c r="F734" s="21">
        <f>IFERROR(F733/Inputs!F190-1,"n/a")</f>
        <v>0.22729975384200718</v>
      </c>
      <c r="G734" s="21">
        <f>IFERROR(G733/Inputs!G190-1,"n/a")</f>
        <v>0.16881687976145376</v>
      </c>
      <c r="H734" s="32">
        <f>IFERROR(H733/C733-1,"n/a")</f>
        <v>0.21723023738484937</v>
      </c>
    </row>
    <row r="735">
      <c r="B735" s="25" t="s">
        <v>102</v>
      </c>
      <c r="C735" s="21">
        <f>IFERROR(C733/Inputs!F190-1,"n/a")</f>
        <v>0.025016152879572928</v>
      </c>
      <c r="D735" s="16">
        <f>IFERROR(D733/C733-1,"n/a")</f>
        <v>0.05578758488406255</v>
      </c>
      <c r="E735" s="16">
        <f>IFERROR(E733/D733-1,"n/a")</f>
        <v>-0.018374515592607055</v>
      </c>
      <c r="F735" s="16">
        <f>IFERROR(F733/E733-1,"n/a")</f>
        <v>0.1553074189124899</v>
      </c>
      <c r="H735" s="32">
        <f>IFERROR(H733/F733-1,"n/a")</f>
        <v>0.016606294580520542</v>
      </c>
    </row>
    <row r="736">
      <c r="B736" s="1" t="s">
        <v>210</v>
      </c>
      <c r="C736" s="23">
        <v>1213.771</v>
      </c>
      <c r="D736" s="23">
        <v>1257.358</v>
      </c>
      <c r="E736" s="23">
        <v>1241.991</v>
      </c>
      <c r="F736" s="23">
        <v>1275.378</v>
      </c>
      <c r="G736" s="23">
        <v>1257.358</v>
      </c>
      <c r="H736" s="30">
        <f>IFERROR(F736/F601*H601,"n/a")</f>
        <v>1296.557302769515</v>
      </c>
    </row>
    <row r="737">
      <c r="B737" s="25" t="s">
        <v>101</v>
      </c>
      <c r="C737" s="21">
        <f>IFERROR(C736/Inputs!C191-1,"n/a")</f>
        <v>0.03587146967029331</v>
      </c>
      <c r="D737" s="21">
        <f>IFERROR(D736/Inputs!D191-1,"n/a")</f>
        <v>0.10890451672760815</v>
      </c>
      <c r="E737" s="21">
        <f>IFERROR(E736/Inputs!E191-1,"n/a")</f>
        <v>0.08009454809194949</v>
      </c>
      <c r="F737" s="21">
        <f>IFERROR(F736/Inputs!F191-1,"n/a")</f>
        <v>0.07722467540804145</v>
      </c>
      <c r="G737" s="21">
        <f>IFERROR(G736/Inputs!G191-1,"n/a")</f>
        <v>0.10890451672760815</v>
      </c>
      <c r="H737" s="32">
        <f>IFERROR(H736/C736-1,"n/a")</f>
        <v>0.06820586648512372</v>
      </c>
    </row>
    <row r="738">
      <c r="B738" s="25" t="s">
        <v>102</v>
      </c>
      <c r="C738" s="21">
        <f>IFERROR(C736/Inputs!F191-1,"n/a")</f>
        <v>0.025189450888045695</v>
      </c>
      <c r="D738" s="16">
        <f>IFERROR(D736/C736-1,"n/a")</f>
        <v>0.03591039825469555</v>
      </c>
      <c r="E738" s="16">
        <f>IFERROR(E736/D736-1,"n/a")</f>
        <v>-0.012221658429818705</v>
      </c>
      <c r="F738" s="16">
        <f>IFERROR(F736/E736-1,"n/a")</f>
        <v>0.026881837307999756</v>
      </c>
      <c r="H738" s="32">
        <f>IFERROR(H736/F736-1,"n/a")</f>
        <v>0.016606294580520542</v>
      </c>
    </row>
    <row r="739">
      <c r="B739" s="1" t="s">
        <v>211</v>
      </c>
      <c r="C739" s="23">
        <v>1145.338</v>
      </c>
      <c r="D739" s="23">
        <v>1205.743</v>
      </c>
      <c r="E739" s="23">
        <v>1203.867</v>
      </c>
      <c r="F739" s="23">
        <v>1321.393</v>
      </c>
      <c r="G739" s="23">
        <v>1205.743</v>
      </c>
      <c r="H739" s="30">
        <f>IFERROR(F739/F601*H601,"n/a")</f>
        <v>1343.3364414146376</v>
      </c>
    </row>
    <row r="740">
      <c r="B740" s="25" t="s">
        <v>101</v>
      </c>
      <c r="C740" s="21">
        <f>IFERROR(C739/Inputs!C192-1,"n/a")</f>
        <v>0.15920792279625728</v>
      </c>
      <c r="D740" s="21">
        <f>IFERROR(D739/Inputs!D192-1,"n/a")</f>
        <v>0.23160548354904642</v>
      </c>
      <c r="E740" s="21">
        <f>IFERROR(E739/Inputs!E192-1,"n/a")</f>
        <v>0.21739961411045172</v>
      </c>
      <c r="F740" s="21">
        <f>IFERROR(F739/Inputs!F192-1,"n/a")</f>
        <v>0.24488603871847836</v>
      </c>
      <c r="G740" s="21">
        <f>IFERROR(G739/Inputs!G192-1,"n/a")</f>
        <v>0.23160548354904642</v>
      </c>
      <c r="H740" s="32">
        <f>IFERROR(H739/C739-1,"n/a")</f>
        <v>0.17287337136691328</v>
      </c>
    </row>
    <row r="741">
      <c r="B741" s="25" t="s">
        <v>102</v>
      </c>
      <c r="C741" s="21">
        <f>IFERROR(C739/Inputs!F192-1,"n/a")</f>
        <v>0.07902439759688784</v>
      </c>
      <c r="D741" s="16">
        <f>IFERROR(D739/C739-1,"n/a")</f>
        <v>0.05273988988403411</v>
      </c>
      <c r="E741" s="16">
        <f>IFERROR(E739/D739-1,"n/a")</f>
        <v>-0.0015558871169063515</v>
      </c>
      <c r="F741" s="16">
        <f>IFERROR(F739/E739-1,"n/a")</f>
        <v>0.09762374082851344</v>
      </c>
      <c r="H741" s="32">
        <f>IFERROR(H739/F739-1,"n/a")</f>
        <v>0.01660629458052032</v>
      </c>
    </row>
    <row r="742">
      <c r="B742" s="1" t="s">
        <v>212</v>
      </c>
      <c r="C742" s="23">
        <v>3788.431</v>
      </c>
      <c r="D742" s="23">
        <v>4006.014</v>
      </c>
      <c r="E742" s="23">
        <v>4001.533</v>
      </c>
      <c r="F742" s="23">
        <v>4722.557</v>
      </c>
      <c r="G742" s="23">
        <v>4006.014</v>
      </c>
      <c r="H742" s="30">
        <f>IFERROR(F742/F601*H601,"n/a")</f>
        <v>4800.981172715299</v>
      </c>
    </row>
    <row r="743">
      <c r="B743" s="25" t="s">
        <v>101</v>
      </c>
      <c r="C743" s="21">
        <f>IFERROR(C742/Inputs!C193-1,"n/a")</f>
        <v>0.23730534580513662</v>
      </c>
      <c r="D743" s="21">
        <f>IFERROR(D742/Inputs!D193-1,"n/a")</f>
        <v>0.28960101055949683</v>
      </c>
      <c r="E743" s="21">
        <f>IFERROR(E742/Inputs!E193-1,"n/a")</f>
        <v>0.28607190630184487</v>
      </c>
      <c r="F743" s="21">
        <f>IFERROR(F742/Inputs!F193-1,"n/a")</f>
        <v>0.3668298352848831</v>
      </c>
      <c r="G743" s="21">
        <f>IFERROR(G742/Inputs!G193-1,"n/a")</f>
        <v>0.28960101055949683</v>
      </c>
      <c r="H743" s="32">
        <f>IFERROR(H742/C742-1,"n/a")</f>
        <v>0.26727428128301645</v>
      </c>
    </row>
    <row r="744">
      <c r="B744" s="25" t="s">
        <v>102</v>
      </c>
      <c r="C744" s="21">
        <f>IFERROR(C742/Inputs!F193-1,"n/a")</f>
        <v>0.0964696709257602</v>
      </c>
      <c r="D744" s="16">
        <f>IFERROR(D742/C742-1,"n/a")</f>
        <v>0.05743353910893467</v>
      </c>
      <c r="E744" s="16">
        <f>IFERROR(E742/D742-1,"n/a")</f>
        <v>-0.0011185682326622093</v>
      </c>
      <c r="F744" s="16">
        <f>IFERROR(F742/E742-1,"n/a")</f>
        <v>0.18018694335395957</v>
      </c>
      <c r="H744" s="32">
        <f>IFERROR(H742/F742-1,"n/a")</f>
        <v>0.016606294580520542</v>
      </c>
    </row>
    <row r="745">
      <c r="B745" s="1" t="s">
        <v>213</v>
      </c>
      <c r="C745" s="23">
        <v>1157.582</v>
      </c>
      <c r="D745" s="23">
        <v>1205.953</v>
      </c>
      <c r="E745" s="23">
        <v>1239.025</v>
      </c>
      <c r="F745" s="23">
        <v>1308.627</v>
      </c>
      <c r="G745" s="23">
        <v>1205.953</v>
      </c>
      <c r="H745" s="30">
        <f>IFERROR(F745/F601*H601,"n/a")</f>
        <v>1330.3584454580227</v>
      </c>
    </row>
    <row r="746">
      <c r="B746" s="25" t="s">
        <v>101</v>
      </c>
      <c r="C746" s="21">
        <f>IFERROR(C745/Inputs!C194-1,"n/a")</f>
        <v>0.13580186346617262</v>
      </c>
      <c r="D746" s="21">
        <f>IFERROR(D745/Inputs!D194-1,"n/a")</f>
        <v>0.22350789122327153</v>
      </c>
      <c r="E746" s="21">
        <f>IFERROR(E745/Inputs!E194-1,"n/a")</f>
        <v>0.19238486596767457</v>
      </c>
      <c r="F746" s="21">
        <f>IFERROR(F745/Inputs!F194-1,"n/a")</f>
        <v>0.1883386123077595</v>
      </c>
      <c r="G746" s="21">
        <f>IFERROR(G745/Inputs!G194-1,"n/a")</f>
        <v>0.22350789122327153</v>
      </c>
      <c r="H746" s="32">
        <f>IFERROR(H745/C745-1,"n/a")</f>
        <v>0.149256333856282</v>
      </c>
    </row>
    <row r="747">
      <c r="B747" s="25" t="s">
        <v>102</v>
      </c>
      <c r="C747" s="21">
        <f>IFERROR(C745/Inputs!F194-1,"n/a")</f>
        <v>0.05117759874466965</v>
      </c>
      <c r="D747" s="16">
        <f>IFERROR(D745/C745-1,"n/a")</f>
        <v>0.041786240629173355</v>
      </c>
      <c r="E747" s="16">
        <f>IFERROR(E745/D745-1,"n/a")</f>
        <v>0.027423954333211986</v>
      </c>
      <c r="F747" s="16">
        <f>IFERROR(F745/E745-1,"n/a")</f>
        <v>0.056174814874598855</v>
      </c>
      <c r="H747" s="32">
        <f>IFERROR(H745/F745-1,"n/a")</f>
        <v>0.016606294580520542</v>
      </c>
    </row>
    <row r="748">
      <c r="B748" s="1" t="s">
        <v>214</v>
      </c>
      <c r="C748" s="23">
        <v>13.111</v>
      </c>
      <c r="D748" s="23">
        <v>14.402</v>
      </c>
      <c r="E748" s="23">
        <v>15.086</v>
      </c>
      <c r="F748" s="23">
        <v>21.767</v>
      </c>
      <c r="G748" s="23">
        <v>14.402</v>
      </c>
      <c r="H748" s="30">
        <f>IFERROR(F748/F601*H601,"n/a")</f>
        <v>22.12846921413419</v>
      </c>
    </row>
    <row r="749">
      <c r="B749" s="25" t="s">
        <v>101</v>
      </c>
      <c r="C749" s="21">
        <f>IFERROR(C748/Inputs!C195-1,"n/a")</f>
        <v>0.30639697090474294</v>
      </c>
      <c r="D749" s="21">
        <f>IFERROR(D748/Inputs!D195-1,"n/a")</f>
        <v>0.3417179057201416</v>
      </c>
      <c r="E749" s="21">
        <f>IFERROR(E748/Inputs!E195-1,"n/a")</f>
        <v>0.42280486654720373</v>
      </c>
      <c r="F749" s="21">
        <f>IFERROR(F748/Inputs!F195-1,"n/a")</f>
        <v>0.8251718933422774</v>
      </c>
      <c r="G749" s="21">
        <f>IFERROR(G748/Inputs!G195-1,"n/a")</f>
        <v>0.3417179057201416</v>
      </c>
      <c r="H749" s="32">
        <f>IFERROR(H748/C748-1,"n/a")</f>
        <v>0.6877789042890845</v>
      </c>
    </row>
    <row r="750">
      <c r="B750" s="25" t="s">
        <v>102</v>
      </c>
      <c r="C750" s="21">
        <f>IFERROR(C748/Inputs!F195-1,"n/a")</f>
        <v>0.09936273687741082</v>
      </c>
      <c r="D750" s="16">
        <f>IFERROR(D748/C748-1,"n/a")</f>
        <v>0.09846693616047575</v>
      </c>
      <c r="E750" s="16">
        <f>IFERROR(E748/D748-1,"n/a")</f>
        <v>0.0474934036939314</v>
      </c>
      <c r="F750" s="16">
        <f>IFERROR(F748/E748-1,"n/a")</f>
        <v>0.44286093066419197</v>
      </c>
      <c r="H750" s="32">
        <f>IFERROR(H748/F748-1,"n/a")</f>
        <v>0.016606294580520542</v>
      </c>
    </row>
    <row r="751">
      <c r="B751" s="1" t="s">
        <v>215</v>
      </c>
      <c r="C751" s="23">
        <v>130.225</v>
      </c>
      <c r="D751" s="23">
        <v>162.906</v>
      </c>
      <c r="E751" s="23">
        <v>169.229</v>
      </c>
      <c r="F751" s="23">
        <v>144.28</v>
      </c>
      <c r="G751" s="23">
        <v>162.906</v>
      </c>
      <c r="H751" s="30">
        <f>IFERROR(F751/F601*H601,"n/a")</f>
        <v>146.6759561820775</v>
      </c>
    </row>
    <row r="752">
      <c r="B752" s="25" t="s">
        <v>101</v>
      </c>
      <c r="C752" s="21">
        <f>IFERROR(C751/Inputs!C196-1,"n/a")</f>
        <v>0.7828051201314257</v>
      </c>
      <c r="D752" s="21">
        <f>IFERROR(D751/Inputs!D196-1,"n/a")</f>
        <v>1.253662585598672</v>
      </c>
      <c r="E752" s="21">
        <f>IFERROR(E751/Inputs!E196-1,"n/a")</f>
        <v>0.8540361102589948</v>
      </c>
      <c r="F752" s="21">
        <f>IFERROR(F751/Inputs!F196-1,"n/a")</f>
        <v>0.4292223873204557</v>
      </c>
      <c r="G752" s="21">
        <f>IFERROR(G751/Inputs!G196-1,"n/a")</f>
        <v>1.253662585598672</v>
      </c>
      <c r="H752" s="32">
        <f>IFERROR(H751/C751-1,"n/a")</f>
        <v>0.12632717360013435</v>
      </c>
    </row>
    <row r="753">
      <c r="B753" s="25" t="s">
        <v>102</v>
      </c>
      <c r="C753" s="21">
        <f>IFERROR(C751/Inputs!F196-1,"n/a")</f>
        <v>0.2899950470529964</v>
      </c>
      <c r="D753" s="16">
        <f>IFERROR(D751/C751-1,"n/a")</f>
        <v>0.2509579573814553</v>
      </c>
      <c r="E753" s="16">
        <f>IFERROR(E751/D751-1,"n/a")</f>
        <v>0.038813794458153916</v>
      </c>
      <c r="F753" s="16">
        <f>IFERROR(F751/E751-1,"n/a")</f>
        <v>-0.1474274503778904</v>
      </c>
      <c r="H753" s="32">
        <f>IFERROR(H751/F751-1,"n/a")</f>
        <v>0.016606294580520542</v>
      </c>
    </row>
    <row r="754">
      <c r="B754" s="1" t="s">
        <v>116</v>
      </c>
      <c r="C754" s="23">
        <v>3970.963</v>
      </c>
      <c r="D754" s="23">
        <v>4060.333</v>
      </c>
      <c r="E754" s="23">
        <v>3924.81</v>
      </c>
      <c r="F754" s="23">
        <v>4364.302</v>
      </c>
      <c r="G754" s="23">
        <v>4060.333</v>
      </c>
      <c r="H754" s="30">
        <f>IFERROR(F754/F601*H601,"n/a")</f>
        <v>4436.776884650354</v>
      </c>
    </row>
    <row r="755">
      <c r="B755" s="25" t="s">
        <v>101</v>
      </c>
      <c r="C755" s="21">
        <f>IFERROR(C754/Inputs!C197-1,"n/a")</f>
        <v>0.11285260044492107</v>
      </c>
      <c r="D755" s="21">
        <f>IFERROR(D754/Inputs!D197-1,"n/a")</f>
        <v>0.14964617302567995</v>
      </c>
      <c r="E755" s="21">
        <f>IFERROR(E754/Inputs!E197-1,"n/a")</f>
        <v>0.13388197580626526</v>
      </c>
      <c r="F755" s="21">
        <f>IFERROR(F754/Inputs!F197-1,"n/a")</f>
        <v>0.1615687865160882</v>
      </c>
      <c r="G755" s="21">
        <f>IFERROR(G754/Inputs!G197-1,"n/a")</f>
        <v>0.14964617302567995</v>
      </c>
      <c r="H755" s="32">
        <f>IFERROR(H754/C754-1,"n/a")</f>
        <v>0.1173050176116861</v>
      </c>
    </row>
    <row r="756">
      <c r="B756" s="25" t="s">
        <v>102</v>
      </c>
      <c r="C756" s="21">
        <f>IFERROR(C754/Inputs!F197-1,"n/a")</f>
        <v>0.05688072759636853</v>
      </c>
      <c r="D756" s="16">
        <f>IFERROR(D754/C754-1,"n/a")</f>
        <v>0.022505875778746853</v>
      </c>
      <c r="E756" s="16">
        <f>IFERROR(E754/D754-1,"n/a")</f>
        <v>-0.033377311663846276</v>
      </c>
      <c r="F756" s="16">
        <f>IFERROR(F754/E754-1,"n/a")</f>
        <v>0.1119779046629008</v>
      </c>
      <c r="H756" s="32">
        <f>IFERROR(H754/F754-1,"n/a")</f>
        <v>0.01660629458052032</v>
      </c>
    </row>
    <row r="757">
      <c r="B757" s="1" t="s">
        <v>216</v>
      </c>
      <c r="C757" s="23">
        <v>110.101</v>
      </c>
      <c r="D757" s="23">
        <v>112.116</v>
      </c>
      <c r="E757" s="23">
        <v>111.867</v>
      </c>
      <c r="F757" s="23">
        <v>113.488</v>
      </c>
      <c r="G757" s="23">
        <v>112.116</v>
      </c>
      <c r="H757" s="30">
        <f>IFERROR(F757/F601*H601,"n/a")</f>
        <v>115.3726151593541</v>
      </c>
    </row>
    <row r="758">
      <c r="B758" s="25" t="s">
        <v>101</v>
      </c>
      <c r="C758" s="21">
        <f>IFERROR(C757/Inputs!C198-1,"n/a")</f>
        <v>1.8324715083223997</v>
      </c>
      <c r="D758" s="21">
        <f>IFERROR(D757/Inputs!D198-1,"n/a")</f>
        <v>0.022900206193091632</v>
      </c>
      <c r="E758" s="21">
        <f>IFERROR(E757/Inputs!E198-1,"n/a")</f>
        <v>0.032259552832399896</v>
      </c>
      <c r="F758" s="21">
        <f>IFERROR(F757/Inputs!F198-1,"n/a")</f>
        <v>0.010371873970602685</v>
      </c>
      <c r="G758" s="21">
        <f>IFERROR(G757/Inputs!G198-1,"n/a")</f>
        <v>0.022900206193091632</v>
      </c>
      <c r="H758" s="32">
        <f>IFERROR(H757/C757-1,"n/a")</f>
        <v>0.047879811803290595</v>
      </c>
    </row>
    <row r="759">
      <c r="B759" s="25" t="s">
        <v>102</v>
      </c>
      <c r="C759" s="21">
        <f>IFERROR(C757/Inputs!F198-1,"n/a")</f>
        <v>-0.019782235161097894</v>
      </c>
      <c r="D759" s="16">
        <f>IFERROR(D757/C757-1,"n/a")</f>
        <v>0.018301377825814535</v>
      </c>
      <c r="E759" s="16">
        <f>IFERROR(E757/D757-1,"n/a")</f>
        <v>-0.0022209140533019367</v>
      </c>
      <c r="F759" s="16">
        <f>IFERROR(F757/E757-1,"n/a")</f>
        <v>0.014490421661437214</v>
      </c>
      <c r="H759" s="32">
        <f>IFERROR(H757/F757-1,"n/a")</f>
        <v>0.01660629458052032</v>
      </c>
    </row>
    <row r="760">
      <c r="B760" s="1" t="s">
        <v>217</v>
      </c>
      <c r="C760" s="23">
        <v>34.033</v>
      </c>
      <c r="D760" s="23">
        <v>30.623</v>
      </c>
      <c r="E760" s="23">
        <v>30.231</v>
      </c>
      <c r="F760" s="23">
        <v>32.261</v>
      </c>
      <c r="G760" s="23">
        <v>30.623</v>
      </c>
      <c r="H760" s="30">
        <f>IFERROR(F760/F601*H601,"n/a")</f>
        <v>32.79673566946217</v>
      </c>
    </row>
    <row r="761">
      <c r="B761" s="25" t="s">
        <v>101</v>
      </c>
      <c r="C761" s="21">
        <f>IFERROR(C760/Inputs!C199-1,"n/a")</f>
        <v>-0.04954338537157543</v>
      </c>
      <c r="D761" s="21">
        <f>IFERROR(D760/Inputs!D199-1,"n/a")</f>
        <v>-0.15701819583230092</v>
      </c>
      <c r="E761" s="21">
        <f>IFERROR(E760/Inputs!E199-1,"n/a")</f>
        <v>-0.1731579235271592</v>
      </c>
      <c r="F761" s="21">
        <f>IFERROR(F760/Inputs!F199-1,"n/a")</f>
        <v>-0.04392022049017574</v>
      </c>
      <c r="G761" s="21">
        <f>IFERROR(G760/Inputs!G199-1,"n/a")</f>
        <v>-0.15701819583230092</v>
      </c>
      <c r="H761" s="32">
        <f>IFERROR(H760/C760-1,"n/a")</f>
        <v>-0.03632545854135183</v>
      </c>
    </row>
    <row r="762">
      <c r="B762" s="25" t="s">
        <v>102</v>
      </c>
      <c r="C762" s="21">
        <f>IFERROR(C760/Inputs!F199-1,"n/a")</f>
        <v>0.00859437512965644</v>
      </c>
      <c r="D762" s="16">
        <f>IFERROR(D760/C760-1,"n/a")</f>
        <v>-0.10019686774601122</v>
      </c>
      <c r="E762" s="16">
        <f>IFERROR(E760/D760-1,"n/a")</f>
        <v>-0.012800835972961444</v>
      </c>
      <c r="F762" s="16">
        <f>IFERROR(F760/E760-1,"n/a")</f>
        <v>0.06714961463398494</v>
      </c>
      <c r="H762" s="32">
        <f>IFERROR(H760/F760-1,"n/a")</f>
        <v>0.016606294580520542</v>
      </c>
    </row>
    <row r="763">
      <c r="B763" s="1" t="s">
        <v>218</v>
      </c>
      <c r="C763" s="23">
        <v>141.974</v>
      </c>
      <c r="D763" s="23">
        <v>145.385</v>
      </c>
      <c r="E763" s="23">
        <v>147.045</v>
      </c>
      <c r="F763" s="23">
        <v>150.937</v>
      </c>
      <c r="G763" s="23">
        <v>145.385</v>
      </c>
      <c r="H763" s="30">
        <f>IFERROR(F763/F601*H601,"n/a")</f>
        <v>153.44350428510003</v>
      </c>
    </row>
    <row r="764">
      <c r="B764" s="25" t="s">
        <v>101</v>
      </c>
      <c r="C764" s="21">
        <f>IFERROR(C763/Inputs!C200-1,"n/a")</f>
        <v>3.4061200422071876</v>
      </c>
      <c r="D764" s="21">
        <f>IFERROR(D763/Inputs!D200-1,"n/a")</f>
        <v>3.483731688511951</v>
      </c>
      <c r="E764" s="21">
        <f>IFERROR(E763/Inputs!E200-1,"n/a")</f>
        <v>3.365166538027667</v>
      </c>
      <c r="F764" s="21">
        <f>IFERROR(F763/Inputs!F200-1,"n/a")</f>
        <v>3.194442128664722</v>
      </c>
      <c r="G764" s="21">
        <f>IFERROR(G763/Inputs!G200-1,"n/a")</f>
        <v>3.483731688511951</v>
      </c>
      <c r="H764" s="32">
        <f>IFERROR(H763/C763-1,"n/a")</f>
        <v>0.08078594873075384</v>
      </c>
    </row>
    <row r="765">
      <c r="B765" s="25" t="s">
        <v>102</v>
      </c>
      <c r="C765" s="21">
        <f>IFERROR(C763/Inputs!F200-1,"n/a")</f>
        <v>2.9453661247742113</v>
      </c>
      <c r="D765" s="16">
        <f>IFERROR(D763/C763-1,"n/a")</f>
        <v>0.02402552580049866</v>
      </c>
      <c r="E765" s="16">
        <f>IFERROR(E763/D763-1,"n/a")</f>
        <v>0.011417959211748041</v>
      </c>
      <c r="F765" s="16">
        <f>IFERROR(F763/E763-1,"n/a")</f>
        <v>0.026468088000272116</v>
      </c>
      <c r="H765" s="32">
        <f>IFERROR(H763/F763-1,"n/a")</f>
        <v>0.016606294580520542</v>
      </c>
    </row>
    <row r="766">
      <c r="B766" s="1" t="s">
        <v>219</v>
      </c>
      <c r="C766" s="23">
        <v>25.525</v>
      </c>
      <c r="D766" s="23">
        <v>25.062</v>
      </c>
      <c r="E766" s="23">
        <v>21.654</v>
      </c>
      <c r="F766" s="23">
        <v>21.953</v>
      </c>
      <c r="G766" s="23">
        <v>25.062</v>
      </c>
      <c r="H766" s="30">
        <f>IFERROR(F766/F601*H601,"n/a")</f>
        <v>22.317557984926164</v>
      </c>
    </row>
    <row r="767">
      <c r="B767" s="25" t="s">
        <v>101</v>
      </c>
      <c r="C767" s="21">
        <f>IFERROR(C766/Inputs!C201-1,"n/a")</f>
        <v>-0.05578367180853039</v>
      </c>
      <c r="D767" s="21">
        <f>IFERROR(D766/Inputs!D201-1,"n/a")</f>
        <v>-0.041496156346808366</v>
      </c>
      <c r="E767" s="21">
        <f>IFERROR(E766/Inputs!E201-1,"n/a")</f>
        <v>-0.1695812241141279</v>
      </c>
      <c r="F767" s="21">
        <f>IFERROR(F766/Inputs!F201-1,"n/a")</f>
        <v>-0.13146858680170914</v>
      </c>
      <c r="G767" s="21">
        <f>IFERROR(G766/Inputs!G201-1,"n/a")</f>
        <v>-0.041496156346808366</v>
      </c>
      <c r="H767" s="32">
        <f>IFERROR(H766/C766-1,"n/a")</f>
        <v>-0.12565884486087497</v>
      </c>
    </row>
    <row r="768">
      <c r="B768" s="25" t="s">
        <v>102</v>
      </c>
      <c r="C768" s="21">
        <f>IFERROR(C766/Inputs!F201-1,"n/a")</f>
        <v>0.009851242285171757</v>
      </c>
      <c r="D768" s="16">
        <f>IFERROR(D766/C766-1,"n/a")</f>
        <v>-0.018139079333986174</v>
      </c>
      <c r="E768" s="16">
        <f>IFERROR(E766/D766-1,"n/a")</f>
        <v>-0.13598276274838406</v>
      </c>
      <c r="F768" s="16">
        <f>IFERROR(F766/E766-1,"n/a")</f>
        <v>0.013808072411563677</v>
      </c>
      <c r="H768" s="32">
        <f>IFERROR(H766/F766-1,"n/a")</f>
        <v>0.016606294580520542</v>
      </c>
    </row>
    <row r="769">
      <c r="B769" s="1" t="s">
        <v>220</v>
      </c>
      <c r="C769" s="23">
        <v>9.253</v>
      </c>
      <c r="D769" s="23">
        <v>9.438</v>
      </c>
      <c r="E769" s="23">
        <v>9.634</v>
      </c>
      <c r="F769" s="23">
        <v>10.444</v>
      </c>
      <c r="G769" s="23">
        <v>9.438</v>
      </c>
      <c r="H769" s="30">
        <f>IFERROR(F769/F601*H601,"n/a")</f>
        <v>10.617436140598956</v>
      </c>
    </row>
    <row r="770">
      <c r="B770" s="25" t="s">
        <v>101</v>
      </c>
      <c r="C770" s="21">
        <f>IFERROR(C769/Inputs!C202-1,"n/a")</f>
        <v>0.23769395398608895</v>
      </c>
      <c r="D770" s="21">
        <f>IFERROR(D769/Inputs!D202-1,"n/a")</f>
        <v>0.2636229749631811</v>
      </c>
      <c r="E770" s="21">
        <f>IFERROR(E769/Inputs!E202-1,"n/a")</f>
        <v>0.2578665622143883</v>
      </c>
      <c r="F770" s="21">
        <f>IFERROR(F769/Inputs!F202-1,"n/a")</f>
        <v>0.319186560565871</v>
      </c>
      <c r="G770" s="21">
        <f>IFERROR(G769/Inputs!G202-1,"n/a")</f>
        <v>0.2636229749631811</v>
      </c>
      <c r="H770" s="32">
        <f>IFERROR(H769/C769-1,"n/a")</f>
        <v>0.14745878532356604</v>
      </c>
    </row>
    <row r="771">
      <c r="B771" s="25" t="s">
        <v>102</v>
      </c>
      <c r="C771" s="21">
        <f>IFERROR(C769/Inputs!F202-1,"n/a")</f>
        <v>0.16875078944044475</v>
      </c>
      <c r="D771" s="16">
        <f>IFERROR(D769/C769-1,"n/a")</f>
        <v>0.019993515616556934</v>
      </c>
      <c r="E771" s="16">
        <f>IFERROR(E769/D769-1,"n/a")</f>
        <v>0.020767111676202488</v>
      </c>
      <c r="F771" s="16">
        <f>IFERROR(F769/E769-1,"n/a")</f>
        <v>0.08407722648951643</v>
      </c>
      <c r="H771" s="32">
        <f>IFERROR(H769/F769-1,"n/a")</f>
        <v>0.01660629458052032</v>
      </c>
    </row>
    <row r="772">
      <c r="H772" s="39"/>
    </row>
    <row r="773">
      <c r="B773" s="34" t="s">
        <v>221</v>
      </c>
      <c r="H773" s="39"/>
    </row>
    <row r="774">
      <c r="B774" s="1" t="s">
        <v>204</v>
      </c>
      <c r="C774" s="23">
        <v>9.724</v>
      </c>
      <c r="D774" s="23">
        <v>81.759</v>
      </c>
      <c r="E774" s="23">
        <v>15.233</v>
      </c>
      <c r="F774" s="23">
        <v>18.862</v>
      </c>
      <c r="G774" s="23">
        <v>106.557</v>
      </c>
      <c r="H774" s="39"/>
    </row>
    <row r="775">
      <c r="B775" s="1" t="s">
        <v>222</v>
      </c>
      <c r="C775" s="23">
        <v>152.956</v>
      </c>
      <c r="D775" s="23">
        <v>181.484</v>
      </c>
      <c r="E775" s="23">
        <v>131.692</v>
      </c>
      <c r="F775" s="23">
        <v>177.934</v>
      </c>
      <c r="G775" s="23">
        <v>526.711</v>
      </c>
      <c r="H775" s="39"/>
    </row>
    <row r="776">
      <c r="B776" s="1" t="s">
        <v>206</v>
      </c>
      <c r="C776" s="23">
        <v>22.267</v>
      </c>
      <c r="D776" s="23">
        <v>16.125</v>
      </c>
      <c r="E776" s="23">
        <v>23.713</v>
      </c>
      <c r="F776" s="23">
        <v>43.792</v>
      </c>
      <c r="G776" s="23">
        <v>53.491</v>
      </c>
      <c r="H776" s="39"/>
    </row>
    <row r="777">
      <c r="B777" s="1" t="s">
        <v>207</v>
      </c>
      <c r="C777" s="23">
        <v>-14.401</v>
      </c>
      <c r="D777" s="23">
        <v>-11.57</v>
      </c>
      <c r="E777" s="23">
        <v>-34.737</v>
      </c>
      <c r="F777" s="23">
        <v>-41.454</v>
      </c>
      <c r="G777" s="23">
        <v>-119.272</v>
      </c>
      <c r="H777" s="39"/>
    </row>
    <row r="778">
      <c r="B778" s="1" t="s">
        <v>223</v>
      </c>
      <c r="C778" s="23">
        <v>26.64</v>
      </c>
      <c r="D778" s="23">
        <v>97.731</v>
      </c>
      <c r="E778" s="23">
        <v>29.62</v>
      </c>
      <c r="F778" s="23">
        <v>53.313</v>
      </c>
      <c r="G778" s="23">
        <v>136.092</v>
      </c>
      <c r="H778" s="39"/>
    </row>
    <row r="779">
      <c r="B779" s="1" t="s">
        <v>224</v>
      </c>
      <c r="C779" s="23">
        <v>-9.05</v>
      </c>
      <c r="D779" s="23">
        <v>-11.417</v>
      </c>
      <c r="E779" s="23">
        <v>-25.411</v>
      </c>
      <c r="F779" s="23">
        <v>-32.113</v>
      </c>
      <c r="G779" s="23">
        <v>-95.316</v>
      </c>
      <c r="H779" s="39"/>
    </row>
    <row r="780">
      <c r="B780" s="1" t="s">
        <v>225</v>
      </c>
      <c r="C780" s="23">
        <v>79.429</v>
      </c>
      <c r="D780" s="23">
        <v>122.77</v>
      </c>
      <c r="E780" s="23">
        <v>88.113</v>
      </c>
      <c r="F780" s="23">
        <v>110.035</v>
      </c>
      <c r="G780" s="23">
        <v>289.263</v>
      </c>
      <c r="H780" s="39"/>
    </row>
    <row r="781">
      <c r="B781" s="1" t="s">
        <v>226</v>
      </c>
      <c r="C781" s="23">
        <v>46.018</v>
      </c>
      <c r="D781" s="23">
        <v>51.919</v>
      </c>
      <c r="E781" s="23">
        <v>45.438</v>
      </c>
      <c r="F781" s="23">
        <v>66.388</v>
      </c>
      <c r="G781" s="23">
        <v>175.328</v>
      </c>
      <c r="H781" s="39"/>
    </row>
    <row r="782">
      <c r="B782" s="1" t="s">
        <v>227</v>
      </c>
      <c r="C782" s="23">
        <v>0.599</v>
      </c>
      <c r="D782" s="23">
        <v>1.07</v>
      </c>
      <c r="E782" s="23">
        <v>0.884</v>
      </c>
      <c r="F782" s="23">
        <v>5.552</v>
      </c>
      <c r="G782" s="23">
        <v>1.978</v>
      </c>
      <c r="H782" s="39"/>
    </row>
    <row r="783">
      <c r="B783" s="1" t="s">
        <v>228</v>
      </c>
      <c r="C783" s="6">
        <f>C442</f>
        <v>16.691</v>
      </c>
      <c r="D783" s="6">
        <f>D442</f>
        <v>0.579</v>
      </c>
      <c r="E783" s="6">
        <f>E442</f>
        <v>0.935</v>
      </c>
      <c r="F783" s="6">
        <f>F442</f>
        <v>-3.116</v>
      </c>
      <c r="G783" s="6">
        <f>G442</f>
        <v>34.763</v>
      </c>
      <c r="H783" s="39"/>
    </row>
    <row r="784">
      <c r="B784" s="1" t="s">
        <v>229</v>
      </c>
      <c r="C784" s="23">
        <v>10.219</v>
      </c>
      <c r="D784" s="23">
        <v>5.146</v>
      </c>
      <c r="E784" s="23">
        <v>-3.678</v>
      </c>
      <c r="F784" s="23">
        <v>-0.925</v>
      </c>
      <c r="G784" s="23">
        <v>25.379</v>
      </c>
      <c r="H784" s="39"/>
    </row>
    <row r="785">
      <c r="B785" s="1" t="s">
        <v>230</v>
      </c>
      <c r="C785" s="23">
        <v>2.884</v>
      </c>
      <c r="D785" s="23">
        <v>4.986</v>
      </c>
      <c r="E785" s="23">
        <v>1.234</v>
      </c>
      <c r="F785" s="23">
        <v>5.233</v>
      </c>
      <c r="G785" s="23">
        <v>15.757</v>
      </c>
      <c r="H785" s="39"/>
    </row>
    <row r="786">
      <c r="B786" s="1" t="s">
        <v>231</v>
      </c>
      <c r="C786" s="23">
        <v>0.583</v>
      </c>
      <c r="D786" s="23">
        <v>0.423</v>
      </c>
      <c r="E786" s="23">
        <v>0.399</v>
      </c>
      <c r="F786" s="23">
        <v>2.677</v>
      </c>
      <c r="G786" s="23">
        <v>2.975</v>
      </c>
      <c r="H786" s="39"/>
    </row>
    <row r="787">
      <c r="B787" s="1" t="s">
        <v>232</v>
      </c>
      <c r="C787" s="23">
        <v>7.851</v>
      </c>
      <c r="D787" s="23">
        <v>7.271</v>
      </c>
      <c r="E787" s="23">
        <v>6.619</v>
      </c>
      <c r="F787" s="23">
        <v>6.004</v>
      </c>
      <c r="G787" s="23">
        <v>18.703</v>
      </c>
      <c r="H787" s="39"/>
    </row>
    <row r="788">
      <c r="B788" s="1" t="s">
        <v>233</v>
      </c>
      <c r="C788" s="23">
        <v>0.341</v>
      </c>
      <c r="D788" s="23">
        <v>-0.189</v>
      </c>
      <c r="E788" s="23">
        <v>0.455</v>
      </c>
      <c r="F788" s="23">
        <v>0.237</v>
      </c>
      <c r="G788" s="23">
        <v>0.123</v>
      </c>
      <c r="H788" s="39"/>
    </row>
    <row r="789">
      <c r="B789" s="1" t="s">
        <v>234</v>
      </c>
      <c r="C789" s="23">
        <v>1.504</v>
      </c>
      <c r="D789" s="23">
        <v>0.217</v>
      </c>
      <c r="E789" s="23">
        <v>0.369</v>
      </c>
      <c r="F789" s="23">
        <v>1.281</v>
      </c>
      <c r="G789" s="23">
        <v>2.276</v>
      </c>
      <c r="H789" s="39"/>
    </row>
    <row r="790">
      <c r="B790" s="1" t="s">
        <v>235</v>
      </c>
      <c r="C790" s="23">
        <v>110</v>
      </c>
      <c r="D790" s="23">
        <v>190</v>
      </c>
      <c r="E790" s="23">
        <v>123</v>
      </c>
      <c r="F790" s="23">
        <v>152</v>
      </c>
      <c r="G790" s="23">
        <v>418</v>
      </c>
      <c r="H790" s="39"/>
    </row>
    <row r="791">
      <c r="B791" s="1" t="s">
        <v>236</v>
      </c>
      <c r="C791" s="23">
        <v>64</v>
      </c>
      <c r="D791" s="23">
        <v>86</v>
      </c>
      <c r="E791" s="23">
        <v>13</v>
      </c>
      <c r="F791" s="23">
        <v>55</v>
      </c>
      <c r="G791" s="23">
        <v>215</v>
      </c>
      <c r="H791" s="39"/>
    </row>
    <row r="792">
      <c r="B792" s="1" t="s">
        <v>237</v>
      </c>
      <c r="C792" s="23">
        <v>-3</v>
      </c>
      <c r="D792" s="23">
        <v>-8</v>
      </c>
      <c r="E792" s="23">
        <v>0</v>
      </c>
      <c r="F792" s="23">
        <v>-8</v>
      </c>
      <c r="G792" s="23">
        <v>-66</v>
      </c>
      <c r="H792" s="39"/>
    </row>
    <row r="793" ht="27">
      <c r="B793" s="100" t="s">
        <v>238</v>
      </c>
      <c r="C793" s="6">
        <f>IF(ABS(C790+C791+C792-C514)&lt;1,0,C790+C791+C792-C514)</f>
        <v>0</v>
      </c>
      <c r="D793" s="6">
        <f>IF(ABS(D790+D791+D792-D514)&lt;1,0,D790+D791+D792-D514)</f>
        <v>0</v>
      </c>
      <c r="E793" s="6">
        <f>IF(ABS(E790+E791+E792-E514)&lt;1,0,E790+E791+E792-E514)</f>
        <v>0</v>
      </c>
      <c r="F793" s="6">
        <f>IF(ABS(F790+F791+F792-F514)&lt;1,0,F790+F791+F792-F514)</f>
        <v>0</v>
      </c>
      <c r="G793" s="6">
        <f>IF(ABS(G790+G791+G792-G514)&lt;1,0,G790+G791+G792-G514)</f>
        <v>0</v>
      </c>
      <c r="H793" s="39"/>
    </row>
    <row r="794">
      <c r="H794" s="39"/>
    </row>
    <row r="795">
      <c r="B795" s="34" t="s">
        <v>239</v>
      </c>
      <c r="H795" s="39"/>
    </row>
    <row r="796">
      <c r="B796" s="25" t="s">
        <v>240</v>
      </c>
      <c r="C796" s="46">
        <v>0.1</v>
      </c>
      <c r="D796" s="46">
        <v>0.12</v>
      </c>
      <c r="E796" s="46">
        <v>0.08</v>
      </c>
      <c r="F796" s="46">
        <v>0.08</v>
      </c>
      <c r="G796" s="46">
        <v>0.09</v>
      </c>
      <c r="H796" s="39"/>
    </row>
    <row r="797">
      <c r="B797" s="25" t="s">
        <v>241</v>
      </c>
      <c r="C797" s="46">
        <v>0.08</v>
      </c>
      <c r="D797" s="46">
        <v>0.09</v>
      </c>
      <c r="E797" s="46">
        <v>0.1</v>
      </c>
      <c r="F797" s="46">
        <v>0.1</v>
      </c>
      <c r="G797" s="46">
        <v>0.09</v>
      </c>
      <c r="H797" s="39"/>
    </row>
    <row r="798" ht="38.25">
      <c r="B798" s="100" t="s">
        <v>242</v>
      </c>
      <c r="C798" s="23">
        <v>215</v>
      </c>
      <c r="D798" s="23">
        <v>0</v>
      </c>
      <c r="E798" s="23">
        <v>0</v>
      </c>
      <c r="F798" s="23">
        <v>0</v>
      </c>
      <c r="H798" s="39"/>
    </row>
    <row r="799">
      <c r="B799" s="1" t="s">
        <v>243</v>
      </c>
      <c r="C799" s="23">
        <v>225</v>
      </c>
      <c r="D799" s="23">
        <v>230</v>
      </c>
      <c r="E799" s="23">
        <v>230</v>
      </c>
      <c r="F799" s="23">
        <v>230</v>
      </c>
      <c r="H799" s="39"/>
    </row>
    <row r="800">
      <c r="B800" s="1" t="s">
        <v>244</v>
      </c>
      <c r="D800" s="23">
        <v>158</v>
      </c>
      <c r="E800" s="23">
        <v>121</v>
      </c>
      <c r="F800" s="23">
        <v>115</v>
      </c>
      <c r="H800" s="39"/>
    </row>
    <row r="801">
      <c r="B801" s="1" t="s">
        <v>245</v>
      </c>
      <c r="C801" s="23">
        <v>65</v>
      </c>
      <c r="D801" s="23">
        <v>65</v>
      </c>
      <c r="E801" s="23">
        <v>65</v>
      </c>
      <c r="H801" s="39"/>
    </row>
    <row r="802">
      <c r="H802" s="39"/>
    </row>
    <row r="803">
      <c r="H803" s="39"/>
    </row>
  </sheetData>
  <legacyDrawing r:id="rId2"/>
</worksheet>
</file>

<file path=xl/worksheets/sheet3.xml><?xml version="1.0" encoding="utf-8"?>
<worksheet xmlns="http://schemas.openxmlformats.org/spreadsheetml/2006/main" xmlns:r="http://schemas.openxmlformats.org/officeDocument/2006/relationships">
  <dimension ref="B1:I185"/>
  <sheetViews>
    <sheetView showGridLines="0" workbookViewId="0"/>
  </sheetViews>
  <sheetFormatPr defaultColWidth="8.42578125" defaultRowHeight="15"/>
  <cols>
    <col min="1" max="1" width="2" customWidth="1"/>
    <col min="2" max="2" width="32" customWidth="1"/>
    <col min="3" max="8" width="12" customWidth="1"/>
  </cols>
  <sheetData>
    <row r="1">
      <c r="B1" s="26" t="s">
        <v>0</v>
      </c>
    </row>
    <row r="2">
      <c r="B2" s="2" t="s">
        <v>246</v>
      </c>
    </row>
    <row r="3">
      <c r="B3" s="25" t="s">
        <v>2</v>
      </c>
    </row>
    <row r="5">
      <c r="B5" s="24" t="s">
        <v>3</v>
      </c>
      <c r="C5" s="10" t="s">
        <v>4</v>
      </c>
      <c r="D5" s="10" t="s">
        <v>5</v>
      </c>
      <c r="E5" s="10" t="s">
        <v>6</v>
      </c>
      <c r="F5" s="10" t="s">
        <v>7</v>
      </c>
      <c r="G5" s="10" t="s">
        <v>8</v>
      </c>
      <c r="H5" s="10" t="s">
        <v>9</v>
      </c>
    </row>
    <row r="6">
      <c r="B6" s="20" t="s">
        <v>10</v>
      </c>
      <c r="C6" s="5">
        <v>45930</v>
      </c>
      <c r="D6" s="5">
        <v>46022</v>
      </c>
      <c r="E6" s="5">
        <v>46112</v>
      </c>
      <c r="F6" s="5">
        <v>46203</v>
      </c>
      <c r="G6" s="5">
        <v>46022</v>
      </c>
      <c r="H6" s="5">
        <v>46295</v>
      </c>
    </row>
    <row r="7">
      <c r="B7" s="17" t="s">
        <v>11</v>
      </c>
      <c r="C7" s="7">
        <f>C6-EOMONTH(C6,-3)</f>
        <v>92</v>
      </c>
      <c r="D7" s="7">
        <f>D6-EOMONTH(D6,-3)</f>
        <v>92</v>
      </c>
      <c r="E7" s="7">
        <f>E6-EOMONTH(E6,-3)</f>
        <v>90</v>
      </c>
      <c r="F7" s="7">
        <f>F6-EOMONTH(F6,-3)</f>
        <v>91</v>
      </c>
      <c r="G7" s="7">
        <f>G6-EOMONTH(G6,-12)</f>
        <v>365</v>
      </c>
      <c r="H7" s="7">
        <f>H6-EOMONTH(H6,-3)</f>
        <v>92</v>
      </c>
    </row>
    <row r="8">
      <c r="H8" s="39"/>
    </row>
    <row r="9">
      <c r="B9" s="34" t="s">
        <v>247</v>
      </c>
      <c r="H9" s="39"/>
    </row>
    <row r="10" ht="27">
      <c r="B10" s="100" t="s">
        <v>248</v>
      </c>
      <c r="C10" s="4">
        <f>'Revenue summary'!C122</f>
        <v>4843</v>
      </c>
      <c r="D10" s="4">
        <f>'Revenue summary'!D122</f>
        <v>5104</v>
      </c>
      <c r="E10" s="4">
        <f>'Revenue summary'!E122</f>
        <v>5259</v>
      </c>
      <c r="F10" s="4">
        <f>'Revenue summary'!F122</f>
        <v>5487</v>
      </c>
      <c r="G10" s="4">
        <f>'Revenue summary'!G122</f>
        <v>18474</v>
      </c>
      <c r="H10" s="28">
        <f>'Revenue summary'!H122</f>
        <v>5791.412201398631</v>
      </c>
    </row>
    <row r="11">
      <c r="B11" s="1" t="s">
        <v>249</v>
      </c>
      <c r="C11" s="4">
        <f>'Revenue summary'!C119</f>
        <v>203</v>
      </c>
      <c r="D11" s="4">
        <f>'Revenue summary'!D119</f>
        <v>174</v>
      </c>
      <c r="E11" s="4">
        <f>'Revenue summary'!E119</f>
        <v>179</v>
      </c>
      <c r="F11" s="4">
        <f>'Revenue summary'!F119</f>
        <v>239</v>
      </c>
      <c r="G11" s="4">
        <f>'Revenue summary'!G119</f>
        <v>705</v>
      </c>
      <c r="H11" s="28">
        <f>'Revenue summary'!H119</f>
        <v>235</v>
      </c>
    </row>
    <row r="12" ht="27">
      <c r="B12" s="101" t="s">
        <v>250</v>
      </c>
      <c r="C12" s="42">
        <f>C10+C11</f>
        <v>5046</v>
      </c>
      <c r="D12" s="42">
        <f>D10+D11</f>
        <v>5278</v>
      </c>
      <c r="E12" s="42">
        <f>E10+E11</f>
        <v>5438</v>
      </c>
      <c r="F12" s="42">
        <f>F10+F11</f>
        <v>5726</v>
      </c>
      <c r="G12" s="42">
        <f>G10+G11</f>
        <v>19179</v>
      </c>
      <c r="H12" s="41">
        <f>H10+H11</f>
        <v>6026.412201398631</v>
      </c>
    </row>
    <row r="13">
      <c r="B13" s="1" t="s">
        <v>251</v>
      </c>
      <c r="C13" s="4">
        <f>'Revenue summary'!C167</f>
        <v>516</v>
      </c>
      <c r="D13" s="4">
        <f>'Revenue summary'!D167</f>
        <v>754</v>
      </c>
      <c r="E13" s="4">
        <f>'Revenue summary'!E167</f>
        <v>272</v>
      </c>
      <c r="F13" s="4">
        <f>'Revenue summary'!F167</f>
        <v>305</v>
      </c>
      <c r="G13" s="4">
        <f>'Revenue summary'!G167</f>
        <v>1424</v>
      </c>
      <c r="H13" s="28">
        <f>'Revenue summary'!H167</f>
        <v>438</v>
      </c>
    </row>
    <row r="14" ht="27">
      <c r="B14" s="100" t="s">
        <v>252</v>
      </c>
      <c r="C14" s="4">
        <f>'Revenue summary'!C175</f>
        <v>515</v>
      </c>
      <c r="D14" s="4">
        <f>'Revenue summary'!D175</f>
        <v>531</v>
      </c>
      <c r="E14" s="4">
        <f>'Revenue summary'!E175</f>
        <v>530</v>
      </c>
      <c r="F14" s="4">
        <f>'Revenue summary'!F175</f>
        <v>566</v>
      </c>
      <c r="G14" s="4">
        <f>'Revenue summary'!G175</f>
        <v>1981</v>
      </c>
      <c r="H14" s="28">
        <f>'Revenue summary'!H175</f>
        <v>581.9499999999999</v>
      </c>
    </row>
    <row r="15">
      <c r="B15" s="1" t="s">
        <v>253</v>
      </c>
      <c r="C15" s="4">
        <f>'Revenue summary'!C182</f>
        <v>355</v>
      </c>
      <c r="D15" s="4">
        <f>'Revenue summary'!D182</f>
        <v>359</v>
      </c>
      <c r="E15" s="4">
        <f>'Revenue summary'!E182</f>
        <v>389</v>
      </c>
      <c r="F15" s="4">
        <f>'Revenue summary'!F182</f>
        <v>395</v>
      </c>
      <c r="G15" s="4">
        <f>'Revenue summary'!G182</f>
        <v>1355</v>
      </c>
      <c r="H15" s="28">
        <f>'Revenue summary'!H182</f>
        <v>416.703720991426</v>
      </c>
    </row>
    <row r="16">
      <c r="B16" s="1" t="s">
        <v>138</v>
      </c>
      <c r="C16" s="4">
        <f>'Revenue summary'!C203</f>
        <v>77</v>
      </c>
      <c r="D16" s="4">
        <f>'Revenue summary'!D203</f>
        <v>86</v>
      </c>
      <c r="E16" s="4">
        <f>'Revenue summary'!E203</f>
        <v>69</v>
      </c>
      <c r="F16" s="4">
        <f>'Revenue summary'!F203</f>
        <v>92</v>
      </c>
      <c r="G16" s="4">
        <f>'Revenue summary'!G203</f>
        <v>277</v>
      </c>
      <c r="H16" s="28">
        <f>'Revenue summary'!H203</f>
        <v>82</v>
      </c>
    </row>
    <row r="17">
      <c r="B17" s="2" t="s">
        <v>139</v>
      </c>
      <c r="C17" s="42">
        <f>C12+C13+C14+C15+C16</f>
        <v>6509</v>
      </c>
      <c r="D17" s="42">
        <f>D12+D13+D14+D15+D16</f>
        <v>7008</v>
      </c>
      <c r="E17" s="42">
        <f>E12+E13+E14+E15+E16</f>
        <v>6698</v>
      </c>
      <c r="F17" s="42">
        <f>F12+F13+F14+F15+F16</f>
        <v>7084</v>
      </c>
      <c r="G17" s="42">
        <f>G12+G13+G14+G15+G16</f>
        <v>24216</v>
      </c>
      <c r="H17" s="41">
        <f>H12+H13+H14+H15+H16</f>
        <v>7545.065922390057</v>
      </c>
    </row>
    <row r="18">
      <c r="B18" s="25" t="s">
        <v>129</v>
      </c>
      <c r="C18" s="21">
        <f>IFERROR(C17/Inputs!C152-1,"n/a")</f>
        <v>0.2524533384644987</v>
      </c>
      <c r="D18" s="21">
        <f>IFERROR(D17/Inputs!D152-1,"n/a")</f>
        <v>0.2344548176853971</v>
      </c>
      <c r="E18" s="21">
        <f>IFERROR(E17/Inputs!E152-1,"n/a")</f>
        <v>0.2695223654283547</v>
      </c>
      <c r="F18" s="21">
        <f>IFERROR(F17/Inputs!F152-1,"n/a")</f>
        <v>0.3062880324543611</v>
      </c>
      <c r="G18" s="21">
        <f>IFERROR(G17/Inputs!G152-1,"n/a")</f>
        <v>0.1866516391434312</v>
      </c>
      <c r="H18" s="32">
        <f>IFERROR(H17/C17-1,"n/a")</f>
        <v>0.15917436202028834</v>
      </c>
    </row>
    <row r="19">
      <c r="B19" s="25" t="s">
        <v>130</v>
      </c>
      <c r="C19" s="21">
        <f>IFERROR(C17/Inputs!F152-1,"n/a")</f>
        <v>0.20025815969020844</v>
      </c>
      <c r="D19" s="16">
        <f>IFERROR(D17/C17-1,"n/a")</f>
        <v>0.07666308188661852</v>
      </c>
      <c r="E19" s="16">
        <f>IFERROR(E17/D17-1,"n/a")</f>
        <v>-0.0442351598173516</v>
      </c>
      <c r="F19" s="16">
        <f>IFERROR(F17/E17-1,"n/a")</f>
        <v>0.05762914302776956</v>
      </c>
      <c r="H19" s="32">
        <f>IFERROR(H17/F17-1,"n/a")</f>
        <v>0.065085533934226</v>
      </c>
    </row>
    <row r="20" ht="27">
      <c r="B20" s="108" t="s">
        <v>254</v>
      </c>
      <c r="C20" s="4">
        <f>C17-'Revenue summary'!C211</f>
        <v>0</v>
      </c>
      <c r="D20" s="4">
        <f>D17-'Revenue summary'!D211</f>
        <v>0</v>
      </c>
      <c r="E20" s="4">
        <f>E17-'Revenue summary'!E211</f>
        <v>0</v>
      </c>
      <c r="F20" s="4">
        <f>F17-'Revenue summary'!F211</f>
        <v>0</v>
      </c>
      <c r="G20" s="4">
        <f>G17-'Revenue summary'!G211</f>
        <v>0</v>
      </c>
      <c r="H20" s="28">
        <f>H17-'Revenue summary'!H211</f>
        <v>0</v>
      </c>
    </row>
    <row r="21">
      <c r="H21" s="39"/>
    </row>
    <row r="22">
      <c r="B22" s="34" t="s">
        <v>255</v>
      </c>
      <c r="H22" s="39"/>
    </row>
    <row r="23">
      <c r="B23" s="1" t="s">
        <v>256</v>
      </c>
      <c r="C23" s="23">
        <v>2357</v>
      </c>
      <c r="D23" s="23">
        <v>2584</v>
      </c>
      <c r="E23" s="23">
        <v>2225</v>
      </c>
      <c r="F23" s="23">
        <v>2274</v>
      </c>
      <c r="G23" s="23">
        <v>8446</v>
      </c>
      <c r="H23" s="30">
        <f>H26+H132+H134</f>
        <v>2406.2451063289673</v>
      </c>
    </row>
    <row r="24">
      <c r="B24" s="25" t="s">
        <v>101</v>
      </c>
      <c r="C24" s="21">
        <f>IFERROR(C23/Inputs!C153-1,"n/a")</f>
        <v>0.49366286438529783</v>
      </c>
      <c r="D24" s="21">
        <f>IFERROR(D23/Inputs!D153-1,"n/a")</f>
        <v>0.3708222811671087</v>
      </c>
      <c r="E24" s="21">
        <f>IFERROR(E23/Inputs!E153-1,"n/a")</f>
        <v>0.27800114876507753</v>
      </c>
      <c r="F24" s="21">
        <f>IFERROR(F23/Inputs!F153-1,"n/a")</f>
        <v>0.2891156462585034</v>
      </c>
      <c r="G24" s="21">
        <f>IFERROR(G23/Inputs!G153-1,"n/a")</f>
        <v>0.29025358997861295</v>
      </c>
      <c r="H24" s="32">
        <f>IFERROR(H23/C23-1,"n/a")</f>
        <v>0.020893129541352362</v>
      </c>
    </row>
    <row r="25">
      <c r="B25" s="25" t="s">
        <v>150</v>
      </c>
      <c r="C25" s="4">
        <f>C23-Inputs!F153</f>
        <v>593</v>
      </c>
      <c r="D25" s="6">
        <f>D23-C23</f>
        <v>227</v>
      </c>
      <c r="E25" s="6">
        <f>E23-D23</f>
        <v>-359</v>
      </c>
      <c r="F25" s="6">
        <f>F23-E23</f>
        <v>49</v>
      </c>
      <c r="H25" s="30">
        <f>H23-F23</f>
        <v>132.24510632896727</v>
      </c>
    </row>
    <row r="26">
      <c r="B26" s="1" t="s">
        <v>257</v>
      </c>
      <c r="C26" s="6">
        <f>C23-C132-C134</f>
        <v>2081</v>
      </c>
      <c r="D26" s="6">
        <f>D23-D132-D134</f>
        <v>2258</v>
      </c>
      <c r="E26" s="6">
        <f>E23-E132-E134</f>
        <v>2113</v>
      </c>
      <c r="F26" s="6">
        <f>F23-F132-F134</f>
        <v>2119</v>
      </c>
      <c r="G26" s="6">
        <f>G23-G132-G134</f>
        <v>7656</v>
      </c>
      <c r="H26" s="30">
        <f>H27*H17</f>
        <v>2301.2451063289673</v>
      </c>
    </row>
    <row r="27" ht="27">
      <c r="B27" s="99" t="s">
        <v>258</v>
      </c>
      <c r="C27" s="16">
        <f>C26/C17</f>
        <v>0.31971116915040715</v>
      </c>
      <c r="D27" s="16">
        <f>D26/D17</f>
        <v>0.322203196347032</v>
      </c>
      <c r="E27" s="16">
        <f>E26/E17</f>
        <v>0.3154673036727381</v>
      </c>
      <c r="F27" s="16">
        <f>F26/F17</f>
        <v>0.29912478825522304</v>
      </c>
      <c r="G27" s="16">
        <f>G26/G17</f>
        <v>0.31615460852329036</v>
      </c>
      <c r="H27" s="43">
        <v>0.305</v>
      </c>
    </row>
    <row r="28">
      <c r="B28" s="25" t="s">
        <v>259</v>
      </c>
      <c r="C28" s="40" t="s">
        <v>37</v>
      </c>
      <c r="D28" s="40">
        <f>(D27-C27)*10000</f>
        <v>24.920271966248354</v>
      </c>
      <c r="E28" s="40">
        <f>(E27-D27)*10000</f>
        <v>-67.35892674293864</v>
      </c>
      <c r="F28" s="40">
        <f>(F27-E27)*10000</f>
        <v>-163.4251541751508</v>
      </c>
      <c r="H28" s="37">
        <f>(H27-F27)*10000</f>
        <v>58.752117447769535</v>
      </c>
    </row>
    <row r="29">
      <c r="B29" s="25" t="s">
        <v>260</v>
      </c>
      <c r="C29" s="40" t="s">
        <v>37</v>
      </c>
      <c r="D29" s="40" t="s">
        <v>37</v>
      </c>
      <c r="E29" s="40" t="s">
        <v>37</v>
      </c>
      <c r="F29" s="40" t="s">
        <v>37</v>
      </c>
      <c r="G29" s="40" t="s">
        <v>37</v>
      </c>
      <c r="H29" s="37">
        <f>(H27-C27)*10000</f>
        <v>-147.11169150407156</v>
      </c>
    </row>
    <row r="30">
      <c r="B30" s="1" t="s">
        <v>261</v>
      </c>
      <c r="C30" s="23">
        <v>638</v>
      </c>
      <c r="D30" s="23">
        <v>676</v>
      </c>
      <c r="E30" s="23">
        <v>705</v>
      </c>
      <c r="F30" s="23">
        <v>732</v>
      </c>
      <c r="G30" s="23">
        <v>2460</v>
      </c>
      <c r="H30" s="28">
        <f>H33*'Revenue summary'!H604*H$7/3650</f>
        <v>772.2205664955032</v>
      </c>
    </row>
    <row r="31">
      <c r="B31" s="25" t="s">
        <v>101</v>
      </c>
      <c r="C31" s="21">
        <f>IFERROR(C30/Inputs!C154-1,"n/a")</f>
        <v>0.16211293260473592</v>
      </c>
      <c r="D31" s="21">
        <f>IFERROR(D30/Inputs!D154-1,"n/a")</f>
        <v>0.19646017699115048</v>
      </c>
      <c r="E31" s="21">
        <f>IFERROR(E30/Inputs!E154-1,"n/a")</f>
        <v>0.23684210526315796</v>
      </c>
      <c r="F31" s="21">
        <f>IFERROR(F30/Inputs!F154-1,"n/a")</f>
        <v>0.27083333333333326</v>
      </c>
      <c r="G31" s="21">
        <f>IFERROR(G30/Inputs!G154-1,"n/a")</f>
        <v>0.13311837862736065</v>
      </c>
      <c r="H31" s="32">
        <f>IFERROR(H30/C30-1,"n/a")</f>
        <v>0.21037706347257568</v>
      </c>
    </row>
    <row r="32">
      <c r="B32" s="25" t="s">
        <v>150</v>
      </c>
      <c r="C32" s="4">
        <f>C30-Inputs!F154</f>
        <v>62</v>
      </c>
      <c r="D32" s="6">
        <f>D30-C30</f>
        <v>38</v>
      </c>
      <c r="E32" s="6">
        <f>E30-D30</f>
        <v>29</v>
      </c>
      <c r="F32" s="6">
        <f>F30-E30</f>
        <v>27</v>
      </c>
      <c r="H32" s="30">
        <f>H30-F30</f>
        <v>40.22056649550325</v>
      </c>
    </row>
    <row r="33">
      <c r="B33" s="1" t="s">
        <v>262</v>
      </c>
      <c r="C33" s="56">
        <f>C30/'Revenue summary'!C604*3650/C$7</f>
        <v>1.9529665801367813</v>
      </c>
      <c r="D33" s="56">
        <f>D30/'Revenue summary'!D604*3650/D$7</f>
        <v>1.9531968872871552</v>
      </c>
      <c r="E33" s="56">
        <f>E30/'Revenue summary'!E604*3650/E$7</f>
        <v>2.007710779729796</v>
      </c>
      <c r="F33" s="56">
        <f>F30/'Revenue summary'!F604*3650/F$7</f>
        <v>1.9766020914802696</v>
      </c>
      <c r="G33" s="56">
        <f>G30/'Revenue summary'!G604*3650/G$7</f>
        <v>1.9518181781395887</v>
      </c>
      <c r="H33" s="59">
        <f>F33+H34</f>
        <v>1.9766020914802696</v>
      </c>
    </row>
    <row r="34">
      <c r="B34" s="1" t="s">
        <v>263</v>
      </c>
      <c r="C34" s="62" t="s">
        <v>37</v>
      </c>
      <c r="D34" s="62">
        <f>D33-C33</f>
        <v>0.0002303071503739762</v>
      </c>
      <c r="E34" s="62">
        <f>E33-D33</f>
        <v>0.05451389244264093</v>
      </c>
      <c r="F34" s="62">
        <f>F33-E33</f>
        <v>-0.031108688249526617</v>
      </c>
      <c r="H34" s="64">
        <v>0</v>
      </c>
    </row>
    <row r="35">
      <c r="B35" s="1" t="s">
        <v>260</v>
      </c>
      <c r="C35" s="56">
        <f>IFERROR(C33-Inputs!C154/Inputs!C184*3650/C$7,"n/a")</f>
        <v>-0.014430139866062897</v>
      </c>
      <c r="D35" s="56">
        <f>IFERROR(D33-Inputs!D154/Inputs!D184*3650/D$7,"n/a")</f>
        <v>0.013351021734617774</v>
      </c>
      <c r="E35" s="56">
        <f>IFERROR(E33-Inputs!E154/Inputs!E184*3650/E$7,"n/a")</f>
        <v>0.03004767884530879</v>
      </c>
      <c r="F35" s="56">
        <f>IFERROR(F33-Inputs!F154/Inputs!F184*3650/F$7,"n/a")</f>
        <v>0.04728045329264252</v>
      </c>
      <c r="G35" s="56">
        <f>IFERROR(G33-Inputs!G154/Inputs!G184*3650/(EDATE(G$6,-12)-EDATE(G$6,-24)),"n/a")</f>
        <v>-0.05213119546867473</v>
      </c>
      <c r="H35" s="59">
        <f>H33-C33</f>
        <v>0.02363551134348829</v>
      </c>
    </row>
    <row r="36">
      <c r="B36" s="1" t="s">
        <v>264</v>
      </c>
      <c r="C36" s="23">
        <v>464</v>
      </c>
      <c r="D36" s="23">
        <v>470</v>
      </c>
      <c r="E36" s="23">
        <v>481</v>
      </c>
      <c r="F36" s="23">
        <v>543</v>
      </c>
      <c r="G36" s="23">
        <v>1767</v>
      </c>
      <c r="H36" s="28">
        <f>H39*'Revenue summary'!H604*H$7/3650</f>
        <v>572.8357480970742</v>
      </c>
    </row>
    <row r="37">
      <c r="B37" s="25" t="s">
        <v>101</v>
      </c>
      <c r="C37" s="21">
        <f>IFERROR(C36/Inputs!C155-1,"n/a")</f>
        <v>0.22427440633245377</v>
      </c>
      <c r="D37" s="21">
        <f>IFERROR(D36/Inputs!D155-1,"n/a")</f>
        <v>0.20822622107969146</v>
      </c>
      <c r="E37" s="21">
        <f>IFERROR(E36/Inputs!E155-1,"n/a")</f>
        <v>0.2270408163265305</v>
      </c>
      <c r="F37" s="21">
        <f>IFERROR(F36/Inputs!F155-1,"n/a")</f>
        <v>0.23129251700680276</v>
      </c>
      <c r="G37" s="21">
        <f>IFERROR(G36/Inputs!G155-1,"n/a")</f>
        <v>0.2069672131147542</v>
      </c>
      <c r="H37" s="32">
        <f>IFERROR(H36/C36-1,"n/a")</f>
        <v>0.23455980193334947</v>
      </c>
    </row>
    <row r="38">
      <c r="B38" s="25" t="s">
        <v>150</v>
      </c>
      <c r="C38" s="4">
        <f>C36-Inputs!F155</f>
        <v>23</v>
      </c>
      <c r="D38" s="6">
        <f>D36-C36</f>
        <v>6</v>
      </c>
      <c r="E38" s="6">
        <f>E36-D36</f>
        <v>11</v>
      </c>
      <c r="F38" s="6">
        <f>F36-E36</f>
        <v>62</v>
      </c>
      <c r="H38" s="30">
        <f>H36-F36</f>
        <v>29.8357480970742</v>
      </c>
    </row>
    <row r="39">
      <c r="B39" s="1" t="s">
        <v>262</v>
      </c>
      <c r="C39" s="56">
        <f>C36/'Revenue summary'!C604*3650/C$7</f>
        <v>1.4203393310085684</v>
      </c>
      <c r="D39" s="56">
        <f>D36/'Revenue summary'!D604*3650/D$7</f>
        <v>1.3579919186759806</v>
      </c>
      <c r="E39" s="56">
        <f>E36/'Revenue summary'!E604*3650/E$7</f>
        <v>1.3697998369504</v>
      </c>
      <c r="F39" s="56">
        <f>F36/'Revenue summary'!F604*3650/F$7</f>
        <v>1.466249912122659</v>
      </c>
      <c r="G39" s="56">
        <f>G36/'Revenue summary'!G604*3650/G$7</f>
        <v>1.4019767157612413</v>
      </c>
      <c r="H39" s="59">
        <f>F39+H40</f>
        <v>1.466249912122659</v>
      </c>
    </row>
    <row r="40">
      <c r="B40" s="1" t="s">
        <v>263</v>
      </c>
      <c r="C40" s="62" t="s">
        <v>37</v>
      </c>
      <c r="D40" s="62">
        <f>D39-C39</f>
        <v>-0.06234741233258778</v>
      </c>
      <c r="E40" s="62">
        <f>E39-D39</f>
        <v>0.011807918274419515</v>
      </c>
      <c r="F40" s="62">
        <f>F39-E39</f>
        <v>0.09645007517225901</v>
      </c>
      <c r="H40" s="64">
        <v>0</v>
      </c>
    </row>
    <row r="41">
      <c r="B41" s="1" t="s">
        <v>260</v>
      </c>
      <c r="C41" s="56">
        <f>IFERROR(C39-Inputs!C155/Inputs!C184*3650/C$7,"n/a")</f>
        <v>0.06215471009585816</v>
      </c>
      <c r="D41" s="56">
        <f>IFERROR(D39-Inputs!D155/Inputs!D184*3650/D$7,"n/a")</f>
        <v>0.02241662363184438</v>
      </c>
      <c r="E41" s="56">
        <f>IFERROR(E39-Inputs!E155/Inputs!E184*3650/E$7,"n/a")</f>
        <v>0.009722757043875374</v>
      </c>
      <c r="F41" s="56">
        <f>IFERROR(F39-Inputs!F155/Inputs!F184*3650/F$7,"n/a")</f>
        <v>-0.010886967114742685</v>
      </c>
      <c r="G41" s="56">
        <f>IFERROR(G39-Inputs!G155/Inputs!G184*3650/(EDATE(G$6,-12)-EDATE(G$6,-24)),"n/a")</f>
        <v>0.05062623996092008</v>
      </c>
      <c r="H41" s="59">
        <f>H39-C39</f>
        <v>0.04591058111409074</v>
      </c>
    </row>
    <row r="42">
      <c r="B42" s="1" t="s">
        <v>265</v>
      </c>
      <c r="C42" s="23">
        <v>60</v>
      </c>
      <c r="D42" s="23">
        <v>80</v>
      </c>
      <c r="E42" s="23">
        <v>71</v>
      </c>
      <c r="F42" s="23">
        <v>67</v>
      </c>
      <c r="G42" s="23">
        <v>233</v>
      </c>
      <c r="H42" s="35">
        <v>68</v>
      </c>
    </row>
    <row r="43">
      <c r="B43" s="25" t="s">
        <v>101</v>
      </c>
      <c r="C43" s="21">
        <f>IFERROR(C42/Inputs!C156-1,"n/a")</f>
        <v>0.7647058823529411</v>
      </c>
      <c r="D43" s="21">
        <f>IFERROR(D42/Inputs!D156-1,"n/a")</f>
        <v>0.9047619047619047</v>
      </c>
      <c r="E43" s="21">
        <f>IFERROR(E42/Inputs!E156-1,"n/a")</f>
        <v>0.5106382978723405</v>
      </c>
      <c r="F43" s="21">
        <f>IFERROR(F42/Inputs!F156-1,"n/a")</f>
        <v>0.4565217391304348</v>
      </c>
      <c r="G43" s="21">
        <f>IFERROR(G42/Inputs!G156-1,"n/a")</f>
        <v>0.6642857142857144</v>
      </c>
      <c r="H43" s="32">
        <f>IFERROR(H42/C42-1,"n/a")</f>
        <v>0.1333333333333333</v>
      </c>
    </row>
    <row r="44">
      <c r="B44" s="25" t="s">
        <v>150</v>
      </c>
      <c r="C44" s="4">
        <f>C42-Inputs!F156</f>
        <v>14</v>
      </c>
      <c r="D44" s="6">
        <f>D42-C42</f>
        <v>20</v>
      </c>
      <c r="E44" s="6">
        <f>E42-D42</f>
        <v>-9</v>
      </c>
      <c r="F44" s="6">
        <f>F42-E42</f>
        <v>-4</v>
      </c>
      <c r="H44" s="30">
        <f>H42-F42</f>
        <v>1</v>
      </c>
    </row>
    <row r="45" ht="27">
      <c r="B45" s="101" t="s">
        <v>266</v>
      </c>
      <c r="C45" s="42">
        <f>C30+C36+C42</f>
        <v>1162</v>
      </c>
      <c r="D45" s="42">
        <f>D30+D36+D42</f>
        <v>1226</v>
      </c>
      <c r="E45" s="42">
        <f>E30+E36+E42</f>
        <v>1257</v>
      </c>
      <c r="F45" s="42">
        <f>F30+F36+F42</f>
        <v>1342</v>
      </c>
      <c r="G45" s="42">
        <f>G30+G36+G42</f>
        <v>4460</v>
      </c>
      <c r="H45" s="41">
        <f>H30+H36+H42</f>
        <v>1413.0563145925776</v>
      </c>
    </row>
    <row r="46">
      <c r="B46" s="1" t="s">
        <v>267</v>
      </c>
      <c r="C46" s="23">
        <v>689</v>
      </c>
      <c r="D46" s="23">
        <v>814</v>
      </c>
      <c r="E46" s="23">
        <v>674</v>
      </c>
      <c r="F46" s="23">
        <v>720</v>
      </c>
      <c r="G46" s="23">
        <v>2731</v>
      </c>
      <c r="H46" s="30">
        <f>H49+H135+H137</f>
        <v>717</v>
      </c>
    </row>
    <row r="47">
      <c r="B47" s="25" t="s">
        <v>101</v>
      </c>
      <c r="C47" s="21">
        <f>IFERROR(C46/Inputs!C157-1,"n/a")</f>
        <v>0.22163120567375882</v>
      </c>
      <c r="D47" s="21">
        <f>IFERROR(D46/Inputs!D157-1,"n/a")</f>
        <v>0.3044871794871795</v>
      </c>
      <c r="E47" s="21">
        <f>IFERROR(E46/Inputs!E157-1,"n/a")</f>
        <v>0.09593495934959351</v>
      </c>
      <c r="F47" s="21">
        <f>IFERROR(F46/Inputs!F157-1,"n/a")</f>
        <v>0.17455138662316472</v>
      </c>
      <c r="G47" s="21">
        <f>IFERROR(G46/Inputs!G157-1,"n/a")</f>
        <v>0.2100132919805051</v>
      </c>
      <c r="H47" s="32">
        <f>IFERROR(H46/C46-1,"n/a")</f>
        <v>0.04063860667634245</v>
      </c>
    </row>
    <row r="48">
      <c r="B48" s="25" t="s">
        <v>150</v>
      </c>
      <c r="C48" s="4">
        <f>C46-Inputs!F157</f>
        <v>76</v>
      </c>
      <c r="D48" s="6">
        <f>D46-C46</f>
        <v>125</v>
      </c>
      <c r="E48" s="6">
        <f>E46-D46</f>
        <v>-140</v>
      </c>
      <c r="F48" s="6">
        <f>F46-E46</f>
        <v>46</v>
      </c>
      <c r="H48" s="30">
        <f>H46-F46</f>
        <v>-3</v>
      </c>
    </row>
    <row r="49">
      <c r="B49" s="1" t="s">
        <v>268</v>
      </c>
      <c r="C49" s="6">
        <f>C46-C135-C137</f>
        <v>645</v>
      </c>
      <c r="D49" s="6">
        <f>D46-D135-D137</f>
        <v>676</v>
      </c>
      <c r="E49" s="6">
        <f>E46-E135-E137</f>
        <v>659</v>
      </c>
      <c r="F49" s="6">
        <f>F46-F135-F137</f>
        <v>707</v>
      </c>
      <c r="G49" s="6">
        <f>G46-G135-G137</f>
        <v>2500</v>
      </c>
      <c r="H49" s="35">
        <v>705</v>
      </c>
    </row>
    <row r="50">
      <c r="B50" s="25" t="s">
        <v>269</v>
      </c>
      <c r="C50" s="6" t="s">
        <v>37</v>
      </c>
      <c r="D50" s="6">
        <f>D49-C49</f>
        <v>31</v>
      </c>
      <c r="E50" s="6">
        <f>E49-D49</f>
        <v>-17</v>
      </c>
      <c r="F50" s="6">
        <f>F49-E49</f>
        <v>48</v>
      </c>
      <c r="H50" s="30">
        <f>H49-F49</f>
        <v>-2</v>
      </c>
    </row>
    <row r="51">
      <c r="B51" s="1" t="s">
        <v>270</v>
      </c>
      <c r="C51" s="23">
        <v>82</v>
      </c>
      <c r="D51" s="23">
        <v>101</v>
      </c>
      <c r="E51" s="23">
        <v>101</v>
      </c>
      <c r="F51" s="23">
        <v>94</v>
      </c>
      <c r="G51" s="23">
        <v>373</v>
      </c>
      <c r="H51" s="30">
        <f>F51/(F46-F58-F57)*(H46-H58-H57)</f>
        <v>93.60833333333333</v>
      </c>
    </row>
    <row r="52">
      <c r="B52" s="1" t="s">
        <v>271</v>
      </c>
      <c r="C52" s="23">
        <v>137</v>
      </c>
      <c r="D52" s="23">
        <v>150</v>
      </c>
      <c r="E52" s="23">
        <v>147</v>
      </c>
      <c r="F52" s="23">
        <v>153</v>
      </c>
      <c r="G52" s="23">
        <v>521</v>
      </c>
      <c r="H52" s="30">
        <f>F52/(F46-F58-F57)*(H46-H58-H57)</f>
        <v>152.36249999999998</v>
      </c>
    </row>
    <row r="53">
      <c r="B53" s="1" t="s">
        <v>272</v>
      </c>
      <c r="C53" s="23">
        <v>69</v>
      </c>
      <c r="D53" s="23">
        <v>62</v>
      </c>
      <c r="E53" s="23">
        <v>70</v>
      </c>
      <c r="F53" s="23">
        <v>68</v>
      </c>
      <c r="G53" s="23">
        <v>257</v>
      </c>
      <c r="H53" s="30">
        <f>F53/(F46-F58-F57)*(H46-H58-H57)</f>
        <v>67.71666666666667</v>
      </c>
    </row>
    <row r="54">
      <c r="B54" s="1" t="s">
        <v>273</v>
      </c>
      <c r="C54" s="23">
        <v>213</v>
      </c>
      <c r="D54" s="23">
        <v>209</v>
      </c>
      <c r="E54" s="23">
        <v>206</v>
      </c>
      <c r="F54" s="23">
        <v>227</v>
      </c>
      <c r="G54" s="23">
        <v>809</v>
      </c>
      <c r="H54" s="30">
        <f>F54/(F46-F58-F57)*(H46-H58-H57)</f>
        <v>226.05416666666665</v>
      </c>
    </row>
    <row r="55">
      <c r="B55" s="1" t="s">
        <v>274</v>
      </c>
      <c r="C55" s="23">
        <v>104</v>
      </c>
      <c r="D55" s="23">
        <v>98</v>
      </c>
      <c r="E55" s="23">
        <v>75</v>
      </c>
      <c r="F55" s="23">
        <v>80</v>
      </c>
      <c r="G55" s="23">
        <v>326</v>
      </c>
      <c r="H55" s="30">
        <f>F55/(F46-F58-F57)*(H46-H58-H57)</f>
        <v>79.66666666666666</v>
      </c>
    </row>
    <row r="56">
      <c r="B56" s="1" t="s">
        <v>275</v>
      </c>
      <c r="C56" s="23">
        <v>12</v>
      </c>
      <c r="D56" s="23">
        <v>10</v>
      </c>
      <c r="E56" s="23">
        <v>10</v>
      </c>
      <c r="F56" s="23">
        <v>11</v>
      </c>
      <c r="G56" s="23">
        <v>43</v>
      </c>
      <c r="H56" s="30">
        <f>F56/(F46-F58-F57)*(H46-H58-H57)</f>
        <v>10.954166666666666</v>
      </c>
    </row>
    <row r="57" ht="27">
      <c r="B57" s="100" t="s">
        <v>276</v>
      </c>
      <c r="C57" s="23">
        <v>-3</v>
      </c>
      <c r="D57" s="23">
        <v>3</v>
      </c>
      <c r="E57" s="23">
        <v>-4</v>
      </c>
      <c r="F57" s="23">
        <v>0</v>
      </c>
      <c r="G57" s="23">
        <v>-4</v>
      </c>
      <c r="H57" s="35">
        <v>0</v>
      </c>
    </row>
    <row r="58">
      <c r="B58" s="1" t="s">
        <v>277</v>
      </c>
      <c r="C58" s="23">
        <v>0</v>
      </c>
      <c r="D58" s="23">
        <v>109</v>
      </c>
      <c r="E58" s="23">
        <v>0</v>
      </c>
      <c r="F58" s="23">
        <v>0</v>
      </c>
      <c r="G58" s="23">
        <v>109</v>
      </c>
      <c r="H58" s="35">
        <v>0</v>
      </c>
    </row>
    <row r="59" ht="27">
      <c r="B59" s="100" t="s">
        <v>278</v>
      </c>
      <c r="C59" s="23">
        <v>75</v>
      </c>
      <c r="D59" s="23">
        <v>72</v>
      </c>
      <c r="E59" s="23">
        <v>69</v>
      </c>
      <c r="F59" s="23">
        <v>87</v>
      </c>
      <c r="G59" s="23">
        <v>297</v>
      </c>
      <c r="H59" s="30">
        <f>F59/(F46-F58-F57)*(H46-H58-H57)</f>
        <v>86.6375</v>
      </c>
    </row>
    <row r="60" ht="27">
      <c r="B60" s="100" t="s">
        <v>279</v>
      </c>
      <c r="C60" s="6">
        <f>C46-(C51+C52+C53+C54+C55+C56+C57+C58+C59)</f>
        <v>0</v>
      </c>
      <c r="D60" s="6">
        <f>D46-(D51+D52+D53+D54+D55+D56+D57+D58+D59)</f>
        <v>0</v>
      </c>
      <c r="E60" s="6">
        <f>E46-(E51+E52+E53+E54+E55+E56+E57+E58+E59)</f>
        <v>0</v>
      </c>
      <c r="F60" s="6">
        <f>F46-(F51+F52+F53+F54+F55+F56+F57+F58+F59)</f>
        <v>0</v>
      </c>
      <c r="G60" s="6">
        <f>G46-(G51+G52+G53+G54+G55+G56+G57+G58+G59)</f>
        <v>0</v>
      </c>
      <c r="H60" s="30">
        <f>H46-(H51+H52+H53+H54+H55+H56+H57+H58+H59)</f>
        <v>0</v>
      </c>
    </row>
    <row r="61">
      <c r="B61" s="1" t="s">
        <v>280</v>
      </c>
      <c r="C61" s="23">
        <v>93</v>
      </c>
      <c r="D61" s="23">
        <v>455</v>
      </c>
      <c r="E61" s="23">
        <v>-549</v>
      </c>
      <c r="F61" s="23">
        <v>11</v>
      </c>
      <c r="G61" s="23">
        <v>720</v>
      </c>
      <c r="H61" s="35">
        <v>0</v>
      </c>
    </row>
    <row r="62">
      <c r="B62" s="1" t="s">
        <v>281</v>
      </c>
      <c r="C62" s="23">
        <v>0</v>
      </c>
      <c r="D62" s="23">
        <v>0</v>
      </c>
      <c r="E62" s="23">
        <v>0</v>
      </c>
      <c r="F62" s="23">
        <v>0</v>
      </c>
      <c r="G62" s="23">
        <v>39</v>
      </c>
      <c r="H62" s="35">
        <v>0</v>
      </c>
    </row>
    <row r="63">
      <c r="B63" s="1" t="s">
        <v>282</v>
      </c>
      <c r="C63" s="23">
        <v>253</v>
      </c>
      <c r="D63" s="23">
        <v>268</v>
      </c>
      <c r="E63" s="23">
        <v>277</v>
      </c>
      <c r="F63" s="23">
        <v>276</v>
      </c>
      <c r="G63" s="23">
        <v>775</v>
      </c>
      <c r="H63" s="35">
        <v>275</v>
      </c>
    </row>
    <row r="64">
      <c r="B64" s="2" t="s">
        <v>283</v>
      </c>
      <c r="C64" s="42">
        <f>C23+C45+C46+C61+C62+C63</f>
        <v>4554</v>
      </c>
      <c r="D64" s="42">
        <f>D23+D45+D46+D61+D62+D63</f>
        <v>5347</v>
      </c>
      <c r="E64" s="42">
        <f>E23+E45+E46+E61+E62+E63</f>
        <v>3884</v>
      </c>
      <c r="F64" s="42">
        <f>F23+F45+F46+F61+F62+F63</f>
        <v>4623</v>
      </c>
      <c r="G64" s="42">
        <f>G23+G45+G46+G61+G62+G63</f>
        <v>17171</v>
      </c>
      <c r="H64" s="41">
        <f>H23+H45+H46+H61+H62+H63</f>
        <v>4811.301420921545</v>
      </c>
    </row>
    <row r="65">
      <c r="B65" s="25" t="s">
        <v>130</v>
      </c>
      <c r="C65" s="16" t="s">
        <v>37</v>
      </c>
      <c r="D65" s="16">
        <f>IFERROR(D64/C64-1,"n/a")</f>
        <v>0.1741326306543698</v>
      </c>
      <c r="E65" s="16">
        <f>IFERROR(E64/D64-1,"n/a")</f>
        <v>-0.2736113708621657</v>
      </c>
      <c r="F65" s="16">
        <f>IFERROR(F64/E64-1,"n/a")</f>
        <v>0.19026776519052513</v>
      </c>
      <c r="H65" s="32">
        <f>IFERROR(H64/F64-1,"n/a")</f>
        <v>0.040731434333018735</v>
      </c>
    </row>
    <row r="66">
      <c r="H66" s="39"/>
    </row>
    <row r="67">
      <c r="B67" s="2" t="s">
        <v>284</v>
      </c>
      <c r="C67" s="42">
        <f>C17-C64</f>
        <v>1955</v>
      </c>
      <c r="D67" s="42">
        <f>D17-D64</f>
        <v>1661</v>
      </c>
      <c r="E67" s="42">
        <f>E17-E64</f>
        <v>2814</v>
      </c>
      <c r="F67" s="42">
        <f>F17-F64</f>
        <v>2461</v>
      </c>
      <c r="G67" s="42">
        <f>G17-G64</f>
        <v>7045</v>
      </c>
      <c r="H67" s="41">
        <f>H17-H64</f>
        <v>2733.7645014685113</v>
      </c>
    </row>
    <row r="68">
      <c r="B68" s="25" t="s">
        <v>129</v>
      </c>
      <c r="C68" s="21">
        <f>IFERROR(C67/Inputs!C161-1,"n/a")</f>
        <v>-0.025423728813559365</v>
      </c>
      <c r="D68" s="21">
        <f>IFERROR(D67/Inputs!D161-1,"n/a")</f>
        <v>-0.19951807228915663</v>
      </c>
      <c r="E68" s="21">
        <f>IFERROR(E67/Inputs!E161-1,"n/a")</f>
        <v>0.657243816254417</v>
      </c>
      <c r="F68" s="21">
        <f>IFERROR(F67/Inputs!F161-1,"n/a")</f>
        <v>0.4217215482380128</v>
      </c>
      <c r="G68" s="21">
        <f>IFERROR(G67/Inputs!G161-1,"n/a")</f>
        <v>-0.06984420385529444</v>
      </c>
      <c r="H68" s="32">
        <f>IFERROR(H67/C67-1,"n/a")</f>
        <v>0.3983450135388804</v>
      </c>
    </row>
    <row r="69">
      <c r="B69" s="25" t="s">
        <v>130</v>
      </c>
      <c r="C69" s="21">
        <f>IFERROR(C67/Inputs!F161-1,"n/a")</f>
        <v>0.12940496822645864</v>
      </c>
      <c r="D69" s="16">
        <f>IFERROR(D67/C67-1,"n/a")</f>
        <v>-0.15038363171355495</v>
      </c>
      <c r="E69" s="16">
        <f>IFERROR(E67/D67-1,"n/a")</f>
        <v>0.6941601444912704</v>
      </c>
      <c r="F69" s="16">
        <f>IFERROR(F67/E67-1,"n/a")</f>
        <v>-0.12544420753375973</v>
      </c>
      <c r="H69" s="32">
        <f>IFERROR(H67/F67-1,"n/a")</f>
        <v>0.11083482383929755</v>
      </c>
    </row>
    <row r="70">
      <c r="B70" s="1" t="s">
        <v>285</v>
      </c>
      <c r="C70" s="23">
        <v>1955</v>
      </c>
      <c r="D70" s="23">
        <v>1661</v>
      </c>
      <c r="E70" s="23">
        <v>2814</v>
      </c>
      <c r="F70" s="23">
        <v>2461</v>
      </c>
      <c r="G70" s="23">
        <v>7045</v>
      </c>
      <c r="H70" s="39"/>
    </row>
    <row r="71">
      <c r="B71" s="1" t="s">
        <v>286</v>
      </c>
      <c r="C71" s="6">
        <f>C67-C70</f>
        <v>0</v>
      </c>
      <c r="D71" s="6">
        <f>D67-D70</f>
        <v>0</v>
      </c>
      <c r="E71" s="6">
        <f>E67-E70</f>
        <v>0</v>
      </c>
      <c r="F71" s="6">
        <f>F67-F70</f>
        <v>0</v>
      </c>
      <c r="G71" s="6">
        <f>G67-G70</f>
        <v>0</v>
      </c>
      <c r="H71" s="39"/>
    </row>
    <row r="72">
      <c r="B72" s="25" t="s">
        <v>287</v>
      </c>
      <c r="C72" s="16">
        <f>C67/C17</f>
        <v>0.3003533568904594</v>
      </c>
      <c r="D72" s="16">
        <f>D67/D17</f>
        <v>0.2370148401826484</v>
      </c>
      <c r="E72" s="16">
        <f>E67/E17</f>
        <v>0.4201254105703195</v>
      </c>
      <c r="F72" s="16">
        <f>F67/F17</f>
        <v>0.3474025974025974</v>
      </c>
      <c r="G72" s="16">
        <f>G67/G17</f>
        <v>0.2909233564585398</v>
      </c>
      <c r="H72" s="32">
        <f>H67/H17</f>
        <v>0.3623248000201083</v>
      </c>
    </row>
    <row r="73">
      <c r="B73" s="25" t="s">
        <v>157</v>
      </c>
      <c r="C73" s="61">
        <f>IFERROR((C72-Inputs!F161/Inputs!F152)*10000,"n/a")</f>
        <v>-188.42660074320227</v>
      </c>
      <c r="D73" s="40">
        <f>(D72-C72)*10000</f>
        <v>-633.3851670781099</v>
      </c>
      <c r="E73" s="40">
        <f>(E72-D72)*10000</f>
        <v>1831.105703876711</v>
      </c>
      <c r="F73" s="40">
        <f>(F72-E72)*10000</f>
        <v>-727.2281316772211</v>
      </c>
      <c r="H73" s="37">
        <f>(H72-F72)*10000</f>
        <v>149.22202617510928</v>
      </c>
    </row>
    <row r="74">
      <c r="B74" s="25" t="s">
        <v>158</v>
      </c>
      <c r="C74" s="61">
        <f>IFERROR((C72-Inputs!C161/Inputs!C152)*10000,"n/a")</f>
        <v>-856.385615240105</v>
      </c>
      <c r="D74" s="61">
        <f>IFERROR((D72-Inputs!D161/Inputs!D152)*10000,"n/a")</f>
        <v>-1284.9511225702042</v>
      </c>
      <c r="E74" s="61">
        <f>IFERROR((E72-Inputs!E161/Inputs!E152)*10000,"n/a")</f>
        <v>982.9068729511098</v>
      </c>
      <c r="F74" s="61">
        <f>IFERROR((F72-Inputs!F161/Inputs!F152)*10000,"n/a")</f>
        <v>282.06580437817763</v>
      </c>
      <c r="G74" s="61">
        <f>IFERROR((G72-Inputs!G161/Inputs!G152)*10000,"n/a")</f>
        <v>-802.237989293173</v>
      </c>
      <c r="H74" s="37">
        <f>(H72-C72)*10000</f>
        <v>619.7144312964891</v>
      </c>
    </row>
    <row r="75">
      <c r="H75" s="39"/>
    </row>
    <row r="76">
      <c r="B76" s="34" t="s">
        <v>288</v>
      </c>
      <c r="H76" s="39"/>
    </row>
    <row r="77">
      <c r="B77" s="1" t="s">
        <v>289</v>
      </c>
      <c r="C77" s="23">
        <v>-14</v>
      </c>
      <c r="D77" s="23">
        <v>-42</v>
      </c>
      <c r="E77" s="23">
        <v>9</v>
      </c>
      <c r="F77" s="23">
        <v>34</v>
      </c>
      <c r="G77" s="23">
        <v>17</v>
      </c>
      <c r="H77" s="35">
        <v>15</v>
      </c>
    </row>
    <row r="78">
      <c r="B78" s="1" t="s">
        <v>290</v>
      </c>
      <c r="C78" s="23">
        <v>3</v>
      </c>
      <c r="D78" s="23">
        <v>17</v>
      </c>
      <c r="E78" s="23">
        <v>5</v>
      </c>
      <c r="F78" s="23">
        <v>18</v>
      </c>
      <c r="G78" s="23">
        <v>19</v>
      </c>
      <c r="H78" s="35">
        <v>15</v>
      </c>
    </row>
    <row r="79">
      <c r="B79" s="1" t="s">
        <v>291</v>
      </c>
      <c r="C79" s="23">
        <v>8</v>
      </c>
      <c r="D79" s="23">
        <v>2</v>
      </c>
      <c r="E79" s="23">
        <v>15</v>
      </c>
      <c r="F79" s="23">
        <v>8</v>
      </c>
      <c r="G79" s="23">
        <v>22</v>
      </c>
      <c r="H79" s="35">
        <v>10</v>
      </c>
    </row>
    <row r="80">
      <c r="B80" s="1" t="s">
        <v>292</v>
      </c>
      <c r="C80" s="23">
        <v>26</v>
      </c>
      <c r="D80" s="23">
        <v>-15</v>
      </c>
      <c r="E80" s="23">
        <v>-13</v>
      </c>
      <c r="F80" s="23">
        <v>55</v>
      </c>
      <c r="G80" s="23">
        <v>12</v>
      </c>
      <c r="H80" s="35">
        <v>45</v>
      </c>
    </row>
    <row r="81" ht="27">
      <c r="B81" s="100" t="s">
        <v>293</v>
      </c>
      <c r="C81" s="23">
        <v>14</v>
      </c>
      <c r="D81" s="23">
        <v>17</v>
      </c>
      <c r="E81" s="23">
        <v>0</v>
      </c>
      <c r="F81" s="23">
        <v>78</v>
      </c>
      <c r="G81" s="23">
        <v>61</v>
      </c>
      <c r="H81" s="30">
        <f>H132</f>
        <v>15</v>
      </c>
    </row>
    <row r="82">
      <c r="B82" s="2" t="s">
        <v>294</v>
      </c>
      <c r="C82" s="42">
        <f>C77+C78+C79+C80+C81</f>
        <v>37</v>
      </c>
      <c r="D82" s="42">
        <f>D77+D78+D79+D80+D81</f>
        <v>-21</v>
      </c>
      <c r="E82" s="42">
        <f>E77+E78+E79+E80+E81</f>
        <v>16</v>
      </c>
      <c r="F82" s="42">
        <f>F77+F78+F79+F80+F81</f>
        <v>193</v>
      </c>
      <c r="G82" s="42">
        <f>G77+G78+G79+G80+G81</f>
        <v>131</v>
      </c>
      <c r="H82" s="41">
        <f>H77+H78+H79+H80+H81</f>
        <v>100</v>
      </c>
    </row>
    <row r="83">
      <c r="B83" s="1" t="s">
        <v>295</v>
      </c>
      <c r="C83" s="23">
        <v>-107</v>
      </c>
      <c r="D83" s="23">
        <v>-68</v>
      </c>
      <c r="E83" s="23">
        <v>50</v>
      </c>
      <c r="F83" s="23">
        <v>55</v>
      </c>
      <c r="G83" s="23">
        <v>241</v>
      </c>
      <c r="H83" s="35">
        <v>25</v>
      </c>
    </row>
    <row r="84" ht="27">
      <c r="B84" s="101" t="s">
        <v>296</v>
      </c>
      <c r="C84" s="42">
        <f>C82+C83</f>
        <v>-70</v>
      </c>
      <c r="D84" s="42">
        <f>D82+D83</f>
        <v>-89</v>
      </c>
      <c r="E84" s="42">
        <f>E82+E83</f>
        <v>66</v>
      </c>
      <c r="F84" s="42">
        <f>F82+F83</f>
        <v>248</v>
      </c>
      <c r="G84" s="42">
        <f>G82+G83</f>
        <v>372</v>
      </c>
      <c r="H84" s="41">
        <f>H82+H83</f>
        <v>125</v>
      </c>
    </row>
    <row r="85">
      <c r="B85" s="1" t="s">
        <v>297</v>
      </c>
      <c r="C85" s="6">
        <f>C84+C104</f>
        <v>64</v>
      </c>
      <c r="D85" s="6">
        <f>D84+D104</f>
        <v>-38</v>
      </c>
      <c r="E85" s="6">
        <f>E84+E104</f>
        <v>72</v>
      </c>
      <c r="F85" s="6">
        <f>F84+F104</f>
        <v>283</v>
      </c>
      <c r="G85" s="6">
        <f>G84+G104</f>
        <v>634</v>
      </c>
      <c r="H85" s="30">
        <f>H84+H104</f>
        <v>165</v>
      </c>
    </row>
    <row r="86">
      <c r="B86" s="25" t="s">
        <v>101</v>
      </c>
      <c r="C86" s="21">
        <f>IFERROR(IF(Inputs!C162&lt;=0,"n/m",C85/Inputs!C162-1),"n/a")</f>
        <v>-0.6384180790960452</v>
      </c>
      <c r="D86" s="21" t="str">
        <f>IFERROR(IF(Inputs!D162&lt;=0,"n/m",D85/Inputs!D162-1),"n/a")</f>
        <v>n/m</v>
      </c>
      <c r="E86" s="21">
        <f>IFERROR(IF(Inputs!E162&lt;=0,"n/m",E85/Inputs!E162-1),"n/a")</f>
        <v>0.24137931034482762</v>
      </c>
      <c r="F86" s="21">
        <f>IFERROR(IF(Inputs!F162&lt;=0,"n/m",F85/Inputs!F162-1),"n/a")</f>
        <v>-0.48545454545454547</v>
      </c>
      <c r="G86" s="21">
        <f>IFERROR(IF(Inputs!G162&lt;=0,"n/m",G85/Inputs!G162-1),"n/a")</f>
        <v>0.28861788617886175</v>
      </c>
      <c r="H86" s="32">
        <f>IFERROR(IF(C85&lt;=0,"n/m",H85/C85-1),"n/a")</f>
        <v>1.578125</v>
      </c>
    </row>
    <row r="87">
      <c r="B87" s="25" t="s">
        <v>150</v>
      </c>
      <c r="C87" s="4">
        <f>C85-Inputs!F162</f>
        <v>-486</v>
      </c>
      <c r="D87" s="6">
        <f>D85-C85</f>
        <v>-102</v>
      </c>
      <c r="E87" s="6">
        <f>E85-D85</f>
        <v>110</v>
      </c>
      <c r="F87" s="6">
        <f>F85-E85</f>
        <v>211</v>
      </c>
      <c r="H87" s="30">
        <f>H85-F85</f>
        <v>-118</v>
      </c>
    </row>
    <row r="88">
      <c r="B88" s="1" t="s">
        <v>298</v>
      </c>
      <c r="C88" s="23">
        <v>113</v>
      </c>
      <c r="D88" s="4">
        <f>G88-Inputs!D233</f>
        <v>124</v>
      </c>
      <c r="E88" s="23">
        <v>90</v>
      </c>
      <c r="F88" s="23">
        <v>109</v>
      </c>
      <c r="G88" s="23">
        <v>554</v>
      </c>
      <c r="H88" s="35">
        <v>110</v>
      </c>
    </row>
    <row r="89">
      <c r="B89" s="25" t="s">
        <v>101</v>
      </c>
      <c r="C89" s="21">
        <f>IFERROR(C88/Inputs!C163-1,"n/a")</f>
        <v>-0.521186440677966</v>
      </c>
      <c r="D89" s="21">
        <f>IFERROR(D88/Inputs!D163-1,"n/a")</f>
        <v>-0.41509433962264153</v>
      </c>
      <c r="E89" s="21">
        <f>IFERROR(E88/Inputs!E163-1,"n/a")</f>
        <v>-0.47976878612716767</v>
      </c>
      <c r="F89" s="21">
        <f>IFERROR(F88/Inputs!F163-1,"n/a")</f>
        <v>-0.24305555555555558</v>
      </c>
      <c r="G89" s="21">
        <f>IFERROR(G88/Inputs!G163-1,"n/a")</f>
        <v>-0.2777053455019557</v>
      </c>
      <c r="H89" s="32">
        <f>IFERROR(H88/C88-1,"n/a")</f>
        <v>-0.026548672566371723</v>
      </c>
    </row>
    <row r="90">
      <c r="B90" s="25" t="s">
        <v>150</v>
      </c>
      <c r="C90" s="4">
        <f>C88-Inputs!F163</f>
        <v>-31</v>
      </c>
      <c r="D90" s="6">
        <f>D88-C88</f>
        <v>11</v>
      </c>
      <c r="E90" s="6">
        <f>E88-D88</f>
        <v>-34</v>
      </c>
      <c r="F90" s="6">
        <f>F88-E88</f>
        <v>19</v>
      </c>
      <c r="H90" s="30">
        <f>H88-F88</f>
        <v>1</v>
      </c>
    </row>
    <row r="91">
      <c r="B91" s="1" t="s">
        <v>299</v>
      </c>
      <c r="C91" s="23">
        <v>-135</v>
      </c>
      <c r="D91" s="4">
        <f>G91-Inputs!D234</f>
        <v>-140</v>
      </c>
      <c r="E91" s="23">
        <v>-134</v>
      </c>
      <c r="F91" s="23">
        <v>-134</v>
      </c>
      <c r="G91" s="23">
        <v>-614</v>
      </c>
      <c r="H91" s="35">
        <v>-134</v>
      </c>
    </row>
    <row r="92">
      <c r="B92" s="25" t="s">
        <v>101</v>
      </c>
      <c r="C92" s="21">
        <f>IFERROR(C91/Inputs!C164-1,"n/a")</f>
        <v>-0.12337662337662336</v>
      </c>
      <c r="D92" s="21">
        <f>IFERROR(D91/Inputs!D164-1,"n/a")</f>
        <v>-0.15662650602409633</v>
      </c>
      <c r="E92" s="21">
        <f>IFERROR(E91/Inputs!E164-1,"n/a")</f>
        <v>-0.19277108433734935</v>
      </c>
      <c r="F92" s="21">
        <f>IFERROR(F91/Inputs!F164-1,"n/a")</f>
        <v>-0.22543352601156075</v>
      </c>
      <c r="G92" s="21">
        <f>IFERROR(G91/Inputs!G164-1,"n/a")</f>
        <v>0.1412639405204461</v>
      </c>
      <c r="H92" s="32">
        <f>IFERROR(H91/C91-1,"n/a")</f>
        <v>-0.007407407407407418</v>
      </c>
    </row>
    <row r="93">
      <c r="B93" s="25" t="s">
        <v>150</v>
      </c>
      <c r="C93" s="4">
        <f>C91-Inputs!F164</f>
        <v>38</v>
      </c>
      <c r="D93" s="6">
        <f>D91-C91</f>
        <v>-5</v>
      </c>
      <c r="E93" s="6">
        <f>E91-D91</f>
        <v>6</v>
      </c>
      <c r="F93" s="6">
        <f>F91-E91</f>
        <v>0</v>
      </c>
      <c r="H93" s="30">
        <f>H91-F91</f>
        <v>0</v>
      </c>
    </row>
    <row r="94">
      <c r="B94" s="1" t="s">
        <v>300</v>
      </c>
      <c r="C94" s="6">
        <f>C88+C91</f>
        <v>-22</v>
      </c>
      <c r="D94" s="6">
        <f>D88+D91</f>
        <v>-16</v>
      </c>
      <c r="E94" s="6">
        <f>E88+E91</f>
        <v>-44</v>
      </c>
      <c r="F94" s="6">
        <f>F88+F91</f>
        <v>-25</v>
      </c>
      <c r="G94" s="6">
        <f>G88+G91</f>
        <v>-60</v>
      </c>
      <c r="H94" s="30">
        <f>H88+H91</f>
        <v>-24</v>
      </c>
    </row>
    <row r="95">
      <c r="B95" s="2" t="s">
        <v>301</v>
      </c>
      <c r="C95" s="42">
        <f>C85+C94</f>
        <v>42</v>
      </c>
      <c r="D95" s="42">
        <f>D85+D94</f>
        <v>-54</v>
      </c>
      <c r="E95" s="42">
        <f>E85+E94</f>
        <v>28</v>
      </c>
      <c r="F95" s="42">
        <f>F85+F94</f>
        <v>258</v>
      </c>
      <c r="G95" s="42">
        <f>G85+G94</f>
        <v>574</v>
      </c>
      <c r="H95" s="41">
        <f>H85+H94</f>
        <v>141</v>
      </c>
    </row>
    <row r="96">
      <c r="H96" s="39"/>
    </row>
    <row r="97">
      <c r="B97" s="2" t="s">
        <v>302</v>
      </c>
      <c r="C97" s="42">
        <f>C67+C95</f>
        <v>1997</v>
      </c>
      <c r="D97" s="42">
        <f>D67+D95</f>
        <v>1607</v>
      </c>
      <c r="E97" s="42">
        <f>E67+E95</f>
        <v>2842</v>
      </c>
      <c r="F97" s="42">
        <f>F67+F95</f>
        <v>2719</v>
      </c>
      <c r="G97" s="42">
        <f>G67+G95</f>
        <v>7619</v>
      </c>
      <c r="H97" s="41">
        <f>H67+H95</f>
        <v>2874.7645014685113</v>
      </c>
    </row>
    <row r="98">
      <c r="B98" s="25" t="s">
        <v>130</v>
      </c>
      <c r="C98" s="16" t="s">
        <v>37</v>
      </c>
      <c r="D98" s="16">
        <f>IFERROR(D97/C97-1,"n/a")</f>
        <v>-0.19529293940911363</v>
      </c>
      <c r="E98" s="16">
        <f>IFERROR(E97/D97-1,"n/a")</f>
        <v>0.7685127566894836</v>
      </c>
      <c r="F98" s="16">
        <f>IFERROR(F97/E97-1,"n/a")</f>
        <v>-0.04327938071780435</v>
      </c>
      <c r="H98" s="32">
        <f>IFERROR(H97/F97-1,"n/a")</f>
        <v>0.05728742238635953</v>
      </c>
    </row>
    <row r="99">
      <c r="B99" s="1" t="s">
        <v>303</v>
      </c>
      <c r="C99" s="23">
        <v>470</v>
      </c>
      <c r="D99" s="23">
        <v>372</v>
      </c>
      <c r="E99" s="23">
        <v>516</v>
      </c>
      <c r="F99" s="23">
        <v>677</v>
      </c>
      <c r="G99" s="23">
        <v>1677</v>
      </c>
      <c r="H99" s="30">
        <f>H155*(H97-H104)</f>
        <v>708.6911253671278</v>
      </c>
      <c r="I99" s="111" t="s">
        <v>304</v>
      </c>
    </row>
    <row r="100">
      <c r="B100" s="25" t="s">
        <v>305</v>
      </c>
      <c r="C100" s="16">
        <f>C99/C97</f>
        <v>0.23535302954431647</v>
      </c>
      <c r="D100" s="16">
        <f>D99/D97</f>
        <v>0.23148724331051648</v>
      </c>
      <c r="E100" s="16">
        <f>E99/E97</f>
        <v>0.18156228008444758</v>
      </c>
      <c r="F100" s="16">
        <f>F99/F97</f>
        <v>0.24898859874954027</v>
      </c>
      <c r="G100" s="16">
        <f>G99/G97</f>
        <v>0.22010762567266046</v>
      </c>
      <c r="H100" s="32">
        <f>H99/H97</f>
        <v>0.24652145419393773</v>
      </c>
    </row>
    <row r="101">
      <c r="B101" s="25" t="s">
        <v>157</v>
      </c>
      <c r="C101" s="61">
        <f>IFERROR((C100-Inputs!F165/(Inputs!F161+Inputs!F162+Inputs!F163+Inputs!F164))*10000,"n/a")</f>
        <v>-253.04164061367374</v>
      </c>
      <c r="D101" s="40">
        <f>(D100-C100)*10000</f>
        <v>-38.657862337999894</v>
      </c>
      <c r="E101" s="40">
        <f>(E100-D100)*10000</f>
        <v>-499.249632260689</v>
      </c>
      <c r="F101" s="40">
        <f>(F100-E100)*10000</f>
        <v>674.2631866509269</v>
      </c>
      <c r="H101" s="37">
        <f>(H100-F100)*10000</f>
        <v>-24.671445556025407</v>
      </c>
    </row>
    <row r="102">
      <c r="B102" s="25" t="s">
        <v>158</v>
      </c>
      <c r="C102" s="61">
        <f>IFERROR((C100-Inputs!C165/(Inputs!C161+Inputs!C162+Inputs!C163+Inputs!C164))*10000,"n/a")</f>
        <v>-180.68604009767398</v>
      </c>
      <c r="D102" s="61">
        <f>IFERROR((D100-Inputs!D165/(Inputs!D161+Inputs!D162+Inputs!D163+Inputs!D164))*10000,"n/a")</f>
        <v>213.11304175946816</v>
      </c>
      <c r="E102" s="61">
        <f>IFERROR((E100-Inputs!E165/(Inputs!E161+Inputs!E162+Inputs!E163+Inputs!E164))*10000,"n/a")</f>
        <v>408.9296641456669</v>
      </c>
      <c r="F102" s="61">
        <f>IFERROR((F100-Inputs!F165/(Inputs!F161+Inputs!F162+Inputs!F163+Inputs!F164))*10000,"n/a")</f>
        <v>-116.68594856143577</v>
      </c>
      <c r="G102" s="61">
        <f>IFERROR((G100-Inputs!G165/(Inputs!G161+Inputs!G162+Inputs!G163+Inputs!G164))*10000,"n/a")</f>
        <v>51.588613568075424</v>
      </c>
      <c r="H102" s="37">
        <f>(H100-C100)*10000</f>
        <v>111.68424649621255</v>
      </c>
    </row>
    <row r="103">
      <c r="B103" s="2" t="s">
        <v>306</v>
      </c>
      <c r="C103" s="42">
        <f>C97-C99</f>
        <v>1527</v>
      </c>
      <c r="D103" s="42">
        <f>D97-D99</f>
        <v>1235</v>
      </c>
      <c r="E103" s="42">
        <f>E97-E99</f>
        <v>2326</v>
      </c>
      <c r="F103" s="42">
        <f>F97-F99</f>
        <v>2042</v>
      </c>
      <c r="G103" s="42">
        <f>G97-G99</f>
        <v>5942</v>
      </c>
      <c r="H103" s="41">
        <f>H97-H99</f>
        <v>2166.0733761013835</v>
      </c>
    </row>
    <row r="104">
      <c r="B104" s="1" t="s">
        <v>307</v>
      </c>
      <c r="C104" s="23">
        <v>134</v>
      </c>
      <c r="D104" s="23">
        <v>51</v>
      </c>
      <c r="E104" s="23">
        <v>6</v>
      </c>
      <c r="F104" s="23">
        <v>35</v>
      </c>
      <c r="G104" s="23">
        <v>262</v>
      </c>
      <c r="H104" s="35">
        <v>40</v>
      </c>
    </row>
    <row r="105">
      <c r="B105" s="25" t="s">
        <v>101</v>
      </c>
      <c r="C105" s="21">
        <f>IFERROR(IF(Inputs!C166&lt;=0,"n/m",C104/Inputs!C166-1),"n/a")</f>
        <v>1.2333333333333334</v>
      </c>
      <c r="D105" s="21" t="str">
        <f>IFERROR(IF(Inputs!D166&lt;=0,"n/m",D104/Inputs!D166-1),"n/a")</f>
        <v>n/m</v>
      </c>
      <c r="E105" s="21">
        <f>IFERROR(IF(Inputs!E166&lt;=0,"n/m",E104/Inputs!E166-1),"n/a")</f>
        <v>0.19999999999999996</v>
      </c>
      <c r="F105" s="21">
        <f>IFERROR(IF(Inputs!F166&lt;=0,"n/m",F104/Inputs!F166-1),"n/a")</f>
        <v>-0.5138888888888888</v>
      </c>
      <c r="G105" s="21">
        <f>IFERROR(IF(Inputs!G166&lt;=0,"n/m",G104/Inputs!G166-1),"n/a")</f>
        <v>0.8321678321678321</v>
      </c>
      <c r="H105" s="32">
        <f>IFERROR(IF(C104&lt;=0,"n/m",H104/C104-1),"n/a")</f>
        <v>-0.7014925373134329</v>
      </c>
    </row>
    <row r="106">
      <c r="B106" s="25" t="s">
        <v>150</v>
      </c>
      <c r="C106" s="4">
        <f>C104-Inputs!F166</f>
        <v>62</v>
      </c>
      <c r="D106" s="6">
        <f>D104-C104</f>
        <v>-83</v>
      </c>
      <c r="E106" s="6">
        <f>E104-D104</f>
        <v>-45</v>
      </c>
      <c r="F106" s="6">
        <f>F104-E104</f>
        <v>29</v>
      </c>
      <c r="H106" s="30">
        <f>H104-F104</f>
        <v>5</v>
      </c>
    </row>
    <row r="107">
      <c r="B107" s="1" t="s">
        <v>308</v>
      </c>
      <c r="C107" s="23">
        <v>70</v>
      </c>
      <c r="D107" s="23">
        <v>57</v>
      </c>
      <c r="E107" s="23">
        <v>108</v>
      </c>
      <c r="F107" s="23">
        <v>93</v>
      </c>
      <c r="G107" s="23">
        <v>127</v>
      </c>
      <c r="H107" s="30">
        <f>H108*(H103-H104)</f>
        <v>99.6630053432603</v>
      </c>
    </row>
    <row r="108">
      <c r="B108" s="25" t="s">
        <v>309</v>
      </c>
      <c r="C108" s="16">
        <f>C107/(C103-C104)</f>
        <v>0.05025125628140704</v>
      </c>
      <c r="D108" s="16">
        <f>D107/(D103-D104)</f>
        <v>0.04814189189189189</v>
      </c>
      <c r="E108" s="16">
        <f>E107/(E103-E104)</f>
        <v>0.04655172413793104</v>
      </c>
      <c r="F108" s="16">
        <f>F107/(F103-F104)</f>
        <v>0.04633781763826607</v>
      </c>
      <c r="G108" s="16">
        <f>G107/(G103-G104)</f>
        <v>0.022359154929577466</v>
      </c>
      <c r="H108" s="70">
        <f>'Share Count'!H23</f>
        <v>0.04687655960680624</v>
      </c>
    </row>
    <row r="109">
      <c r="B109" s="2" t="s">
        <v>310</v>
      </c>
      <c r="C109" s="42">
        <f>C103-C104-C107</f>
        <v>1323</v>
      </c>
      <c r="D109" s="42">
        <f>D103-D104-D107</f>
        <v>1127</v>
      </c>
      <c r="E109" s="42">
        <f>E103-E104-E107</f>
        <v>2212</v>
      </c>
      <c r="F109" s="42">
        <f>F103-F104-F107</f>
        <v>1914</v>
      </c>
      <c r="G109" s="42">
        <f>G103-G104-G107</f>
        <v>5553</v>
      </c>
      <c r="H109" s="41">
        <f>H103-H104-H107</f>
        <v>2026.4103707581232</v>
      </c>
    </row>
    <row r="110">
      <c r="B110" s="25" t="s">
        <v>129</v>
      </c>
      <c r="C110" s="21">
        <f>IFERROR(C109/Inputs!C168-1,"n/a")</f>
        <v>-0.18884120171673824</v>
      </c>
      <c r="D110" s="21">
        <f>IFERROR(D109/Inputs!D168-1,"n/a")</f>
        <v>-0.32514970059880244</v>
      </c>
      <c r="E110" s="21">
        <f>IFERROR(E109/Inputs!E168-1,"n/a")</f>
        <v>0.4649006622516556</v>
      </c>
      <c r="F110" s="21">
        <f>IFERROR(F109/Inputs!F168-1,"n/a")</f>
        <v>0.20150659133709992</v>
      </c>
      <c r="G110" s="21">
        <f>IFERROR(G109/Inputs!G168-1,"n/a")</f>
        <v>-0.1281205840791333</v>
      </c>
      <c r="H110" s="32">
        <f>IFERROR(H109/C109-1,"n/a")</f>
        <v>0.5316782847756034</v>
      </c>
    </row>
    <row r="111">
      <c r="B111" s="25" t="s">
        <v>130</v>
      </c>
      <c r="C111" s="21">
        <f>IFERROR(C109/Inputs!F168-1,"n/a")</f>
        <v>-0.1694915254237288</v>
      </c>
      <c r="D111" s="16">
        <f>IFERROR(D109/C109-1,"n/a")</f>
        <v>-0.14814814814814814</v>
      </c>
      <c r="E111" s="16">
        <f>IFERROR(E109/D109-1,"n/a")</f>
        <v>0.9627329192546583</v>
      </c>
      <c r="F111" s="16">
        <f>IFERROR(F109/E109-1,"n/a")</f>
        <v>-0.13471971066907773</v>
      </c>
      <c r="H111" s="32">
        <f>IFERROR(H109/F109-1,"n/a")</f>
        <v>0.058730601232039215</v>
      </c>
    </row>
    <row r="112">
      <c r="B112" s="1" t="s">
        <v>311</v>
      </c>
      <c r="C112" s="23">
        <v>1323</v>
      </c>
      <c r="D112" s="23">
        <v>1127</v>
      </c>
      <c r="E112" s="23">
        <v>2212</v>
      </c>
      <c r="F112" s="23">
        <v>1914</v>
      </c>
      <c r="G112" s="23">
        <v>5553</v>
      </c>
      <c r="H112" s="39"/>
    </row>
    <row r="113">
      <c r="B113" s="1" t="s">
        <v>286</v>
      </c>
      <c r="C113" s="6">
        <f>C109-C112</f>
        <v>0</v>
      </c>
      <c r="D113" s="6">
        <f>D109-D112</f>
        <v>0</v>
      </c>
      <c r="E113" s="6">
        <f>E109-E112</f>
        <v>0</v>
      </c>
      <c r="F113" s="6">
        <f>F109-F112</f>
        <v>0</v>
      </c>
      <c r="G113" s="6">
        <f>G109-G112</f>
        <v>0</v>
      </c>
      <c r="H113" s="39"/>
    </row>
    <row r="114">
      <c r="B114" s="25" t="s">
        <v>312</v>
      </c>
      <c r="C114" s="16">
        <f>C109/C17</f>
        <v>0.20325702872945153</v>
      </c>
      <c r="D114" s="16">
        <f>D109/D17</f>
        <v>0.1608162100456621</v>
      </c>
      <c r="E114" s="16">
        <f>E109/E17</f>
        <v>0.330247835174679</v>
      </c>
      <c r="F114" s="16">
        <f>F109/F17</f>
        <v>0.2701863354037267</v>
      </c>
      <c r="G114" s="16">
        <f>G109/G17</f>
        <v>0.22931119920713577</v>
      </c>
      <c r="H114" s="32">
        <f>H109/H17</f>
        <v>0.26857424330047674</v>
      </c>
    </row>
    <row r="115">
      <c r="B115" s="25" t="s">
        <v>157</v>
      </c>
      <c r="C115" s="61">
        <f>IFERROR((C114-Inputs!F168/Inputs!F152)*10000,"n/a")</f>
        <v>-904.9181877193149</v>
      </c>
      <c r="D115" s="40">
        <f>(D114-C114)*10000</f>
        <v>-424.40818683789433</v>
      </c>
      <c r="E115" s="40">
        <f>(E114-D114)*10000</f>
        <v>1694.3162512901688</v>
      </c>
      <c r="F115" s="40">
        <f>(F114-E114)*10000</f>
        <v>-600.6149977095226</v>
      </c>
      <c r="H115" s="37">
        <f>(H114-F114)*10000</f>
        <v>-16.120921032499737</v>
      </c>
    </row>
    <row r="116">
      <c r="B116" s="25" t="s">
        <v>158</v>
      </c>
      <c r="C116" s="61">
        <f>IFERROR((C114-Inputs!C168/Inputs!C152)*10000,"n/a")</f>
        <v>-1105.7787602329042</v>
      </c>
      <c r="D116" s="61">
        <f>IFERROR((D114-Inputs!D168/Inputs!D152)*10000,"n/a")</f>
        <v>-1333.5324565277017</v>
      </c>
      <c r="E116" s="61">
        <f>IFERROR((E114-Inputs!E168/Inputs!E152)*10000,"n/a")</f>
        <v>440.4616724442878</v>
      </c>
      <c r="F116" s="61">
        <f>IFERROR((F114-Inputs!F168/Inputs!F152)*10000,"n/a")</f>
        <v>-235.62512097656307</v>
      </c>
      <c r="G116" s="61">
        <f>IFERROR((G114-Inputs!G168/Inputs!G152)*10000,"n/a")</f>
        <v>-827.8759042387318</v>
      </c>
      <c r="H116" s="37">
        <f>(H114-C114)*10000</f>
        <v>653.1721457102522</v>
      </c>
    </row>
    <row r="117">
      <c r="H117" s="39"/>
    </row>
    <row r="118">
      <c r="B118" s="34" t="s">
        <v>313</v>
      </c>
      <c r="H118" s="39"/>
    </row>
    <row r="119">
      <c r="B119" s="1" t="s">
        <v>314</v>
      </c>
      <c r="H119" s="67">
        <v>0.015</v>
      </c>
    </row>
    <row r="120">
      <c r="B120" s="1" t="s">
        <v>315</v>
      </c>
      <c r="C120" s="4">
        <f>'Share Count'!C10</f>
        <v>154.9</v>
      </c>
      <c r="D120" s="4">
        <f>'Share Count'!D10</f>
        <v>155.1</v>
      </c>
      <c r="E120" s="4">
        <f>'Share Count'!E10</f>
        <v>155.3</v>
      </c>
      <c r="F120" s="4">
        <f>'Share Count'!F10</f>
        <v>155.2</v>
      </c>
      <c r="G120" s="4">
        <f>'Share Count'!G10</f>
        <v>155</v>
      </c>
      <c r="H120" s="28">
        <f>'Share Count'!H10</f>
        <v>154.79056603773586</v>
      </c>
    </row>
    <row r="121">
      <c r="B121" s="1" t="s">
        <v>316</v>
      </c>
      <c r="C121" s="4">
        <f>'Share Count'!C13</f>
        <v>165.2</v>
      </c>
      <c r="D121" s="4">
        <f>'Share Count'!D13</f>
        <v>165.4</v>
      </c>
      <c r="E121" s="4">
        <f>'Share Count'!E13</f>
        <v>165</v>
      </c>
      <c r="F121" s="4">
        <f>'Share Count'!F13</f>
        <v>164.6</v>
      </c>
      <c r="G121" s="4">
        <f>'Share Count'!G13</f>
        <v>160.9</v>
      </c>
      <c r="H121" s="28">
        <f>'Share Count'!H13</f>
        <v>164.19056603773586</v>
      </c>
    </row>
    <row r="122">
      <c r="B122" s="1" t="s">
        <v>317</v>
      </c>
      <c r="C122" s="11">
        <f>C109/C120</f>
        <v>8.540994189799871</v>
      </c>
      <c r="D122" s="11">
        <f>D109/D120</f>
        <v>7.266279819471309</v>
      </c>
      <c r="E122" s="11">
        <f>E109/E120</f>
        <v>14.243399871217</v>
      </c>
      <c r="F122" s="11">
        <f>F109/F120</f>
        <v>12.332474226804125</v>
      </c>
      <c r="G122" s="11">
        <f>G109/G120</f>
        <v>35.825806451612905</v>
      </c>
      <c r="H122" s="71">
        <f>H109/H120</f>
        <v>13.091304093197202</v>
      </c>
    </row>
    <row r="123">
      <c r="B123" s="2" t="s">
        <v>318</v>
      </c>
      <c r="C123" s="57">
        <f>(C109+C107)/C121</f>
        <v>8.432203389830509</v>
      </c>
      <c r="D123" s="57">
        <f>(D109+D107)/D121</f>
        <v>7.158403869407497</v>
      </c>
      <c r="E123" s="57">
        <f>(E109+E107)/E121</f>
        <v>14.06060606060606</v>
      </c>
      <c r="F123" s="57">
        <f>(F109+F107)/F121</f>
        <v>12.193195625759417</v>
      </c>
      <c r="G123" s="57">
        <f>(G109+G107)/G121</f>
        <v>35.301429459291484</v>
      </c>
      <c r="H123" s="72">
        <f>(H109+H107)/H121</f>
        <v>12.948815680510833</v>
      </c>
    </row>
    <row r="124">
      <c r="B124" s="25" t="s">
        <v>101</v>
      </c>
      <c r="C124" s="21">
        <f>IFERROR(C123/Inputs!C171-1,"n/a")</f>
        <v>-0.22640335873114603</v>
      </c>
      <c r="D124" s="21">
        <f>IFERROR(D123/Inputs!D171-1,"n/a")</f>
        <v>-0.32658477239816586</v>
      </c>
      <c r="E124" s="21">
        <f>IFERROR(E123/Inputs!E171-1,"n/a")</f>
        <v>0.4585690934238651</v>
      </c>
      <c r="F124" s="21">
        <f>IFERROR(F123/Inputs!F171-1,"n/a")</f>
        <v>0.1965844578762923</v>
      </c>
      <c r="G124" s="21">
        <f>IFERROR(G123/Inputs!G171-1,"n/a")</f>
        <v>-0.15968984862433977</v>
      </c>
      <c r="H124" s="32">
        <f>IFERROR(H123/C123-1,"n/a")</f>
        <v>0.5356384425128424</v>
      </c>
    </row>
    <row r="125">
      <c r="B125" s="25" t="s">
        <v>102</v>
      </c>
      <c r="C125" s="21">
        <f>IFERROR(C123/Inputs!F171-1,"n/a")</f>
        <v>-0.17250212072320814</v>
      </c>
      <c r="D125" s="16">
        <f>IFERROR(D123/C123-1,"n/a")</f>
        <v>-0.15106366171850794</v>
      </c>
      <c r="E125" s="16">
        <f>IFERROR(E123/D123-1,"n/a")</f>
        <v>0.9642096642096643</v>
      </c>
      <c r="F125" s="16">
        <f>IFERROR(F123/E123-1,"n/a")</f>
        <v>-0.13281151799555868</v>
      </c>
      <c r="H125" s="32">
        <f>IFERROR(H123/F123-1,"n/a")</f>
        <v>0.06197063328952823</v>
      </c>
    </row>
    <row r="126">
      <c r="B126" s="1" t="s">
        <v>319</v>
      </c>
      <c r="C126" s="33">
        <v>8.43</v>
      </c>
      <c r="D126" s="33">
        <v>7.16</v>
      </c>
      <c r="E126" s="33">
        <v>14.06</v>
      </c>
      <c r="F126" s="33">
        <v>12.19</v>
      </c>
      <c r="G126" s="33">
        <v>35.31</v>
      </c>
      <c r="H126" s="39"/>
    </row>
    <row r="127">
      <c r="B127" s="1" t="s">
        <v>320</v>
      </c>
      <c r="C127" s="11">
        <f>IF(ABS(C123-C126)&lt;=$H$119,0,C123-C126)</f>
        <v>0</v>
      </c>
      <c r="D127" s="11">
        <f>IF(ABS(D123-D126)&lt;=$H$119,0,D123-D126)</f>
        <v>0</v>
      </c>
      <c r="E127" s="11">
        <f>IF(ABS(E123-E126)&lt;=$H$119,0,E123-E126)</f>
        <v>0</v>
      </c>
      <c r="F127" s="11">
        <f>IF(ABS(F123-F126)&lt;=$H$119,0,F123-F126)</f>
        <v>0</v>
      </c>
      <c r="G127" s="11">
        <f>IF(ABS(G123-G126)&lt;=$H$119,0,G123-G126)</f>
        <v>0</v>
      </c>
      <c r="H127" s="39"/>
    </row>
    <row r="128">
      <c r="B128" s="1" t="s">
        <v>321</v>
      </c>
      <c r="C128" s="8">
        <f>'Share Count'!C33</f>
        <v>5.21</v>
      </c>
      <c r="D128" s="8">
        <f>'Share Count'!D33</f>
        <v>5.21</v>
      </c>
      <c r="E128" s="8">
        <f>'Share Count'!E33</f>
        <v>5.73</v>
      </c>
      <c r="F128" s="8">
        <f>'Share Count'!F33</f>
        <v>5.73</v>
      </c>
      <c r="G128" s="8">
        <f>'Share Count'!G33</f>
        <v>20.84</v>
      </c>
      <c r="H128" s="31">
        <f>'Share Count'!H33</f>
        <v>5.73</v>
      </c>
    </row>
    <row r="129">
      <c r="H129" s="39"/>
    </row>
    <row r="130">
      <c r="B130" s="34" t="s">
        <v>322</v>
      </c>
      <c r="H130" s="39"/>
    </row>
    <row r="131">
      <c r="B131" s="1" t="s">
        <v>323</v>
      </c>
      <c r="C131" s="6">
        <f>C67</f>
        <v>1955</v>
      </c>
      <c r="D131" s="6">
        <f>D67</f>
        <v>1661</v>
      </c>
      <c r="E131" s="6">
        <f>E67</f>
        <v>2814</v>
      </c>
      <c r="F131" s="6">
        <f>F67</f>
        <v>2461</v>
      </c>
      <c r="G131" s="6">
        <f>G67</f>
        <v>7045</v>
      </c>
      <c r="H131" s="30">
        <f>H67</f>
        <v>2733.7645014685113</v>
      </c>
    </row>
    <row r="132" ht="27">
      <c r="B132" s="100" t="s">
        <v>324</v>
      </c>
      <c r="C132" s="23">
        <v>14</v>
      </c>
      <c r="D132" s="23">
        <v>11</v>
      </c>
      <c r="E132" s="23">
        <v>5</v>
      </c>
      <c r="F132" s="23">
        <v>60</v>
      </c>
      <c r="G132" s="23">
        <v>52</v>
      </c>
      <c r="H132" s="35">
        <v>15</v>
      </c>
    </row>
    <row r="133" ht="27">
      <c r="B133" s="100" t="s">
        <v>325</v>
      </c>
      <c r="C133" s="6">
        <f>C63</f>
        <v>253</v>
      </c>
      <c r="D133" s="6">
        <f>D63</f>
        <v>268</v>
      </c>
      <c r="E133" s="6">
        <f>E63</f>
        <v>277</v>
      </c>
      <c r="F133" s="6">
        <f>F63</f>
        <v>276</v>
      </c>
      <c r="G133" s="6">
        <f>G63</f>
        <v>775</v>
      </c>
      <c r="H133" s="30">
        <f>H63</f>
        <v>275</v>
      </c>
    </row>
    <row r="134">
      <c r="B134" s="1" t="s">
        <v>326</v>
      </c>
      <c r="C134" s="23">
        <v>262</v>
      </c>
      <c r="D134" s="23">
        <v>315</v>
      </c>
      <c r="E134" s="23">
        <v>107</v>
      </c>
      <c r="F134" s="23">
        <v>95</v>
      </c>
      <c r="G134" s="23">
        <v>738</v>
      </c>
      <c r="H134" s="35">
        <v>90</v>
      </c>
    </row>
    <row r="135" ht="27">
      <c r="B135" s="100" t="s">
        <v>327</v>
      </c>
      <c r="C135" s="23">
        <v>44</v>
      </c>
      <c r="D135" s="23">
        <v>29</v>
      </c>
      <c r="E135" s="23">
        <v>15</v>
      </c>
      <c r="F135" s="23">
        <v>13</v>
      </c>
      <c r="G135" s="23">
        <v>122</v>
      </c>
      <c r="H135" s="35">
        <v>12</v>
      </c>
    </row>
    <row r="136">
      <c r="B136" s="1" t="s">
        <v>328</v>
      </c>
      <c r="C136" s="6">
        <f>C61</f>
        <v>93</v>
      </c>
      <c r="D136" s="6">
        <f>D61</f>
        <v>455</v>
      </c>
      <c r="E136" s="6">
        <f>E61</f>
        <v>-549</v>
      </c>
      <c r="F136" s="6">
        <f>F61</f>
        <v>11</v>
      </c>
      <c r="G136" s="6">
        <f>G61</f>
        <v>720</v>
      </c>
      <c r="H136" s="30">
        <f>H61</f>
        <v>0</v>
      </c>
    </row>
    <row r="137">
      <c r="B137" s="1" t="s">
        <v>329</v>
      </c>
      <c r="C137" s="6">
        <f>C58</f>
        <v>0</v>
      </c>
      <c r="D137" s="6">
        <f>D58</f>
        <v>109</v>
      </c>
      <c r="E137" s="6">
        <f>E58</f>
        <v>0</v>
      </c>
      <c r="F137" s="6">
        <f>F58</f>
        <v>0</v>
      </c>
      <c r="G137" s="6">
        <f>G58</f>
        <v>109</v>
      </c>
      <c r="H137" s="30">
        <f>H58</f>
        <v>0</v>
      </c>
    </row>
    <row r="138">
      <c r="B138" s="1" t="s">
        <v>330</v>
      </c>
      <c r="C138" s="6">
        <f>C62</f>
        <v>0</v>
      </c>
      <c r="D138" s="6">
        <f>D62</f>
        <v>0</v>
      </c>
      <c r="E138" s="6">
        <f>E62</f>
        <v>0</v>
      </c>
      <c r="F138" s="6">
        <f>F62</f>
        <v>0</v>
      </c>
      <c r="G138" s="6">
        <f>G62</f>
        <v>39</v>
      </c>
      <c r="H138" s="30">
        <f>H62</f>
        <v>0</v>
      </c>
    </row>
    <row r="139">
      <c r="B139" s="2" t="s">
        <v>331</v>
      </c>
      <c r="C139" s="42">
        <f>C131+C132+C133+C134+C135+C136+C137+C138</f>
        <v>2621</v>
      </c>
      <c r="D139" s="42">
        <f>D131+D132+D133+D134+D135+D136+D137+D138</f>
        <v>2848</v>
      </c>
      <c r="E139" s="42">
        <f>E131+E132+E133+E134+E135+E136+E137+E138</f>
        <v>2669</v>
      </c>
      <c r="F139" s="42">
        <f>F131+F132+F133+F134+F135+F136+F137+F138</f>
        <v>2916</v>
      </c>
      <c r="G139" s="42">
        <f>G131+G132+G133+G134+G135+G136+G137+G138</f>
        <v>9600</v>
      </c>
      <c r="H139" s="41">
        <f>H131+H132+H133+H134+H135+H136+H137+H138</f>
        <v>3125.7645014685113</v>
      </c>
    </row>
    <row r="140">
      <c r="B140" s="25" t="s">
        <v>101</v>
      </c>
      <c r="C140" s="21">
        <f>IFERROR(C139/Inputs!C169-1,"n/a")</f>
        <v>0.23167293233082709</v>
      </c>
      <c r="D140" s="21">
        <f>IFERROR(D139/Inputs!D169-1,"n/a")</f>
        <v>0.22441960447119524</v>
      </c>
      <c r="E140" s="21">
        <f>IFERROR(E139/Inputs!E169-1,"n/a")</f>
        <v>0.31348425196850394</v>
      </c>
      <c r="F140" s="21">
        <f>IFERROR(F139/Inputs!F169-1,"n/a")</f>
        <v>0.38923296808003816</v>
      </c>
      <c r="G140" s="21">
        <f>IFERROR(G139/Inputs!G169-1,"n/a")</f>
        <v>0.18372379778051795</v>
      </c>
      <c r="H140" s="32">
        <f>IFERROR(H139/C139-1,"n/a")</f>
        <v>0.19258470105628045</v>
      </c>
    </row>
    <row r="141">
      <c r="B141" s="25" t="s">
        <v>102</v>
      </c>
      <c r="C141" s="21">
        <f>IFERROR(C139/Inputs!F169-1,"n/a")</f>
        <v>0.24868985231062402</v>
      </c>
      <c r="D141" s="16">
        <f>IFERROR(D139/C139-1,"n/a")</f>
        <v>0.08660816482258671</v>
      </c>
      <c r="E141" s="16">
        <f>IFERROR(E139/D139-1,"n/a")</f>
        <v>-0.0628511235955056</v>
      </c>
      <c r="F141" s="16">
        <f>IFERROR(F139/E139-1,"n/a")</f>
        <v>0.09254402397901829</v>
      </c>
      <c r="H141" s="32">
        <f>IFERROR(H139/F139-1,"n/a")</f>
        <v>0.07193570009208217</v>
      </c>
    </row>
    <row r="142">
      <c r="B142" s="1" t="s">
        <v>332</v>
      </c>
      <c r="C142" s="23">
        <v>2621</v>
      </c>
      <c r="D142" s="23">
        <v>2848</v>
      </c>
      <c r="E142" s="23">
        <v>2669</v>
      </c>
      <c r="F142" s="23">
        <v>2916</v>
      </c>
      <c r="G142" s="23">
        <v>9600</v>
      </c>
      <c r="H142" s="39"/>
    </row>
    <row r="143">
      <c r="B143" s="1" t="s">
        <v>286</v>
      </c>
      <c r="C143" s="6">
        <f>C139-C142</f>
        <v>0</v>
      </c>
      <c r="D143" s="6">
        <f>D139-D142</f>
        <v>0</v>
      </c>
      <c r="E143" s="6">
        <f>E139-E142</f>
        <v>0</v>
      </c>
      <c r="F143" s="6">
        <f>F139-F142</f>
        <v>0</v>
      </c>
      <c r="G143" s="6">
        <f>G139-G142</f>
        <v>0</v>
      </c>
      <c r="H143" s="39"/>
    </row>
    <row r="144">
      <c r="B144" s="1" t="s">
        <v>333</v>
      </c>
      <c r="C144" s="6">
        <f>-C15</f>
        <v>-355</v>
      </c>
      <c r="D144" s="6">
        <f>-D15</f>
        <v>-359</v>
      </c>
      <c r="E144" s="6">
        <f>-E15</f>
        <v>-389</v>
      </c>
      <c r="F144" s="6">
        <f>-F15</f>
        <v>-395</v>
      </c>
      <c r="G144" s="6">
        <f>-G15</f>
        <v>-1355</v>
      </c>
      <c r="H144" s="30">
        <f>-H15</f>
        <v>-416.703720991426</v>
      </c>
    </row>
    <row r="145">
      <c r="B145" s="1" t="s">
        <v>334</v>
      </c>
      <c r="C145" s="23">
        <v>-283</v>
      </c>
      <c r="D145" s="23">
        <v>-317</v>
      </c>
      <c r="E145" s="23">
        <v>-316</v>
      </c>
      <c r="F145" s="23">
        <v>-337</v>
      </c>
      <c r="G145" s="23">
        <v>-1105</v>
      </c>
      <c r="H145" s="30">
        <f>-H146*H30</f>
        <v>-355.5168455040773</v>
      </c>
    </row>
    <row r="146">
      <c r="B146" s="25" t="s">
        <v>335</v>
      </c>
      <c r="C146" s="16">
        <f>-C145/C30</f>
        <v>0.44357366771159873</v>
      </c>
      <c r="D146" s="16">
        <f>-D145/D30</f>
        <v>0.46893491124260356</v>
      </c>
      <c r="E146" s="16">
        <f>-E145/E30</f>
        <v>0.4482269503546099</v>
      </c>
      <c r="F146" s="16">
        <f>-F145/F30</f>
        <v>0.4603825136612022</v>
      </c>
      <c r="G146" s="16">
        <f>-G145/G30</f>
        <v>0.4491869918699187</v>
      </c>
      <c r="H146" s="32">
        <f>F146</f>
        <v>0.4603825136612022</v>
      </c>
    </row>
    <row r="147">
      <c r="B147" s="2" t="s">
        <v>336</v>
      </c>
      <c r="C147" s="42">
        <f>C17+C144+C145</f>
        <v>5871</v>
      </c>
      <c r="D147" s="42">
        <f>D17+D144+D145</f>
        <v>6332</v>
      </c>
      <c r="E147" s="42">
        <f>E17+E144+E145</f>
        <v>5993</v>
      </c>
      <c r="F147" s="42">
        <f>F17+F144+F145</f>
        <v>6352</v>
      </c>
      <c r="G147" s="42">
        <f>G17+G144+G145</f>
        <v>21756</v>
      </c>
      <c r="H147" s="41">
        <f>H17+H144+H145</f>
        <v>6772.845355894553</v>
      </c>
    </row>
    <row r="148">
      <c r="B148" s="12" t="s">
        <v>337</v>
      </c>
      <c r="C148" s="60">
        <f>C139/C147</f>
        <v>0.4464316130131153</v>
      </c>
      <c r="D148" s="60">
        <f>D139/D147</f>
        <v>0.4497789008212255</v>
      </c>
      <c r="E148" s="60">
        <f>E139/E147</f>
        <v>0.4453529117303521</v>
      </c>
      <c r="F148" s="60">
        <f>F139/F147</f>
        <v>0.45906801007556675</v>
      </c>
      <c r="G148" s="60">
        <f>G139/G147</f>
        <v>0.441257584114727</v>
      </c>
      <c r="H148" s="74">
        <f>H139/H147</f>
        <v>0.4615142288385621</v>
      </c>
    </row>
    <row r="149">
      <c r="B149" s="25" t="s">
        <v>157</v>
      </c>
      <c r="C149" s="40" t="s">
        <v>37</v>
      </c>
      <c r="D149" s="40">
        <f>(D148-C148)*10000</f>
        <v>33.47287808110222</v>
      </c>
      <c r="E149" s="40">
        <f>(E148-D148)*10000</f>
        <v>-44.25989090873439</v>
      </c>
      <c r="F149" s="40">
        <f>(F148-E148)*10000</f>
        <v>137.1509834521467</v>
      </c>
      <c r="H149" s="37">
        <f>(H148-F148)*10000</f>
        <v>24.462187629953334</v>
      </c>
    </row>
    <row r="150">
      <c r="B150" s="25" t="s">
        <v>158</v>
      </c>
      <c r="C150" s="40" t="s">
        <v>37</v>
      </c>
      <c r="D150" s="40" t="s">
        <v>37</v>
      </c>
      <c r="E150" s="40" t="s">
        <v>37</v>
      </c>
      <c r="F150" s="40" t="s">
        <v>37</v>
      </c>
      <c r="G150" s="40" t="s">
        <v>37</v>
      </c>
      <c r="H150" s="37">
        <f>(H148-C148)*10000</f>
        <v>150.82615825446788</v>
      </c>
    </row>
    <row r="151">
      <c r="B151" s="1" t="s">
        <v>338</v>
      </c>
      <c r="C151" s="6">
        <f>C95-C104-C81</f>
        <v>-106</v>
      </c>
      <c r="D151" s="6">
        <f>D95-D104-D81</f>
        <v>-122</v>
      </c>
      <c r="E151" s="6">
        <f>E95-E104-E81</f>
        <v>22</v>
      </c>
      <c r="F151" s="6">
        <f>F95-F104-F81</f>
        <v>145</v>
      </c>
      <c r="G151" s="6">
        <f>G95-G104-G81</f>
        <v>251</v>
      </c>
      <c r="H151" s="30">
        <f>H95-H104-H81</f>
        <v>86</v>
      </c>
    </row>
    <row r="152">
      <c r="B152" s="1" t="s">
        <v>339</v>
      </c>
      <c r="C152" s="23">
        <v>-106</v>
      </c>
      <c r="D152" s="23">
        <v>-122</v>
      </c>
      <c r="E152" s="23">
        <v>22</v>
      </c>
      <c r="F152" s="23">
        <v>145</v>
      </c>
      <c r="G152" s="23">
        <v>251</v>
      </c>
      <c r="H152" s="39"/>
    </row>
    <row r="153">
      <c r="B153" s="1" t="s">
        <v>286</v>
      </c>
      <c r="C153" s="6">
        <f>C151-C152</f>
        <v>0</v>
      </c>
      <c r="D153" s="6">
        <f>D151-D152</f>
        <v>0</v>
      </c>
      <c r="E153" s="6">
        <f>E151-E152</f>
        <v>0</v>
      </c>
      <c r="F153" s="6">
        <f>F151-F152</f>
        <v>0</v>
      </c>
      <c r="G153" s="6">
        <f>G151-G152</f>
        <v>0</v>
      </c>
      <c r="H153" s="39"/>
    </row>
    <row r="154">
      <c r="B154" s="2" t="s">
        <v>340</v>
      </c>
      <c r="C154" s="42">
        <f>C139+C151</f>
        <v>2515</v>
      </c>
      <c r="D154" s="42">
        <f>D139+D151</f>
        <v>2726</v>
      </c>
      <c r="E154" s="42">
        <f>E139+E151</f>
        <v>2691</v>
      </c>
      <c r="F154" s="42">
        <f>F139+F151</f>
        <v>3061</v>
      </c>
      <c r="G154" s="42">
        <f>G139+G151</f>
        <v>9851</v>
      </c>
      <c r="H154" s="41">
        <f>H139+H151</f>
        <v>3211.7645014685113</v>
      </c>
    </row>
    <row r="155">
      <c r="B155" s="25" t="s">
        <v>341</v>
      </c>
      <c r="C155" s="16">
        <f>C158/C154</f>
        <v>0.24174950298210734</v>
      </c>
      <c r="D155" s="16">
        <f>D158/D154</f>
        <v>0.20176082171680118</v>
      </c>
      <c r="E155" s="16">
        <f>E158/E154</f>
        <v>0.23151244890375325</v>
      </c>
      <c r="F155" s="16">
        <f>F158/F154</f>
        <v>0.2515517804639007</v>
      </c>
      <c r="G155" s="16">
        <f>G158/G154</f>
        <v>0.21469901532839306</v>
      </c>
      <c r="H155" s="70">
        <f>Guidance!G13</f>
        <v>0.25</v>
      </c>
    </row>
    <row r="156">
      <c r="B156" s="25" t="s">
        <v>157</v>
      </c>
      <c r="C156" s="40" t="s">
        <v>37</v>
      </c>
      <c r="D156" s="40">
        <f>(D155-C155)*10000</f>
        <v>-399.88681265306167</v>
      </c>
      <c r="E156" s="40">
        <f>(E155-D155)*10000</f>
        <v>297.51627186952066</v>
      </c>
      <c r="F156" s="40">
        <f>(F155-E155)*10000</f>
        <v>200.39331560147448</v>
      </c>
      <c r="H156" s="37">
        <f>(H155-F155)*10000</f>
        <v>-15.517804639006982</v>
      </c>
    </row>
    <row r="157">
      <c r="B157" s="25" t="s">
        <v>158</v>
      </c>
      <c r="C157" s="40" t="s">
        <v>37</v>
      </c>
      <c r="D157" s="40" t="s">
        <v>37</v>
      </c>
      <c r="E157" s="40" t="s">
        <v>37</v>
      </c>
      <c r="F157" s="40" t="s">
        <v>37</v>
      </c>
      <c r="G157" s="40" t="s">
        <v>37</v>
      </c>
      <c r="H157" s="37">
        <f>(H155-C155)*10000</f>
        <v>82.50497017892656</v>
      </c>
    </row>
    <row r="158">
      <c r="B158" s="1" t="s">
        <v>342</v>
      </c>
      <c r="C158" s="6">
        <f>C154-C173</f>
        <v>608</v>
      </c>
      <c r="D158" s="6">
        <f>D154-D173</f>
        <v>550</v>
      </c>
      <c r="E158" s="6">
        <f>E154-E173</f>
        <v>623</v>
      </c>
      <c r="F158" s="6">
        <f>F154-F173</f>
        <v>770</v>
      </c>
      <c r="G158" s="6">
        <f>G154-G173</f>
        <v>2115</v>
      </c>
      <c r="H158" s="30">
        <f>H155*H154</f>
        <v>802.9411253671278</v>
      </c>
    </row>
    <row r="159">
      <c r="B159" s="1" t="s">
        <v>343</v>
      </c>
      <c r="C159" s="6">
        <f>C154-C158</f>
        <v>1907</v>
      </c>
      <c r="D159" s="6">
        <f>D154-D158</f>
        <v>2176</v>
      </c>
      <c r="E159" s="6">
        <f>E154-E158</f>
        <v>2068</v>
      </c>
      <c r="F159" s="6">
        <f>F154-F158</f>
        <v>2291</v>
      </c>
      <c r="G159" s="6">
        <f>G154-G158</f>
        <v>7736</v>
      </c>
      <c r="H159" s="30">
        <f>H154-H158</f>
        <v>2408.8233761013835</v>
      </c>
    </row>
    <row r="160">
      <c r="H160" s="39"/>
    </row>
    <row r="161">
      <c r="B161" s="1" t="s">
        <v>344</v>
      </c>
      <c r="C161" s="6">
        <f>C109</f>
        <v>1323</v>
      </c>
      <c r="D161" s="6">
        <f>D109</f>
        <v>1127</v>
      </c>
      <c r="E161" s="6">
        <f>E109</f>
        <v>2212</v>
      </c>
      <c r="F161" s="6">
        <f>F109</f>
        <v>1914</v>
      </c>
      <c r="G161" s="6">
        <f>G109</f>
        <v>5553</v>
      </c>
      <c r="H161" s="30">
        <f>H109</f>
        <v>2026.4103707581232</v>
      </c>
    </row>
    <row r="162">
      <c r="B162" s="1" t="s">
        <v>345</v>
      </c>
      <c r="C162" s="6">
        <f>C107</f>
        <v>70</v>
      </c>
      <c r="D162" s="6">
        <f>D107</f>
        <v>57</v>
      </c>
      <c r="E162" s="6">
        <f>E107</f>
        <v>108</v>
      </c>
      <c r="F162" s="6">
        <f>F107</f>
        <v>93</v>
      </c>
      <c r="G162" s="6">
        <f>G107</f>
        <v>127</v>
      </c>
      <c r="H162" s="30">
        <f>H107</f>
        <v>99.6630053432603</v>
      </c>
    </row>
    <row r="163">
      <c r="B163" s="2" t="s">
        <v>346</v>
      </c>
      <c r="C163" s="42">
        <f>C161+C162</f>
        <v>1393</v>
      </c>
      <c r="D163" s="42">
        <f>D161+D162</f>
        <v>1184</v>
      </c>
      <c r="E163" s="42">
        <f>E161+E162</f>
        <v>2320</v>
      </c>
      <c r="F163" s="42">
        <f>F161+F162</f>
        <v>2007</v>
      </c>
      <c r="G163" s="42">
        <f>G161+G162</f>
        <v>5680</v>
      </c>
      <c r="H163" s="41">
        <f>H161+H162</f>
        <v>2126.0733761013835</v>
      </c>
    </row>
    <row r="164" ht="27">
      <c r="B164" s="100" t="s">
        <v>347</v>
      </c>
      <c r="C164" s="23">
        <v>0</v>
      </c>
      <c r="D164" s="23">
        <v>-4</v>
      </c>
      <c r="E164" s="23">
        <v>4</v>
      </c>
      <c r="F164" s="23">
        <v>-13</v>
      </c>
      <c r="G164" s="23">
        <v>-6</v>
      </c>
      <c r="H164" s="30">
        <f>(H132-H81)*(1-H172)</f>
        <v>0</v>
      </c>
    </row>
    <row r="165">
      <c r="B165" s="1" t="s">
        <v>348</v>
      </c>
      <c r="C165" s="23">
        <v>189</v>
      </c>
      <c r="D165" s="23">
        <v>200</v>
      </c>
      <c r="E165" s="23">
        <v>207</v>
      </c>
      <c r="F165" s="23">
        <v>206</v>
      </c>
      <c r="G165" s="23">
        <v>578</v>
      </c>
      <c r="H165" s="30">
        <f>H133*(1-H172)</f>
        <v>206.25</v>
      </c>
    </row>
    <row r="166">
      <c r="B166" s="1" t="s">
        <v>349</v>
      </c>
      <c r="C166" s="23">
        <v>198</v>
      </c>
      <c r="D166" s="23">
        <v>231</v>
      </c>
      <c r="E166" s="23">
        <v>80</v>
      </c>
      <c r="F166" s="23">
        <v>71</v>
      </c>
      <c r="G166" s="23">
        <v>549</v>
      </c>
      <c r="H166" s="30">
        <f>H134*(1-H172)</f>
        <v>67.5</v>
      </c>
    </row>
    <row r="167">
      <c r="B167" s="1" t="s">
        <v>350</v>
      </c>
      <c r="C167" s="23">
        <v>33</v>
      </c>
      <c r="D167" s="23">
        <v>20</v>
      </c>
      <c r="E167" s="23">
        <v>11</v>
      </c>
      <c r="F167" s="23">
        <v>9</v>
      </c>
      <c r="G167" s="23">
        <v>91</v>
      </c>
      <c r="H167" s="30">
        <f>H135*(1-H172)</f>
        <v>9</v>
      </c>
    </row>
    <row r="168" ht="27">
      <c r="B168" s="100" t="s">
        <v>351</v>
      </c>
      <c r="C168" s="23">
        <v>94</v>
      </c>
      <c r="D168" s="23">
        <v>454</v>
      </c>
      <c r="E168" s="23">
        <v>-554</v>
      </c>
      <c r="F168" s="23">
        <v>11</v>
      </c>
      <c r="G168" s="23">
        <v>717</v>
      </c>
      <c r="H168" s="30">
        <f>H136*(1-H172)</f>
        <v>0</v>
      </c>
      <c r="I168" s="111" t="s">
        <v>352</v>
      </c>
    </row>
    <row r="169" ht="27">
      <c r="B169" s="100" t="s">
        <v>353</v>
      </c>
      <c r="C169" s="23">
        <v>0</v>
      </c>
      <c r="D169" s="23">
        <v>80</v>
      </c>
      <c r="E169" s="23">
        <v>0</v>
      </c>
      <c r="F169" s="23">
        <v>0</v>
      </c>
      <c r="G169" s="23">
        <v>80</v>
      </c>
      <c r="H169" s="30">
        <f>H137*(1-H172)</f>
        <v>0</v>
      </c>
    </row>
    <row r="170">
      <c r="B170" s="1" t="s">
        <v>354</v>
      </c>
      <c r="C170" s="23">
        <v>0</v>
      </c>
      <c r="D170" s="23">
        <v>0</v>
      </c>
      <c r="E170" s="23">
        <v>0</v>
      </c>
      <c r="F170" s="23">
        <v>0</v>
      </c>
      <c r="G170" s="23">
        <v>29</v>
      </c>
      <c r="H170" s="30">
        <f>H138*(1-H172)</f>
        <v>0</v>
      </c>
    </row>
    <row r="171">
      <c r="B171" s="1" t="s">
        <v>355</v>
      </c>
      <c r="C171" s="23">
        <v>0</v>
      </c>
      <c r="D171" s="23">
        <v>11</v>
      </c>
      <c r="E171" s="23">
        <v>0</v>
      </c>
      <c r="F171" s="23">
        <v>0</v>
      </c>
      <c r="G171" s="23">
        <v>18</v>
      </c>
      <c r="H171" s="35">
        <v>0</v>
      </c>
    </row>
    <row r="172">
      <c r="B172" s="25" t="s">
        <v>356</v>
      </c>
      <c r="H172" s="32">
        <f>H155</f>
        <v>0.25</v>
      </c>
    </row>
    <row r="173">
      <c r="B173" s="2" t="s">
        <v>357</v>
      </c>
      <c r="C173" s="42">
        <f>C163+C164+C165+C166+C167+C168+C169+C170+C171</f>
        <v>1907</v>
      </c>
      <c r="D173" s="42">
        <f>D163+D164+D165+D166+D167+D168+D169+D170+D171</f>
        <v>2176</v>
      </c>
      <c r="E173" s="42">
        <f>E163+E164+E165+E166+E167+E168+E169+E170+E171</f>
        <v>2068</v>
      </c>
      <c r="F173" s="42">
        <f>F163+F164+F165+F166+F167+F168+F169+F170+F171</f>
        <v>2291</v>
      </c>
      <c r="G173" s="42">
        <f>G163+G164+G165+G166+G167+G168+G169+G170+G171</f>
        <v>7736</v>
      </c>
      <c r="H173" s="41">
        <f>H163+H164+H165+H166+H167+H168+H169+H170+H171</f>
        <v>2408.8233761013835</v>
      </c>
    </row>
    <row r="174">
      <c r="B174" s="25" t="s">
        <v>101</v>
      </c>
      <c r="C174" s="21">
        <f>IFERROR(C173/Inputs!C170-1,"n/a")</f>
        <v>0.11195335276967922</v>
      </c>
      <c r="D174" s="21">
        <f>IFERROR(D173/Inputs!D170-1,"n/a")</f>
        <v>0.1611526147278548</v>
      </c>
      <c r="E174" s="21">
        <f>IFERROR(E173/Inputs!E170-1,"n/a")</f>
        <v>0.1683615819209039</v>
      </c>
      <c r="F174" s="21">
        <f>IFERROR(F173/Inputs!F170-1,"n/a")</f>
        <v>0.21667551779075933</v>
      </c>
      <c r="G174" s="21">
        <f>IFERROR(G173/Inputs!G170-1,"n/a")</f>
        <v>0.1699939503932244</v>
      </c>
      <c r="H174" s="32">
        <f>IFERROR(H173/C173-1,"n/a")</f>
        <v>0.2631480734669027</v>
      </c>
    </row>
    <row r="175">
      <c r="B175" s="25" t="s">
        <v>102</v>
      </c>
      <c r="C175" s="21">
        <f>IFERROR(C173/Inputs!F170-1,"n/a")</f>
        <v>0.012745618693574157</v>
      </c>
      <c r="D175" s="16">
        <f>IFERROR(D173/C173-1,"n/a")</f>
        <v>0.14105925537493436</v>
      </c>
      <c r="E175" s="16">
        <f>IFERROR(E173/D173-1,"n/a")</f>
        <v>-0.049632352941176516</v>
      </c>
      <c r="F175" s="16">
        <f>IFERROR(F173/E173-1,"n/a")</f>
        <v>0.10783365570599623</v>
      </c>
      <c r="H175" s="32">
        <f>IFERROR(H173/F173-1,"n/a")</f>
        <v>0.05142879794909794</v>
      </c>
    </row>
    <row r="176">
      <c r="B176" s="1" t="s">
        <v>358</v>
      </c>
      <c r="C176" s="23">
        <v>1907</v>
      </c>
      <c r="D176" s="23">
        <v>2176</v>
      </c>
      <c r="E176" s="23">
        <v>2068</v>
      </c>
      <c r="F176" s="23">
        <v>2291</v>
      </c>
      <c r="G176" s="23">
        <v>7736</v>
      </c>
      <c r="H176" s="39"/>
    </row>
    <row r="177">
      <c r="B177" s="1" t="s">
        <v>286</v>
      </c>
      <c r="C177" s="6">
        <f>C173-C176</f>
        <v>0</v>
      </c>
      <c r="D177" s="6">
        <f>D173-D176</f>
        <v>0</v>
      </c>
      <c r="E177" s="6">
        <f>E173-E176</f>
        <v>0</v>
      </c>
      <c r="F177" s="6">
        <f>F173-F176</f>
        <v>0</v>
      </c>
      <c r="G177" s="6">
        <f>G173-G176</f>
        <v>0</v>
      </c>
      <c r="H177" s="39"/>
    </row>
    <row r="178" ht="27">
      <c r="B178" s="108" t="s">
        <v>359</v>
      </c>
      <c r="C178" s="6">
        <f>ROUND(C173-C159,6)</f>
        <v>0</v>
      </c>
      <c r="D178" s="6">
        <f>ROUND(D173-D159,6)</f>
        <v>0</v>
      </c>
      <c r="E178" s="6">
        <f>ROUND(E173-E159,6)</f>
        <v>0</v>
      </c>
      <c r="F178" s="6">
        <f>ROUND(F173-F159,6)</f>
        <v>0</v>
      </c>
      <c r="G178" s="6">
        <f>ROUND(G173-G159,6)</f>
        <v>0</v>
      </c>
      <c r="H178" s="30">
        <f>ROUND(H173-H159,6)</f>
        <v>0</v>
      </c>
    </row>
    <row r="179" ht="27">
      <c r="B179" s="101" t="s">
        <v>41</v>
      </c>
      <c r="C179" s="57">
        <f>C173/C121</f>
        <v>11.54358353510896</v>
      </c>
      <c r="D179" s="57">
        <f>D173/D121</f>
        <v>13.155985489721886</v>
      </c>
      <c r="E179" s="57">
        <f>E173/E121</f>
        <v>12.533333333333333</v>
      </c>
      <c r="F179" s="57">
        <f>F173/F121</f>
        <v>13.918590522478738</v>
      </c>
      <c r="G179" s="57">
        <f>G173/G121</f>
        <v>48.07955251709136</v>
      </c>
      <c r="H179" s="72">
        <f>H173/H121</f>
        <v>14.670900004984235</v>
      </c>
    </row>
    <row r="180">
      <c r="B180" s="25" t="s">
        <v>129</v>
      </c>
      <c r="C180" s="21">
        <f>IFERROR(C179/Inputs!C172-1,"n/a")</f>
        <v>0.00729350219100855</v>
      </c>
      <c r="D180" s="21">
        <f>IFERROR(D179/Inputs!D172-1,"n/a")</f>
        <v>0.10276491950728306</v>
      </c>
      <c r="E180" s="21">
        <f>IFERROR(E179/Inputs!E172-1,"n/a")</f>
        <v>0.10914454277286123</v>
      </c>
      <c r="F180" s="21">
        <f>IFERROR(F179/Inputs!F172-1,"n/a")</f>
        <v>0.15506975290279978</v>
      </c>
      <c r="G180" s="21">
        <f>IFERROR(G179/Inputs!G172-1,"n/a")</f>
        <v>0.10248916572096678</v>
      </c>
      <c r="H180" s="32">
        <f>IFERROR(H179/C179-1,"n/a")</f>
        <v>0.27091383367771127</v>
      </c>
    </row>
    <row r="181">
      <c r="B181" s="25" t="s">
        <v>130</v>
      </c>
      <c r="C181" s="21">
        <f>IFERROR(C179/Inputs!F172-1,"n/a")</f>
        <v>-0.0420262626465594</v>
      </c>
      <c r="D181" s="16">
        <f>IFERROR(D179/C179-1,"n/a")</f>
        <v>0.13967949811329583</v>
      </c>
      <c r="E181" s="16">
        <f>IFERROR(E179/D179-1,"n/a")</f>
        <v>-0.04732843137254894</v>
      </c>
      <c r="F181" s="16">
        <f>IFERROR(F179/E179-1,"n/a")</f>
        <v>0.1105258395594737</v>
      </c>
      <c r="H181" s="32">
        <f>IFERROR(H179/F179-1,"n/a")</f>
        <v>0.054050694378177555</v>
      </c>
    </row>
    <row r="182">
      <c r="B182" s="1" t="s">
        <v>360</v>
      </c>
      <c r="C182" s="33">
        <v>11.55</v>
      </c>
      <c r="D182" s="33">
        <v>13.16</v>
      </c>
      <c r="E182" s="33">
        <v>12.53</v>
      </c>
      <c r="F182" s="33">
        <v>13.91</v>
      </c>
      <c r="G182" s="33">
        <v>48.09</v>
      </c>
      <c r="H182" s="39"/>
    </row>
    <row r="183">
      <c r="B183" s="1" t="s">
        <v>320</v>
      </c>
      <c r="C183" s="11">
        <f>IF(ABS(C179-C182)&lt;=$H$119,0,C179-C182)</f>
        <v>0</v>
      </c>
      <c r="D183" s="11">
        <f>IF(ABS(D179-D182)&lt;=$H$119,0,D179-D182)</f>
        <v>0</v>
      </c>
      <c r="E183" s="11">
        <f>IF(ABS(E179-E182)&lt;=$H$119,0,E179-E182)</f>
        <v>0</v>
      </c>
      <c r="F183" s="11">
        <f>IF(ABS(F179-F182)&lt;=$H$119,0,F179-F182)</f>
        <v>0</v>
      </c>
      <c r="G183" s="11">
        <f>IF(ABS(G179-G182)&lt;=$H$119,0,G179-G182)</f>
        <v>0</v>
      </c>
      <c r="H183" s="39"/>
    </row>
    <row r="184">
      <c r="H184" s="39"/>
    </row>
    <row r="185">
      <c r="H185" s="39"/>
    </row>
  </sheetData>
  <legacyDrawing r:id="rId2"/>
</worksheet>
</file>

<file path=xl/worksheets/sheet4.xml><?xml version="1.0" encoding="utf-8"?>
<worksheet xmlns="http://schemas.openxmlformats.org/spreadsheetml/2006/main" xmlns:r="http://schemas.openxmlformats.org/officeDocument/2006/relationships">
  <dimension ref="B1:H56"/>
  <sheetViews>
    <sheetView showGridLines="0" workbookViewId="0"/>
  </sheetViews>
  <sheetFormatPr defaultColWidth="8.42578125" defaultRowHeight="15"/>
  <cols>
    <col min="1" max="1" width="2" customWidth="1"/>
    <col min="2" max="2" width="32" customWidth="1"/>
    <col min="3" max="8" width="12" customWidth="1"/>
  </cols>
  <sheetData>
    <row r="1">
      <c r="B1" s="26" t="s">
        <v>0</v>
      </c>
    </row>
    <row r="2">
      <c r="B2" s="2" t="s">
        <v>361</v>
      </c>
    </row>
    <row r="3">
      <c r="B3" s="25" t="s">
        <v>2</v>
      </c>
    </row>
    <row r="5">
      <c r="B5" s="24" t="s">
        <v>3</v>
      </c>
      <c r="C5" s="10" t="s">
        <v>4</v>
      </c>
      <c r="D5" s="10" t="s">
        <v>5</v>
      </c>
      <c r="E5" s="10" t="s">
        <v>6</v>
      </c>
      <c r="F5" s="10" t="s">
        <v>7</v>
      </c>
      <c r="G5" s="10" t="s">
        <v>8</v>
      </c>
      <c r="H5" s="10" t="s">
        <v>9</v>
      </c>
    </row>
    <row r="6">
      <c r="B6" s="20" t="s">
        <v>10</v>
      </c>
      <c r="C6" s="5">
        <v>45930</v>
      </c>
      <c r="D6" s="5">
        <v>46022</v>
      </c>
      <c r="E6" s="5">
        <v>46112</v>
      </c>
      <c r="F6" s="5">
        <v>46203</v>
      </c>
      <c r="G6" s="5">
        <v>46022</v>
      </c>
      <c r="H6" s="5">
        <v>46295</v>
      </c>
    </row>
    <row r="7">
      <c r="B7" s="17" t="s">
        <v>11</v>
      </c>
      <c r="C7" s="7">
        <f>C6-EOMONTH(C6,-3)</f>
        <v>92</v>
      </c>
      <c r="D7" s="7">
        <f>D6-EOMONTH(D6,-3)</f>
        <v>92</v>
      </c>
      <c r="E7" s="7">
        <f>E6-EOMONTH(E6,-3)</f>
        <v>90</v>
      </c>
      <c r="F7" s="7">
        <f>F6-EOMONTH(F6,-3)</f>
        <v>91</v>
      </c>
      <c r="G7" s="7">
        <f>G6-EOMONTH(G6,-12)</f>
        <v>365</v>
      </c>
      <c r="H7" s="7">
        <f>H6-EOMONTH(H6,-3)</f>
        <v>92</v>
      </c>
    </row>
    <row r="8">
      <c r="H8" s="39"/>
    </row>
    <row r="9">
      <c r="B9" s="34" t="s">
        <v>362</v>
      </c>
      <c r="H9" s="39"/>
    </row>
    <row r="10">
      <c r="B10" s="1" t="s">
        <v>363</v>
      </c>
      <c r="C10" s="23">
        <v>9979</v>
      </c>
      <c r="D10" s="23">
        <v>11468</v>
      </c>
      <c r="E10" s="23">
        <v>9841</v>
      </c>
      <c r="F10" s="23">
        <v>10492</v>
      </c>
      <c r="G10" s="6">
        <f>D10</f>
        <v>11468</v>
      </c>
      <c r="H10" s="28">
        <f>'Cash Flow Statement'!H50-'Cash Flow Statement'!H51</f>
        <v>11386.393671991384</v>
      </c>
    </row>
    <row r="11">
      <c r="B11" s="1" t="s">
        <v>364</v>
      </c>
      <c r="C11" s="23">
        <v>4796</v>
      </c>
      <c r="D11" s="23">
        <v>5158</v>
      </c>
      <c r="E11" s="23">
        <v>5219</v>
      </c>
      <c r="F11" s="23">
        <v>5444</v>
      </c>
      <c r="G11" s="6">
        <f>D11</f>
        <v>5158</v>
      </c>
      <c r="H11" s="28">
        <f>F11-'Cash Flow Statement'!H19</f>
        <v>5644</v>
      </c>
    </row>
    <row r="12">
      <c r="B12" s="1" t="s">
        <v>365</v>
      </c>
      <c r="C12" s="23">
        <v>13669</v>
      </c>
      <c r="D12" s="23">
        <v>13271</v>
      </c>
      <c r="E12" s="23">
        <v>14574</v>
      </c>
      <c r="F12" s="23">
        <v>15144</v>
      </c>
      <c r="G12" s="6">
        <f>D12</f>
        <v>13271</v>
      </c>
      <c r="H12" s="28">
        <f>F12-('Cash Flow Statement'!H15+'Cash Flow Statement'!H21+'Cash Flow Statement'!H27+'Cash Flow Statement'!H28+'Cash Flow Statement'!H29+'Cash Flow Statement'!H30+'Cash Flow Statement'!H31+'Cash Flow Statement'!H32)</f>
        <v>17009</v>
      </c>
    </row>
    <row r="13">
      <c r="B13" s="1" t="s">
        <v>366</v>
      </c>
      <c r="C13" s="23">
        <v>53572</v>
      </c>
      <c r="D13" s="23">
        <v>60098</v>
      </c>
      <c r="E13" s="23">
        <v>58786</v>
      </c>
      <c r="F13" s="23">
        <v>65267</v>
      </c>
      <c r="G13" s="6">
        <f>D13</f>
        <v>60098</v>
      </c>
      <c r="H13" s="30">
        <f>F13</f>
        <v>65267</v>
      </c>
    </row>
    <row r="14">
      <c r="B14" s="1" t="s">
        <v>367</v>
      </c>
      <c r="C14" s="23">
        <v>6236</v>
      </c>
      <c r="D14" s="23">
        <v>7922</v>
      </c>
      <c r="E14" s="23">
        <v>6570</v>
      </c>
      <c r="F14" s="23">
        <v>6269</v>
      </c>
      <c r="G14" s="6">
        <f>D14</f>
        <v>7922</v>
      </c>
      <c r="H14" s="30">
        <f>F14</f>
        <v>6269</v>
      </c>
    </row>
    <row r="15">
      <c r="B15" s="1" t="s">
        <v>368</v>
      </c>
      <c r="C15" s="23">
        <v>1227</v>
      </c>
      <c r="D15" s="23">
        <v>1256</v>
      </c>
      <c r="E15" s="23">
        <v>1279</v>
      </c>
      <c r="F15" s="23">
        <v>1305</v>
      </c>
      <c r="G15" s="6">
        <f>D15</f>
        <v>1256</v>
      </c>
      <c r="H15" s="28">
        <f>F15-'Cash Flow Statement'!H26-'Cash Flow Statement'!H16</f>
        <v>1305</v>
      </c>
    </row>
    <row r="16">
      <c r="B16" s="1" t="s">
        <v>369</v>
      </c>
      <c r="C16" s="23">
        <v>28162</v>
      </c>
      <c r="D16" s="23">
        <v>27968</v>
      </c>
      <c r="E16" s="23">
        <v>27691</v>
      </c>
      <c r="F16" s="23">
        <v>27415</v>
      </c>
      <c r="G16" s="6">
        <f>D16</f>
        <v>27968</v>
      </c>
      <c r="H16" s="28">
        <f>F16-'Income Statement'!H63</f>
        <v>27140</v>
      </c>
    </row>
    <row r="17">
      <c r="B17" s="1" t="s">
        <v>370</v>
      </c>
      <c r="C17" s="23">
        <v>35356</v>
      </c>
      <c r="D17" s="23">
        <v>35283</v>
      </c>
      <c r="E17" s="23">
        <v>35296</v>
      </c>
      <c r="F17" s="23">
        <v>35203</v>
      </c>
      <c r="G17" s="6">
        <f>D17</f>
        <v>35283</v>
      </c>
      <c r="H17" s="30">
        <f>F17</f>
        <v>35203</v>
      </c>
    </row>
    <row r="18">
      <c r="B18" s="1" t="s">
        <v>371</v>
      </c>
      <c r="C18" s="23">
        <v>1909</v>
      </c>
      <c r="D18" s="23">
        <v>1874</v>
      </c>
      <c r="E18" s="23">
        <v>1849</v>
      </c>
      <c r="F18" s="23">
        <v>1848</v>
      </c>
      <c r="G18" s="6">
        <f>D18</f>
        <v>1874</v>
      </c>
      <c r="H18" s="30">
        <f>F18</f>
        <v>1848</v>
      </c>
    </row>
    <row r="19">
      <c r="B19" s="1" t="s">
        <v>372</v>
      </c>
      <c r="C19" s="23">
        <v>7776</v>
      </c>
      <c r="D19" s="23">
        <v>5700</v>
      </c>
      <c r="E19" s="23">
        <v>9132</v>
      </c>
      <c r="F19" s="23">
        <v>7488</v>
      </c>
      <c r="G19" s="6">
        <f>D19</f>
        <v>5700</v>
      </c>
      <c r="H19" s="28">
        <f>F19-'Cash Flow Statement'!H20</f>
        <v>7888</v>
      </c>
    </row>
    <row r="20">
      <c r="B20" s="2" t="s">
        <v>373</v>
      </c>
      <c r="C20" s="42">
        <f>C10+C11+C12+C13+C14+C15+C16+C17+C18+C19</f>
        <v>162682</v>
      </c>
      <c r="D20" s="42">
        <f>D10+D11+D12+D13+D14+D15+D16+D17+D18+D19</f>
        <v>169998</v>
      </c>
      <c r="E20" s="42">
        <f>E10+E11+E12+E13+E14+E15+E16+E17+E18+E19</f>
        <v>170237</v>
      </c>
      <c r="F20" s="42">
        <f>F10+F11+F12+F13+F14+F15+F16+F17+F18+F19</f>
        <v>175875</v>
      </c>
      <c r="G20" s="42">
        <f>G10+G11+G12+G13+G14+G15+G16+G17+G18+G19</f>
        <v>169998</v>
      </c>
      <c r="H20" s="41">
        <f>H10+H11+H12+H13+H14+H15+H16+H17+H18+H19</f>
        <v>178959.3936719914</v>
      </c>
    </row>
    <row r="21">
      <c r="B21" s="1" t="s">
        <v>374</v>
      </c>
      <c r="C21" s="23">
        <v>162682</v>
      </c>
      <c r="D21" s="23">
        <v>169998</v>
      </c>
      <c r="E21" s="23">
        <v>170237</v>
      </c>
      <c r="F21" s="23">
        <v>175875</v>
      </c>
      <c r="G21" s="6">
        <f>D21</f>
        <v>169998</v>
      </c>
      <c r="H21" s="39"/>
    </row>
    <row r="22">
      <c r="H22" s="39"/>
    </row>
    <row r="23">
      <c r="B23" s="34" t="s">
        <v>375</v>
      </c>
      <c r="H23" s="39"/>
    </row>
    <row r="24">
      <c r="B24" s="1" t="s">
        <v>376</v>
      </c>
      <c r="C24" s="23">
        <v>2785</v>
      </c>
      <c r="D24" s="23">
        <v>3830</v>
      </c>
      <c r="E24" s="23">
        <v>1588</v>
      </c>
      <c r="F24" s="23">
        <v>2432</v>
      </c>
      <c r="G24" s="6">
        <f>D24</f>
        <v>3830</v>
      </c>
      <c r="H24" s="28">
        <f>F24+'Cash Flow Statement'!H18</f>
        <v>3232</v>
      </c>
    </row>
    <row r="25">
      <c r="B25" s="1" t="s">
        <v>377</v>
      </c>
      <c r="C25" s="23">
        <v>1646</v>
      </c>
      <c r="D25" s="23">
        <v>1740</v>
      </c>
      <c r="E25" s="23">
        <v>2097</v>
      </c>
      <c r="F25" s="23">
        <v>2012</v>
      </c>
      <c r="G25" s="6">
        <f>D25</f>
        <v>1740</v>
      </c>
      <c r="H25" s="30">
        <f>F25</f>
        <v>2012</v>
      </c>
    </row>
    <row r="26">
      <c r="B26" s="1" t="s">
        <v>378</v>
      </c>
      <c r="C26" s="23">
        <v>12766</v>
      </c>
      <c r="D26" s="23">
        <v>12768</v>
      </c>
      <c r="E26" s="23">
        <v>12749</v>
      </c>
      <c r="F26" s="23">
        <v>12744</v>
      </c>
      <c r="G26" s="6">
        <f>D26</f>
        <v>12768</v>
      </c>
      <c r="H26" s="28">
        <f>F26+'Cash Flow Statement'!H37+'Cash Flow Statement'!H36</f>
        <v>12744</v>
      </c>
    </row>
    <row r="27">
      <c r="B27" s="1" t="s">
        <v>379</v>
      </c>
      <c r="C27" s="23">
        <v>53572</v>
      </c>
      <c r="D27" s="23">
        <v>60098</v>
      </c>
      <c r="E27" s="23">
        <v>58786</v>
      </c>
      <c r="F27" s="23">
        <v>65267</v>
      </c>
      <c r="G27" s="6">
        <f>D27</f>
        <v>60098</v>
      </c>
      <c r="H27" s="30">
        <f>F27</f>
        <v>65267</v>
      </c>
    </row>
    <row r="28" ht="27">
      <c r="B28" s="100" t="s">
        <v>380</v>
      </c>
      <c r="C28" s="23">
        <v>6236</v>
      </c>
      <c r="D28" s="23">
        <v>7922</v>
      </c>
      <c r="E28" s="23">
        <v>6570</v>
      </c>
      <c r="F28" s="23">
        <v>6269</v>
      </c>
      <c r="G28" s="6">
        <f>D28</f>
        <v>7922</v>
      </c>
      <c r="H28" s="30">
        <f>F28</f>
        <v>6269</v>
      </c>
    </row>
    <row r="29">
      <c r="B29" s="1" t="s">
        <v>381</v>
      </c>
      <c r="C29" s="23">
        <v>7978</v>
      </c>
      <c r="D29" s="23">
        <v>8429</v>
      </c>
      <c r="E29" s="23">
        <v>7865</v>
      </c>
      <c r="F29" s="23">
        <v>7875</v>
      </c>
      <c r="G29" s="6">
        <f>D29</f>
        <v>8429</v>
      </c>
      <c r="H29" s="28">
        <f>F29+'Income Statement'!H61</f>
        <v>7875</v>
      </c>
    </row>
    <row r="30">
      <c r="B30" s="1" t="s">
        <v>382</v>
      </c>
      <c r="C30" s="23">
        <v>4997</v>
      </c>
      <c r="D30" s="23">
        <v>4618</v>
      </c>
      <c r="E30" s="23">
        <v>4660</v>
      </c>
      <c r="F30" s="23">
        <v>4488</v>
      </c>
      <c r="G30" s="6">
        <f>D30</f>
        <v>4618</v>
      </c>
      <c r="H30" s="28">
        <f>F30+'Cash Flow Statement'!H13</f>
        <v>4488</v>
      </c>
    </row>
    <row r="31">
      <c r="B31" s="1" t="s">
        <v>383</v>
      </c>
      <c r="C31" s="23">
        <v>2277</v>
      </c>
      <c r="D31" s="23">
        <v>2228</v>
      </c>
      <c r="E31" s="23">
        <v>2216</v>
      </c>
      <c r="F31" s="23">
        <v>2224</v>
      </c>
      <c r="G31" s="6">
        <f>D31</f>
        <v>2228</v>
      </c>
      <c r="H31" s="30">
        <f>F31</f>
        <v>2224</v>
      </c>
    </row>
    <row r="32">
      <c r="B32" s="1" t="s">
        <v>384</v>
      </c>
      <c r="C32" s="23">
        <v>8570</v>
      </c>
      <c r="D32" s="23">
        <v>6823</v>
      </c>
      <c r="E32" s="23">
        <v>10390</v>
      </c>
      <c r="F32" s="23">
        <v>8024</v>
      </c>
      <c r="G32" s="6">
        <f>D32</f>
        <v>6823</v>
      </c>
      <c r="H32" s="28">
        <f>F32+'Cash Flow Statement'!H41+'Cash Flow Statement'!H43</f>
        <v>8024</v>
      </c>
    </row>
    <row r="33">
      <c r="B33" s="2" t="s">
        <v>385</v>
      </c>
      <c r="C33" s="42">
        <f>C24+C25+C26+C27+C28+C29+C30+C31+C32</f>
        <v>100827</v>
      </c>
      <c r="D33" s="42">
        <f>D24+D25+D26+D27+D28+D29+D30+D31+D32</f>
        <v>108456</v>
      </c>
      <c r="E33" s="42">
        <f>E24+E25+E26+E27+E28+E29+E30+E31+E32</f>
        <v>106921</v>
      </c>
      <c r="F33" s="42">
        <f>F24+F25+F26+F27+F28+F29+F30+F31+F32</f>
        <v>111335</v>
      </c>
      <c r="G33" s="42">
        <f>G24+G25+G26+G27+G28+G29+G30+G31+G32</f>
        <v>108456</v>
      </c>
      <c r="H33" s="41">
        <f>H24+H25+H26+H27+H28+H29+H30+H31+H32</f>
        <v>112135</v>
      </c>
    </row>
    <row r="34">
      <c r="H34" s="39"/>
    </row>
    <row r="35">
      <c r="B35" s="34" t="s">
        <v>386</v>
      </c>
      <c r="H35" s="39"/>
    </row>
    <row r="36">
      <c r="B36" s="1" t="s">
        <v>387</v>
      </c>
      <c r="C36" s="23">
        <v>3216</v>
      </c>
      <c r="D36" s="23">
        <v>2636</v>
      </c>
      <c r="E36" s="23">
        <v>3622</v>
      </c>
      <c r="F36" s="23">
        <v>3872</v>
      </c>
      <c r="G36" s="6">
        <f>D36</f>
        <v>2636</v>
      </c>
      <c r="H36" s="28">
        <f>F36+'Income Statement'!H104+'Cash Flow Statement'!H42</f>
        <v>5212</v>
      </c>
    </row>
    <row r="37">
      <c r="B37" s="1" t="s">
        <v>388</v>
      </c>
      <c r="C37" s="23">
        <v>2904</v>
      </c>
      <c r="D37" s="23">
        <v>2791</v>
      </c>
      <c r="E37" s="23">
        <v>2789</v>
      </c>
      <c r="F37" s="23">
        <v>2828</v>
      </c>
      <c r="G37" s="6">
        <f>D37</f>
        <v>2791</v>
      </c>
      <c r="H37" s="28">
        <f>F37+'Income Statement'!H107-'Share Count'!H36</f>
        <v>2884.1150053432602</v>
      </c>
    </row>
    <row r="38">
      <c r="B38" s="2" t="s">
        <v>389</v>
      </c>
      <c r="C38" s="42">
        <f>C36+C37</f>
        <v>6120</v>
      </c>
      <c r="D38" s="42">
        <f>D36+D37</f>
        <v>5427</v>
      </c>
      <c r="E38" s="42">
        <f>E36+E37</f>
        <v>6411</v>
      </c>
      <c r="F38" s="42">
        <f>F36+F37</f>
        <v>6700</v>
      </c>
      <c r="G38" s="42">
        <f>G36+G37</f>
        <v>5427</v>
      </c>
      <c r="H38" s="41">
        <f>H36+H37</f>
        <v>8096.11500534326</v>
      </c>
    </row>
    <row r="39">
      <c r="H39" s="39"/>
    </row>
    <row r="40">
      <c r="B40" s="34" t="s">
        <v>390</v>
      </c>
      <c r="H40" s="39"/>
    </row>
    <row r="41">
      <c r="B41" s="1" t="s">
        <v>391</v>
      </c>
      <c r="C41" s="23">
        <v>2</v>
      </c>
      <c r="D41" s="23">
        <v>2</v>
      </c>
      <c r="E41" s="23">
        <v>2</v>
      </c>
      <c r="F41" s="23">
        <v>2</v>
      </c>
      <c r="G41" s="6">
        <f>D41</f>
        <v>2</v>
      </c>
      <c r="H41" s="30">
        <f>F41</f>
        <v>2</v>
      </c>
    </row>
    <row r="42">
      <c r="B42" s="1" t="s">
        <v>392</v>
      </c>
      <c r="C42" s="23">
        <v>19649</v>
      </c>
      <c r="D42" s="23">
        <v>19748</v>
      </c>
      <c r="E42" s="23">
        <v>19146</v>
      </c>
      <c r="F42" s="23">
        <v>19414</v>
      </c>
      <c r="G42" s="6">
        <f>D42</f>
        <v>19748</v>
      </c>
      <c r="H42" s="28">
        <f>F42+'Cash Flow Statement'!H12+'Cash Flow Statement'!H39</f>
        <v>19714</v>
      </c>
    </row>
    <row r="43">
      <c r="B43" s="1" t="s">
        <v>393</v>
      </c>
      <c r="C43" s="23">
        <v>37581</v>
      </c>
      <c r="D43" s="23">
        <v>37899</v>
      </c>
      <c r="E43" s="23">
        <v>39182</v>
      </c>
      <c r="F43" s="23">
        <v>40205</v>
      </c>
      <c r="G43" s="6">
        <f>D43</f>
        <v>37899</v>
      </c>
      <c r="H43" s="28">
        <f>F43+'Income Statement'!H109-'Share Count'!H35</f>
        <v>41343.278666648126</v>
      </c>
    </row>
    <row r="44">
      <c r="B44" s="1" t="s">
        <v>394</v>
      </c>
      <c r="C44" s="23">
        <v>-558</v>
      </c>
      <c r="D44" s="23">
        <v>-545</v>
      </c>
      <c r="E44" s="23">
        <v>-678</v>
      </c>
      <c r="F44" s="23">
        <v>-653</v>
      </c>
      <c r="G44" s="6">
        <f>D44</f>
        <v>-545</v>
      </c>
      <c r="H44" s="28">
        <f>F44+'Cash Flow Statement'!H46</f>
        <v>-653</v>
      </c>
    </row>
    <row r="45">
      <c r="B45" s="1" t="s">
        <v>395</v>
      </c>
      <c r="C45" s="23">
        <v>-1155</v>
      </c>
      <c r="D45" s="23">
        <v>-1216</v>
      </c>
      <c r="E45" s="23">
        <v>-964</v>
      </c>
      <c r="F45" s="23">
        <v>-1355</v>
      </c>
      <c r="G45" s="6">
        <f>D45</f>
        <v>-1216</v>
      </c>
      <c r="H45" s="28">
        <f>F45-'Share Count'!H27</f>
        <v>-1905</v>
      </c>
    </row>
    <row r="46">
      <c r="B46" s="2" t="s">
        <v>396</v>
      </c>
      <c r="C46" s="42">
        <f>C41+C42+C43+C44+C45</f>
        <v>55519</v>
      </c>
      <c r="D46" s="42">
        <f>D41+D42+D43+D44+D45</f>
        <v>55888</v>
      </c>
      <c r="E46" s="42">
        <f>E41+E42+E43+E44+E45</f>
        <v>56688</v>
      </c>
      <c r="F46" s="42">
        <f>F41+F42+F43+F44+F45</f>
        <v>57613</v>
      </c>
      <c r="G46" s="42">
        <f>G41+G42+G43+G44+G45</f>
        <v>55888</v>
      </c>
      <c r="H46" s="41">
        <f>H41+H42+H43+H44+H45</f>
        <v>58501.278666648126</v>
      </c>
    </row>
    <row r="47" ht="27">
      <c r="B47" s="100" t="s">
        <v>397</v>
      </c>
      <c r="C47" s="23">
        <v>216</v>
      </c>
      <c r="D47" s="23">
        <v>227</v>
      </c>
      <c r="E47" s="23">
        <v>217</v>
      </c>
      <c r="F47" s="23">
        <v>227</v>
      </c>
      <c r="G47" s="6">
        <f>D47</f>
        <v>227</v>
      </c>
      <c r="H47" s="30">
        <f>F47</f>
        <v>227</v>
      </c>
    </row>
    <row r="48">
      <c r="B48" s="2" t="s">
        <v>398</v>
      </c>
      <c r="C48" s="42">
        <f>C46+C47</f>
        <v>55735</v>
      </c>
      <c r="D48" s="42">
        <f>D46+D47</f>
        <v>56115</v>
      </c>
      <c r="E48" s="42">
        <f>E46+E47</f>
        <v>56905</v>
      </c>
      <c r="F48" s="42">
        <f>F46+F47</f>
        <v>57840</v>
      </c>
      <c r="G48" s="42">
        <f>G46+G47</f>
        <v>56115</v>
      </c>
      <c r="H48" s="41">
        <f>H46+H47</f>
        <v>58728.278666648126</v>
      </c>
    </row>
    <row r="49">
      <c r="B49" s="2" t="s">
        <v>399</v>
      </c>
      <c r="C49" s="42">
        <f>C33+C38+C48</f>
        <v>162682</v>
      </c>
      <c r="D49" s="42">
        <f>D33+D38+D48</f>
        <v>169998</v>
      </c>
      <c r="E49" s="42">
        <f>E33+E38+E48</f>
        <v>170237</v>
      </c>
      <c r="F49" s="42">
        <f>F33+F38+F48</f>
        <v>175875</v>
      </c>
      <c r="G49" s="42">
        <f>G33+G38+G48</f>
        <v>169998</v>
      </c>
      <c r="H49" s="41">
        <f>H33+H38+H48</f>
        <v>178959.3936719914</v>
      </c>
    </row>
    <row r="50">
      <c r="H50" s="39"/>
    </row>
    <row r="51" ht="27">
      <c r="B51" s="112" t="s">
        <v>400</v>
      </c>
      <c r="C51" s="58">
        <f>C20-C33-C38-C48</f>
        <v>0</v>
      </c>
      <c r="D51" s="58">
        <f>D20-D33-D38-D48</f>
        <v>0</v>
      </c>
      <c r="E51" s="58">
        <f>E20-E33-E38-E48</f>
        <v>0</v>
      </c>
      <c r="F51" s="58">
        <f>F20-F33-F38-F48</f>
        <v>0</v>
      </c>
      <c r="G51" s="58">
        <f>G20-G33-G38-G48</f>
        <v>0</v>
      </c>
      <c r="H51" s="55">
        <f>H20-H33-H38-H48</f>
        <v>0</v>
      </c>
    </row>
    <row r="52">
      <c r="B52" s="1" t="s">
        <v>401</v>
      </c>
      <c r="C52" s="6">
        <f>C20-C21</f>
        <v>0</v>
      </c>
      <c r="D52" s="6">
        <f>D20-D21</f>
        <v>0</v>
      </c>
      <c r="E52" s="6">
        <f>E20-E21</f>
        <v>0</v>
      </c>
      <c r="F52" s="6">
        <f>F20-F21</f>
        <v>0</v>
      </c>
      <c r="G52" s="6">
        <f>G20-G21</f>
        <v>0</v>
      </c>
      <c r="H52" s="39"/>
    </row>
    <row r="53">
      <c r="H53" s="39"/>
    </row>
    <row r="54">
      <c r="B54" s="1" t="s">
        <v>402</v>
      </c>
      <c r="C54" s="8">
        <f>(C46+C37)/'Share Count'!C22</f>
        <v>357.9308461529192</v>
      </c>
      <c r="D54" s="8">
        <f>(D46+D37)/'Share Count'!D22</f>
        <v>360.4084895703326</v>
      </c>
      <c r="E54" s="8">
        <f>(E46+E37)/'Share Count'!E22</f>
        <v>364.96801628497263</v>
      </c>
      <c r="F54" s="8">
        <f>(F46+F37)/'Share Count'!F22</f>
        <v>371.7231667409066</v>
      </c>
      <c r="G54" s="8">
        <f>(G46+G37)/'Share Count'!G22</f>
        <v>360.4084895703326</v>
      </c>
      <c r="H54" s="31">
        <f>(H46+H37)/'Share Count'!H22</f>
        <v>378.6231665068909</v>
      </c>
    </row>
    <row r="55">
      <c r="B55" s="25" t="s">
        <v>403</v>
      </c>
      <c r="C55" s="16">
        <f>C26/(C26+C46)</f>
        <v>0.18695174635717945</v>
      </c>
      <c r="D55" s="16">
        <f>D26/(D26+D46)</f>
        <v>0.1859706362153344</v>
      </c>
      <c r="E55" s="16">
        <f>E26/(E26+E46)</f>
        <v>0.18360528248628252</v>
      </c>
      <c r="F55" s="16">
        <f>F26/(F26+F46)</f>
        <v>0.18113336270733546</v>
      </c>
      <c r="G55" s="16">
        <f>G26/(G26+G46)</f>
        <v>0.1859706362153344</v>
      </c>
      <c r="H55" s="32">
        <f>H26/(H26+H46)</f>
        <v>0.1788750109270864</v>
      </c>
    </row>
    <row r="56">
      <c r="H56" s="39"/>
    </row>
  </sheetData>
  <legacyDrawing r:id="rId2"/>
</worksheet>
</file>

<file path=xl/worksheets/sheet5.xml><?xml version="1.0" encoding="utf-8"?>
<worksheet xmlns="http://schemas.openxmlformats.org/spreadsheetml/2006/main" xmlns:r="http://schemas.openxmlformats.org/officeDocument/2006/relationships">
  <dimension ref="B1:H57"/>
  <sheetViews>
    <sheetView showGridLines="0" workbookViewId="0"/>
  </sheetViews>
  <sheetFormatPr defaultColWidth="8.42578125" defaultRowHeight="15"/>
  <cols>
    <col min="1" max="1" width="2" customWidth="1"/>
    <col min="2" max="2" width="32" customWidth="1"/>
    <col min="3" max="8" width="12" customWidth="1"/>
  </cols>
  <sheetData>
    <row r="1">
      <c r="B1" s="26" t="s">
        <v>0</v>
      </c>
    </row>
    <row r="2">
      <c r="B2" s="2" t="s">
        <v>404</v>
      </c>
    </row>
    <row r="3">
      <c r="B3" s="25" t="s">
        <v>2</v>
      </c>
    </row>
    <row r="5">
      <c r="B5" s="24" t="s">
        <v>3</v>
      </c>
      <c r="C5" s="10" t="s">
        <v>4</v>
      </c>
      <c r="D5" s="10" t="s">
        <v>5</v>
      </c>
      <c r="E5" s="10" t="s">
        <v>6</v>
      </c>
      <c r="F5" s="10" t="s">
        <v>7</v>
      </c>
      <c r="G5" s="10" t="s">
        <v>8</v>
      </c>
      <c r="H5" s="10" t="s">
        <v>9</v>
      </c>
    </row>
    <row r="6">
      <c r="B6" s="20" t="s">
        <v>10</v>
      </c>
      <c r="C6" s="5">
        <v>45930</v>
      </c>
      <c r="D6" s="5">
        <v>46022</v>
      </c>
      <c r="E6" s="5">
        <v>46112</v>
      </c>
      <c r="F6" s="5">
        <v>46203</v>
      </c>
      <c r="G6" s="5">
        <v>46022</v>
      </c>
      <c r="H6" s="5">
        <v>46295</v>
      </c>
    </row>
    <row r="7">
      <c r="B7" s="17" t="s">
        <v>11</v>
      </c>
      <c r="C7" s="7">
        <f>C6-EOMONTH(C6,-3)</f>
        <v>92</v>
      </c>
      <c r="D7" s="7">
        <f>D6-EOMONTH(D6,-3)</f>
        <v>92</v>
      </c>
      <c r="E7" s="7">
        <f>E6-EOMONTH(E6,-3)</f>
        <v>90</v>
      </c>
      <c r="F7" s="7">
        <f>F6-EOMONTH(F6,-3)</f>
        <v>91</v>
      </c>
      <c r="G7" s="7">
        <f>G6-EOMONTH(G6,-12)</f>
        <v>365</v>
      </c>
      <c r="H7" s="7">
        <f>H6-EOMONTH(H6,-3)</f>
        <v>92</v>
      </c>
    </row>
    <row r="8">
      <c r="H8" s="39"/>
    </row>
    <row r="9">
      <c r="B9" s="34" t="s">
        <v>405</v>
      </c>
      <c r="H9" s="39"/>
    </row>
    <row r="10">
      <c r="B10" s="1" t="s">
        <v>406</v>
      </c>
      <c r="C10" s="4">
        <f>'Income Statement'!C103</f>
        <v>1527</v>
      </c>
      <c r="D10" s="4">
        <f>'Income Statement'!D103</f>
        <v>1235</v>
      </c>
      <c r="E10" s="4">
        <f>'Income Statement'!E103</f>
        <v>2326</v>
      </c>
      <c r="F10" s="4">
        <f>'Income Statement'!F103</f>
        <v>2042</v>
      </c>
      <c r="G10" s="4">
        <f>'Income Statement'!G103</f>
        <v>5942</v>
      </c>
      <c r="H10" s="28">
        <f>'Income Statement'!H103</f>
        <v>2166.0733761013835</v>
      </c>
    </row>
    <row r="11">
      <c r="B11" s="1" t="s">
        <v>407</v>
      </c>
      <c r="C11" s="4">
        <f>Inputs!D207-Inputs!C207</f>
        <v>346</v>
      </c>
      <c r="D11" s="4">
        <f>Inputs!E207-Inputs!D207</f>
        <v>369</v>
      </c>
      <c r="E11" s="4">
        <f>Inputs!F207</f>
        <v>380</v>
      </c>
      <c r="F11" s="4">
        <f>Inputs!G207-Inputs!F207</f>
        <v>385</v>
      </c>
      <c r="G11" s="4">
        <f>Inputs!E207</f>
        <v>1126</v>
      </c>
      <c r="H11" s="28">
        <f>'Income Statement'!H63+H16</f>
        <v>385</v>
      </c>
    </row>
    <row r="12">
      <c r="B12" s="1" t="s">
        <v>408</v>
      </c>
      <c r="C12" s="4">
        <f>Inputs!D208-Inputs!C208</f>
        <v>419</v>
      </c>
      <c r="D12" s="4">
        <f>Inputs!E208-Inputs!D208</f>
        <v>421</v>
      </c>
      <c r="E12" s="4">
        <f>Inputs!F208</f>
        <v>319</v>
      </c>
      <c r="F12" s="4">
        <f>Inputs!G208-Inputs!F208</f>
        <v>302</v>
      </c>
      <c r="G12" s="4">
        <f>Inputs!E208</f>
        <v>1307</v>
      </c>
      <c r="H12" s="35">
        <v>300</v>
      </c>
    </row>
    <row r="13">
      <c r="B13" s="1" t="s">
        <v>409</v>
      </c>
      <c r="C13" s="4">
        <f>Inputs!D209-Inputs!C209</f>
        <v>-160</v>
      </c>
      <c r="D13" s="4">
        <f>Inputs!E209-Inputs!D209</f>
        <v>-393</v>
      </c>
      <c r="E13" s="4">
        <f>Inputs!F209</f>
        <v>60</v>
      </c>
      <c r="F13" s="4">
        <f>Inputs!G209-Inputs!F209</f>
        <v>-78</v>
      </c>
      <c r="G13" s="4">
        <f>Inputs!E209</f>
        <v>-631</v>
      </c>
      <c r="H13" s="35">
        <v>0</v>
      </c>
    </row>
    <row r="14">
      <c r="B14" s="1" t="s">
        <v>280</v>
      </c>
      <c r="C14" s="4">
        <f>'Income Statement'!C61</f>
        <v>93</v>
      </c>
      <c r="D14" s="4">
        <f>'Income Statement'!D61</f>
        <v>455</v>
      </c>
      <c r="E14" s="4">
        <f>'Income Statement'!E61</f>
        <v>-549</v>
      </c>
      <c r="F14" s="4">
        <f>'Income Statement'!F61</f>
        <v>11</v>
      </c>
      <c r="G14" s="4">
        <f>'Income Statement'!G61</f>
        <v>720</v>
      </c>
      <c r="H14" s="28">
        <f>'Income Statement'!H61</f>
        <v>0</v>
      </c>
    </row>
    <row r="15">
      <c r="B15" s="1" t="s">
        <v>410</v>
      </c>
      <c r="C15" s="4">
        <f>Inputs!D211-Inputs!C211</f>
        <v>-1360</v>
      </c>
      <c r="D15" s="4">
        <f>Inputs!E211-Inputs!D211</f>
        <v>-870</v>
      </c>
      <c r="E15" s="4">
        <f>Inputs!F211</f>
        <v>-1669</v>
      </c>
      <c r="F15" s="4">
        <f>Inputs!G211-Inputs!F211</f>
        <v>-1438</v>
      </c>
      <c r="G15" s="4">
        <f>Inputs!E211</f>
        <v>-4214</v>
      </c>
      <c r="H15" s="35">
        <v>-1400</v>
      </c>
    </row>
    <row r="16">
      <c r="B16" s="1" t="s">
        <v>411</v>
      </c>
      <c r="C16" s="4">
        <f>C11-'Income Statement'!C63</f>
        <v>93</v>
      </c>
      <c r="D16" s="4">
        <f>D11-'Income Statement'!D63</f>
        <v>101</v>
      </c>
      <c r="E16" s="4">
        <f>E11-'Income Statement'!E63</f>
        <v>103</v>
      </c>
      <c r="F16" s="4">
        <f>F11-'Income Statement'!F63</f>
        <v>109</v>
      </c>
      <c r="G16" s="4">
        <f>G11-'Income Statement'!G63</f>
        <v>351</v>
      </c>
      <c r="H16" s="35">
        <v>110</v>
      </c>
    </row>
    <row r="17">
      <c r="B17" s="1" t="s">
        <v>412</v>
      </c>
      <c r="C17" s="6">
        <f>C22-(C10+C11+C12+C13+C14+C15)</f>
        <v>549</v>
      </c>
      <c r="D17" s="6">
        <f>D22-(D10+D11+D12+D13+D14+D15)</f>
        <v>1060</v>
      </c>
      <c r="E17" s="6">
        <f>E22-(E10+E11+E12+E13+E14+E15)</f>
        <v>-1847</v>
      </c>
      <c r="F17" s="6">
        <f>F22-(F10+F11+F12+F13+F14+F15)</f>
        <v>3</v>
      </c>
      <c r="G17" s="6">
        <f>G22-(G10+G11+G12+G13+G14+G15)</f>
        <v>-323</v>
      </c>
      <c r="H17" s="30">
        <f>H18+H19+H20+H21</f>
        <v>35</v>
      </c>
    </row>
    <row r="18">
      <c r="B18" s="1" t="s">
        <v>413</v>
      </c>
      <c r="H18" s="35">
        <v>800</v>
      </c>
    </row>
    <row r="19">
      <c r="B19" s="1" t="s">
        <v>414</v>
      </c>
      <c r="H19" s="35">
        <v>-200</v>
      </c>
    </row>
    <row r="20">
      <c r="B20" s="1" t="s">
        <v>415</v>
      </c>
      <c r="H20" s="35">
        <v>-400</v>
      </c>
    </row>
    <row r="21">
      <c r="B21" s="86" t="s">
        <v>416</v>
      </c>
      <c r="C21" s="97"/>
      <c r="D21" s="97"/>
      <c r="E21" s="97"/>
      <c r="F21" s="97"/>
      <c r="G21" s="97"/>
      <c r="H21" s="96">
        <f>-'Income Statement'!H85</f>
        <v>-165</v>
      </c>
    </row>
    <row r="22">
      <c r="B22" s="2" t="s">
        <v>417</v>
      </c>
      <c r="C22" s="54">
        <f>Inputs!D212-Inputs!C212</f>
        <v>1414</v>
      </c>
      <c r="D22" s="54">
        <f>Inputs!E212-Inputs!D212</f>
        <v>2277</v>
      </c>
      <c r="E22" s="54">
        <f>Inputs!F212</f>
        <v>-980</v>
      </c>
      <c r="F22" s="54">
        <f>Inputs!G212-Inputs!F212</f>
        <v>1227</v>
      </c>
      <c r="G22" s="54">
        <f>Inputs!E212</f>
        <v>3927</v>
      </c>
      <c r="H22" s="41">
        <f>H10+H11+H12+H13+H14+H15+H17</f>
        <v>1486.0733761013835</v>
      </c>
    </row>
    <row r="23">
      <c r="B23" s="25" t="s">
        <v>418</v>
      </c>
      <c r="C23" s="6" t="s">
        <v>37</v>
      </c>
      <c r="D23" s="6">
        <f>D22-C22</f>
        <v>863</v>
      </c>
      <c r="E23" s="6">
        <f>E22-D22</f>
        <v>-3257</v>
      </c>
      <c r="F23" s="6">
        <f>F22-E22</f>
        <v>2207</v>
      </c>
      <c r="H23" s="30">
        <f>H22-F22</f>
        <v>259.0733761013835</v>
      </c>
    </row>
    <row r="24">
      <c r="H24" s="39"/>
    </row>
    <row r="25">
      <c r="B25" s="34" t="s">
        <v>419</v>
      </c>
      <c r="H25" s="95"/>
    </row>
    <row r="26">
      <c r="B26" s="1" t="s">
        <v>420</v>
      </c>
      <c r="C26" s="4">
        <f>Inputs!D218-Inputs!C218</f>
        <v>-78</v>
      </c>
      <c r="D26" s="4">
        <f>Inputs!E218-Inputs!D218</f>
        <v>-130</v>
      </c>
      <c r="E26" s="4">
        <f>Inputs!F218</f>
        <v>-106</v>
      </c>
      <c r="F26" s="4">
        <f>Inputs!G218-Inputs!F218</f>
        <v>-109</v>
      </c>
      <c r="G26" s="4">
        <f>Inputs!E218</f>
        <v>-375</v>
      </c>
      <c r="H26" s="35">
        <v>-110</v>
      </c>
    </row>
    <row r="27">
      <c r="B27" s="1" t="s">
        <v>421</v>
      </c>
      <c r="C27" s="4">
        <f>Inputs!D213-Inputs!C213</f>
        <v>-710</v>
      </c>
      <c r="D27" s="4">
        <f>Inputs!E213-Inputs!D213</f>
        <v>-240</v>
      </c>
      <c r="E27" s="4">
        <f>Inputs!F213</f>
        <v>-313</v>
      </c>
      <c r="F27" s="4">
        <f>Inputs!G213-Inputs!F213</f>
        <v>-440</v>
      </c>
      <c r="G27" s="4">
        <f>Inputs!E213</f>
        <v>-1384</v>
      </c>
      <c r="H27" s="35">
        <v>-400</v>
      </c>
    </row>
    <row r="28">
      <c r="B28" s="1" t="s">
        <v>422</v>
      </c>
      <c r="C28" s="4">
        <f>Inputs!D214-Inputs!C214</f>
        <v>237</v>
      </c>
      <c r="D28" s="4">
        <f>Inputs!E214-Inputs!D214</f>
        <v>77</v>
      </c>
      <c r="E28" s="4">
        <f>Inputs!F214</f>
        <v>69</v>
      </c>
      <c r="F28" s="4">
        <f>Inputs!G214-Inputs!F214</f>
        <v>114</v>
      </c>
      <c r="G28" s="4">
        <f>Inputs!E214</f>
        <v>544</v>
      </c>
      <c r="H28" s="35">
        <v>100</v>
      </c>
    </row>
    <row r="29">
      <c r="B29" s="1" t="s">
        <v>423</v>
      </c>
      <c r="C29" s="4">
        <f>Inputs!D215-Inputs!C215</f>
        <v>-390</v>
      </c>
      <c r="D29" s="4">
        <f>Inputs!E215-Inputs!D215</f>
        <v>0</v>
      </c>
      <c r="E29" s="4">
        <f>Inputs!F215</f>
        <v>-15</v>
      </c>
      <c r="F29" s="4">
        <f>Inputs!G215-Inputs!F215</f>
        <v>0</v>
      </c>
      <c r="G29" s="4">
        <f>Inputs!E215</f>
        <v>-3496</v>
      </c>
      <c r="H29" s="35">
        <v>0</v>
      </c>
    </row>
    <row r="30">
      <c r="B30" s="1" t="s">
        <v>424</v>
      </c>
      <c r="C30" s="4">
        <f>Inputs!D216-Inputs!C216</f>
        <v>35</v>
      </c>
      <c r="D30" s="4">
        <f>Inputs!E216-Inputs!D216</f>
        <v>93</v>
      </c>
      <c r="E30" s="4">
        <f>Inputs!F216</f>
        <v>90</v>
      </c>
      <c r="F30" s="4">
        <f>Inputs!G216-Inputs!F216</f>
        <v>24</v>
      </c>
      <c r="G30" s="4">
        <f>Inputs!E216</f>
        <v>390</v>
      </c>
      <c r="H30" s="35">
        <v>0</v>
      </c>
    </row>
    <row r="31">
      <c r="B31" s="1" t="s">
        <v>425</v>
      </c>
      <c r="C31" s="4">
        <f>Inputs!D217-Inputs!C217</f>
        <v>-17</v>
      </c>
      <c r="D31" s="4">
        <f>Inputs!E217-Inputs!D217</f>
        <v>-12</v>
      </c>
      <c r="E31" s="4">
        <f>Inputs!F217</f>
        <v>-5</v>
      </c>
      <c r="F31" s="4">
        <f>Inputs!G217-Inputs!F217</f>
        <v>-49</v>
      </c>
      <c r="G31" s="4">
        <f>Inputs!E217</f>
        <v>-97</v>
      </c>
      <c r="H31" s="35">
        <v>0</v>
      </c>
    </row>
    <row r="32" ht="27">
      <c r="B32" s="108" t="s">
        <v>426</v>
      </c>
      <c r="C32" s="6">
        <f>C33-(C26+C27+C28+C29+C30+C31)</f>
        <v>0</v>
      </c>
      <c r="D32" s="6">
        <f>D33-(D26+D27+D28+D29+D30+D31)</f>
        <v>0</v>
      </c>
      <c r="E32" s="6">
        <f>E33-(E26+E27+E28+E29+E30+E31)</f>
        <v>0</v>
      </c>
      <c r="F32" s="6">
        <f>F33-(F26+F27+F28+F29+F30+F31)</f>
        <v>0</v>
      </c>
      <c r="G32" s="6">
        <f>G33-(G26+G27+G28+G29+G30+G31)</f>
        <v>0</v>
      </c>
      <c r="H32" s="35">
        <v>0</v>
      </c>
    </row>
    <row r="33">
      <c r="B33" s="2" t="s">
        <v>427</v>
      </c>
      <c r="C33" s="54">
        <f>Inputs!D219-Inputs!C219</f>
        <v>-923</v>
      </c>
      <c r="D33" s="54">
        <f>Inputs!E219-Inputs!D219</f>
        <v>-212</v>
      </c>
      <c r="E33" s="54">
        <f>Inputs!F219</f>
        <v>-280</v>
      </c>
      <c r="F33" s="54">
        <f>Inputs!G219-Inputs!F219</f>
        <v>-460</v>
      </c>
      <c r="G33" s="54">
        <f>Inputs!E219</f>
        <v>-4418</v>
      </c>
      <c r="H33" s="41">
        <f>H26+H27+H28+H29+H30+H31+H32</f>
        <v>-410</v>
      </c>
    </row>
    <row r="34">
      <c r="H34" s="39"/>
    </row>
    <row r="35">
      <c r="B35" s="34" t="s">
        <v>428</v>
      </c>
      <c r="H35" s="95"/>
    </row>
    <row r="36">
      <c r="B36" s="1" t="s">
        <v>429</v>
      </c>
      <c r="C36" s="4">
        <f>Inputs!D220-Inputs!C220</f>
        <v>0</v>
      </c>
      <c r="D36" s="4">
        <f>Inputs!E220-Inputs!D220</f>
        <v>0</v>
      </c>
      <c r="E36" s="4">
        <f>Inputs!F220</f>
        <v>0</v>
      </c>
      <c r="F36" s="4">
        <f>Inputs!G220-Inputs!F220</f>
        <v>0</v>
      </c>
      <c r="G36" s="4">
        <f>Inputs!E220</f>
        <v>-796</v>
      </c>
      <c r="H36" s="35">
        <v>0</v>
      </c>
    </row>
    <row r="37">
      <c r="B37" s="1" t="s">
        <v>430</v>
      </c>
      <c r="C37" s="4">
        <f>Inputs!D221-Inputs!C221</f>
        <v>0</v>
      </c>
      <c r="D37" s="4">
        <f>Inputs!E221-Inputs!D221</f>
        <v>0</v>
      </c>
      <c r="E37" s="4">
        <f>Inputs!F221</f>
        <v>0</v>
      </c>
      <c r="F37" s="4">
        <f>Inputs!G221-Inputs!F221</f>
        <v>0</v>
      </c>
      <c r="G37" s="4">
        <f>Inputs!E221</f>
        <v>1080</v>
      </c>
      <c r="H37" s="35">
        <v>0</v>
      </c>
    </row>
    <row r="38" ht="27">
      <c r="B38" s="100" t="s">
        <v>431</v>
      </c>
      <c r="C38" s="4">
        <f>Inputs!D222-Inputs!C222</f>
        <v>-851</v>
      </c>
      <c r="D38" s="4">
        <f>Inputs!E222-Inputs!D222</f>
        <v>-850</v>
      </c>
      <c r="E38" s="4">
        <f>Inputs!F222</f>
        <v>-973</v>
      </c>
      <c r="F38" s="4">
        <f>Inputs!G222-Inputs!F222</f>
        <v>-933</v>
      </c>
      <c r="G38" s="4">
        <f>Inputs!E222</f>
        <v>-3347</v>
      </c>
      <c r="H38" s="28">
        <f>-('Share Count'!H35+'Share Count'!H36)</f>
        <v>-931.67970411</v>
      </c>
    </row>
    <row r="39">
      <c r="B39" s="1" t="s">
        <v>432</v>
      </c>
      <c r="C39" s="4">
        <f>Inputs!D223-Inputs!C223</f>
        <v>55</v>
      </c>
      <c r="D39" s="4">
        <f>Inputs!E223-Inputs!D223</f>
        <v>14</v>
      </c>
      <c r="E39" s="4">
        <f>Inputs!F223</f>
        <v>74</v>
      </c>
      <c r="F39" s="4">
        <f>Inputs!G223-Inputs!F223</f>
        <v>14</v>
      </c>
      <c r="G39" s="4">
        <f>Inputs!E223</f>
        <v>167</v>
      </c>
      <c r="H39" s="35">
        <v>0</v>
      </c>
    </row>
    <row r="40">
      <c r="B40" s="1" t="s">
        <v>433</v>
      </c>
      <c r="C40" s="4">
        <f>Inputs!D224-Inputs!C224</f>
        <v>-384</v>
      </c>
      <c r="D40" s="4">
        <f>Inputs!E224-Inputs!D224</f>
        <v>-514</v>
      </c>
      <c r="E40" s="4">
        <f>Inputs!F224</f>
        <v>-810</v>
      </c>
      <c r="F40" s="4">
        <f>Inputs!G224-Inputs!F224</f>
        <v>-461</v>
      </c>
      <c r="G40" s="4">
        <f>Inputs!E224</f>
        <v>-1951</v>
      </c>
      <c r="H40" s="28">
        <f>-'Share Count'!H27</f>
        <v>-550</v>
      </c>
    </row>
    <row r="41">
      <c r="B41" s="1" t="s">
        <v>434</v>
      </c>
      <c r="C41" s="4">
        <f>Inputs!D225-Inputs!C225</f>
        <v>-15</v>
      </c>
      <c r="D41" s="4">
        <f>Inputs!E225-Inputs!D225</f>
        <v>-68</v>
      </c>
      <c r="E41" s="4">
        <f>Inputs!F225</f>
        <v>193</v>
      </c>
      <c r="F41" s="4">
        <f>Inputs!G225-Inputs!F225</f>
        <v>-61</v>
      </c>
      <c r="G41" s="4">
        <f>Inputs!E225</f>
        <v>-112</v>
      </c>
      <c r="H41" s="35">
        <v>0</v>
      </c>
    </row>
    <row r="42">
      <c r="B42" s="1" t="s">
        <v>435</v>
      </c>
      <c r="C42" s="4">
        <f>Inputs!D226-Inputs!C226</f>
        <v>1284</v>
      </c>
      <c r="D42" s="4">
        <f>Inputs!E226-Inputs!D226</f>
        <v>827</v>
      </c>
      <c r="E42" s="4">
        <f>Inputs!F226</f>
        <v>1218</v>
      </c>
      <c r="F42" s="4">
        <f>Inputs!G226-Inputs!F226</f>
        <v>1318</v>
      </c>
      <c r="G42" s="4">
        <f>Inputs!E226</f>
        <v>3827</v>
      </c>
      <c r="H42" s="35">
        <v>1300</v>
      </c>
    </row>
    <row r="43" ht="27">
      <c r="B43" s="108" t="s">
        <v>436</v>
      </c>
      <c r="C43" s="6">
        <f>C44-(C36+C37+C38+C39+C40+C41+C42)</f>
        <v>7</v>
      </c>
      <c r="D43" s="6">
        <f>D44-(D36+D37+D38+D39+D40+D41+D42)</f>
        <v>3</v>
      </c>
      <c r="E43" s="6">
        <f>E44-(E36+E37+E38+E39+E40+E41+E42)</f>
        <v>-6</v>
      </c>
      <c r="F43" s="6">
        <f>F44-(F36+F37+F38+F39+F40+F41+F42)</f>
        <v>6</v>
      </c>
      <c r="G43" s="6">
        <f>G44-(G36+G37+G38+G39+G40+G41+G42)</f>
        <v>5</v>
      </c>
      <c r="H43" s="35">
        <v>0</v>
      </c>
    </row>
    <row r="44">
      <c r="B44" s="2" t="s">
        <v>437</v>
      </c>
      <c r="C44" s="54">
        <f>Inputs!D228-Inputs!C228</f>
        <v>96</v>
      </c>
      <c r="D44" s="54">
        <f>Inputs!E228-Inputs!D228</f>
        <v>-588</v>
      </c>
      <c r="E44" s="54">
        <f>Inputs!F228</f>
        <v>-304</v>
      </c>
      <c r="F44" s="54">
        <f>Inputs!G228-Inputs!F228</f>
        <v>-117</v>
      </c>
      <c r="G44" s="54">
        <f>Inputs!E228</f>
        <v>-1127</v>
      </c>
      <c r="H44" s="41">
        <f>H36+H37+H38+H39+H40+H41+H42+H43</f>
        <v>-181.67970410999988</v>
      </c>
    </row>
    <row r="45">
      <c r="H45" s="95"/>
    </row>
    <row r="46">
      <c r="B46" s="1" t="s">
        <v>438</v>
      </c>
      <c r="C46" s="4">
        <f>Inputs!D229-Inputs!C229</f>
        <v>-81</v>
      </c>
      <c r="D46" s="4">
        <f>Inputs!E229-Inputs!D229</f>
        <v>12</v>
      </c>
      <c r="E46" s="4">
        <f>Inputs!F229</f>
        <v>-63</v>
      </c>
      <c r="F46" s="4">
        <f>Inputs!G229-Inputs!F229</f>
        <v>1</v>
      </c>
      <c r="G46" s="4">
        <f>Inputs!E229</f>
        <v>329</v>
      </c>
      <c r="H46" s="35">
        <v>0</v>
      </c>
    </row>
    <row r="47">
      <c r="B47" s="2" t="s">
        <v>439</v>
      </c>
      <c r="C47" s="54">
        <f>Inputs!D230-Inputs!C230</f>
        <v>506</v>
      </c>
      <c r="D47" s="54">
        <f>Inputs!E230-Inputs!D230</f>
        <v>1489</v>
      </c>
      <c r="E47" s="54">
        <f>Inputs!F230</f>
        <v>-1627</v>
      </c>
      <c r="F47" s="54">
        <f>Inputs!G230-Inputs!F230</f>
        <v>651</v>
      </c>
      <c r="G47" s="54">
        <f>Inputs!E230</f>
        <v>-1289</v>
      </c>
      <c r="H47" s="41">
        <f>H22+H33+H44+H46</f>
        <v>894.3936719913836</v>
      </c>
    </row>
    <row r="48">
      <c r="B48" s="1" t="s">
        <v>440</v>
      </c>
      <c r="C48" s="6">
        <f>C22+C33+C44+C46-C47</f>
        <v>0</v>
      </c>
      <c r="D48" s="6">
        <f>D22+D33+D44+D46-D47</f>
        <v>0</v>
      </c>
      <c r="E48" s="6">
        <f>E22+E33+E44+E46-E47</f>
        <v>0</v>
      </c>
      <c r="F48" s="6">
        <f>F22+F33+F44+F46-F47</f>
        <v>0</v>
      </c>
      <c r="G48" s="6">
        <f>G22+G33+G44+G46-G47</f>
        <v>0</v>
      </c>
      <c r="H48" s="30">
        <f>H22+H33+H44+H46-H47</f>
        <v>0</v>
      </c>
    </row>
    <row r="49">
      <c r="B49" s="1" t="s">
        <v>441</v>
      </c>
      <c r="C49" s="4">
        <f>Inputs!C232</f>
        <v>9495</v>
      </c>
      <c r="D49" s="6">
        <f>C50</f>
        <v>10001</v>
      </c>
      <c r="E49" s="6">
        <f>D50</f>
        <v>11490</v>
      </c>
      <c r="F49" s="6">
        <f>E50</f>
        <v>9863</v>
      </c>
      <c r="G49" s="4">
        <f>Inputs!E231</f>
        <v>12779</v>
      </c>
      <c r="H49" s="30">
        <f>F50</f>
        <v>10514</v>
      </c>
    </row>
    <row r="50">
      <c r="B50" s="2" t="s">
        <v>442</v>
      </c>
      <c r="C50" s="42">
        <f>C49+C47</f>
        <v>10001</v>
      </c>
      <c r="D50" s="42">
        <f>D49+D47</f>
        <v>11490</v>
      </c>
      <c r="E50" s="42">
        <f>E49+E47</f>
        <v>9863</v>
      </c>
      <c r="F50" s="42">
        <f>F49+F47</f>
        <v>10514</v>
      </c>
      <c r="G50" s="42">
        <f>G49+G47</f>
        <v>11490</v>
      </c>
      <c r="H50" s="41">
        <f>H49+H47</f>
        <v>11408.393671991384</v>
      </c>
    </row>
    <row r="51" ht="39">
      <c r="B51" s="108" t="s">
        <v>443</v>
      </c>
      <c r="C51" s="113">
        <f>C50-C52</f>
        <v>22</v>
      </c>
      <c r="D51" s="23">
        <v>22</v>
      </c>
      <c r="E51" s="113">
        <f>E50-E52</f>
        <v>22</v>
      </c>
      <c r="F51" s="23">
        <v>22</v>
      </c>
      <c r="G51" s="6">
        <f>D51</f>
        <v>22</v>
      </c>
      <c r="H51" s="30">
        <f>F51</f>
        <v>22</v>
      </c>
    </row>
    <row r="52">
      <c r="B52" s="1" t="s">
        <v>444</v>
      </c>
      <c r="C52" s="4">
        <f>'Balance Sheet'!C10</f>
        <v>9979</v>
      </c>
      <c r="D52" s="4">
        <f>'Balance Sheet'!D10</f>
        <v>11468</v>
      </c>
      <c r="E52" s="4">
        <f>'Balance Sheet'!E10</f>
        <v>9841</v>
      </c>
      <c r="F52" s="4">
        <f>'Balance Sheet'!F10</f>
        <v>10492</v>
      </c>
      <c r="G52" s="4">
        <f>'Balance Sheet'!G10</f>
        <v>11468</v>
      </c>
      <c r="H52" s="28">
        <f>'Balance Sheet'!H10</f>
        <v>11386.393671991384</v>
      </c>
    </row>
    <row r="53" ht="27">
      <c r="B53" s="112" t="s">
        <v>445</v>
      </c>
      <c r="C53" s="58">
        <f>C50-C52-C51</f>
        <v>0</v>
      </c>
      <c r="D53" s="58">
        <f>D50-D52-D51</f>
        <v>0</v>
      </c>
      <c r="E53" s="58">
        <f>E50-E52-E51</f>
        <v>0</v>
      </c>
      <c r="F53" s="58">
        <f>F50-F52-F51</f>
        <v>0</v>
      </c>
      <c r="G53" s="58">
        <f>G50-G52-G51</f>
        <v>0</v>
      </c>
      <c r="H53" s="55">
        <f>H50-H52-H51</f>
        <v>0</v>
      </c>
    </row>
    <row r="54">
      <c r="B54" s="1" t="s">
        <v>446</v>
      </c>
      <c r="D54" s="4">
        <f>D47-('Balance Sheet'!D10-'Balance Sheet'!C10)</f>
        <v>0</v>
      </c>
      <c r="E54" s="4">
        <f>E47-('Balance Sheet'!E10-'Balance Sheet'!D10)</f>
        <v>0</v>
      </c>
      <c r="F54" s="4">
        <f>F47-('Balance Sheet'!F10-'Balance Sheet'!E10)</f>
        <v>0</v>
      </c>
      <c r="H54" s="28">
        <f>H47-('Balance Sheet'!H10-'Balance Sheet'!F10)</f>
        <v>0</v>
      </c>
    </row>
    <row r="55">
      <c r="H55" s="95"/>
    </row>
    <row r="56">
      <c r="B56" s="2" t="s">
        <v>447</v>
      </c>
      <c r="C56" s="42">
        <f>C22+C26</f>
        <v>1336</v>
      </c>
      <c r="D56" s="42">
        <f>D22+D26</f>
        <v>2147</v>
      </c>
      <c r="E56" s="42">
        <f>E22+E26</f>
        <v>-1086</v>
      </c>
      <c r="F56" s="42">
        <f>F22+F26</f>
        <v>1118</v>
      </c>
      <c r="G56" s="42">
        <f>G22+G26</f>
        <v>3552</v>
      </c>
      <c r="H56" s="41">
        <f>H22+H26</f>
        <v>1376.0733761013835</v>
      </c>
    </row>
    <row r="57">
      <c r="H57" s="95"/>
    </row>
  </sheetData>
  <legacyDrawing r:id="rId2"/>
</worksheet>
</file>

<file path=xl/worksheets/sheet6.xml><?xml version="1.0" encoding="utf-8"?>
<worksheet xmlns="http://schemas.openxmlformats.org/spreadsheetml/2006/main" xmlns:r="http://schemas.openxmlformats.org/officeDocument/2006/relationships">
  <dimension ref="B1:H38"/>
  <sheetViews>
    <sheetView showGridLines="0" workbookViewId="0"/>
  </sheetViews>
  <sheetFormatPr defaultColWidth="8.42578125" defaultRowHeight="15"/>
  <cols>
    <col min="1" max="1" width="2" customWidth="1"/>
    <col min="2" max="2" width="32" customWidth="1"/>
    <col min="3" max="8" width="12" customWidth="1"/>
  </cols>
  <sheetData>
    <row r="1">
      <c r="B1" s="26" t="s">
        <v>0</v>
      </c>
    </row>
    <row r="2">
      <c r="B2" s="2" t="s">
        <v>448</v>
      </c>
    </row>
    <row r="3">
      <c r="B3" s="25" t="s">
        <v>2</v>
      </c>
    </row>
    <row r="5">
      <c r="B5" s="24" t="s">
        <v>3</v>
      </c>
      <c r="C5" s="10" t="s">
        <v>4</v>
      </c>
      <c r="D5" s="10" t="s">
        <v>5</v>
      </c>
      <c r="E5" s="10" t="s">
        <v>6</v>
      </c>
      <c r="F5" s="10" t="s">
        <v>7</v>
      </c>
      <c r="G5" s="10" t="s">
        <v>8</v>
      </c>
      <c r="H5" s="10" t="s">
        <v>9</v>
      </c>
    </row>
    <row r="6">
      <c r="B6" s="20" t="s">
        <v>10</v>
      </c>
      <c r="C6" s="5">
        <v>45930</v>
      </c>
      <c r="D6" s="5">
        <v>46022</v>
      </c>
      <c r="E6" s="5">
        <v>46112</v>
      </c>
      <c r="F6" s="5">
        <v>46203</v>
      </c>
      <c r="G6" s="5">
        <v>46022</v>
      </c>
      <c r="H6" s="5">
        <v>46295</v>
      </c>
    </row>
    <row r="7">
      <c r="B7" s="17" t="s">
        <v>11</v>
      </c>
      <c r="C7" s="7">
        <f>C6-EOMONTH(C6,-3)</f>
        <v>92</v>
      </c>
      <c r="D7" s="7">
        <f>D6-EOMONTH(D6,-3)</f>
        <v>92</v>
      </c>
      <c r="E7" s="7">
        <f>E6-EOMONTH(E6,-3)</f>
        <v>90</v>
      </c>
      <c r="F7" s="7">
        <f>F6-EOMONTH(F6,-3)</f>
        <v>91</v>
      </c>
      <c r="G7" s="7">
        <f>G6-EOMONTH(G6,-12)</f>
        <v>365</v>
      </c>
      <c r="H7" s="7">
        <f>H6-EOMONTH(H6,-3)</f>
        <v>92</v>
      </c>
    </row>
    <row r="8">
      <c r="H8" s="39"/>
    </row>
    <row r="9">
      <c r="B9" s="34" t="s">
        <v>449</v>
      </c>
      <c r="H9" s="39"/>
    </row>
    <row r="10">
      <c r="B10" s="1" t="s">
        <v>450</v>
      </c>
      <c r="C10" s="23">
        <v>154.9</v>
      </c>
      <c r="D10" s="23">
        <v>155.1</v>
      </c>
      <c r="E10" s="23">
        <v>155.3</v>
      </c>
      <c r="F10" s="23">
        <v>155.2</v>
      </c>
      <c r="G10" s="23">
        <v>155</v>
      </c>
      <c r="H10" s="30">
        <f>F10-(1-H31)*F29-H31*H29+H32</f>
        <v>154.79056603773586</v>
      </c>
    </row>
    <row r="11">
      <c r="B11" s="25" t="s">
        <v>101</v>
      </c>
      <c r="C11" s="21">
        <f>IFERROR(C10/Inputs!C174-1,"n/a")</f>
        <v>0.046621621621621756</v>
      </c>
      <c r="D11" s="21">
        <f>IFERROR(D10/Inputs!D174-1,"n/a")</f>
        <v>0.000645161290322438</v>
      </c>
      <c r="E11" s="21">
        <f>IFERROR(E10/Inputs!E174-1,"n/a")</f>
        <v>0.001935483870967758</v>
      </c>
      <c r="F11" s="21">
        <f>IFERROR(F10/Inputs!F174-1,"n/a")</f>
        <v>0.0019367333763717909</v>
      </c>
      <c r="G11" s="21">
        <f>IFERROR(G10/Inputs!G174-1,"n/a")</f>
        <v>0.03333333333333344</v>
      </c>
      <c r="H11" s="32">
        <f>IFERROR(H10/C10-1,"n/a")</f>
        <v>-0.0007064813574186868</v>
      </c>
    </row>
    <row r="12">
      <c r="B12" s="25" t="s">
        <v>150</v>
      </c>
      <c r="C12" s="4">
        <f>C10-Inputs!F174</f>
        <v>0</v>
      </c>
      <c r="D12" s="6">
        <f>D10-C10</f>
        <v>0.19999999999998863</v>
      </c>
      <c r="E12" s="6">
        <f>E10-D10</f>
        <v>0.20000000000001705</v>
      </c>
      <c r="F12" s="6">
        <f>F10-E10</f>
        <v>-0.10000000000002274</v>
      </c>
      <c r="H12" s="30">
        <f>H10-F10</f>
        <v>-0.4094339622641314</v>
      </c>
    </row>
    <row r="13" ht="27">
      <c r="B13" s="101" t="s">
        <v>451</v>
      </c>
      <c r="C13" s="29">
        <v>165.2</v>
      </c>
      <c r="D13" s="29">
        <v>165.4</v>
      </c>
      <c r="E13" s="29">
        <v>165</v>
      </c>
      <c r="F13" s="29">
        <v>164.6</v>
      </c>
      <c r="G13" s="29">
        <v>160.9</v>
      </c>
      <c r="H13" s="55">
        <f>F13-(1-H31)*F29-H31*H29+H32</f>
        <v>164.19056603773586</v>
      </c>
    </row>
    <row r="14">
      <c r="B14" s="25" t="s">
        <v>101</v>
      </c>
      <c r="C14" s="21">
        <f>IFERROR(C13/Inputs!C173-1,"n/a")</f>
        <v>0.10427807486631013</v>
      </c>
      <c r="D14" s="21">
        <f>IFERROR(D13/Inputs!D173-1,"n/a")</f>
        <v>0.053503184713375784</v>
      </c>
      <c r="E14" s="21">
        <f>IFERROR(E13/Inputs!E173-1,"n/a")</f>
        <v>0.05363984674329503</v>
      </c>
      <c r="F14" s="21">
        <f>IFERROR(F13/Inputs!F173-1,"n/a")</f>
        <v>0.05310300703774784</v>
      </c>
      <c r="G14" s="21">
        <f>IFERROR(G13/Inputs!G173-1,"n/a")</f>
        <v>0.061345646437994894</v>
      </c>
      <c r="H14" s="32">
        <f>IFERROR(H13/C13-1,"n/a")</f>
        <v>-0.006110375074238061</v>
      </c>
    </row>
    <row r="15">
      <c r="B15" s="25" t="s">
        <v>150</v>
      </c>
      <c r="C15" s="4">
        <f>C13-Inputs!F173</f>
        <v>8.899999999999977</v>
      </c>
      <c r="D15" s="6">
        <f>D13-C13</f>
        <v>0.20000000000001705</v>
      </c>
      <c r="E15" s="6">
        <f>E13-D13</f>
        <v>-0.4000000000000057</v>
      </c>
      <c r="F15" s="6">
        <f>F13-E13</f>
        <v>-0.4000000000000057</v>
      </c>
      <c r="H15" s="30">
        <f>H13-F13</f>
        <v>-0.4094339622641314</v>
      </c>
    </row>
    <row r="16">
      <c r="B16" s="1" t="s">
        <v>452</v>
      </c>
      <c r="C16" s="6">
        <f>C13-C10</f>
        <v>10.299999999999983</v>
      </c>
      <c r="D16" s="6">
        <f>D13-D10</f>
        <v>10.300000000000011</v>
      </c>
      <c r="E16" s="6">
        <f>E13-E10</f>
        <v>9.699999999999989</v>
      </c>
      <c r="F16" s="6">
        <f>F13-F10</f>
        <v>9.400000000000006</v>
      </c>
      <c r="G16" s="6">
        <f>G13-G10</f>
        <v>5.900000000000006</v>
      </c>
      <c r="H16" s="30">
        <f>H13-H10</f>
        <v>9.400000000000006</v>
      </c>
    </row>
    <row r="17">
      <c r="H17" s="39"/>
    </row>
    <row r="18">
      <c r="B18" s="34" t="s">
        <v>453</v>
      </c>
      <c r="H18" s="39"/>
    </row>
    <row r="19">
      <c r="B19" s="1" t="s">
        <v>454</v>
      </c>
      <c r="C19" s="23">
        <v>155.124267</v>
      </c>
      <c r="D19" s="23">
        <v>155.069171</v>
      </c>
      <c r="E19" s="23">
        <v>155.364965</v>
      </c>
      <c r="F19" s="23">
        <v>154.996807</v>
      </c>
      <c r="G19" s="6">
        <f>D19</f>
        <v>155.069171</v>
      </c>
      <c r="H19" s="30">
        <f>F19-H29+H32</f>
        <v>154.5279390754717</v>
      </c>
    </row>
    <row r="20">
      <c r="B20" s="25" t="s">
        <v>150</v>
      </c>
      <c r="C20" s="6" t="s">
        <v>37</v>
      </c>
      <c r="D20" s="6">
        <f>D19-C19</f>
        <v>-0.05509599999999182</v>
      </c>
      <c r="E20" s="6">
        <f>E19-D19</f>
        <v>0.2957940000000008</v>
      </c>
      <c r="F20" s="6">
        <f>F19-E19</f>
        <v>-0.3681580000000224</v>
      </c>
      <c r="H20" s="30">
        <f>H19-F19</f>
        <v>-0.46886792452829695</v>
      </c>
    </row>
    <row r="21">
      <c r="B21" s="1" t="s">
        <v>455</v>
      </c>
      <c r="C21" s="23">
        <v>8.1</v>
      </c>
      <c r="D21" s="23">
        <v>7.743309</v>
      </c>
      <c r="E21" s="23">
        <v>7.6</v>
      </c>
      <c r="F21" s="23">
        <v>7.6</v>
      </c>
      <c r="G21" s="6">
        <f>D21</f>
        <v>7.743309</v>
      </c>
      <c r="H21" s="30">
        <f>F21</f>
        <v>7.6</v>
      </c>
    </row>
    <row r="22">
      <c r="B22" s="2" t="s">
        <v>456</v>
      </c>
      <c r="C22" s="42">
        <f>C19+C21</f>
        <v>163.224267</v>
      </c>
      <c r="D22" s="42">
        <f>D19+D21</f>
        <v>162.81248000000002</v>
      </c>
      <c r="E22" s="42">
        <f>E19+E21</f>
        <v>162.964965</v>
      </c>
      <c r="F22" s="42">
        <f>F19+F21</f>
        <v>162.59680699999998</v>
      </c>
      <c r="G22" s="42">
        <f>G19+G21</f>
        <v>162.81248000000002</v>
      </c>
      <c r="H22" s="41">
        <f>H19+H21</f>
        <v>162.1279390754717</v>
      </c>
    </row>
    <row r="23">
      <c r="B23" s="25" t="s">
        <v>457</v>
      </c>
      <c r="C23" s="16">
        <f>C21/C22</f>
        <v>0.04962497396297084</v>
      </c>
      <c r="D23" s="16">
        <f>D21/D22</f>
        <v>0.04755967724341524</v>
      </c>
      <c r="E23" s="16">
        <f>E21/E22</f>
        <v>0.04663579070507578</v>
      </c>
      <c r="F23" s="16">
        <f>F21/F22</f>
        <v>0.04674138527209824</v>
      </c>
      <c r="G23" s="16">
        <f>G21/G22</f>
        <v>0.04755967724341524</v>
      </c>
      <c r="H23" s="32">
        <f>H21/H22</f>
        <v>0.04687655960680624</v>
      </c>
    </row>
    <row r="24">
      <c r="B24" s="25" t="s">
        <v>157</v>
      </c>
      <c r="C24" s="40" t="s">
        <v>37</v>
      </c>
      <c r="D24" s="40">
        <f>(D23-C23)*10000</f>
        <v>-20.65296719555597</v>
      </c>
      <c r="E24" s="40">
        <f>(E23-D23)*10000</f>
        <v>-9.23886538339462</v>
      </c>
      <c r="F24" s="40">
        <f>(F23-E23)*10000</f>
        <v>1.0559456702246424</v>
      </c>
      <c r="H24" s="37">
        <f>(H23-F23)*10000</f>
        <v>1.3517433470799922</v>
      </c>
    </row>
    <row r="25">
      <c r="H25" s="39"/>
    </row>
    <row r="26">
      <c r="B26" s="34" t="s">
        <v>458</v>
      </c>
      <c r="H26" s="39"/>
    </row>
    <row r="27">
      <c r="B27" s="1" t="s">
        <v>459</v>
      </c>
      <c r="C27" s="23">
        <v>375</v>
      </c>
      <c r="D27" s="23">
        <v>500</v>
      </c>
      <c r="E27" s="23">
        <v>450</v>
      </c>
      <c r="F27" s="23">
        <v>450</v>
      </c>
      <c r="G27" s="23">
        <v>1600</v>
      </c>
      <c r="H27" s="28">
        <f>Guidance!E16</f>
        <v>550</v>
      </c>
    </row>
    <row r="28">
      <c r="B28" s="25" t="s">
        <v>150</v>
      </c>
      <c r="C28" s="6" t="s">
        <v>37</v>
      </c>
      <c r="D28" s="6">
        <f>D27-C27</f>
        <v>125</v>
      </c>
      <c r="E28" s="6">
        <f>E27-D27</f>
        <v>-50</v>
      </c>
      <c r="F28" s="6">
        <f>F27-E27</f>
        <v>0</v>
      </c>
      <c r="H28" s="30">
        <f>H27-F27</f>
        <v>100</v>
      </c>
    </row>
    <row r="29">
      <c r="B29" s="1" t="s">
        <v>460</v>
      </c>
      <c r="C29" s="6" t="s">
        <v>37</v>
      </c>
      <c r="D29" s="6" t="s">
        <v>37</v>
      </c>
      <c r="E29" s="23">
        <v>0.4</v>
      </c>
      <c r="F29" s="23">
        <v>0.4</v>
      </c>
      <c r="G29" s="23">
        <v>1.6</v>
      </c>
      <c r="H29" s="28">
        <f>H27/Inputs!H128</f>
        <v>0.5188679245283019</v>
      </c>
    </row>
    <row r="30" ht="27">
      <c r="B30" s="108" t="s">
        <v>461</v>
      </c>
      <c r="C30" s="38" t="str">
        <f>IFERROR(C27/C29,"n/a")</f>
        <v>n/a</v>
      </c>
      <c r="D30" s="38" t="str">
        <f>IFERROR(D27/D29,"n/a")</f>
        <v>n/a</v>
      </c>
      <c r="E30" s="38">
        <f>IFERROR(E27/E29,"n/a")</f>
        <v>1125</v>
      </c>
      <c r="F30" s="38">
        <f>IFERROR(F27/F29,"n/a")</f>
        <v>1125</v>
      </c>
      <c r="G30" s="38">
        <f>IFERROR(G27/G29,"n/a")</f>
        <v>1000</v>
      </c>
      <c r="H30" s="36">
        <f>IFERROR(H27/H29,"n/a")</f>
        <v>1060</v>
      </c>
    </row>
    <row r="31">
      <c r="B31" s="25" t="s">
        <v>462</v>
      </c>
      <c r="H31" s="43">
        <v>0.5</v>
      </c>
    </row>
    <row r="32">
      <c r="B32" s="1" t="s">
        <v>463</v>
      </c>
      <c r="C32" s="6" t="s">
        <v>37</v>
      </c>
      <c r="D32" s="6" t="s">
        <v>37</v>
      </c>
      <c r="E32" s="6" t="s">
        <v>37</v>
      </c>
      <c r="F32" s="6" t="s">
        <v>37</v>
      </c>
      <c r="G32" s="6" t="s">
        <v>37</v>
      </c>
      <c r="H32" s="35">
        <v>0.05</v>
      </c>
    </row>
    <row r="33">
      <c r="B33" s="1" t="s">
        <v>464</v>
      </c>
      <c r="C33" s="33">
        <v>5.21</v>
      </c>
      <c r="D33" s="33">
        <v>5.21</v>
      </c>
      <c r="E33" s="33">
        <v>5.73</v>
      </c>
      <c r="F33" s="33">
        <v>5.73</v>
      </c>
      <c r="G33" s="33">
        <v>20.84</v>
      </c>
      <c r="H33" s="31">
        <f>Guidance!G18</f>
        <v>5.73</v>
      </c>
    </row>
    <row r="34">
      <c r="B34" s="25" t="s">
        <v>101</v>
      </c>
      <c r="C34" s="16" t="s">
        <v>37</v>
      </c>
      <c r="D34" s="16" t="s">
        <v>37</v>
      </c>
      <c r="E34" s="16" t="s">
        <v>37</v>
      </c>
      <c r="F34" s="16" t="s">
        <v>37</v>
      </c>
      <c r="G34" s="16" t="s">
        <v>37</v>
      </c>
      <c r="H34" s="32">
        <f>IFERROR(H33/C33-1,"n/a")</f>
        <v>0.0998080614203456</v>
      </c>
    </row>
    <row r="35" ht="27">
      <c r="B35" s="108" t="s">
        <v>465</v>
      </c>
      <c r="H35" s="30">
        <f>H33*F19</f>
        <v>888.13170411</v>
      </c>
    </row>
    <row r="36" ht="27">
      <c r="B36" s="108" t="s">
        <v>466</v>
      </c>
      <c r="H36" s="30">
        <f>H33*F21</f>
        <v>43.548</v>
      </c>
    </row>
    <row r="37">
      <c r="H37" s="39"/>
    </row>
    <row r="38">
      <c r="H38" s="39"/>
    </row>
  </sheetData>
  <legacyDrawing r:id="rId2"/>
</worksheet>
</file>

<file path=xl/worksheets/sheet7.xml><?xml version="1.0" encoding="utf-8"?>
<worksheet xmlns="http://schemas.openxmlformats.org/spreadsheetml/2006/main" xmlns:r="http://schemas.openxmlformats.org/officeDocument/2006/relationships">
  <dimension ref="B1:J24"/>
  <sheetViews>
    <sheetView showGridLines="0" workbookViewId="0"/>
  </sheetViews>
  <sheetFormatPr defaultColWidth="8.42578125" defaultRowHeight="15"/>
  <cols>
    <col min="1" max="1" width="2" customWidth="1"/>
    <col min="2" max="2" width="32" customWidth="1"/>
    <col min="3" max="3" width="12" customWidth="1"/>
    <col min="4" max="4" width="14" customWidth="1"/>
    <col min="5" max="9" width="12" customWidth="1"/>
    <col min="10" max="10" width="10" customWidth="1"/>
  </cols>
  <sheetData>
    <row r="1">
      <c r="B1" s="26" t="s">
        <v>0</v>
      </c>
    </row>
    <row r="2">
      <c r="B2" s="2" t="s">
        <v>467</v>
      </c>
    </row>
    <row r="3">
      <c r="B3" s="25" t="s">
        <v>2</v>
      </c>
    </row>
    <row r="5">
      <c r="B5" s="24" t="s">
        <v>3</v>
      </c>
      <c r="C5" s="10" t="s">
        <v>4</v>
      </c>
      <c r="D5" s="10" t="s">
        <v>5</v>
      </c>
      <c r="E5" s="10" t="s">
        <v>6</v>
      </c>
      <c r="F5" s="10" t="s">
        <v>7</v>
      </c>
      <c r="G5" s="10" t="s">
        <v>8</v>
      </c>
      <c r="H5" s="10" t="s">
        <v>9</v>
      </c>
    </row>
    <row r="6">
      <c r="B6" s="20" t="s">
        <v>10</v>
      </c>
      <c r="C6" s="5">
        <v>45930</v>
      </c>
      <c r="D6" s="5">
        <v>46022</v>
      </c>
      <c r="E6" s="5">
        <v>46112</v>
      </c>
      <c r="F6" s="5">
        <v>46203</v>
      </c>
      <c r="G6" s="5">
        <v>46022</v>
      </c>
      <c r="H6" s="5">
        <v>46295</v>
      </c>
    </row>
    <row r="7">
      <c r="B7" s="17" t="s">
        <v>11</v>
      </c>
      <c r="C7" s="7">
        <f>C6-EOMONTH(C6,-3)</f>
        <v>92</v>
      </c>
      <c r="D7" s="7">
        <f>D6-EOMONTH(D6,-3)</f>
        <v>92</v>
      </c>
      <c r="E7" s="7">
        <f>E6-EOMONTH(E6,-3)</f>
        <v>90</v>
      </c>
      <c r="F7" s="7">
        <f>F6-EOMONTH(F6,-3)</f>
        <v>91</v>
      </c>
      <c r="G7" s="7">
        <f>G6-EOMONTH(G6,-12)</f>
        <v>365</v>
      </c>
      <c r="H7" s="7">
        <f>H6-EOMONTH(H6,-3)</f>
        <v>92</v>
      </c>
    </row>
    <row r="8">
      <c r="B8" s="88" t="s">
        <v>468</v>
      </c>
    </row>
    <row r="9">
      <c r="B9" s="19" t="s">
        <v>469</v>
      </c>
      <c r="C9" s="3" t="s">
        <v>470</v>
      </c>
      <c r="D9" s="3" t="s">
        <v>3</v>
      </c>
      <c r="E9" s="3" t="s">
        <v>471</v>
      </c>
      <c r="F9" s="3" t="s">
        <v>472</v>
      </c>
      <c r="G9" s="3" t="s">
        <v>473</v>
      </c>
      <c r="H9" s="3" t="s">
        <v>474</v>
      </c>
      <c r="I9" s="3" t="s">
        <v>475</v>
      </c>
      <c r="J9" s="3" t="s">
        <v>476</v>
      </c>
    </row>
    <row r="10" ht="14.625">
      <c r="B10" s="84" t="s">
        <v>477</v>
      </c>
      <c r="C10" s="44" t="s">
        <v>37</v>
      </c>
      <c r="D10" s="77" t="s">
        <v>478</v>
      </c>
      <c r="E10" s="44" t="s">
        <v>37</v>
      </c>
      <c r="F10" s="44" t="s">
        <v>37</v>
      </c>
      <c r="G10" s="44" t="s">
        <v>37</v>
      </c>
      <c r="H10" s="44" t="s">
        <v>37</v>
      </c>
      <c r="I10" s="44" t="s">
        <v>37</v>
      </c>
      <c r="J10" s="77" t="s">
        <v>479</v>
      </c>
    </row>
    <row r="11" ht="35.25">
      <c r="B11" s="80" t="s">
        <v>480</v>
      </c>
      <c r="C11" s="47">
        <v>46037</v>
      </c>
      <c r="D11" s="76" t="s">
        <v>481</v>
      </c>
      <c r="E11" s="46">
        <v>0.25</v>
      </c>
      <c r="F11" s="46">
        <v>0.25</v>
      </c>
      <c r="G11" s="16">
        <f>AVERAGE(E11,F11)</f>
        <v>0.25</v>
      </c>
      <c r="H11" s="21">
        <f>'Income Statement'!E155</f>
        <v>0.23151244890375325</v>
      </c>
      <c r="I11" s="16" t="str">
        <f>IF(ROUND(H11,4)=ROUND(G11,4),"In line",IF(H11&lt;G11,"Below","Above"))</f>
        <v>Below</v>
      </c>
      <c r="J11" s="76" t="s">
        <v>482</v>
      </c>
    </row>
    <row r="12" ht="35.25">
      <c r="B12" s="80" t="s">
        <v>483</v>
      </c>
      <c r="C12" s="47">
        <v>46126</v>
      </c>
      <c r="D12" s="76" t="s">
        <v>484</v>
      </c>
      <c r="E12" s="46">
        <v>0.25</v>
      </c>
      <c r="F12" s="46">
        <v>0.25</v>
      </c>
      <c r="G12" s="16">
        <f>AVERAGE(E12,F12)</f>
        <v>0.25</v>
      </c>
      <c r="H12" s="21">
        <f>'Income Statement'!F155</f>
        <v>0.2515517804639007</v>
      </c>
      <c r="I12" s="16" t="str">
        <f>IF(ROUND(H12,4)=ROUND(G12,4),"In line",IF(H12&lt;G12,"Below","Above"))</f>
        <v>Above</v>
      </c>
      <c r="J12" s="76" t="s">
        <v>485</v>
      </c>
    </row>
    <row r="13" ht="24">
      <c r="B13" s="99" t="s">
        <v>486</v>
      </c>
      <c r="C13" s="47">
        <v>46218</v>
      </c>
      <c r="D13" s="76" t="s">
        <v>484</v>
      </c>
      <c r="E13" s="46">
        <v>0.25</v>
      </c>
      <c r="F13" s="46">
        <v>0.25</v>
      </c>
      <c r="G13" s="16">
        <f>AVERAGE(E13,F13)</f>
        <v>0.25</v>
      </c>
      <c r="H13" s="16" t="s">
        <v>487</v>
      </c>
      <c r="I13" s="16" t="s">
        <v>487</v>
      </c>
      <c r="J13" s="76" t="s">
        <v>488</v>
      </c>
    </row>
    <row r="14" ht="24">
      <c r="B14" s="100" t="s">
        <v>489</v>
      </c>
      <c r="C14" s="45">
        <v>46037</v>
      </c>
      <c r="D14" s="81" t="s">
        <v>490</v>
      </c>
      <c r="E14" s="23">
        <v>450</v>
      </c>
      <c r="F14" s="6" t="s">
        <v>37</v>
      </c>
      <c r="G14" s="6">
        <f>E14</f>
        <v>450</v>
      </c>
      <c r="H14" s="4">
        <f>'Share Count'!E27</f>
        <v>450</v>
      </c>
      <c r="I14" s="6" t="str">
        <f>IF(H14&gt;=E14,"Met / beat","Missed")</f>
        <v>Met / beat</v>
      </c>
      <c r="J14" s="81" t="s">
        <v>482</v>
      </c>
    </row>
    <row r="15" ht="24">
      <c r="B15" s="100" t="s">
        <v>489</v>
      </c>
      <c r="C15" s="45">
        <v>46126</v>
      </c>
      <c r="D15" s="81" t="s">
        <v>484</v>
      </c>
      <c r="E15" s="23">
        <v>450</v>
      </c>
      <c r="F15" s="6" t="s">
        <v>37</v>
      </c>
      <c r="G15" s="6">
        <f>E15</f>
        <v>450</v>
      </c>
      <c r="H15" s="4">
        <f>'Share Count'!F27</f>
        <v>450</v>
      </c>
      <c r="I15" s="6" t="str">
        <f>IF(H15&gt;=E15,"Met / beat","Missed")</f>
        <v>Met / beat</v>
      </c>
      <c r="J15" s="81" t="s">
        <v>485</v>
      </c>
    </row>
    <row r="16" ht="27">
      <c r="B16" s="100" t="s">
        <v>491</v>
      </c>
      <c r="C16" s="45">
        <v>46218</v>
      </c>
      <c r="D16" s="81" t="s">
        <v>492</v>
      </c>
      <c r="E16" s="23">
        <v>550</v>
      </c>
      <c r="F16" s="6" t="s">
        <v>37</v>
      </c>
      <c r="G16" s="6">
        <f>E16</f>
        <v>550</v>
      </c>
      <c r="H16" s="6" t="s">
        <v>487</v>
      </c>
      <c r="I16" s="6" t="s">
        <v>487</v>
      </c>
      <c r="J16" s="81" t="s">
        <v>488</v>
      </c>
    </row>
    <row r="17" ht="24">
      <c r="B17" s="84" t="s">
        <v>493</v>
      </c>
      <c r="C17" s="45">
        <v>46218</v>
      </c>
      <c r="D17" s="81" t="s">
        <v>481</v>
      </c>
      <c r="E17" s="23">
        <v>2000</v>
      </c>
      <c r="F17" s="23">
        <v>2000</v>
      </c>
      <c r="G17" s="6">
        <f>AVERAGE(E17,F17)</f>
        <v>2000</v>
      </c>
      <c r="H17" s="6" t="s">
        <v>487</v>
      </c>
      <c r="I17" s="6" t="s">
        <v>487</v>
      </c>
      <c r="J17" s="81" t="s">
        <v>494</v>
      </c>
    </row>
    <row r="18" ht="14.625">
      <c r="B18" s="84" t="s">
        <v>495</v>
      </c>
      <c r="C18" s="45">
        <v>46037</v>
      </c>
      <c r="D18" s="83" t="s">
        <v>490</v>
      </c>
      <c r="E18" s="33">
        <v>5.73</v>
      </c>
      <c r="F18" s="33">
        <v>5.73</v>
      </c>
      <c r="G18" s="11">
        <f>AVERAGE(E18,F18)</f>
        <v>5.73</v>
      </c>
      <c r="H18" s="8">
        <f>'Share Count'!F33</f>
        <v>5.73</v>
      </c>
      <c r="I18" s="11" t="str">
        <f>IF(ROUND(H18,4)=ROUND(G18,4),"In line",IF(H18&lt;G18,"Below","Above"))</f>
        <v>In line</v>
      </c>
      <c r="J18" s="83" t="s">
        <v>496</v>
      </c>
    </row>
    <row r="19" ht="24">
      <c r="B19" s="80" t="s">
        <v>497</v>
      </c>
      <c r="C19" s="47">
        <v>46218</v>
      </c>
      <c r="D19" s="76" t="s">
        <v>498</v>
      </c>
      <c r="E19" s="46">
        <v>0.45</v>
      </c>
      <c r="F19" s="16" t="s">
        <v>37</v>
      </c>
      <c r="G19" s="16">
        <f>E19</f>
        <v>0.45</v>
      </c>
      <c r="H19" s="21">
        <f>'Income Statement'!F148</f>
        <v>0.45906801007556675</v>
      </c>
      <c r="I19" s="16" t="str">
        <f>IF(H19&gt;=E19,"Met / beat","Missed")</f>
        <v>Met / beat</v>
      </c>
      <c r="J19" s="76" t="s">
        <v>488</v>
      </c>
    </row>
    <row r="20" ht="14.625">
      <c r="B20" s="80" t="s">
        <v>499</v>
      </c>
      <c r="C20" s="47">
        <v>46126</v>
      </c>
      <c r="D20" s="76" t="s">
        <v>500</v>
      </c>
      <c r="E20" s="46">
        <v>0.05</v>
      </c>
      <c r="F20" s="16" t="s">
        <v>37</v>
      </c>
      <c r="G20" s="16">
        <f>E20</f>
        <v>0.05</v>
      </c>
      <c r="H20" s="21">
        <f>'Revenue summary'!F796</f>
        <v>0.08</v>
      </c>
      <c r="I20" s="16" t="str">
        <f>IF(H20&gt;=E20,"Met / beat","Missed")</f>
        <v>Met / beat</v>
      </c>
      <c r="J20" s="76" t="s">
        <v>485</v>
      </c>
    </row>
    <row r="21" ht="27">
      <c r="B21" s="99" t="s">
        <v>501</v>
      </c>
      <c r="C21" s="47">
        <v>46218</v>
      </c>
      <c r="D21" s="76" t="s">
        <v>502</v>
      </c>
      <c r="E21" s="46">
        <v>0.11</v>
      </c>
      <c r="F21" s="46">
        <v>0.15</v>
      </c>
      <c r="G21" s="16">
        <f>AVERAGE(E21,F21)</f>
        <v>0.13</v>
      </c>
      <c r="H21" s="21">
        <f>'Revenue summary'!F716</f>
        <v>0.15</v>
      </c>
      <c r="I21" s="16" t="str">
        <f>IF(H21&gt;F21,"Above range",IF(H21&lt;E21,"Below range","In range"))</f>
        <v>In range</v>
      </c>
      <c r="J21" s="76" t="s">
        <v>488</v>
      </c>
    </row>
    <row r="22" ht="35.25">
      <c r="B22" s="99" t="s">
        <v>503</v>
      </c>
      <c r="C22" s="47">
        <v>46218</v>
      </c>
      <c r="D22" s="76" t="s">
        <v>481</v>
      </c>
      <c r="E22" s="46">
        <v>0.04</v>
      </c>
      <c r="F22" s="46">
        <v>0.06</v>
      </c>
      <c r="G22" s="16">
        <f>AVERAGE(E22,F22)</f>
        <v>0.05</v>
      </c>
      <c r="H22" s="16" t="s">
        <v>487</v>
      </c>
      <c r="I22" s="16" t="s">
        <v>487</v>
      </c>
      <c r="J22" s="76" t="s">
        <v>488</v>
      </c>
    </row>
    <row r="23" ht="14.625">
      <c r="B23" s="80" t="s">
        <v>504</v>
      </c>
      <c r="C23" s="47">
        <v>46037</v>
      </c>
      <c r="D23" s="76" t="s">
        <v>481</v>
      </c>
      <c r="E23" s="79" t="s">
        <v>505</v>
      </c>
      <c r="F23" s="79" t="s">
        <v>37</v>
      </c>
      <c r="G23" s="76" t="s">
        <v>37</v>
      </c>
      <c r="H23" s="16" t="s">
        <v>37</v>
      </c>
      <c r="I23" s="16" t="s">
        <v>37</v>
      </c>
      <c r="J23" s="76" t="s">
        <v>482</v>
      </c>
    </row>
    <row r="24" ht="27">
      <c r="B24" s="100" t="s">
        <v>506</v>
      </c>
      <c r="C24" s="45">
        <v>46218</v>
      </c>
      <c r="D24" s="81" t="s">
        <v>481</v>
      </c>
      <c r="E24" s="23">
        <v>5700</v>
      </c>
      <c r="F24" s="6" t="s">
        <v>37</v>
      </c>
      <c r="G24" s="6">
        <f>E24</f>
        <v>5700</v>
      </c>
      <c r="H24" s="6" t="s">
        <v>487</v>
      </c>
      <c r="I24" s="6" t="s">
        <v>487</v>
      </c>
      <c r="J24" s="81" t="s">
        <v>488</v>
      </c>
    </row>
  </sheetData>
  <legacyDrawing r:id="rId2"/>
</worksheet>
</file>

<file path=xl/worksheets/sheet8.xml><?xml version="1.0" encoding="utf-8"?>
<worksheet xmlns="http://schemas.openxmlformats.org/spreadsheetml/2006/main" xmlns:r="http://schemas.openxmlformats.org/officeDocument/2006/relationships">
  <dimension ref="B1:H47"/>
  <sheetViews>
    <sheetView showGridLines="0" workbookViewId="0"/>
  </sheetViews>
  <sheetFormatPr defaultColWidth="8.42578125" defaultRowHeight="15"/>
  <cols>
    <col min="1" max="1" width="2" customWidth="1"/>
    <col min="2" max="2" width="32" customWidth="1"/>
    <col min="3" max="3" width="12" customWidth="1"/>
    <col min="4" max="4" width="26" customWidth="1"/>
    <col min="5" max="6" width="60" customWidth="1"/>
    <col min="7" max="7" width="14" customWidth="1"/>
    <col min="8" max="8" width="12" customWidth="1"/>
  </cols>
  <sheetData>
    <row r="1">
      <c r="B1" s="26" t="s">
        <v>0</v>
      </c>
    </row>
    <row r="2">
      <c r="B2" s="2" t="s">
        <v>507</v>
      </c>
    </row>
    <row r="3">
      <c r="B3" s="25" t="s">
        <v>2</v>
      </c>
    </row>
    <row r="5">
      <c r="B5" s="24" t="s">
        <v>3</v>
      </c>
      <c r="C5" s="10" t="s">
        <v>4</v>
      </c>
      <c r="D5" s="10" t="s">
        <v>5</v>
      </c>
      <c r="E5" s="10" t="s">
        <v>6</v>
      </c>
      <c r="F5" s="10" t="s">
        <v>7</v>
      </c>
      <c r="G5" s="10" t="s">
        <v>8</v>
      </c>
      <c r="H5" s="10" t="s">
        <v>9</v>
      </c>
    </row>
    <row r="6">
      <c r="B6" s="20" t="s">
        <v>10</v>
      </c>
      <c r="C6" s="5">
        <v>45930</v>
      </c>
      <c r="D6" s="5">
        <v>46022</v>
      </c>
      <c r="E6" s="5">
        <v>46112</v>
      </c>
      <c r="F6" s="5">
        <v>46203</v>
      </c>
      <c r="G6" s="5">
        <v>46022</v>
      </c>
      <c r="H6" s="5">
        <v>46295</v>
      </c>
    </row>
    <row r="7">
      <c r="B7" s="17" t="s">
        <v>11</v>
      </c>
      <c r="C7" s="7">
        <f>C6-EOMONTH(C6,-3)</f>
        <v>92</v>
      </c>
      <c r="D7" s="7">
        <f>D6-EOMONTH(D6,-3)</f>
        <v>92</v>
      </c>
      <c r="E7" s="7">
        <f>E6-EOMONTH(E6,-3)</f>
        <v>90</v>
      </c>
      <c r="F7" s="7">
        <f>F6-EOMONTH(F6,-3)</f>
        <v>91</v>
      </c>
      <c r="G7" s="7">
        <f>G6-EOMONTH(G6,-12)</f>
        <v>365</v>
      </c>
      <c r="H7" s="7">
        <f>H6-EOMONTH(H6,-3)</f>
        <v>92</v>
      </c>
    </row>
    <row r="8">
      <c r="B8" s="88" t="s">
        <v>508</v>
      </c>
    </row>
    <row r="9">
      <c r="B9" s="19" t="s">
        <v>509</v>
      </c>
      <c r="C9" s="103" t="s">
        <v>510</v>
      </c>
      <c r="D9" s="19" t="s">
        <v>511</v>
      </c>
      <c r="E9" s="19" t="s">
        <v>512</v>
      </c>
      <c r="F9" s="19" t="s">
        <v>513</v>
      </c>
      <c r="G9" s="103" t="s">
        <v>514</v>
      </c>
    </row>
    <row r="10" ht="51">
      <c r="B10" s="94" t="s">
        <v>494</v>
      </c>
      <c r="C10" s="102">
        <v>46218</v>
      </c>
      <c r="D10" s="15" t="s">
        <v>515</v>
      </c>
      <c r="E10" s="15" t="s">
        <v>516</v>
      </c>
      <c r="F10" s="15" t="s">
        <v>517</v>
      </c>
      <c r="G10" s="102">
        <v>46307</v>
      </c>
    </row>
    <row r="11" ht="39">
      <c r="B11" s="94" t="s">
        <v>518</v>
      </c>
      <c r="C11" s="102">
        <v>46126</v>
      </c>
      <c r="D11" s="15" t="s">
        <v>515</v>
      </c>
      <c r="E11" s="15" t="s">
        <v>519</v>
      </c>
      <c r="F11" s="15" t="s">
        <v>520</v>
      </c>
      <c r="G11" s="102">
        <v>46307</v>
      </c>
    </row>
    <row r="12" ht="51">
      <c r="B12" s="94" t="s">
        <v>496</v>
      </c>
      <c r="C12" s="102">
        <v>46037</v>
      </c>
      <c r="D12" s="15" t="s">
        <v>515</v>
      </c>
      <c r="E12" s="15" t="s">
        <v>521</v>
      </c>
      <c r="F12" s="15" t="s">
        <v>522</v>
      </c>
      <c r="G12" s="102">
        <v>46307</v>
      </c>
    </row>
    <row r="13" ht="39">
      <c r="B13" s="94" t="s">
        <v>523</v>
      </c>
      <c r="C13" s="102">
        <v>45944</v>
      </c>
      <c r="D13" s="15" t="s">
        <v>515</v>
      </c>
      <c r="E13" s="15" t="s">
        <v>524</v>
      </c>
      <c r="F13" s="15" t="s">
        <v>525</v>
      </c>
      <c r="G13" s="102">
        <v>46307</v>
      </c>
    </row>
    <row r="14" ht="51">
      <c r="B14" s="94" t="s">
        <v>526</v>
      </c>
      <c r="C14" s="102">
        <v>46240</v>
      </c>
      <c r="D14" s="15" t="s">
        <v>527</v>
      </c>
      <c r="E14" s="15" t="s">
        <v>528</v>
      </c>
      <c r="F14" s="15" t="s">
        <v>529</v>
      </c>
      <c r="G14" s="102">
        <v>46307</v>
      </c>
    </row>
    <row r="15" ht="27">
      <c r="B15" s="94" t="s">
        <v>530</v>
      </c>
      <c r="C15" s="102">
        <v>46148</v>
      </c>
      <c r="D15" s="15" t="s">
        <v>527</v>
      </c>
      <c r="E15" s="15" t="s">
        <v>531</v>
      </c>
      <c r="F15" s="15" t="s">
        <v>532</v>
      </c>
      <c r="G15" s="102">
        <v>46307</v>
      </c>
    </row>
    <row r="16" ht="39">
      <c r="B16" s="94" t="s">
        <v>533</v>
      </c>
      <c r="C16" s="102">
        <v>46078</v>
      </c>
      <c r="D16" s="15" t="s">
        <v>527</v>
      </c>
      <c r="E16" s="15" t="s">
        <v>534</v>
      </c>
      <c r="F16" s="15" t="s">
        <v>535</v>
      </c>
      <c r="G16" s="102">
        <v>46307</v>
      </c>
    </row>
    <row r="17" ht="27">
      <c r="B17" s="94" t="s">
        <v>536</v>
      </c>
      <c r="C17" s="102">
        <v>45966</v>
      </c>
      <c r="D17" s="15" t="s">
        <v>527</v>
      </c>
      <c r="E17" s="15" t="s">
        <v>537</v>
      </c>
      <c r="F17" s="15" t="s">
        <v>538</v>
      </c>
      <c r="G17" s="102">
        <v>46307</v>
      </c>
    </row>
    <row r="18" ht="39">
      <c r="B18" s="94" t="s">
        <v>488</v>
      </c>
      <c r="C18" s="102">
        <v>46225</v>
      </c>
      <c r="D18" s="15" t="s">
        <v>539</v>
      </c>
      <c r="E18" s="15" t="s">
        <v>540</v>
      </c>
      <c r="F18" s="15" t="s">
        <v>541</v>
      </c>
      <c r="G18" s="102">
        <v>46307</v>
      </c>
    </row>
    <row r="19" ht="39">
      <c r="B19" s="94" t="s">
        <v>485</v>
      </c>
      <c r="C19" s="102">
        <v>46126</v>
      </c>
      <c r="D19" s="15" t="s">
        <v>539</v>
      </c>
      <c r="E19" s="15" t="s">
        <v>542</v>
      </c>
      <c r="F19" s="15" t="s">
        <v>543</v>
      </c>
      <c r="G19" s="102">
        <v>46307</v>
      </c>
    </row>
    <row r="20" ht="39">
      <c r="B20" s="94" t="s">
        <v>482</v>
      </c>
      <c r="C20" s="102">
        <v>46037</v>
      </c>
      <c r="D20" s="15" t="s">
        <v>544</v>
      </c>
      <c r="E20" s="15" t="s">
        <v>545</v>
      </c>
      <c r="F20" s="15" t="s">
        <v>546</v>
      </c>
      <c r="G20" s="102">
        <v>46307</v>
      </c>
    </row>
    <row r="21" ht="27">
      <c r="B21" s="94" t="s">
        <v>547</v>
      </c>
      <c r="C21" s="102">
        <v>46306</v>
      </c>
      <c r="D21" s="15" t="s">
        <v>548</v>
      </c>
      <c r="E21" s="15" t="s">
        <v>549</v>
      </c>
      <c r="F21" s="15" t="s">
        <v>550</v>
      </c>
      <c r="G21" s="102">
        <v>46307</v>
      </c>
    </row>
    <row r="22" ht="39">
      <c r="B22" s="94" t="s">
        <v>551</v>
      </c>
      <c r="C22" s="102">
        <v>46306</v>
      </c>
      <c r="D22" s="15" t="s">
        <v>548</v>
      </c>
      <c r="E22" s="15" t="s">
        <v>552</v>
      </c>
      <c r="F22" s="15" t="s">
        <v>553</v>
      </c>
      <c r="G22" s="102">
        <v>46307</v>
      </c>
    </row>
    <row r="23" ht="51">
      <c r="B23" s="94" t="s">
        <v>554</v>
      </c>
      <c r="C23" s="102">
        <v>46295</v>
      </c>
      <c r="D23" s="15" t="s">
        <v>555</v>
      </c>
      <c r="E23" s="15" t="s">
        <v>556</v>
      </c>
      <c r="F23" s="15" t="s">
        <v>557</v>
      </c>
      <c r="G23" s="102">
        <v>46307</v>
      </c>
    </row>
    <row r="24" ht="39">
      <c r="B24" s="94" t="s">
        <v>558</v>
      </c>
      <c r="C24" s="102">
        <v>46295</v>
      </c>
      <c r="D24" s="15" t="s">
        <v>559</v>
      </c>
      <c r="E24" s="15" t="s">
        <v>560</v>
      </c>
      <c r="F24" s="15" t="s">
        <v>561</v>
      </c>
      <c r="G24" s="102">
        <v>46307</v>
      </c>
    </row>
    <row r="25" ht="39">
      <c r="B25" s="94" t="s">
        <v>562</v>
      </c>
      <c r="C25" s="102">
        <v>46297</v>
      </c>
      <c r="D25" s="15" t="s">
        <v>563</v>
      </c>
      <c r="E25" s="15" t="s">
        <v>564</v>
      </c>
      <c r="F25" s="15" t="s">
        <v>565</v>
      </c>
      <c r="G25" s="102">
        <v>46307</v>
      </c>
    </row>
    <row r="26" ht="27">
      <c r="B26" s="94" t="s">
        <v>566</v>
      </c>
      <c r="C26" s="102">
        <v>46112</v>
      </c>
      <c r="D26" s="15" t="s">
        <v>567</v>
      </c>
      <c r="E26" s="15" t="s">
        <v>568</v>
      </c>
      <c r="F26" s="15" t="s">
        <v>569</v>
      </c>
      <c r="G26" s="102">
        <v>46307</v>
      </c>
    </row>
    <row r="27" ht="27">
      <c r="B27" s="94" t="s">
        <v>570</v>
      </c>
      <c r="C27" s="102">
        <v>46142</v>
      </c>
      <c r="D27" s="15" t="s">
        <v>571</v>
      </c>
      <c r="E27" s="15" t="s">
        <v>572</v>
      </c>
      <c r="F27" s="15" t="s">
        <v>573</v>
      </c>
      <c r="G27" s="102">
        <v>46307</v>
      </c>
    </row>
    <row r="28" ht="27">
      <c r="B28" s="94" t="s">
        <v>574</v>
      </c>
      <c r="C28" s="102">
        <v>46171</v>
      </c>
      <c r="D28" s="15" t="s">
        <v>575</v>
      </c>
      <c r="E28" s="15" t="s">
        <v>576</v>
      </c>
      <c r="F28" s="15" t="s">
        <v>577</v>
      </c>
      <c r="G28" s="102">
        <v>46307</v>
      </c>
    </row>
    <row r="29" ht="27">
      <c r="B29" s="94" t="s">
        <v>578</v>
      </c>
      <c r="C29" s="102">
        <v>46304</v>
      </c>
      <c r="D29" s="15" t="s">
        <v>579</v>
      </c>
      <c r="E29" s="15" t="s">
        <v>580</v>
      </c>
      <c r="F29" s="15" t="s">
        <v>581</v>
      </c>
      <c r="G29" s="102">
        <v>46307</v>
      </c>
    </row>
    <row r="30" ht="39">
      <c r="B30" s="94" t="s">
        <v>582</v>
      </c>
      <c r="C30" s="102">
        <v>46295</v>
      </c>
      <c r="D30" s="15" t="s">
        <v>583</v>
      </c>
      <c r="E30" s="15" t="s">
        <v>584</v>
      </c>
      <c r="F30" s="15" t="s">
        <v>585</v>
      </c>
      <c r="G30" s="102">
        <v>46307</v>
      </c>
    </row>
    <row r="31" ht="27">
      <c r="B31" s="94" t="s">
        <v>586</v>
      </c>
      <c r="C31" s="102">
        <v>46298</v>
      </c>
      <c r="D31" s="15" t="s">
        <v>587</v>
      </c>
      <c r="E31" s="15" t="s">
        <v>588</v>
      </c>
      <c r="F31" s="15" t="s">
        <v>589</v>
      </c>
      <c r="G31" s="102">
        <v>46307</v>
      </c>
    </row>
    <row r="32" ht="39">
      <c r="B32" s="94" t="s">
        <v>590</v>
      </c>
      <c r="C32" s="102">
        <v>46304</v>
      </c>
      <c r="D32" s="15" t="s">
        <v>591</v>
      </c>
      <c r="E32" s="15" t="s">
        <v>592</v>
      </c>
      <c r="F32" s="15" t="s">
        <v>593</v>
      </c>
      <c r="G32" s="102">
        <v>46307</v>
      </c>
    </row>
    <row r="33" ht="39">
      <c r="B33" s="94" t="s">
        <v>594</v>
      </c>
      <c r="C33" s="102">
        <v>46213</v>
      </c>
      <c r="D33" s="15" t="s">
        <v>591</v>
      </c>
      <c r="E33" s="15" t="s">
        <v>595</v>
      </c>
      <c r="F33" s="15" t="s">
        <v>596</v>
      </c>
      <c r="G33" s="102">
        <v>46307</v>
      </c>
    </row>
    <row r="34" ht="63">
      <c r="B34" s="94" t="s">
        <v>597</v>
      </c>
      <c r="C34" s="102">
        <v>46300</v>
      </c>
      <c r="D34" s="15" t="s">
        <v>598</v>
      </c>
      <c r="E34" s="15" t="s">
        <v>599</v>
      </c>
      <c r="F34" s="15" t="s">
        <v>600</v>
      </c>
      <c r="G34" s="102">
        <v>46307</v>
      </c>
    </row>
    <row r="35" ht="39">
      <c r="B35" s="94" t="s">
        <v>601</v>
      </c>
      <c r="C35" s="102">
        <v>46300</v>
      </c>
      <c r="D35" s="15" t="s">
        <v>602</v>
      </c>
      <c r="E35" s="15" t="s">
        <v>603</v>
      </c>
      <c r="F35" s="15" t="s">
        <v>604</v>
      </c>
      <c r="G35" s="102">
        <v>46307</v>
      </c>
    </row>
    <row r="36" ht="39">
      <c r="B36" s="94" t="s">
        <v>605</v>
      </c>
      <c r="C36" s="102">
        <v>46288</v>
      </c>
      <c r="D36" s="15" t="s">
        <v>602</v>
      </c>
      <c r="E36" s="15" t="s">
        <v>606</v>
      </c>
      <c r="F36" s="15" t="s">
        <v>607</v>
      </c>
      <c r="G36" s="102">
        <v>46307</v>
      </c>
    </row>
    <row r="37" ht="39">
      <c r="B37" s="94" t="s">
        <v>608</v>
      </c>
      <c r="C37" s="102">
        <v>46297</v>
      </c>
      <c r="D37" s="15" t="s">
        <v>609</v>
      </c>
      <c r="E37" s="15" t="s">
        <v>610</v>
      </c>
      <c r="F37" s="15" t="s">
        <v>611</v>
      </c>
      <c r="G37" s="102">
        <v>46307</v>
      </c>
    </row>
    <row r="38" ht="39">
      <c r="B38" s="94" t="s">
        <v>612</v>
      </c>
      <c r="C38" s="102">
        <v>46304</v>
      </c>
      <c r="D38" s="15" t="s">
        <v>613</v>
      </c>
      <c r="E38" s="15" t="s">
        <v>614</v>
      </c>
      <c r="F38" s="15" t="s">
        <v>615</v>
      </c>
      <c r="G38" s="102">
        <v>46307</v>
      </c>
    </row>
    <row r="39" ht="27">
      <c r="B39" s="94" t="s">
        <v>616</v>
      </c>
      <c r="C39" s="102">
        <v>46301</v>
      </c>
      <c r="D39" s="15" t="s">
        <v>617</v>
      </c>
      <c r="E39" s="15" t="s">
        <v>618</v>
      </c>
      <c r="F39" s="15" t="s">
        <v>619</v>
      </c>
      <c r="G39" s="102">
        <v>46307</v>
      </c>
    </row>
    <row r="40" ht="27">
      <c r="B40" s="94" t="s">
        <v>620</v>
      </c>
      <c r="C40" s="102">
        <v>46304</v>
      </c>
      <c r="D40" s="15" t="s">
        <v>621</v>
      </c>
      <c r="E40" s="15" t="s">
        <v>622</v>
      </c>
      <c r="F40" s="15" t="s">
        <v>623</v>
      </c>
      <c r="G40" s="102">
        <v>46307</v>
      </c>
    </row>
    <row r="41" ht="39">
      <c r="B41" s="94" t="s">
        <v>624</v>
      </c>
      <c r="C41" s="102">
        <v>46294</v>
      </c>
      <c r="D41" s="15" t="s">
        <v>625</v>
      </c>
      <c r="E41" s="15" t="s">
        <v>626</v>
      </c>
      <c r="F41" s="15" t="s">
        <v>627</v>
      </c>
      <c r="G41" s="102">
        <v>46307</v>
      </c>
    </row>
    <row r="42" ht="27">
      <c r="B42" s="94" t="s">
        <v>628</v>
      </c>
      <c r="C42" s="102">
        <v>46277</v>
      </c>
      <c r="D42" s="15" t="s">
        <v>629</v>
      </c>
      <c r="E42" s="15" t="s">
        <v>630</v>
      </c>
      <c r="F42" s="15" t="s">
        <v>631</v>
      </c>
      <c r="G42" s="102">
        <v>46307</v>
      </c>
    </row>
    <row r="43" ht="39">
      <c r="B43" s="94" t="s">
        <v>632</v>
      </c>
      <c r="C43" s="102">
        <v>46295</v>
      </c>
      <c r="D43" s="15" t="s">
        <v>633</v>
      </c>
      <c r="E43" s="15" t="s">
        <v>634</v>
      </c>
      <c r="F43" s="15" t="s">
        <v>635</v>
      </c>
      <c r="G43" s="102">
        <v>46307</v>
      </c>
    </row>
    <row r="44" ht="39">
      <c r="B44" s="94" t="s">
        <v>636</v>
      </c>
      <c r="C44" s="102">
        <v>46240</v>
      </c>
      <c r="D44" s="15" t="s">
        <v>637</v>
      </c>
      <c r="E44" s="15" t="s">
        <v>638</v>
      </c>
      <c r="F44" s="15" t="s">
        <v>639</v>
      </c>
      <c r="G44" s="102">
        <v>46307</v>
      </c>
    </row>
    <row r="46">
      <c r="B46" s="111" t="s">
        <v>640</v>
      </c>
    </row>
    <row r="47">
      <c r="B47" s="111" t="s">
        <v>641</v>
      </c>
    </row>
  </sheetData>
  <legacyDrawing r:id="rId2"/>
</worksheet>
</file>

<file path=xl/worksheets/sheet9.xml><?xml version="1.0" encoding="utf-8"?>
<worksheet xmlns="http://schemas.openxmlformats.org/spreadsheetml/2006/main" xmlns:r="http://schemas.openxmlformats.org/officeDocument/2006/relationships">
  <dimension ref="B1:K234"/>
  <sheetViews>
    <sheetView showGridLines="0" workbookViewId="0"/>
  </sheetViews>
  <sheetFormatPr defaultColWidth="8.42578125" defaultRowHeight="15"/>
  <cols>
    <col min="1" max="1" width="2" customWidth="1"/>
    <col min="2" max="2" width="32" customWidth="1"/>
    <col min="3" max="11" width="12" customWidth="1"/>
  </cols>
  <sheetData>
    <row r="1">
      <c r="B1" s="26" t="s">
        <v>0</v>
      </c>
    </row>
    <row r="2">
      <c r="B2" s="2" t="s">
        <v>642</v>
      </c>
    </row>
    <row r="3">
      <c r="B3" s="25" t="s">
        <v>2</v>
      </c>
    </row>
    <row r="5">
      <c r="B5" s="24" t="s">
        <v>3</v>
      </c>
      <c r="C5" s="10" t="s">
        <v>4</v>
      </c>
      <c r="D5" s="10" t="s">
        <v>5</v>
      </c>
      <c r="E5" s="10" t="s">
        <v>6</v>
      </c>
      <c r="F5" s="10" t="s">
        <v>7</v>
      </c>
      <c r="G5" s="10" t="s">
        <v>8</v>
      </c>
      <c r="H5" s="10" t="s">
        <v>9</v>
      </c>
    </row>
    <row r="6">
      <c r="B6" s="20" t="s">
        <v>10</v>
      </c>
      <c r="C6" s="5">
        <v>45930</v>
      </c>
      <c r="D6" s="5">
        <v>46022</v>
      </c>
      <c r="E6" s="5">
        <v>46112</v>
      </c>
      <c r="F6" s="5">
        <v>46203</v>
      </c>
      <c r="G6" s="5">
        <v>46022</v>
      </c>
      <c r="H6" s="5">
        <v>46295</v>
      </c>
    </row>
    <row r="7">
      <c r="B7" s="17" t="s">
        <v>11</v>
      </c>
      <c r="C7" s="7">
        <f>C6-EOMONTH(C6,-3)</f>
        <v>92</v>
      </c>
      <c r="D7" s="7">
        <f>D6-EOMONTH(D6,-3)</f>
        <v>92</v>
      </c>
      <c r="E7" s="7">
        <f>E6-EOMONTH(E6,-3)</f>
        <v>90</v>
      </c>
      <c r="F7" s="7">
        <f>F6-EOMONTH(F6,-3)</f>
        <v>91</v>
      </c>
      <c r="G7" s="7">
        <f>G6-EOMONTH(G6,-12)</f>
        <v>365</v>
      </c>
      <c r="H7" s="7">
        <f>H6-EOMONTH(H6,-3)</f>
        <v>92</v>
      </c>
    </row>
    <row r="8">
      <c r="B8" s="88" t="s">
        <v>643</v>
      </c>
    </row>
    <row r="9">
      <c r="B9" s="34" t="s">
        <v>644</v>
      </c>
    </row>
    <row r="10">
      <c r="B10" s="2" t="s">
        <v>645</v>
      </c>
      <c r="C10" s="63" t="s">
        <v>646</v>
      </c>
      <c r="D10" s="63" t="s">
        <v>647</v>
      </c>
    </row>
    <row r="11">
      <c r="B11" s="1" t="s">
        <v>648</v>
      </c>
      <c r="C11" s="68" t="s">
        <v>649</v>
      </c>
    </row>
    <row r="12">
      <c r="B12" s="1" t="s">
        <v>650</v>
      </c>
      <c r="C12" s="68" t="s">
        <v>15</v>
      </c>
    </row>
    <row r="13">
      <c r="B13" s="1" t="s">
        <v>651</v>
      </c>
      <c r="C13" s="68" t="s">
        <v>652</v>
      </c>
    </row>
    <row r="14">
      <c r="B14" s="1" t="s">
        <v>653</v>
      </c>
      <c r="C14" s="68">
        <v>403413</v>
      </c>
    </row>
    <row r="15">
      <c r="B15" s="1" t="s">
        <v>654</v>
      </c>
      <c r="C15" s="68" t="s">
        <v>655</v>
      </c>
    </row>
    <row r="16">
      <c r="B16" s="1" t="s">
        <v>656</v>
      </c>
      <c r="D16" s="65" t="s">
        <v>657</v>
      </c>
    </row>
    <row r="17">
      <c r="B17" s="1" t="s">
        <v>658</v>
      </c>
      <c r="C17" s="68" t="s">
        <v>659</v>
      </c>
    </row>
    <row r="18">
      <c r="B18" s="1" t="s">
        <v>660</v>
      </c>
      <c r="C18" s="45">
        <v>46295</v>
      </c>
    </row>
    <row r="19">
      <c r="B19" s="1" t="s">
        <v>661</v>
      </c>
      <c r="C19" s="45">
        <v>46311</v>
      </c>
    </row>
    <row r="20">
      <c r="B20" s="1" t="s">
        <v>662</v>
      </c>
      <c r="C20" s="68" t="s">
        <v>663</v>
      </c>
    </row>
    <row r="21">
      <c r="B21" s="1" t="s">
        <v>664</v>
      </c>
      <c r="C21" s="104">
        <v>18</v>
      </c>
    </row>
    <row r="22">
      <c r="B22" s="1" t="s">
        <v>665</v>
      </c>
      <c r="C22" s="33">
        <v>14.31</v>
      </c>
    </row>
    <row r="23">
      <c r="B23" s="1" t="s">
        <v>666</v>
      </c>
      <c r="C23" s="33">
        <v>14.17</v>
      </c>
    </row>
    <row r="24">
      <c r="B24" s="1" t="s">
        <v>667</v>
      </c>
      <c r="C24" s="33">
        <v>16.78</v>
      </c>
    </row>
    <row r="25">
      <c r="B25" s="1" t="s">
        <v>668</v>
      </c>
      <c r="C25" s="33">
        <v>13.59</v>
      </c>
    </row>
    <row r="26">
      <c r="B26" s="1" t="s">
        <v>669</v>
      </c>
      <c r="C26" s="33">
        <v>0.73</v>
      </c>
    </row>
    <row r="27">
      <c r="B27" s="1" t="s">
        <v>670</v>
      </c>
      <c r="C27" s="104">
        <v>15</v>
      </c>
    </row>
    <row r="28">
      <c r="B28" s="1" t="s">
        <v>671</v>
      </c>
      <c r="D28" s="65" t="s">
        <v>657</v>
      </c>
    </row>
    <row r="29">
      <c r="B29" s="1" t="s">
        <v>672</v>
      </c>
      <c r="D29" s="65" t="s">
        <v>657</v>
      </c>
    </row>
    <row r="30">
      <c r="B30" s="1" t="s">
        <v>673</v>
      </c>
      <c r="D30" s="65" t="s">
        <v>657</v>
      </c>
    </row>
    <row r="31">
      <c r="B31" s="1" t="s">
        <v>674</v>
      </c>
      <c r="C31" s="33">
        <v>13.85</v>
      </c>
    </row>
    <row r="32">
      <c r="B32" s="1" t="s">
        <v>675</v>
      </c>
      <c r="C32" s="33">
        <v>14.05</v>
      </c>
    </row>
    <row r="33">
      <c r="B33" s="1" t="s">
        <v>676</v>
      </c>
      <c r="C33" s="33">
        <v>15.45</v>
      </c>
    </row>
    <row r="34">
      <c r="B34" s="1" t="s">
        <v>677</v>
      </c>
      <c r="C34" s="33">
        <v>11.84</v>
      </c>
    </row>
    <row r="35">
      <c r="B35" s="1" t="s">
        <v>678</v>
      </c>
      <c r="C35" s="33">
        <v>1.29</v>
      </c>
    </row>
    <row r="36">
      <c r="B36" s="1" t="s">
        <v>679</v>
      </c>
      <c r="C36" s="104">
        <v>4</v>
      </c>
    </row>
    <row r="37">
      <c r="B37" s="1" t="s">
        <v>680</v>
      </c>
      <c r="D37" s="65" t="s">
        <v>657</v>
      </c>
    </row>
    <row r="38">
      <c r="B38" s="1" t="s">
        <v>681</v>
      </c>
      <c r="C38" s="23">
        <v>7518.5</v>
      </c>
    </row>
    <row r="39">
      <c r="B39" s="1" t="s">
        <v>682</v>
      </c>
      <c r="C39" s="23">
        <v>7508</v>
      </c>
    </row>
    <row r="40">
      <c r="B40" s="1" t="s">
        <v>683</v>
      </c>
      <c r="C40" s="23">
        <v>7631.4</v>
      </c>
    </row>
    <row r="41">
      <c r="B41" s="1" t="s">
        <v>684</v>
      </c>
      <c r="C41" s="23">
        <v>7410</v>
      </c>
    </row>
    <row r="42">
      <c r="B42" s="1" t="s">
        <v>685</v>
      </c>
      <c r="C42" s="23">
        <v>69.71</v>
      </c>
    </row>
    <row r="43">
      <c r="B43" s="1" t="s">
        <v>686</v>
      </c>
      <c r="C43" s="104">
        <v>8</v>
      </c>
    </row>
    <row r="44">
      <c r="B44" s="1" t="s">
        <v>687</v>
      </c>
      <c r="D44" s="65" t="s">
        <v>657</v>
      </c>
    </row>
    <row r="45">
      <c r="B45" s="1" t="s">
        <v>688</v>
      </c>
      <c r="D45" s="65" t="s">
        <v>657</v>
      </c>
    </row>
    <row r="46">
      <c r="B46" s="1" t="s">
        <v>689</v>
      </c>
      <c r="D46" s="65" t="s">
        <v>657</v>
      </c>
    </row>
    <row r="47">
      <c r="B47" s="1" t="s">
        <v>690</v>
      </c>
      <c r="C47" s="23">
        <v>3512.81</v>
      </c>
    </row>
    <row r="48">
      <c r="B48" s="1" t="s">
        <v>691</v>
      </c>
      <c r="C48" s="23">
        <v>3016.2</v>
      </c>
    </row>
    <row r="49">
      <c r="B49" s="1" t="s">
        <v>692</v>
      </c>
      <c r="C49" s="23">
        <v>3135.67</v>
      </c>
    </row>
    <row r="50">
      <c r="B50" s="1" t="s">
        <v>693</v>
      </c>
      <c r="C50" s="23">
        <v>2856.19</v>
      </c>
    </row>
    <row r="51">
      <c r="B51" s="1" t="s">
        <v>694</v>
      </c>
      <c r="C51" s="23">
        <v>2379.39</v>
      </c>
    </row>
    <row r="52">
      <c r="B52" s="1" t="s">
        <v>695</v>
      </c>
      <c r="C52" s="23">
        <v>2305.4</v>
      </c>
    </row>
    <row r="53">
      <c r="B53" s="1" t="s">
        <v>696</v>
      </c>
      <c r="D53" s="65" t="s">
        <v>657</v>
      </c>
    </row>
    <row r="54">
      <c r="B54" s="1" t="s">
        <v>697</v>
      </c>
      <c r="D54" s="65" t="s">
        <v>657</v>
      </c>
    </row>
    <row r="55">
      <c r="B55" s="1" t="s">
        <v>698</v>
      </c>
      <c r="C55" s="23">
        <v>105</v>
      </c>
    </row>
    <row r="56">
      <c r="B56" s="1" t="s">
        <v>699</v>
      </c>
      <c r="D56" s="65" t="s">
        <v>657</v>
      </c>
    </row>
    <row r="57">
      <c r="B57" s="1" t="s">
        <v>700</v>
      </c>
      <c r="C57" s="23">
        <v>1100</v>
      </c>
    </row>
    <row r="58">
      <c r="B58" s="1" t="s">
        <v>701</v>
      </c>
      <c r="D58" s="65" t="s">
        <v>657</v>
      </c>
    </row>
    <row r="59">
      <c r="B59" s="1" t="s">
        <v>702</v>
      </c>
      <c r="C59" s="23">
        <v>-100</v>
      </c>
    </row>
    <row r="60">
      <c r="B60" s="1" t="s">
        <v>703</v>
      </c>
      <c r="D60" s="65" t="s">
        <v>657</v>
      </c>
    </row>
    <row r="61">
      <c r="B61" s="1" t="s">
        <v>704</v>
      </c>
      <c r="D61" s="65" t="s">
        <v>657</v>
      </c>
    </row>
    <row r="62">
      <c r="B62" s="1" t="s">
        <v>705</v>
      </c>
      <c r="D62" s="65" t="s">
        <v>657</v>
      </c>
    </row>
    <row r="63">
      <c r="B63" s="1" t="s">
        <v>706</v>
      </c>
      <c r="D63" s="65" t="s">
        <v>657</v>
      </c>
    </row>
    <row r="64">
      <c r="B64" s="1" t="s">
        <v>707</v>
      </c>
      <c r="D64" s="65" t="s">
        <v>657</v>
      </c>
    </row>
    <row r="65">
      <c r="B65" s="1" t="s">
        <v>708</v>
      </c>
      <c r="D65" s="65" t="s">
        <v>657</v>
      </c>
    </row>
    <row r="66">
      <c r="B66" s="1" t="s">
        <v>709</v>
      </c>
      <c r="D66" s="65" t="s">
        <v>657</v>
      </c>
    </row>
    <row r="67">
      <c r="B67" s="1" t="s">
        <v>710</v>
      </c>
      <c r="C67" s="23">
        <v>1312.88</v>
      </c>
    </row>
    <row r="68">
      <c r="B68" s="1" t="s">
        <v>711</v>
      </c>
      <c r="C68" s="23">
        <v>1287</v>
      </c>
    </row>
    <row r="69">
      <c r="B69" s="1" t="s">
        <v>712</v>
      </c>
      <c r="C69" s="23">
        <v>1479</v>
      </c>
    </row>
    <row r="70">
      <c r="B70" s="1" t="s">
        <v>713</v>
      </c>
      <c r="C70" s="23">
        <v>1190</v>
      </c>
    </row>
    <row r="71">
      <c r="B71" s="1" t="s">
        <v>714</v>
      </c>
      <c r="C71" s="23">
        <v>74.63</v>
      </c>
    </row>
    <row r="72">
      <c r="B72" s="1" t="s">
        <v>715</v>
      </c>
      <c r="C72" s="104">
        <v>17</v>
      </c>
    </row>
    <row r="73">
      <c r="B73" s="1" t="s">
        <v>716</v>
      </c>
      <c r="C73" s="68" t="s">
        <v>717</v>
      </c>
    </row>
    <row r="74">
      <c r="B74" s="1" t="s">
        <v>718</v>
      </c>
      <c r="C74" s="69">
        <v>1.44</v>
      </c>
    </row>
    <row r="75">
      <c r="B75" s="1" t="s">
        <v>719</v>
      </c>
      <c r="C75" s="23">
        <v>1082.39</v>
      </c>
    </row>
    <row r="76">
      <c r="B76" s="1" t="s">
        <v>720</v>
      </c>
      <c r="C76" s="68" t="s">
        <v>721</v>
      </c>
    </row>
    <row r="77">
      <c r="B77" s="1" t="s">
        <v>722</v>
      </c>
      <c r="C77" s="68" t="s">
        <v>723</v>
      </c>
    </row>
    <row r="78">
      <c r="B78" s="1" t="s">
        <v>724</v>
      </c>
      <c r="C78" s="68" t="s">
        <v>725</v>
      </c>
    </row>
    <row r="79">
      <c r="B79" s="1" t="s">
        <v>726</v>
      </c>
      <c r="C79" s="45">
        <v>46306</v>
      </c>
    </row>
    <row r="80">
      <c r="B80" s="1" t="s">
        <v>727</v>
      </c>
      <c r="D80" s="65" t="s">
        <v>657</v>
      </c>
    </row>
    <row r="82">
      <c r="B82" s="34" t="s">
        <v>728</v>
      </c>
    </row>
    <row r="83" ht="31.5">
      <c r="B83" s="106" t="s">
        <v>729</v>
      </c>
      <c r="C83" s="98" t="s">
        <v>730</v>
      </c>
      <c r="D83" s="98" t="s">
        <v>731</v>
      </c>
      <c r="E83" s="98" t="s">
        <v>732</v>
      </c>
      <c r="F83" s="98" t="s">
        <v>733</v>
      </c>
      <c r="G83" s="98" t="s">
        <v>734</v>
      </c>
      <c r="H83" s="98" t="s">
        <v>735</v>
      </c>
      <c r="I83" s="98" t="s">
        <v>736</v>
      </c>
      <c r="J83" s="98" t="s">
        <v>737</v>
      </c>
      <c r="K83" s="98" t="s">
        <v>738</v>
      </c>
    </row>
    <row r="84">
      <c r="B84" s="105">
        <v>45747</v>
      </c>
      <c r="C84" s="45">
        <v>45758</v>
      </c>
      <c r="D84" s="33">
        <v>10.13</v>
      </c>
      <c r="E84" s="33">
        <v>11.3</v>
      </c>
      <c r="F84" s="33">
        <v>9.77</v>
      </c>
      <c r="G84" s="33">
        <v>9.64</v>
      </c>
      <c r="H84" s="23">
        <v>5312.18</v>
      </c>
      <c r="I84" s="23">
        <v>5276</v>
      </c>
      <c r="J84" s="66">
        <f>IF(COUNT(D84:E84)=2,IF(E84&gt;D84,1,0),"n/a")</f>
        <v>1</v>
      </c>
      <c r="K84" s="11">
        <f>E84-D84</f>
        <v>1.17</v>
      </c>
    </row>
    <row r="85">
      <c r="B85" s="105">
        <v>45838</v>
      </c>
      <c r="C85" s="45">
        <v>45853</v>
      </c>
      <c r="D85" s="33">
        <v>10.81</v>
      </c>
      <c r="E85" s="33">
        <v>12.05</v>
      </c>
      <c r="F85" s="33">
        <v>10.13</v>
      </c>
      <c r="G85" s="33">
        <v>10.19</v>
      </c>
      <c r="H85" s="23">
        <v>5463.85</v>
      </c>
      <c r="I85" s="23">
        <v>5423</v>
      </c>
      <c r="J85" s="66">
        <f>IF(COUNT(D85:E85)=2,IF(E85&gt;D85,1,0),"n/a")</f>
        <v>1</v>
      </c>
      <c r="K85" s="11">
        <f>E85-D85</f>
        <v>1.2400000000000002</v>
      </c>
    </row>
    <row r="86">
      <c r="B86" s="105">
        <v>45930</v>
      </c>
      <c r="C86" s="45">
        <v>45944</v>
      </c>
      <c r="D86" s="33">
        <v>11.29</v>
      </c>
      <c r="E86" s="33">
        <v>11.55</v>
      </c>
      <c r="F86" s="33">
        <v>10.73</v>
      </c>
      <c r="G86" s="33">
        <v>8.43</v>
      </c>
      <c r="H86" s="23">
        <v>6299.93</v>
      </c>
      <c r="I86" s="23">
        <v>6509</v>
      </c>
      <c r="J86" s="66">
        <f>IF(COUNT(D86:E86)=2,IF(E86&gt;D86,1,0),"n/a")</f>
        <v>1</v>
      </c>
      <c r="K86" s="11">
        <f>E86-D86</f>
        <v>0.26000000000000156</v>
      </c>
    </row>
    <row r="87">
      <c r="B87" s="105">
        <v>46022</v>
      </c>
      <c r="C87" s="45">
        <v>46037</v>
      </c>
      <c r="D87" s="33">
        <v>12.19</v>
      </c>
      <c r="E87" s="33">
        <v>13.16</v>
      </c>
      <c r="F87" s="33">
        <v>10.68</v>
      </c>
      <c r="G87" s="33">
        <v>7.16</v>
      </c>
      <c r="H87" s="23">
        <v>6699.23</v>
      </c>
      <c r="I87" s="23">
        <v>7008</v>
      </c>
      <c r="J87" s="66">
        <f>IF(COUNT(D87:E87)=2,IF(E87&gt;D87,1,0),"n/a")</f>
        <v>1</v>
      </c>
      <c r="K87" s="11">
        <f>E87-D87</f>
        <v>0.9700000000000006</v>
      </c>
    </row>
    <row r="88">
      <c r="B88" s="105">
        <v>46112</v>
      </c>
      <c r="C88" s="45">
        <v>46126</v>
      </c>
      <c r="D88" s="33">
        <v>11.46</v>
      </c>
      <c r="E88" s="33">
        <v>12.53</v>
      </c>
      <c r="F88" s="33">
        <v>9.47</v>
      </c>
      <c r="G88" s="33">
        <v>14.06</v>
      </c>
      <c r="H88" s="23">
        <v>6443.28</v>
      </c>
      <c r="I88" s="23">
        <v>6698</v>
      </c>
      <c r="J88" s="66">
        <f>IF(COUNT(D88:E88)=2,IF(E88&gt;D88,1,0),"n/a")</f>
        <v>1</v>
      </c>
      <c r="K88" s="11">
        <f>E88-D88</f>
        <v>1.0699999999999985</v>
      </c>
    </row>
    <row r="89">
      <c r="B89" s="105">
        <v>46203</v>
      </c>
      <c r="C89" s="45">
        <v>46218</v>
      </c>
      <c r="D89" s="33">
        <v>12.69</v>
      </c>
      <c r="E89" s="33">
        <v>13.91</v>
      </c>
      <c r="F89" s="33">
        <v>11.57</v>
      </c>
      <c r="G89" s="33">
        <v>12.19</v>
      </c>
      <c r="H89" s="23">
        <v>6877.41</v>
      </c>
      <c r="I89" s="23">
        <v>7084</v>
      </c>
      <c r="J89" s="66">
        <f>IF(COUNT(D89:E89)=2,IF(E89&gt;D89,1,0),"n/a")</f>
        <v>1</v>
      </c>
      <c r="K89" s="11">
        <f>E89-D89</f>
        <v>1.2200000000000006</v>
      </c>
    </row>
    <row r="91">
      <c r="B91" s="34" t="s">
        <v>739</v>
      </c>
    </row>
    <row r="92" ht="27">
      <c r="B92" s="100" t="s">
        <v>740</v>
      </c>
      <c r="H92" s="11">
        <f>C22</f>
        <v>14.31</v>
      </c>
    </row>
    <row r="93">
      <c r="B93" s="1" t="s">
        <v>741</v>
      </c>
      <c r="H93" s="6">
        <f>C38</f>
        <v>7518.5</v>
      </c>
    </row>
    <row r="94" ht="27">
      <c r="B94" s="100" t="s">
        <v>742</v>
      </c>
      <c r="H94" s="66">
        <f>C27</f>
        <v>15</v>
      </c>
    </row>
    <row r="95" ht="27">
      <c r="B95" s="100" t="s">
        <v>743</v>
      </c>
      <c r="H95" s="11">
        <f>C31</f>
        <v>13.85</v>
      </c>
    </row>
    <row r="96" ht="27">
      <c r="B96" s="100" t="s">
        <v>744</v>
      </c>
      <c r="H96" s="6">
        <f>C51</f>
        <v>2379.39</v>
      </c>
    </row>
    <row r="97">
      <c r="B97" s="1" t="s">
        <v>745</v>
      </c>
      <c r="H97" s="6">
        <f>C52</f>
        <v>2305.4</v>
      </c>
    </row>
    <row r="98" ht="38.25">
      <c r="B98" s="100" t="s">
        <v>746</v>
      </c>
      <c r="H98" s="33">
        <v>14.01</v>
      </c>
    </row>
    <row r="99" ht="27">
      <c r="B99" s="100" t="s">
        <v>747</v>
      </c>
      <c r="H99" s="23">
        <v>7450</v>
      </c>
    </row>
    <row r="100" ht="27">
      <c r="B100" s="100" t="s">
        <v>748</v>
      </c>
      <c r="H100" s="23">
        <v>167630</v>
      </c>
    </row>
    <row r="101">
      <c r="B101" s="1" t="s">
        <v>749</v>
      </c>
      <c r="H101" s="44" t="str">
        <f>C15</f>
        <v>Y</v>
      </c>
    </row>
    <row r="102" ht="27">
      <c r="B102" s="100" t="s">
        <v>750</v>
      </c>
      <c r="H102" s="44" t="str">
        <f>IF(H100&gt;10000,"Large",IF(H100&gt;2000,"Mid","Small"))</f>
        <v>Large</v>
      </c>
    </row>
    <row r="103" ht="27">
      <c r="B103" s="99" t="s">
        <v>751</v>
      </c>
      <c r="H103" s="16">
        <f>IF(OR(H102="Large",H101="Y"),0.78,IF(H102="Mid",0.7,0.6))</f>
        <v>0.78</v>
      </c>
    </row>
    <row r="104">
      <c r="B104" s="1" t="s">
        <v>752</v>
      </c>
      <c r="H104" s="73">
        <v>8</v>
      </c>
    </row>
    <row r="105" ht="27">
      <c r="B105" s="100" t="s">
        <v>753</v>
      </c>
      <c r="H105" s="66">
        <f>SUM(J84:J89)</f>
        <v>6</v>
      </c>
    </row>
    <row r="106">
      <c r="B106" s="1" t="s">
        <v>754</v>
      </c>
      <c r="H106" s="66">
        <f>COUNTIFS(D84:D89,"&gt;-1E+99",E84:E89,"&gt;-1E+99")</f>
        <v>6</v>
      </c>
    </row>
    <row r="107" ht="27">
      <c r="B107" s="99" t="s">
        <v>755</v>
      </c>
      <c r="H107" s="16">
        <f>(H104*H103+H105)/(H104+H106)</f>
        <v>0.8742857142857143</v>
      </c>
    </row>
    <row r="108" ht="27">
      <c r="B108" s="100" t="s">
        <v>756</v>
      </c>
      <c r="H108" s="11">
        <f>AVERAGE(K84:K89)</f>
        <v>0.9883333333333336</v>
      </c>
    </row>
    <row r="109" ht="27">
      <c r="B109" s="99" t="s">
        <v>757</v>
      </c>
      <c r="H109" s="46">
        <v>-0.054</v>
      </c>
    </row>
    <row r="110">
      <c r="B110" s="25" t="s">
        <v>758</v>
      </c>
      <c r="H110" s="16">
        <f>H107+H109</f>
        <v>0.8202857142857143</v>
      </c>
    </row>
    <row r="111">
      <c r="B111" s="1" t="s">
        <v>45</v>
      </c>
      <c r="H111" s="44" t="s">
        <v>759</v>
      </c>
    </row>
    <row r="113">
      <c r="B113" s="34" t="s">
        <v>760</v>
      </c>
    </row>
    <row r="114">
      <c r="C114" s="63" t="s">
        <v>761</v>
      </c>
      <c r="D114" s="63" t="s">
        <v>762</v>
      </c>
      <c r="E114" s="63" t="s">
        <v>763</v>
      </c>
      <c r="F114" s="63" t="s">
        <v>764</v>
      </c>
      <c r="G114" s="63" t="s">
        <v>765</v>
      </c>
      <c r="H114" s="63" t="s">
        <v>766</v>
      </c>
      <c r="I114" s="63" t="s">
        <v>767</v>
      </c>
    </row>
    <row r="115">
      <c r="B115" s="1" t="s">
        <v>768</v>
      </c>
      <c r="C115" s="23">
        <v>6528.52</v>
      </c>
      <c r="D115" s="23">
        <v>7209.01</v>
      </c>
      <c r="E115" s="23">
        <v>7580.06</v>
      </c>
      <c r="F115" s="23">
        <v>7499.36</v>
      </c>
      <c r="G115" s="23">
        <v>7489.72</v>
      </c>
      <c r="H115" s="23">
        <v>7686.14</v>
      </c>
      <c r="I115" s="23">
        <v>7651.54</v>
      </c>
    </row>
    <row r="116" ht="27">
      <c r="B116" s="99" t="s">
        <v>769</v>
      </c>
      <c r="D116" s="46">
        <v>0.095</v>
      </c>
      <c r="E116" s="46">
        <v>0.046</v>
      </c>
      <c r="F116" s="46">
        <v>-0.003</v>
      </c>
      <c r="G116" s="46">
        <v>-0.003</v>
      </c>
      <c r="H116" s="46">
        <v>0.027</v>
      </c>
      <c r="I116" s="46">
        <v>-0.012</v>
      </c>
    </row>
    <row r="117">
      <c r="B117" s="1" t="s">
        <v>770</v>
      </c>
      <c r="C117" s="23">
        <v>100</v>
      </c>
      <c r="D117" s="6">
        <f>C117*(1+D116)</f>
        <v>109.5</v>
      </c>
      <c r="E117" s="6">
        <f>D117*(1+E116)</f>
        <v>114.537</v>
      </c>
      <c r="F117" s="6">
        <f>E117*(1+F116)</f>
        <v>114.19338900000001</v>
      </c>
      <c r="G117" s="6">
        <f>F117*(1+G116)</f>
        <v>113.85080883300002</v>
      </c>
      <c r="H117" s="6">
        <f>G117*(1+H116)</f>
        <v>116.924780671491</v>
      </c>
      <c r="I117" s="6">
        <f>H117*(1+I116)</f>
        <v>115.52168330343311</v>
      </c>
    </row>
    <row r="118" ht="27">
      <c r="B118" s="100" t="s">
        <v>771</v>
      </c>
      <c r="F118" s="6">
        <f>AVERAGE(C115:F115)</f>
        <v>7204.2375</v>
      </c>
      <c r="I118" s="6">
        <f>AVERAGE(F115:I115)</f>
        <v>7581.6900000000005</v>
      </c>
    </row>
    <row r="119">
      <c r="B119" s="25" t="s">
        <v>772</v>
      </c>
      <c r="I119" s="16">
        <f>I118/F118-1</f>
        <v>0.052393122797520286</v>
      </c>
    </row>
    <row r="120">
      <c r="B120" s="25" t="s">
        <v>773</v>
      </c>
      <c r="I120" s="16">
        <f>AVERAGE(F117:I117)/F117-1</f>
        <v>0.00813774300000003</v>
      </c>
    </row>
    <row r="121">
      <c r="B121" s="25" t="s">
        <v>774</v>
      </c>
      <c r="I121" s="16">
        <f>I117/F117-1</f>
        <v>0.01163197199999999</v>
      </c>
    </row>
    <row r="122">
      <c r="B122" s="25" t="s">
        <v>775</v>
      </c>
      <c r="I122" s="46">
        <v>-0.0351</v>
      </c>
    </row>
    <row r="123">
      <c r="B123" s="25" t="s">
        <v>776</v>
      </c>
      <c r="I123" s="46">
        <v>-0.0261</v>
      </c>
    </row>
    <row r="124">
      <c r="B124" s="25" t="s">
        <v>777</v>
      </c>
      <c r="I124" s="46">
        <v>0.43</v>
      </c>
    </row>
    <row r="125" ht="27">
      <c r="B125" s="100" t="s">
        <v>778</v>
      </c>
      <c r="F125" s="23">
        <v>2368.8</v>
      </c>
      <c r="I125" s="23">
        <v>2510.2</v>
      </c>
    </row>
    <row r="126" ht="27">
      <c r="B126" s="100" t="s">
        <v>779</v>
      </c>
      <c r="F126" s="23">
        <v>1.75</v>
      </c>
      <c r="I126" s="23">
        <v>1.8</v>
      </c>
    </row>
    <row r="127" ht="27">
      <c r="B127" s="99" t="s">
        <v>780</v>
      </c>
      <c r="F127" s="16">
        <f>I125/F125-1</f>
        <v>0.059692671394798946</v>
      </c>
      <c r="I127" s="16">
        <f>I126/F126-1</f>
        <v>0.028571428571428692</v>
      </c>
    </row>
    <row r="128" ht="27">
      <c r="B128" s="100" t="s">
        <v>781</v>
      </c>
      <c r="H128" s="33">
        <v>1060</v>
      </c>
    </row>
    <row r="130">
      <c r="B130" s="34" t="s">
        <v>782</v>
      </c>
    </row>
    <row r="131">
      <c r="C131" s="63" t="s">
        <v>783</v>
      </c>
      <c r="D131" s="63" t="s">
        <v>784</v>
      </c>
      <c r="E131" s="63" t="s">
        <v>785</v>
      </c>
      <c r="F131" s="63" t="s">
        <v>786</v>
      </c>
      <c r="G131" s="63" t="s">
        <v>787</v>
      </c>
    </row>
    <row r="132">
      <c r="B132" s="1" t="s">
        <v>788</v>
      </c>
      <c r="C132" s="23">
        <v>553</v>
      </c>
      <c r="D132" s="23">
        <v>558</v>
      </c>
      <c r="E132" s="23">
        <v>518</v>
      </c>
      <c r="F132" s="23">
        <v>507</v>
      </c>
      <c r="G132" s="23">
        <v>2166</v>
      </c>
    </row>
    <row r="133">
      <c r="B133" s="1" t="s">
        <v>789</v>
      </c>
      <c r="C133" s="23">
        <v>1309</v>
      </c>
      <c r="D133" s="23">
        <v>1375</v>
      </c>
      <c r="E133" s="23">
        <v>1349</v>
      </c>
      <c r="F133" s="23">
        <v>1401</v>
      </c>
      <c r="G133" s="23">
        <v>5124</v>
      </c>
    </row>
    <row r="134">
      <c r="B134" s="1" t="s">
        <v>790</v>
      </c>
      <c r="C134" s="23">
        <v>493</v>
      </c>
      <c r="D134" s="23">
        <v>494</v>
      </c>
      <c r="E134" s="23">
        <v>492</v>
      </c>
      <c r="F134" s="23">
        <v>487</v>
      </c>
      <c r="G134" s="23">
        <v>1952</v>
      </c>
    </row>
    <row r="135">
      <c r="B135" s="1" t="s">
        <v>791</v>
      </c>
      <c r="C135" s="23">
        <v>354</v>
      </c>
      <c r="D135" s="23">
        <v>360</v>
      </c>
      <c r="E135" s="23">
        <v>352</v>
      </c>
      <c r="F135" s="23">
        <v>366</v>
      </c>
      <c r="G135" s="23">
        <v>1367</v>
      </c>
    </row>
    <row r="136">
      <c r="B136" s="1" t="s">
        <v>792</v>
      </c>
      <c r="C136" s="23">
        <v>318</v>
      </c>
      <c r="D136" s="23">
        <v>319</v>
      </c>
      <c r="E136" s="23">
        <v>313</v>
      </c>
      <c r="F136" s="23">
        <v>312</v>
      </c>
      <c r="G136" s="23">
        <v>1248</v>
      </c>
    </row>
    <row r="137">
      <c r="B137" s="1" t="s">
        <v>793</v>
      </c>
      <c r="C137" s="23">
        <v>235</v>
      </c>
      <c r="D137" s="23">
        <v>480</v>
      </c>
      <c r="E137" s="23">
        <v>535</v>
      </c>
      <c r="F137" s="23">
        <v>499</v>
      </c>
      <c r="G137" s="23">
        <v>1196</v>
      </c>
    </row>
    <row r="138">
      <c r="B138" s="1" t="s">
        <v>794</v>
      </c>
      <c r="C138" s="23">
        <v>143</v>
      </c>
      <c r="D138" s="23">
        <v>146</v>
      </c>
      <c r="E138" s="23">
        <v>150</v>
      </c>
      <c r="F138" s="23">
        <v>157</v>
      </c>
      <c r="G138" s="23">
        <v>568</v>
      </c>
    </row>
    <row r="139">
      <c r="B139" s="1" t="s">
        <v>795</v>
      </c>
      <c r="C139" s="23">
        <v>298</v>
      </c>
      <c r="D139" s="23">
        <v>312</v>
      </c>
      <c r="E139" s="23">
        <v>307</v>
      </c>
      <c r="F139" s="23">
        <v>313</v>
      </c>
      <c r="G139" s="23">
        <v>1183</v>
      </c>
    </row>
    <row r="140" ht="27">
      <c r="B140" s="100" t="s">
        <v>796</v>
      </c>
      <c r="C140" s="23">
        <v>63</v>
      </c>
      <c r="D140" s="23">
        <v>80</v>
      </c>
      <c r="E140" s="23">
        <v>92</v>
      </c>
      <c r="F140" s="23">
        <v>108</v>
      </c>
      <c r="G140" s="23">
        <v>247</v>
      </c>
    </row>
    <row r="141">
      <c r="B141" s="1" t="s">
        <v>797</v>
      </c>
      <c r="C141" s="23">
        <v>264</v>
      </c>
      <c r="D141" s="23">
        <v>293</v>
      </c>
      <c r="E141" s="23">
        <v>293</v>
      </c>
      <c r="F141" s="23">
        <v>304</v>
      </c>
      <c r="G141" s="23">
        <v>1049</v>
      </c>
    </row>
    <row r="142">
      <c r="B142" s="1" t="s">
        <v>798</v>
      </c>
      <c r="C142" s="23">
        <v>149</v>
      </c>
      <c r="D142" s="23">
        <v>161</v>
      </c>
      <c r="E142" s="23">
        <v>157</v>
      </c>
      <c r="F142" s="23">
        <v>171</v>
      </c>
      <c r="G142" s="23">
        <v>615</v>
      </c>
    </row>
    <row r="143">
      <c r="B143" s="1" t="s">
        <v>799</v>
      </c>
      <c r="C143" s="23">
        <v>13</v>
      </c>
      <c r="D143" s="23">
        <v>112</v>
      </c>
      <c r="E143" s="23">
        <v>10</v>
      </c>
      <c r="F143" s="23">
        <v>12</v>
      </c>
      <c r="G143" s="23">
        <v>161</v>
      </c>
    </row>
    <row r="144">
      <c r="B144" s="1" t="s">
        <v>800</v>
      </c>
      <c r="C144" s="23">
        <v>3</v>
      </c>
      <c r="D144" s="23">
        <v>22</v>
      </c>
      <c r="E144" s="23">
        <v>12</v>
      </c>
      <c r="F144" s="23">
        <v>2</v>
      </c>
      <c r="G144" s="23">
        <v>34</v>
      </c>
    </row>
    <row r="145">
      <c r="B145" s="1" t="s">
        <v>801</v>
      </c>
      <c r="C145" s="23">
        <v>1</v>
      </c>
      <c r="D145" s="23">
        <v>10</v>
      </c>
      <c r="E145" s="23">
        <v>4</v>
      </c>
      <c r="F145" s="23">
        <v>6</v>
      </c>
      <c r="G145" s="23">
        <v>24</v>
      </c>
    </row>
    <row r="146">
      <c r="B146" s="1" t="s">
        <v>802</v>
      </c>
      <c r="C146" s="23">
        <v>7</v>
      </c>
      <c r="D146" s="23">
        <v>108</v>
      </c>
      <c r="E146" s="23">
        <v>24</v>
      </c>
      <c r="F146" s="23">
        <v>39</v>
      </c>
      <c r="G146" s="23">
        <v>308</v>
      </c>
    </row>
    <row r="147">
      <c r="B147" s="1" t="s">
        <v>803</v>
      </c>
      <c r="C147" s="23">
        <v>364</v>
      </c>
      <c r="D147" s="23">
        <v>199</v>
      </c>
      <c r="E147" s="23">
        <v>10</v>
      </c>
      <c r="F147" s="23">
        <v>35</v>
      </c>
      <c r="G147" s="23">
        <v>680</v>
      </c>
    </row>
    <row r="148" ht="27">
      <c r="B148" s="100" t="s">
        <v>128</v>
      </c>
      <c r="C148" s="23">
        <v>403</v>
      </c>
      <c r="D148" s="23">
        <v>428</v>
      </c>
      <c r="E148" s="23">
        <v>436</v>
      </c>
      <c r="F148" s="23">
        <v>499</v>
      </c>
      <c r="G148" s="23">
        <v>1603</v>
      </c>
    </row>
    <row r="149">
      <c r="B149" s="1" t="s">
        <v>135</v>
      </c>
      <c r="C149" s="23">
        <v>323</v>
      </c>
      <c r="D149" s="23">
        <v>322</v>
      </c>
      <c r="E149" s="23">
        <v>321</v>
      </c>
      <c r="F149" s="23">
        <v>320</v>
      </c>
      <c r="G149" s="23">
        <v>1273</v>
      </c>
    </row>
    <row r="150">
      <c r="B150" s="1" t="s">
        <v>804</v>
      </c>
      <c r="C150" s="23">
        <v>11</v>
      </c>
      <c r="D150" s="23">
        <v>14</v>
      </c>
      <c r="E150" s="23">
        <v>14</v>
      </c>
      <c r="F150" s="23">
        <v>13</v>
      </c>
      <c r="G150" s="23">
        <v>49</v>
      </c>
    </row>
    <row r="151">
      <c r="B151" s="1" t="s">
        <v>805</v>
      </c>
      <c r="C151" s="23">
        <v>42</v>
      </c>
      <c r="D151" s="23">
        <v>45</v>
      </c>
      <c r="E151" s="23">
        <v>44</v>
      </c>
      <c r="F151" s="23">
        <v>43</v>
      </c>
      <c r="G151" s="23">
        <v>175</v>
      </c>
    </row>
    <row r="152">
      <c r="B152" s="1" t="s">
        <v>806</v>
      </c>
      <c r="C152" s="23">
        <v>5197</v>
      </c>
      <c r="D152" s="23">
        <v>5677</v>
      </c>
      <c r="E152" s="23">
        <v>5276</v>
      </c>
      <c r="F152" s="23">
        <v>5423</v>
      </c>
      <c r="G152" s="23">
        <v>20407</v>
      </c>
    </row>
    <row r="153">
      <c r="B153" s="1" t="s">
        <v>807</v>
      </c>
      <c r="C153" s="23">
        <v>1578</v>
      </c>
      <c r="D153" s="23">
        <v>1885</v>
      </c>
      <c r="E153" s="23">
        <v>1741</v>
      </c>
      <c r="F153" s="23">
        <v>1764</v>
      </c>
      <c r="G153" s="23">
        <v>6546</v>
      </c>
    </row>
    <row r="154">
      <c r="B154" s="1" t="s">
        <v>808</v>
      </c>
      <c r="C154" s="23">
        <v>549</v>
      </c>
      <c r="D154" s="23">
        <v>565</v>
      </c>
      <c r="E154" s="23">
        <v>570</v>
      </c>
      <c r="F154" s="23">
        <v>576</v>
      </c>
      <c r="G154" s="23">
        <v>2171</v>
      </c>
    </row>
    <row r="155">
      <c r="B155" s="1" t="s">
        <v>809</v>
      </c>
      <c r="C155" s="23">
        <v>379</v>
      </c>
      <c r="D155" s="23">
        <v>389</v>
      </c>
      <c r="E155" s="23">
        <v>392</v>
      </c>
      <c r="F155" s="23">
        <v>441</v>
      </c>
      <c r="G155" s="23">
        <v>1464</v>
      </c>
    </row>
    <row r="156">
      <c r="B156" s="1" t="s">
        <v>810</v>
      </c>
      <c r="C156" s="23">
        <v>34</v>
      </c>
      <c r="D156" s="23">
        <v>42</v>
      </c>
      <c r="E156" s="23">
        <v>47</v>
      </c>
      <c r="F156" s="23">
        <v>46</v>
      </c>
      <c r="G156" s="23">
        <v>140</v>
      </c>
    </row>
    <row r="157">
      <c r="B157" s="1" t="s">
        <v>811</v>
      </c>
      <c r="C157" s="23">
        <v>564</v>
      </c>
      <c r="D157" s="23">
        <v>624</v>
      </c>
      <c r="E157" s="23">
        <v>615</v>
      </c>
      <c r="F157" s="23">
        <v>613</v>
      </c>
      <c r="G157" s="23">
        <v>2257</v>
      </c>
    </row>
    <row r="158" ht="27">
      <c r="B158" s="100" t="s">
        <v>812</v>
      </c>
      <c r="C158" s="23">
        <v>-2</v>
      </c>
      <c r="D158" s="23">
        <v>-28</v>
      </c>
      <c r="E158" s="23">
        <v>96</v>
      </c>
      <c r="F158" s="23">
        <v>76</v>
      </c>
      <c r="G158" s="23">
        <v>-36</v>
      </c>
    </row>
    <row r="159">
      <c r="B159" s="1" t="s">
        <v>813</v>
      </c>
      <c r="C159" s="23">
        <v>0</v>
      </c>
      <c r="D159" s="23">
        <v>0</v>
      </c>
      <c r="E159" s="23">
        <v>0</v>
      </c>
      <c r="F159" s="23">
        <v>39</v>
      </c>
      <c r="G159" s="23">
        <v>0</v>
      </c>
    </row>
    <row r="160">
      <c r="B160" s="1" t="s">
        <v>814</v>
      </c>
      <c r="C160" s="23">
        <v>89</v>
      </c>
      <c r="D160" s="23">
        <v>125</v>
      </c>
      <c r="E160" s="23">
        <v>117</v>
      </c>
      <c r="F160" s="23">
        <v>137</v>
      </c>
      <c r="G160" s="23">
        <v>291</v>
      </c>
    </row>
    <row r="161">
      <c r="B161" s="1" t="s">
        <v>815</v>
      </c>
      <c r="C161" s="23">
        <v>2006</v>
      </c>
      <c r="D161" s="23">
        <v>2075</v>
      </c>
      <c r="E161" s="23">
        <v>1698</v>
      </c>
      <c r="F161" s="23">
        <v>1731</v>
      </c>
      <c r="G161" s="23">
        <v>7574</v>
      </c>
    </row>
    <row r="162">
      <c r="B162" s="1" t="s">
        <v>816</v>
      </c>
      <c r="C162" s="23">
        <v>177</v>
      </c>
      <c r="D162" s="23">
        <v>-18</v>
      </c>
      <c r="E162" s="23">
        <v>58</v>
      </c>
      <c r="F162" s="23">
        <v>550</v>
      </c>
      <c r="G162" s="23">
        <v>492</v>
      </c>
    </row>
    <row r="163">
      <c r="B163" s="1" t="s">
        <v>817</v>
      </c>
      <c r="C163" s="23">
        <v>236</v>
      </c>
      <c r="D163" s="23">
        <v>212</v>
      </c>
      <c r="E163" s="23">
        <v>173</v>
      </c>
      <c r="F163" s="23">
        <v>144</v>
      </c>
      <c r="G163" s="23">
        <v>767</v>
      </c>
    </row>
    <row r="164">
      <c r="B164" s="1" t="s">
        <v>818</v>
      </c>
      <c r="C164" s="23">
        <v>-154</v>
      </c>
      <c r="D164" s="23">
        <v>-166</v>
      </c>
      <c r="E164" s="23">
        <v>-166</v>
      </c>
      <c r="F164" s="23">
        <v>-173</v>
      </c>
      <c r="G164" s="23">
        <v>-538</v>
      </c>
    </row>
    <row r="165">
      <c r="B165" s="1" t="s">
        <v>819</v>
      </c>
      <c r="C165" s="23">
        <v>574</v>
      </c>
      <c r="D165" s="23">
        <v>442</v>
      </c>
      <c r="E165" s="23">
        <v>248</v>
      </c>
      <c r="F165" s="23">
        <v>587</v>
      </c>
      <c r="G165" s="23">
        <v>1783</v>
      </c>
    </row>
    <row r="166">
      <c r="B166" s="1" t="s">
        <v>820</v>
      </c>
      <c r="C166" s="23">
        <v>60</v>
      </c>
      <c r="D166" s="23">
        <v>-9</v>
      </c>
      <c r="E166" s="23">
        <v>5</v>
      </c>
      <c r="F166" s="23">
        <v>72</v>
      </c>
      <c r="G166" s="23">
        <v>143</v>
      </c>
    </row>
    <row r="167">
      <c r="B167" s="1" t="s">
        <v>821</v>
      </c>
      <c r="C167" s="23">
        <v>0</v>
      </c>
      <c r="D167" s="23">
        <v>0</v>
      </c>
      <c r="E167" s="23">
        <v>0</v>
      </c>
      <c r="F167" s="23">
        <v>0</v>
      </c>
      <c r="G167" s="23">
        <v>0</v>
      </c>
    </row>
    <row r="168" ht="27">
      <c r="B168" s="100" t="s">
        <v>822</v>
      </c>
      <c r="C168" s="23">
        <v>1631</v>
      </c>
      <c r="D168" s="23">
        <v>1670</v>
      </c>
      <c r="E168" s="23">
        <v>1510</v>
      </c>
      <c r="F168" s="23">
        <v>1593</v>
      </c>
      <c r="G168" s="23">
        <v>6369</v>
      </c>
    </row>
    <row r="169">
      <c r="B169" s="1" t="s">
        <v>823</v>
      </c>
      <c r="C169" s="23">
        <v>2128</v>
      </c>
      <c r="D169" s="23">
        <v>2326</v>
      </c>
      <c r="E169" s="23">
        <v>2032</v>
      </c>
      <c r="F169" s="23">
        <v>2099</v>
      </c>
      <c r="G169" s="23">
        <v>8110</v>
      </c>
    </row>
    <row r="170">
      <c r="B170" s="1" t="s">
        <v>824</v>
      </c>
      <c r="C170" s="23">
        <v>1715</v>
      </c>
      <c r="D170" s="23">
        <v>1874</v>
      </c>
      <c r="E170" s="23">
        <v>1770</v>
      </c>
      <c r="F170" s="23">
        <v>1883</v>
      </c>
      <c r="G170" s="23">
        <v>6612</v>
      </c>
    </row>
    <row r="171">
      <c r="B171" s="1" t="s">
        <v>825</v>
      </c>
      <c r="C171" s="33">
        <v>10.9</v>
      </c>
      <c r="D171" s="33">
        <v>10.63</v>
      </c>
      <c r="E171" s="33">
        <v>9.64</v>
      </c>
      <c r="F171" s="33">
        <v>10.19</v>
      </c>
      <c r="G171" s="33">
        <v>42.01</v>
      </c>
    </row>
    <row r="172">
      <c r="B172" s="1" t="s">
        <v>826</v>
      </c>
      <c r="C172" s="33">
        <v>11.46</v>
      </c>
      <c r="D172" s="33">
        <v>11.93</v>
      </c>
      <c r="E172" s="33">
        <v>11.3</v>
      </c>
      <c r="F172" s="33">
        <v>12.05</v>
      </c>
      <c r="G172" s="33">
        <v>43.61</v>
      </c>
    </row>
    <row r="173" ht="27">
      <c r="B173" s="100" t="s">
        <v>827</v>
      </c>
      <c r="C173" s="23">
        <v>149.6</v>
      </c>
      <c r="D173" s="23">
        <v>157</v>
      </c>
      <c r="E173" s="23">
        <v>156.6</v>
      </c>
      <c r="F173" s="23">
        <v>156.3</v>
      </c>
      <c r="G173" s="23">
        <v>151.6</v>
      </c>
    </row>
    <row r="174">
      <c r="B174" s="1" t="s">
        <v>828</v>
      </c>
      <c r="C174" s="23">
        <v>148</v>
      </c>
      <c r="D174" s="23">
        <v>155</v>
      </c>
      <c r="E174" s="23">
        <v>155</v>
      </c>
      <c r="F174" s="23">
        <v>154.9</v>
      </c>
      <c r="G174" s="23">
        <v>150</v>
      </c>
    </row>
    <row r="175">
      <c r="B175" s="1" t="s">
        <v>829</v>
      </c>
      <c r="C175" s="23">
        <v>11475.362</v>
      </c>
      <c r="D175" s="23">
        <v>11551.251</v>
      </c>
      <c r="E175" s="23">
        <v>11583.928</v>
      </c>
      <c r="F175" s="23">
        <v>12527.59</v>
      </c>
      <c r="G175" s="23">
        <v>11551.251</v>
      </c>
    </row>
    <row r="176">
      <c r="B176" s="1" t="s">
        <v>830</v>
      </c>
      <c r="C176" s="23">
        <v>6280.999</v>
      </c>
      <c r="D176" s="23">
        <v>6310.191</v>
      </c>
      <c r="E176" s="23">
        <v>6204.549</v>
      </c>
      <c r="F176" s="23">
        <v>6905.438</v>
      </c>
      <c r="G176" s="23">
        <v>6310.191</v>
      </c>
    </row>
    <row r="177">
      <c r="B177" s="1" t="s">
        <v>831</v>
      </c>
      <c r="C177" s="23">
        <v>3023.694</v>
      </c>
      <c r="D177" s="23">
        <v>2905.669</v>
      </c>
      <c r="E177" s="23">
        <v>3006.67</v>
      </c>
      <c r="F177" s="23">
        <v>3087.297</v>
      </c>
      <c r="G177" s="23">
        <v>2905.669</v>
      </c>
    </row>
    <row r="178">
      <c r="B178" s="1" t="s">
        <v>832</v>
      </c>
      <c r="C178" s="23">
        <v>1001.515</v>
      </c>
      <c r="D178" s="23">
        <v>992.921</v>
      </c>
      <c r="E178" s="23">
        <v>1002.681</v>
      </c>
      <c r="F178" s="23">
        <v>1076.709</v>
      </c>
      <c r="G178" s="23">
        <v>992.921</v>
      </c>
    </row>
    <row r="179" ht="27">
      <c r="B179" s="100" t="s">
        <v>833</v>
      </c>
      <c r="C179" s="23">
        <v>141.409</v>
      </c>
      <c r="D179" s="23">
        <v>211.974</v>
      </c>
      <c r="E179" s="23">
        <v>212.354</v>
      </c>
      <c r="F179" s="23">
        <v>215.244</v>
      </c>
      <c r="G179" s="23">
        <v>211.974</v>
      </c>
    </row>
    <row r="180" ht="27">
      <c r="B180" s="100" t="s">
        <v>834</v>
      </c>
      <c r="C180" s="23">
        <v>75.99</v>
      </c>
      <c r="D180" s="23">
        <v>76.39</v>
      </c>
      <c r="E180" s="23">
        <v>79.356</v>
      </c>
      <c r="F180" s="23">
        <v>86.67</v>
      </c>
      <c r="G180" s="23">
        <v>76.39</v>
      </c>
    </row>
    <row r="181">
      <c r="B181" s="1" t="s">
        <v>835</v>
      </c>
      <c r="C181" s="23">
        <v>24.238</v>
      </c>
      <c r="D181" s="23">
        <v>55.306</v>
      </c>
      <c r="E181" s="23">
        <v>50.329</v>
      </c>
      <c r="F181" s="23">
        <v>79.551</v>
      </c>
      <c r="G181" s="23">
        <v>55.306</v>
      </c>
    </row>
    <row r="182" ht="27">
      <c r="B182" s="100" t="s">
        <v>836</v>
      </c>
      <c r="C182" s="23">
        <v>78.13</v>
      </c>
      <c r="D182" s="23">
        <v>78.137</v>
      </c>
      <c r="E182" s="23">
        <v>97.355</v>
      </c>
      <c r="F182" s="23">
        <v>106.98</v>
      </c>
      <c r="G182" s="23">
        <v>78.137</v>
      </c>
    </row>
    <row r="183" ht="27">
      <c r="B183" s="100" t="s">
        <v>837</v>
      </c>
      <c r="C183" s="23">
        <v>849.387</v>
      </c>
      <c r="D183" s="23">
        <v>920.663</v>
      </c>
      <c r="E183" s="23">
        <v>930.634</v>
      </c>
      <c r="F183" s="23">
        <v>969.701</v>
      </c>
      <c r="G183" s="23">
        <v>920.663</v>
      </c>
    </row>
    <row r="184">
      <c r="B184" s="1" t="s">
        <v>838</v>
      </c>
      <c r="C184" s="23">
        <v>11070.964</v>
      </c>
      <c r="D184" s="23">
        <v>11555.434</v>
      </c>
      <c r="E184" s="23">
        <v>11688.88</v>
      </c>
      <c r="F184" s="23">
        <v>11974.829</v>
      </c>
      <c r="G184" s="23">
        <v>10804.007</v>
      </c>
    </row>
    <row r="185">
      <c r="B185" s="1" t="s">
        <v>49</v>
      </c>
      <c r="C185" s="23">
        <v>221.18</v>
      </c>
      <c r="D185" s="23">
        <v>281.416</v>
      </c>
      <c r="E185" s="23">
        <v>84.171</v>
      </c>
      <c r="F185" s="23">
        <v>67.737</v>
      </c>
      <c r="G185" s="23">
        <v>641.351</v>
      </c>
    </row>
    <row r="186">
      <c r="B186" s="1" t="s">
        <v>839</v>
      </c>
      <c r="C186" s="23">
        <v>1040.547</v>
      </c>
      <c r="D186" s="23">
        <v>1015.221</v>
      </c>
      <c r="E186" s="23">
        <v>1022.88</v>
      </c>
      <c r="F186" s="23">
        <v>1100.997</v>
      </c>
      <c r="G186" s="23">
        <v>1015.221</v>
      </c>
    </row>
    <row r="187">
      <c r="B187" s="1" t="s">
        <v>840</v>
      </c>
      <c r="C187" s="23">
        <v>4188.335</v>
      </c>
      <c r="D187" s="23">
        <v>4230.375</v>
      </c>
      <c r="E187" s="23">
        <v>4302.761</v>
      </c>
      <c r="F187" s="23">
        <v>4748.768</v>
      </c>
      <c r="G187" s="23">
        <v>4230.375</v>
      </c>
    </row>
    <row r="188">
      <c r="B188" s="1" t="s">
        <v>841</v>
      </c>
      <c r="C188" s="23">
        <v>2109.166</v>
      </c>
      <c r="D188" s="23">
        <v>2135.095</v>
      </c>
      <c r="E188" s="23">
        <v>2155.178</v>
      </c>
      <c r="F188" s="23">
        <v>2277.877</v>
      </c>
      <c r="G188" s="23">
        <v>2135.095</v>
      </c>
    </row>
    <row r="189">
      <c r="B189" s="1" t="s">
        <v>842</v>
      </c>
      <c r="C189" s="23">
        <v>3287.927</v>
      </c>
      <c r="D189" s="23">
        <v>3249.897</v>
      </c>
      <c r="E189" s="23">
        <v>3172.475</v>
      </c>
      <c r="F189" s="23">
        <v>3430.247</v>
      </c>
      <c r="G189" s="23">
        <v>3249.897</v>
      </c>
    </row>
    <row r="190">
      <c r="B190" s="1" t="s">
        <v>843</v>
      </c>
      <c r="C190" s="23">
        <v>492.193</v>
      </c>
      <c r="D190" s="23">
        <v>467.163</v>
      </c>
      <c r="E190" s="23">
        <v>458.656</v>
      </c>
      <c r="F190" s="23">
        <v>504.554</v>
      </c>
      <c r="G190" s="23">
        <v>467.163</v>
      </c>
    </row>
    <row r="191">
      <c r="B191" s="1" t="s">
        <v>844</v>
      </c>
      <c r="C191" s="23">
        <v>1171.739</v>
      </c>
      <c r="D191" s="23">
        <v>1133.874</v>
      </c>
      <c r="E191" s="23">
        <v>1149.891</v>
      </c>
      <c r="F191" s="23">
        <v>1183.948</v>
      </c>
      <c r="G191" s="23">
        <v>1133.874</v>
      </c>
    </row>
    <row r="192">
      <c r="B192" s="1" t="s">
        <v>845</v>
      </c>
      <c r="C192" s="23">
        <v>988.035</v>
      </c>
      <c r="D192" s="23">
        <v>979.001</v>
      </c>
      <c r="E192" s="23">
        <v>988.884</v>
      </c>
      <c r="F192" s="23">
        <v>1061.457</v>
      </c>
      <c r="G192" s="23">
        <v>979.001</v>
      </c>
    </row>
    <row r="193">
      <c r="B193" s="1" t="s">
        <v>846</v>
      </c>
      <c r="C193" s="23">
        <v>3061.84</v>
      </c>
      <c r="D193" s="23">
        <v>3106.398</v>
      </c>
      <c r="E193" s="23">
        <v>3111.438</v>
      </c>
      <c r="F193" s="23">
        <v>3455.117</v>
      </c>
      <c r="G193" s="23">
        <v>3106.398</v>
      </c>
    </row>
    <row r="194">
      <c r="B194" s="1" t="s">
        <v>847</v>
      </c>
      <c r="C194" s="23">
        <v>1019.176</v>
      </c>
      <c r="D194" s="23">
        <v>985.652</v>
      </c>
      <c r="E194" s="23">
        <v>1039.115</v>
      </c>
      <c r="F194" s="23">
        <v>1101.224</v>
      </c>
      <c r="G194" s="23">
        <v>985.652</v>
      </c>
    </row>
    <row r="195">
      <c r="B195" s="1" t="s">
        <v>848</v>
      </c>
      <c r="C195" s="23">
        <v>10.036</v>
      </c>
      <c r="D195" s="23">
        <v>10.734</v>
      </c>
      <c r="E195" s="23">
        <v>10.603</v>
      </c>
      <c r="F195" s="23">
        <v>11.926</v>
      </c>
      <c r="G195" s="23">
        <v>10.734</v>
      </c>
    </row>
    <row r="196">
      <c r="B196" s="1" t="s">
        <v>849</v>
      </c>
      <c r="C196" s="23">
        <v>73.045</v>
      </c>
      <c r="D196" s="23">
        <v>72.285</v>
      </c>
      <c r="E196" s="23">
        <v>91.276</v>
      </c>
      <c r="F196" s="23">
        <v>100.95</v>
      </c>
      <c r="G196" s="23">
        <v>72.285</v>
      </c>
    </row>
    <row r="197">
      <c r="B197" s="1" t="s">
        <v>850</v>
      </c>
      <c r="C197" s="23">
        <v>3568.274</v>
      </c>
      <c r="D197" s="23">
        <v>3531.811</v>
      </c>
      <c r="E197" s="23">
        <v>3461.392</v>
      </c>
      <c r="F197" s="23">
        <v>3757.248</v>
      </c>
      <c r="G197" s="23">
        <v>3531.811</v>
      </c>
    </row>
    <row r="198">
      <c r="B198" s="1" t="s">
        <v>851</v>
      </c>
      <c r="C198" s="23">
        <v>38.871</v>
      </c>
      <c r="D198" s="23">
        <v>109.606</v>
      </c>
      <c r="E198" s="23">
        <v>108.371</v>
      </c>
      <c r="F198" s="23">
        <v>112.323</v>
      </c>
      <c r="G198" s="23">
        <v>109.606</v>
      </c>
    </row>
    <row r="199">
      <c r="B199" s="1" t="s">
        <v>852</v>
      </c>
      <c r="C199" s="23">
        <v>35.807</v>
      </c>
      <c r="D199" s="23">
        <v>36.327</v>
      </c>
      <c r="E199" s="23">
        <v>36.562</v>
      </c>
      <c r="F199" s="23">
        <v>33.743</v>
      </c>
      <c r="G199" s="23">
        <v>36.327</v>
      </c>
    </row>
    <row r="200">
      <c r="B200" s="1" t="s">
        <v>853</v>
      </c>
      <c r="C200" s="23">
        <v>32.222</v>
      </c>
      <c r="D200" s="23">
        <v>32.425</v>
      </c>
      <c r="E200" s="23">
        <v>33.686</v>
      </c>
      <c r="F200" s="23">
        <v>35.985</v>
      </c>
      <c r="G200" s="23">
        <v>32.425</v>
      </c>
    </row>
    <row r="201">
      <c r="B201" s="1" t="s">
        <v>854</v>
      </c>
      <c r="C201" s="23">
        <v>27.033</v>
      </c>
      <c r="D201" s="23">
        <v>26.147</v>
      </c>
      <c r="E201" s="23">
        <v>26.076</v>
      </c>
      <c r="F201" s="23">
        <v>25.276</v>
      </c>
      <c r="G201" s="23">
        <v>26.147</v>
      </c>
    </row>
    <row r="202">
      <c r="B202" s="1" t="s">
        <v>855</v>
      </c>
      <c r="C202" s="23">
        <v>7.476</v>
      </c>
      <c r="D202" s="23">
        <v>7.469</v>
      </c>
      <c r="E202" s="23">
        <v>7.659</v>
      </c>
      <c r="F202" s="23">
        <v>7.917</v>
      </c>
      <c r="G202" s="23">
        <v>7.469</v>
      </c>
    </row>
    <row r="204">
      <c r="B204" s="34" t="s">
        <v>856</v>
      </c>
    </row>
    <row r="205">
      <c r="C205" s="63" t="s">
        <v>857</v>
      </c>
      <c r="D205" s="63" t="s">
        <v>858</v>
      </c>
      <c r="E205" s="63" t="s">
        <v>859</v>
      </c>
      <c r="F205" s="63" t="s">
        <v>860</v>
      </c>
      <c r="G205" s="63" t="s">
        <v>861</v>
      </c>
    </row>
    <row r="206">
      <c r="B206" s="1" t="s">
        <v>306</v>
      </c>
      <c r="C206" s="23">
        <v>3180</v>
      </c>
      <c r="D206" s="23">
        <v>4707</v>
      </c>
      <c r="E206" s="23">
        <v>5942</v>
      </c>
      <c r="F206" s="23">
        <v>2326</v>
      </c>
      <c r="G206" s="23">
        <v>4368</v>
      </c>
    </row>
    <row r="207">
      <c r="B207" s="1" t="s">
        <v>862</v>
      </c>
      <c r="C207" s="23">
        <v>411</v>
      </c>
      <c r="D207" s="23">
        <v>757</v>
      </c>
      <c r="E207" s="23">
        <v>1126</v>
      </c>
      <c r="F207" s="23">
        <v>380</v>
      </c>
      <c r="G207" s="23">
        <v>765</v>
      </c>
    </row>
    <row r="208">
      <c r="B208" s="1" t="s">
        <v>863</v>
      </c>
      <c r="C208" s="23">
        <v>467</v>
      </c>
      <c r="D208" s="23">
        <v>886</v>
      </c>
      <c r="E208" s="23">
        <v>1307</v>
      </c>
      <c r="F208" s="23">
        <v>319</v>
      </c>
      <c r="G208" s="23">
        <v>621</v>
      </c>
    </row>
    <row r="209">
      <c r="B209" s="1" t="s">
        <v>864</v>
      </c>
      <c r="C209" s="23">
        <v>-78</v>
      </c>
      <c r="D209" s="23">
        <v>-238</v>
      </c>
      <c r="E209" s="23">
        <v>-631</v>
      </c>
      <c r="F209" s="23">
        <v>60</v>
      </c>
      <c r="G209" s="23">
        <v>-18</v>
      </c>
    </row>
    <row r="210" ht="51">
      <c r="B210" s="100" t="s">
        <v>865</v>
      </c>
      <c r="C210" s="23">
        <v>172</v>
      </c>
      <c r="D210" s="23">
        <v>265</v>
      </c>
      <c r="E210" s="23">
        <v>720</v>
      </c>
      <c r="F210" s="23">
        <v>-549</v>
      </c>
      <c r="G210" s="23">
        <v>-538</v>
      </c>
    </row>
    <row r="211">
      <c r="B211" s="1" t="s">
        <v>866</v>
      </c>
      <c r="C211" s="23">
        <v>-1984</v>
      </c>
      <c r="D211" s="23">
        <v>-3344</v>
      </c>
      <c r="E211" s="23">
        <v>-4214</v>
      </c>
      <c r="F211" s="23">
        <v>-1669</v>
      </c>
      <c r="G211" s="23">
        <v>-3107</v>
      </c>
    </row>
    <row r="212" ht="27">
      <c r="B212" s="100" t="s">
        <v>867</v>
      </c>
      <c r="C212" s="23">
        <v>236</v>
      </c>
      <c r="D212" s="23">
        <v>1650</v>
      </c>
      <c r="E212" s="23">
        <v>3927</v>
      </c>
      <c r="F212" s="23">
        <v>-980</v>
      </c>
      <c r="G212" s="23">
        <v>247</v>
      </c>
    </row>
    <row r="213">
      <c r="B213" s="1" t="s">
        <v>868</v>
      </c>
      <c r="C213" s="23">
        <v>-434</v>
      </c>
      <c r="D213" s="23">
        <v>-1144</v>
      </c>
      <c r="E213" s="23">
        <v>-1384</v>
      </c>
      <c r="F213" s="23">
        <v>-313</v>
      </c>
      <c r="G213" s="23">
        <v>-753</v>
      </c>
    </row>
    <row r="214" ht="27">
      <c r="B214" s="100" t="s">
        <v>869</v>
      </c>
      <c r="C214" s="23">
        <v>230</v>
      </c>
      <c r="D214" s="23">
        <v>467</v>
      </c>
      <c r="E214" s="23">
        <v>544</v>
      </c>
      <c r="F214" s="23">
        <v>69</v>
      </c>
      <c r="G214" s="23">
        <v>183</v>
      </c>
    </row>
    <row r="215">
      <c r="B215" s="1" t="s">
        <v>870</v>
      </c>
      <c r="C215" s="23">
        <v>-3106</v>
      </c>
      <c r="D215" s="23">
        <v>-3496</v>
      </c>
      <c r="E215" s="23">
        <v>-3496</v>
      </c>
      <c r="F215" s="23">
        <v>-15</v>
      </c>
      <c r="G215" s="23">
        <v>-15</v>
      </c>
    </row>
    <row r="216" ht="27">
      <c r="B216" s="100" t="s">
        <v>871</v>
      </c>
      <c r="C216" s="23">
        <v>262</v>
      </c>
      <c r="D216" s="23">
        <v>297</v>
      </c>
      <c r="E216" s="23">
        <v>390</v>
      </c>
      <c r="F216" s="23">
        <v>90</v>
      </c>
      <c r="G216" s="23">
        <v>114</v>
      </c>
    </row>
    <row r="217" ht="27">
      <c r="B217" s="100" t="s">
        <v>872</v>
      </c>
      <c r="C217" s="23">
        <v>-68</v>
      </c>
      <c r="D217" s="23">
        <v>-85</v>
      </c>
      <c r="E217" s="23">
        <v>-97</v>
      </c>
      <c r="F217" s="23">
        <v>-5</v>
      </c>
      <c r="G217" s="23">
        <v>-54</v>
      </c>
    </row>
    <row r="218">
      <c r="B218" s="1" t="s">
        <v>873</v>
      </c>
      <c r="C218" s="23">
        <v>-167</v>
      </c>
      <c r="D218" s="23">
        <v>-245</v>
      </c>
      <c r="E218" s="23">
        <v>-375</v>
      </c>
      <c r="F218" s="23">
        <v>-106</v>
      </c>
      <c r="G218" s="23">
        <v>-215</v>
      </c>
    </row>
    <row r="219" ht="27">
      <c r="B219" s="100" t="s">
        <v>874</v>
      </c>
      <c r="C219" s="23">
        <v>-3283</v>
      </c>
      <c r="D219" s="23">
        <v>-4206</v>
      </c>
      <c r="E219" s="23">
        <v>-4418</v>
      </c>
      <c r="F219" s="23">
        <v>-280</v>
      </c>
      <c r="G219" s="23">
        <v>-740</v>
      </c>
    </row>
    <row r="220">
      <c r="B220" s="1" t="s">
        <v>875</v>
      </c>
      <c r="C220" s="23">
        <v>-796</v>
      </c>
      <c r="D220" s="23">
        <v>-796</v>
      </c>
      <c r="E220" s="23">
        <v>-796</v>
      </c>
      <c r="F220" s="23">
        <v>0</v>
      </c>
      <c r="G220" s="23">
        <v>0</v>
      </c>
    </row>
    <row r="221">
      <c r="B221" s="1" t="s">
        <v>876</v>
      </c>
      <c r="C221" s="23">
        <v>1080</v>
      </c>
      <c r="D221" s="23">
        <v>1080</v>
      </c>
      <c r="E221" s="23">
        <v>1080</v>
      </c>
      <c r="F221" s="23">
        <v>0</v>
      </c>
      <c r="G221" s="23">
        <v>0</v>
      </c>
    </row>
    <row r="222">
      <c r="B222" s="1" t="s">
        <v>877</v>
      </c>
      <c r="C222" s="23">
        <v>-1646</v>
      </c>
      <c r="D222" s="23">
        <v>-2497</v>
      </c>
      <c r="E222" s="23">
        <v>-3347</v>
      </c>
      <c r="F222" s="23">
        <v>-973</v>
      </c>
      <c r="G222" s="23">
        <v>-1906</v>
      </c>
    </row>
    <row r="223">
      <c r="B223" s="1" t="s">
        <v>878</v>
      </c>
      <c r="C223" s="23">
        <v>98</v>
      </c>
      <c r="D223" s="23">
        <v>153</v>
      </c>
      <c r="E223" s="23">
        <v>167</v>
      </c>
      <c r="F223" s="23">
        <v>74</v>
      </c>
      <c r="G223" s="23">
        <v>88</v>
      </c>
    </row>
    <row r="224">
      <c r="B224" s="1" t="s">
        <v>879</v>
      </c>
      <c r="C224" s="23">
        <v>-1053</v>
      </c>
      <c r="D224" s="23">
        <v>-1437</v>
      </c>
      <c r="E224" s="23">
        <v>-1951</v>
      </c>
      <c r="F224" s="23">
        <v>-810</v>
      </c>
      <c r="G224" s="23">
        <v>-1271</v>
      </c>
    </row>
    <row r="225" ht="27">
      <c r="B225" s="100" t="s">
        <v>880</v>
      </c>
      <c r="C225" s="23">
        <v>-29</v>
      </c>
      <c r="D225" s="23">
        <v>-44</v>
      </c>
      <c r="E225" s="23">
        <v>-112</v>
      </c>
      <c r="F225" s="23">
        <v>193</v>
      </c>
      <c r="G225" s="23">
        <v>132</v>
      </c>
    </row>
    <row r="226" ht="51">
      <c r="B226" s="100" t="s">
        <v>881</v>
      </c>
      <c r="C226" s="23">
        <v>1716</v>
      </c>
      <c r="D226" s="23">
        <v>3000</v>
      </c>
      <c r="E226" s="23">
        <v>3827</v>
      </c>
      <c r="F226" s="23">
        <v>1218</v>
      </c>
      <c r="G226" s="23">
        <v>2536</v>
      </c>
    </row>
    <row r="227">
      <c r="B227" s="1" t="s">
        <v>882</v>
      </c>
      <c r="C227" s="23">
        <v>-5</v>
      </c>
      <c r="D227" s="23">
        <v>2</v>
      </c>
      <c r="E227" s="23">
        <v>5</v>
      </c>
      <c r="F227" s="23">
        <v>-6</v>
      </c>
      <c r="G227" s="23">
        <v>0</v>
      </c>
    </row>
    <row r="228" ht="27">
      <c r="B228" s="100" t="s">
        <v>883</v>
      </c>
      <c r="C228" s="23">
        <v>-635</v>
      </c>
      <c r="D228" s="23">
        <v>-539</v>
      </c>
      <c r="E228" s="23">
        <v>-1127</v>
      </c>
      <c r="F228" s="23">
        <v>-304</v>
      </c>
      <c r="G228" s="23">
        <v>-421</v>
      </c>
    </row>
    <row r="229" ht="38.25">
      <c r="B229" s="100" t="s">
        <v>884</v>
      </c>
      <c r="C229" s="23">
        <v>398</v>
      </c>
      <c r="D229" s="23">
        <v>317</v>
      </c>
      <c r="E229" s="23">
        <v>329</v>
      </c>
      <c r="F229" s="23">
        <v>-63</v>
      </c>
      <c r="G229" s="23">
        <v>-62</v>
      </c>
    </row>
    <row r="230" ht="38.25">
      <c r="B230" s="100" t="s">
        <v>885</v>
      </c>
      <c r="C230" s="23">
        <v>-3284</v>
      </c>
      <c r="D230" s="23">
        <v>-2778</v>
      </c>
      <c r="E230" s="23">
        <v>-1289</v>
      </c>
      <c r="F230" s="23">
        <v>-1627</v>
      </c>
      <c r="G230" s="23">
        <v>-976</v>
      </c>
    </row>
    <row r="231" ht="27">
      <c r="B231" s="100" t="s">
        <v>886</v>
      </c>
      <c r="C231" s="23">
        <v>12779</v>
      </c>
      <c r="D231" s="23">
        <v>12779</v>
      </c>
      <c r="E231" s="23">
        <v>12779</v>
      </c>
      <c r="F231" s="23">
        <v>11490</v>
      </c>
      <c r="G231" s="23">
        <v>11490</v>
      </c>
    </row>
    <row r="232" ht="27">
      <c r="B232" s="100" t="s">
        <v>887</v>
      </c>
      <c r="C232" s="23">
        <v>9495</v>
      </c>
      <c r="D232" s="23">
        <v>10001</v>
      </c>
      <c r="E232" s="23">
        <v>11490</v>
      </c>
      <c r="F232" s="23">
        <v>9863</v>
      </c>
      <c r="G232" s="23">
        <v>10514</v>
      </c>
    </row>
    <row r="233" ht="27">
      <c r="B233" s="100" t="s">
        <v>888</v>
      </c>
      <c r="D233" s="23">
        <v>430</v>
      </c>
    </row>
    <row r="234">
      <c r="B234" s="1" t="s">
        <v>889</v>
      </c>
      <c r="D234" s="23">
        <v>-474</v>
      </c>
    </row>
  </sheetData>
  <legacyDrawing r:id="rId2"/>
</worksheet>
</file>