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2"/>
    <sheet name="Segment - Securities Services" sheetId="3" r:id="rId3"/>
    <sheet name="Segment - Market &amp; Wealth Svcs" sheetId="4" r:id="rId4"/>
    <sheet name="Segment - Inv &amp; Wealth Mgmt" sheetId="5" r:id="rId5"/>
    <sheet name="Segment - Other" sheetId="6" r:id="rId6"/>
    <sheet name="Income Statement" sheetId="7" r:id="rId7"/>
    <sheet name="Balance Sheet" sheetId="8" r:id="rId8"/>
    <sheet name="Cash Flow Statement" sheetId="9" r:id="rId9"/>
    <sheet name="Geo" sheetId="10" r:id="rId10"/>
    <sheet name="Share Count" sheetId="11" r:id="rId11"/>
    <sheet name="Guidance" sheetId="12" r:id="rId12"/>
    <sheet name="Sources" sheetId="13" r:id="rId13"/>
    <sheet name="Inputs" sheetId="14" r:id="rId14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B11" authorId="0">
      <text>
        <t>Links to segment tab total revenue (built from drivers).</t>
      </text>
    </comment>
    <comment ref="B18" authorId="0">
      <text>
        <t>Links to segment tab total revenue (built from drivers).</t>
      </text>
    </comment>
    <comment ref="B25" authorId="0">
      <text>
        <t>Links to segment tab total revenue (built from drivers).</t>
      </text>
    </comment>
    <comment ref="B32" authorId="0">
      <text>
        <t>Links to segment tab total revenue (built from drivers).</t>
      </text>
    </comment>
    <comment ref="B81" authorId="0">
      <text>
        <t>Source: S1/S3 Average Balances and Interest Rates.</t>
      </text>
    </comment>
    <comment ref="B84" authorId="0">
      <text>
        <t>Source: S1/S3 Average Balances and Interest Rates.</t>
      </text>
    </comment>
    <comment ref="B87" authorId="0">
      <text>
        <t>Source: S1/S3 Average Balances and Interest Rates.</t>
      </text>
    </comment>
    <comment ref="B90" authorId="0">
      <text>
        <t>Source: S1/S3 Average Balances and Interest Rates.</t>
      </text>
    </comment>
    <comment ref="B93" authorId="0">
      <text>
        <t>Source: S1/S3 Average Balances and Interest Rates.</t>
      </text>
    </comment>
    <comment ref="B96" authorId="0">
      <text>
        <t>Source: S1/S3 Average Balances and Interest Rates.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B16" authorId="0">
      <text>
        <t>Source: S1/S2 Securities Services segment, AUC/A at period end (includes CIBC Mellon).</t>
      </text>
    </comment>
    <comment ref="B25" authorId="0">
      <text>
        <t>Source: S1 2Q26 Financial Supplement (SEC 8-K Ex.99.2, 2026-07-15) for 2Q25-2Q26; S2 1Q26 Financial Supplement for 1Q25 recast; S3 4Q25 Financial Supplement.</t>
      </text>
    </comment>
    <comment ref="B47" authorId="0">
      <text>
        <t>Source: S1 2Q26 Financial Supplement (SEC 8-K Ex.99.2, 2026-07-15) for 2Q25-2Q26; S2 1Q26 Financial Supplement for 1Q25 recast; S3 4Q25 Financial Supplement.</t>
      </text>
    </comment>
    <comment ref="B66" authorId="0">
      <text>
        <t>Source: S1 2Q26 Financial Supplement (SEC 8-K Ex.99.2, 2026-07-15) for 2Q25-2Q26; S2 1Q26 Financial Supplement for 1Q25 recast; S3 4Q25 Financial Supplement.</t>
      </text>
    </comment>
    <comment ref="B73" authorId="0">
      <text>
        <t>Source: S1 2Q26 Financial Supplement (SEC 8-K Ex.99.2, 2026-07-15) for 2Q25-2Q26; S2 1Q26 Financial Supplement for 1Q25 recast; S3 4Q25 Financial Supplement.</t>
      </text>
    </comment>
    <comment ref="B87" authorId="0">
      <text>
        <t>Source: S1 2Q26 Financial Supplement (SEC 8-K Ex.99.2, 2026-07-15) for 2Q25-2Q26; S2 1Q26 Financial Supplement for 1Q25 recast; S3 4Q25 Financial Supplement.</t>
      </text>
    </comment>
    <comment ref="B104" authorId="0">
      <text>
        <t>Source: S1 2Q26 Financial Supplement (SEC 8-K Ex.99.2, 2026-07-15) for 2Q25-2Q26; S2 1Q26 Financial Supplement for 1Q25 recast; S3 4Q25 Financial Supplement.</t>
      </text>
    </comment>
    <comment ref="B128" authorId="0">
      <text>
        <t>Source: S1 2Q26 Financial Supplement (SEC 8-K Ex.99.2, 2026-07-15) for 2Q25-2Q26; S2 1Q26 Financial Supplement for 1Q25 recast; S3 4Q25 Financial Supplement.</t>
      </text>
    </comment>
    <comment ref="B135" authorId="0">
      <text>
        <t>Source: S1 2Q26 Financial Supplement (SEC 8-K Ex.99.2, 2026-07-15) for 2Q25-2Q26; S2 1Q26 Financial Supplement for 1Q25 recast; S3 4Q25 Financial Supplement.</t>
      </text>
    </comment>
    <comment ref="B146" authorId="0">
      <text>
        <t>Source: S1 2Q26 Financial Supplement (SEC 8-K Ex.99.2, 2026-07-15) for 2Q25-2Q26; S2 1Q26 Financial Supplement for 1Q25 recast; S3 4Q25 Financial Supplement.</t>
      </text>
    </comment>
    <comment ref="B147" authorId="0">
      <text>
        <t>Source: S1 2Q26 Financial Supplement (SEC 8-K Ex.99.2, 2026-07-15) for 2Q25-2Q26; S2 1Q26 Financial Supplement for 1Q25 recast; S3 4Q25 Financial Supplement.</t>
      </text>
    </comment>
    <comment ref="B157" authorId="0">
      <text>
        <t>Source: S1 2Q26 Financial Supplement (SEC 8-K Ex.99.2, 2026-07-15) for 2Q25-2Q26; S2 1Q26 Financial Supplement for 1Q25 recast; S3 4Q25 Financial Supplement.</t>
      </text>
    </comment>
    <comment ref="B160" authorId="0">
      <text>
        <t>Source: S1 2Q26 Financial Supplement (SEC 8-K Ex.99.2, 2026-07-15) for 2Q25-2Q26; S2 1Q26 Financial Supplement for 1Q25 recast; S3 4Q25 Financial Supplement.</t>
      </text>
    </comment>
    <comment ref="B163" authorId="0">
      <text>
        <t>Source: S1 2Q26 Financial Supplement (SEC 8-K Ex.99.2, 2026-07-15) for 2Q25-2Q26; S2 1Q26 Financial Supplement for 1Q25 recast; S3 4Q25 Financial Supplement.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B19" authorId="0">
      <text>
        <t>Source: S1/S2 Market and Wealth Services segment, Wealth Solutions AUC/A at period end.</t>
      </text>
    </comment>
    <comment ref="B31" authorId="0">
      <text>
        <t>Source: S1 2Q26 Financial Supplement (SEC 8-K Ex.99.2, 2026-07-15) for 2Q25-2Q26; S2 1Q26 Financial Supplement for 1Q25 recast; S3 4Q25 Financial Supplement.</t>
      </text>
    </comment>
    <comment ref="B46" authorId="0">
      <text>
        <t>Source: S1 2Q26 Financial Supplement (SEC 8-K Ex.99.2, 2026-07-15) for 2Q25-2Q26; S2 1Q26 Financial Supplement for 1Q25 recast; S3 4Q25 Financial Supplement.</t>
      </text>
    </comment>
    <comment ref="B61" authorId="0">
      <text>
        <t>Source: S1 2Q26 Financial Supplement (SEC 8-K Ex.99.2, 2026-07-15) for 2Q25-2Q26; S2 1Q26 Financial Supplement for 1Q25 recast; S3 4Q25 Financial Supplement.</t>
      </text>
    </comment>
    <comment ref="B77" authorId="0">
      <text>
        <t>Source: S1 2Q26 Financial Supplement (SEC 8-K Ex.99.2, 2026-07-15) for 2Q25-2Q26; S2 1Q26 Financial Supplement for 1Q25 recast; S3 4Q25 Financial Supplement.</t>
      </text>
    </comment>
    <comment ref="B84" authorId="0">
      <text>
        <t>Source: S1 2Q26 Financial Supplement (SEC 8-K Ex.99.2, 2026-07-15) for 2Q25-2Q26; S2 1Q26 Financial Supplement for 1Q25 recast; S3 4Q25 Financial Supplement.</t>
      </text>
    </comment>
    <comment ref="B98" authorId="0">
      <text>
        <t>Source: S1 2Q26 Financial Supplement (SEC 8-K Ex.99.2, 2026-07-15) for 2Q25-2Q26; S2 1Q26 Financial Supplement for 1Q25 recast; S3 4Q25 Financial Supplement.</t>
      </text>
    </comment>
    <comment ref="B115" authorId="0">
      <text>
        <t>Source: S1 2Q26 Financial Supplement (SEC 8-K Ex.99.2, 2026-07-15) for 2Q25-2Q26; S2 1Q26 Financial Supplement for 1Q25 recast; S3 4Q25 Financial Supplement.</t>
      </text>
    </comment>
    <comment ref="B139" authorId="0">
      <text>
        <t>Source: S1 2Q26 Financial Supplement (SEC 8-K Ex.99.2, 2026-07-15) for 2Q25-2Q26; S2 1Q26 Financial Supplement for 1Q25 recast; S3 4Q25 Financial Supplement.</t>
      </text>
    </comment>
    <comment ref="B153" authorId="0">
      <text>
        <t>Source: S1 2Q26 Financial Supplement (SEC 8-K Ex.99.2, 2026-07-15) for 2Q25-2Q26; S2 1Q26 Financial Supplement for 1Q25 recast; S3 4Q25 Financial Supplement.</t>
      </text>
    </comment>
    <comment ref="B160" authorId="0">
      <text>
        <t>Source: S1 2Q26 Financial Supplement (SEC 8-K Ex.99.2, 2026-07-15) for 2Q25-2Q26; S2 1Q26 Financial Supplement for 1Q25 recast; S3 4Q25 Financial Supplement.</t>
      </text>
    </comment>
    <comment ref="B171" authorId="0">
      <text>
        <t>Source: S1 2Q26 Financial Supplement (SEC 8-K Ex.99.2, 2026-07-15) for 2Q25-2Q26; S2 1Q26 Financial Supplement for 1Q25 recast; S3 4Q25 Financial Supplement.</t>
      </text>
    </comment>
    <comment ref="B172" authorId="0">
      <text>
        <t>Source: S1 2Q26 Financial Supplement (SEC 8-K Ex.99.2, 2026-07-15) for 2Q25-2Q26; S2 1Q26 Financial Supplement for 1Q25 recast; S3 4Q25 Financial Supplement.</t>
      </text>
    </comment>
    <comment ref="B182" authorId="0">
      <text>
        <t>Source: S1 2Q26 Financial Supplement (SEC 8-K Ex.99.2, 2026-07-15) for 2Q25-2Q26; S2 1Q26 Financial Supplement for 1Q25 recast; S3 4Q25 Financial Supplement.</t>
      </text>
    </comment>
    <comment ref="B185" authorId="0">
      <text>
        <t>Source: S1 2Q26 Financial Supplement (SEC 8-K Ex.99.2, 2026-07-15) for 2Q25-2Q26; S2 1Q26 Financial Supplement for 1Q25 recast; S3 4Q25 Financial Supplement.</t>
      </text>
    </comment>
    <comment ref="B188" authorId="0">
      <text>
        <t>Source: S1 2Q26 Financial Supplement (SEC 8-K Ex.99.2, 2026-07-15) for 2Q25-2Q26; S2 1Q26 Financial Supplement for 1Q25 recast; S3 4Q25 Financial Supplement.</t>
      </text>
    </comment>
    <comment ref="B191" authorId="0">
      <text>
        <t>Source: S1 2Q26 Financial Supplement (SEC 8-K Ex.99.2, 2026-07-15) for 2Q25-2Q26; S2 1Q26 Financial Supplement for 1Q25 recast; S3 4Q25 Financial Supplement.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B78" authorId="0">
      <text>
        <t>Source: S1 2Q26 Financial Supplement (SEC 8-K Ex.99.2, 2026-07-15) for 2Q25-2Q26; S2 1Q26 Financial Supplement for 1Q25 recast; S3 4Q25 Financial Supplement.</t>
      </text>
    </comment>
    <comment ref="B85" authorId="0">
      <text>
        <t>Source: S1 2Q26 Financial Supplement (SEC 8-K Ex.99.2, 2026-07-15) for 2Q25-2Q26; S2 1Q26 Financial Supplement for 1Q25 recast; S3 4Q25 Financial Supplement.</t>
      </text>
    </comment>
    <comment ref="B96" authorId="0">
      <text>
        <t>Source: S2 1Q26 Financial Supplement constant-currency reconciliation (1Q25 739 + FX impact 14); S1 2Q26 (2Q25 758 + 1).</t>
      </text>
    </comment>
    <comment ref="B101" authorId="0">
      <text>
        <t>Source: S1 2Q26 Financial Supplement (SEC 8-K Ex.99.2, 2026-07-15) for 2Q25-2Q26; S2 1Q26 Financial Supplement for 1Q25 recast; S3 4Q25 Financial Supplement.</t>
      </text>
    </comment>
    <comment ref="B108" authorId="0">
      <text>
        <t>Source: S1 2Q26 Financial Supplement (SEC 8-K Ex.99.2, 2026-07-15) for 2Q25-2Q26; S2 1Q26 Financial Supplement for 1Q25 recast; S3 4Q25 Financial Supplement.</t>
      </text>
    </comment>
    <comment ref="B122" authorId="0">
      <text>
        <t>Source: S1 2Q26 Financial Supplement (SEC 8-K Ex.99.2, 2026-07-15) for 2Q25-2Q26; S2 1Q26 Financial Supplement for 1Q25 recast; S3 4Q25 Financial Supplement.</t>
      </text>
    </comment>
    <comment ref="B132" authorId="0">
      <text>
        <t>Source: S1 2Q26 Financial Supplement (SEC 8-K Ex.99.2, 2026-07-15) for 2Q25-2Q26; S2 1Q26 Financial Supplement for 1Q25 recast; S3 4Q25 Financial Supplement.</t>
      </text>
    </comment>
    <comment ref="B149" authorId="0">
      <text>
        <t>Source: S1 2Q26 Financial Supplement (SEC 8-K Ex.99.2, 2026-07-15) for 2Q25-2Q26; S2 1Q26 Financial Supplement for 1Q25 recast; S3 4Q25 Financial Supplement.</t>
      </text>
    </comment>
    <comment ref="B156" authorId="0">
      <text>
        <t>Source: S1 2Q26 Financial Supplement (SEC 8-K Ex.99.2, 2026-07-15) for 2Q25-2Q26; S2 1Q26 Financial Supplement for 1Q25 recast; S3 4Q25 Financial Supplement.</t>
      </text>
    </comment>
    <comment ref="B167" authorId="0">
      <text>
        <t>Source: S1 2Q26 Financial Supplement (SEC 8-K Ex.99.2, 2026-07-15) for 2Q25-2Q26; S2 1Q26 Financial Supplement for 1Q25 recast; S3 4Q25 Financial Supplement.</t>
      </text>
    </comment>
    <comment ref="B168" authorId="0">
      <text>
        <t>Source: S1 2Q26 Financial Supplement (SEC 8-K Ex.99.2, 2026-07-15) for 2Q25-2Q26; S2 1Q26 Financial Supplement for 1Q25 recast; S3 4Q25 Financial Supplement.</t>
      </text>
    </comment>
    <comment ref="B178" authorId="0">
      <text>
        <t>Source: S1 2Q26 Financial Supplement (SEC 8-K Ex.99.2, 2026-07-15) for 2Q25-2Q26; S2 1Q26 Financial Supplement for 1Q25 recast; S3 4Q25 Financial Supplement.</t>
      </text>
    </comment>
    <comment ref="B181" authorId="0">
      <text>
        <t>Source: S1 2Q26 Financial Supplement (SEC 8-K Ex.99.2, 2026-07-15) for 2Q25-2Q26; S2 1Q26 Financial Supplement for 1Q25 recast; S3 4Q25 Financial Supplement.</t>
      </text>
    </comment>
    <comment ref="B184" authorId="0">
      <text>
        <t>Source: S1 2Q26 Financial Supplement (SEC 8-K Ex.99.2, 2026-07-15) for 2Q25-2Q26; S2 1Q26 Financial Supplement for 1Q25 recast; S3 4Q25 Financial Supplement.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B11" authorId="0">
      <text>
        <t>Source: S1 2Q26 Financial Supplement (SEC 8-K Ex.99.2, 2026-07-15) for 2Q25-2Q26; S2 1Q26 Financial Supplement for 1Q25 recast; S3 4Q25 Financial Supplement.</t>
      </text>
    </comment>
    <comment ref="B17" authorId="0">
      <text>
        <t>Source: S1 2Q26 Financial Supplement (SEC 8-K Ex.99.2, 2026-07-15) for 2Q25-2Q26; S2 1Q26 Financial Supplement for 1Q25 recast; S3 4Q25 Financial Supplement.</t>
      </text>
    </comment>
    <comment ref="B24" authorId="0">
      <text>
        <t>Source: S1 2Q26 Financial Supplement (SEC 8-K Ex.99.2, 2026-07-15) for 2Q25-2Q26; S2 1Q26 Financial Supplement for 1Q25 recast; S3 4Q25 Financial Supplement.</t>
      </text>
    </comment>
    <comment ref="B38" authorId="0">
      <text>
        <t>Source: S1 2Q26 Financial Supplement (SEC 8-K Ex.99.2, 2026-07-15) for 2Q25-2Q26; S2 1Q26 Financial Supplement for 1Q25 recast; S3 4Q25 Financial Supplement.</t>
      </text>
    </comment>
    <comment ref="B39" authorId="0">
      <text>
        <t>Source: S1 2Q26 Financial Supplement (SEC 8-K Ex.99.2, 2026-07-15) for 2Q25-2Q26; S2 1Q26 Financial Supplement for 1Q25 recast; S3 4Q25 Financial Supplement.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B11" authorId="0">
      <text>
        <t>Source: S1 2Q26 Financial Supplement p.4 &amp; p.7 (2Q25-2Q26); S3 4Q25 Financial Supplement (1Q25).</t>
      </text>
    </comment>
    <comment ref="B19" authorId="0">
      <text>
        <t>Source: S1 2Q26 Financial Supplement p.4 &amp; p.7 (2Q25-2Q26); S3 4Q25 Financial Supplement (1Q25).</t>
      </text>
    </comment>
    <comment ref="B26" authorId="0">
      <text>
        <t>Source: S1 2Q26 Financial Supplement p.4 &amp; p.7 (2Q25-2Q26); S3 4Q25 Financial Supplement (1Q25).</t>
      </text>
    </comment>
    <comment ref="B41" authorId="0">
      <text>
        <t>Source: S1 2Q26 Financial Supplement p.4 &amp; p.7 (2Q25-2Q26); S3 4Q25 Financial Supplement (1Q25).</t>
      </text>
    </comment>
    <comment ref="B49" authorId="0">
      <text>
        <t>Source: S1 2Q26 Financial Supplement p.4 &amp; p.7 (2Q25-2Q26); S3 4Q25 Financial Supplement (1Q25).</t>
      </text>
    </comment>
    <comment ref="B56" authorId="0">
      <text>
        <t>Source: S1 2Q26 Financial Supplement p.4 &amp; p.7 (2Q25-2Q26); S3 4Q25 Financial Supplement (1Q25).</t>
      </text>
    </comment>
    <comment ref="B72" authorId="0">
      <text>
        <t>Source: S1 2Q26 Financial Supplement p.4 &amp; p.7 (2Q25-2Q26); S3 4Q25 Financial Supplement (1Q25).</t>
      </text>
    </comment>
    <comment ref="B79" authorId="0">
      <text>
        <t>Source: S1 2Q26 Financial Supplement p.4 &amp; p.7 (2Q25-2Q26); S3 4Q25 Financial Supplement (1Q25).</t>
      </text>
    </comment>
    <comment ref="B86" authorId="0">
      <text>
        <t>Source: S1 2Q26 Financial Supplement p.4 &amp; p.7 (2Q25-2Q26); S3 4Q25 Financial Supplement (1Q25).</t>
      </text>
    </comment>
    <comment ref="B93" authorId="0">
      <text>
        <t>Source: S1 2Q26 Financial Supplement p.4 &amp; p.7 (2Q25-2Q26); S3 4Q25 Financial Supplement (1Q25).</t>
      </text>
    </comment>
    <comment ref="B100" authorId="0">
      <text>
        <t>Source: S1 2Q26 Financial Supplement p.4 &amp; p.7 (2Q25-2Q26); S3 4Q25 Financial Supplement (1Q25).</t>
      </text>
    </comment>
    <comment ref="B107" authorId="0">
      <text>
        <t>Source: S1 2Q26 Financial Supplement p.4 &amp; p.7 (2Q25-2Q26); S3 4Q25 Financial Supplement (1Q25).</t>
      </text>
    </comment>
    <comment ref="B114" authorId="0">
      <text>
        <t>Source: S1 2Q26 Financial Supplement p.4 &amp; p.7 (2Q25-2Q26); S3 4Q25 Financial Supplement (1Q25).</t>
      </text>
    </comment>
    <comment ref="B121" authorId="0">
      <text>
        <t>Source: S1 2Q26 Financial Supplement p.4 &amp; p.7 (2Q25-2Q26); S3 4Q25 Financial Supplement (1Q25).</t>
      </text>
    </comment>
    <comment ref="B128" authorId="0">
      <text>
        <t>Source: S1 2Q26 Financial Supplement p.4 &amp; p.7 (2Q25-2Q26); S3 4Q25 Financial Supplement (1Q25).</t>
      </text>
    </comment>
    <comment ref="B135" authorId="0">
      <text>
        <t>Source: S1 2Q26 Financial Supplement p.4 &amp; p.7 (2Q25-2Q26); S3 4Q25 Financial Supplement (1Q25).</t>
      </text>
    </comment>
    <comment ref="B156" authorId="0">
      <text>
        <t>Source: S1 2Q26 Financial Supplement p.4 &amp; p.7 (2Q25-2Q26); S3 4Q25 Financial Supplement (1Q25).</t>
      </text>
    </comment>
    <comment ref="B176" authorId="0">
      <text>
        <t>Source: S1 2Q26 Financial Supplement p.4 &amp; p.7 (2Q25-2Q26); S3 4Q25 Financial Supplement (1Q25).</t>
      </text>
    </comment>
    <comment ref="B179" authorId="0">
      <text>
        <t>Source: S1 2Q26 Financial Supplement p.4 &amp; p.7 (2Q25-2Q26); S3 4Q25 Financial Supplement (1Q25).</t>
      </text>
    </comment>
    <comment ref="B182" authorId="0">
      <text>
        <t>Source: S1 2Q26 Financial Supplement p.4 &amp; p.7 (2Q25-2Q26); S3 4Q25 Financial Supplement (1Q25).</t>
      </text>
    </comment>
    <comment ref="B185" authorId="0">
      <text>
        <t>Source: S1 2Q26 Financial Supplement p.4 &amp; p.7 (2Q25-2Q26); S3 4Q25 Financial Supplement (1Q25).</t>
      </text>
    </comment>
    <comment ref="B188" authorId="0">
      <text>
        <t>Source: S1 2Q26 Financial Supplement p.4 &amp; p.7 (2Q25-2Q26); S3 4Q25 Financial Supplement (1Q25).</t>
      </text>
    </comment>
    <comment ref="B191" authorId="0">
      <text>
        <t>Source: S1 2Q26 Financial Supplement p.4 &amp; p.7 (2Q25-2Q26); S3 4Q25 Financial Supplement (1Q25).</t>
      </text>
    </comment>
    <comment ref="B194" authorId="0">
      <text>
        <t>Source: S1 2Q26 Financial Supplement p.4 &amp; p.7 (2Q25-2Q26); S3 4Q25 Financial Supplement (1Q25).</t>
      </text>
    </comment>
    <comment ref="B197" authorId="0">
      <text>
        <t>Source: S1 2Q26 Financial Supplement p.4 &amp; p.7 (2Q25-2Q26); S3 4Q25 Financial Supplement (1Q25).</t>
      </text>
    </comment>
    <comment ref="B200" authorId="0">
      <text>
        <t>Source: S1 2Q26 Financial Supplement p.4 &amp; p.7 (2Q25-2Q26); S3 4Q25 Financial Supplement (1Q25).</t>
      </text>
    </comment>
    <comment ref="B203" authorId="0">
      <text>
        <t>Source: S1 2Q26 Financial Supplement p.4 &amp; p.7 (2Q25-2Q26); S3 4Q25 Financial Supplement (1Q25).</t>
      </text>
    </comment>
    <comment ref="B206" authorId="0">
      <text>
        <t>Source: S1 2Q26 Financial Supplement p.4 &amp; p.7 (2Q25-2Q26); S3 4Q25 Financial Supplement (1Q25).</t>
      </text>
    </comment>
    <comment ref="B230" authorId="0">
      <text>
        <t>Source: S1 2Q26 Financial Supplement p.4 &amp; p.7 (2Q25-2Q26); S3 4Q25 Financial Supplement (1Q25).</t>
      </text>
    </comment>
    <comment ref="B234" authorId="0">
      <text>
        <t>Source: S1 2Q26 Financial Supplement p.4 &amp; p.7 (2Q25-2Q26); S3 4Q25 Financial Supplement (1Q25).</t>
      </text>
    </comment>
    <comment ref="B235" authorId="0">
      <text>
        <t>Source: S1 2Q26 Financial Supplement p.4 &amp; p.7 (2Q25-2Q26); S3 4Q25 Financial Supplement (1Q25).</t>
      </text>
    </comment>
    <comment ref="B258" authorId="0">
      <text>
        <t>Source: S4 4Q25 release p.11 (3Q25, 4Q25, FY25; 1Q25 = FY less 2Q-4Q), S5 2Q26 release p.9 (1Q26, 2Q26, 2Q25).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B11" authorId="0">
      <text>
        <t>Source: S1 2Q26 Financial Supplement p.6 (Jun-25 to Jun-26); S3 4Q25 Financial Supplement p.5 (Mar-25).</t>
      </text>
    </comment>
    <comment ref="B12" authorId="0">
      <text>
        <t>Source: S1 2Q26 Financial Supplement p.6 (Jun-25 to Jun-26); S3 4Q25 Financial Supplement p.5 (Mar-25).</t>
      </text>
    </comment>
    <comment ref="B13" authorId="0">
      <text>
        <t>Source: S1 2Q26 Financial Supplement p.6 (Jun-25 to Jun-26); S3 4Q25 Financial Supplement p.5 (Mar-25).</t>
      </text>
    </comment>
    <comment ref="B14" authorId="0">
      <text>
        <t>Source: S1 2Q26 Financial Supplement p.6 (Jun-25 to Jun-26); S3 4Q25 Financial Supplement p.5 (Mar-25).</t>
      </text>
    </comment>
    <comment ref="B15" authorId="0">
      <text>
        <t>Source: S1 2Q26 Financial Supplement p.6 (Jun-25 to Jun-26); S3 4Q25 Financial Supplement p.5 (Mar-25).</t>
      </text>
    </comment>
    <comment ref="B16" authorId="0">
      <text>
        <t>Source: S1 2Q26 Financial Supplement p.6 (Jun-25 to Jun-26); S3 4Q25 Financial Supplement p.5 (Mar-25).</t>
      </text>
    </comment>
    <comment ref="B17" authorId="0">
      <text>
        <t>Source: S1 2Q26 Financial Supplement p.6 (Jun-25 to Jun-26); S3 4Q25 Financial Supplement p.5 (Mar-25).</t>
      </text>
    </comment>
    <comment ref="B18" authorId="0">
      <text>
        <t>Source: S1 2Q26 Financial Supplement p.6 (Jun-25 to Jun-26); S3 4Q25 Financial Supplement p.5 (Mar-25).</t>
      </text>
    </comment>
    <comment ref="B20" authorId="0">
      <text>
        <t>Source: S1 2Q26 Financial Supplement p.6 (Jun-25 to Jun-26); S3 4Q25 Financial Supplement p.5 (Mar-25).</t>
      </text>
    </comment>
    <comment ref="B21" authorId="0">
      <text>
        <t>Source: S1 2Q26 Financial Supplement p.6 (Jun-25 to Jun-26); S3 4Q25 Financial Supplement p.5 (Mar-25).</t>
      </text>
    </comment>
    <comment ref="B22" authorId="0">
      <text>
        <t>Source: S1 2Q26 Financial Supplement p.6 (Jun-25 to Jun-26); S3 4Q25 Financial Supplement p.5 (Mar-25).</t>
      </text>
    </comment>
    <comment ref="B23" authorId="0">
      <text>
        <t>Source: S1 2Q26 Financial Supplement p.6 (Jun-25 to Jun-26); S3 4Q25 Financial Supplement p.5 (Mar-25).</t>
      </text>
    </comment>
    <comment ref="B24" authorId="0">
      <text>
        <t>Source: S1 2Q26 Financial Supplement p.6 (Jun-25 to Jun-26); S3 4Q25 Financial Supplement p.5 (Mar-25).</t>
      </text>
    </comment>
    <comment ref="B32" authorId="0">
      <text>
        <t>Source: S1 2Q26 Financial Supplement p.6 (Jun-25 to Jun-26); S3 4Q25 Financial Supplement p.5 (Mar-25).</t>
      </text>
    </comment>
    <comment ref="B35" authorId="0">
      <text>
        <t>Source: S1 2Q26 Financial Supplement p.6 (Jun-25 to Jun-26); S3 4Q25 Financial Supplement p.5 (Mar-25).</t>
      </text>
    </comment>
    <comment ref="B36" authorId="0">
      <text>
        <t>Source: S1 2Q26 Financial Supplement p.6 (Jun-25 to Jun-26); S3 4Q25 Financial Supplement p.5 (Mar-25).</t>
      </text>
    </comment>
    <comment ref="B37" authorId="0">
      <text>
        <t>Source: S1 2Q26 Financial Supplement p.6 (Jun-25 to Jun-26); S3 4Q25 Financial Supplement p.5 (Mar-25).</t>
      </text>
    </comment>
    <comment ref="B38" authorId="0">
      <text>
        <t>Source: S1 2Q26 Financial Supplement p.6 (Jun-25 to Jun-26); S3 4Q25 Financial Supplement p.5 (Mar-25).</t>
      </text>
    </comment>
    <comment ref="B39" authorId="0">
      <text>
        <t>Source: S1 2Q26 Financial Supplement p.6 (Jun-25 to Jun-26); S3 4Q25 Financial Supplement p.5 (Mar-25).</t>
      </text>
    </comment>
    <comment ref="B40" authorId="0">
      <text>
        <t>Source: S1 2Q26 Financial Supplement p.6 (Jun-25 to Jun-26); S3 4Q25 Financial Supplement p.5 (Mar-25).</t>
      </text>
    </comment>
    <comment ref="B41" authorId="0">
      <text>
        <t>Source: S1 2Q26 Financial Supplement p.6 (Jun-25 to Jun-26); S3 4Q25 Financial Supplement p.5 (Mar-25).</t>
      </text>
    </comment>
    <comment ref="B42" authorId="0">
      <text>
        <t>Source: S1 2Q26 Financial Supplement p.6 (Jun-25 to Jun-26); S3 4Q25 Financial Supplement p.5 (Mar-25).</t>
      </text>
    </comment>
    <comment ref="B46" authorId="0">
      <text>
        <t>Source: S1 2Q26 Financial Supplement p.6 (Jun-25 to Jun-26); S3 4Q25 Financial Supplement p.5 (Mar-25).</t>
      </text>
    </comment>
    <comment ref="B49" authorId="0">
      <text>
        <t>Source: S1 2Q26 Financial Supplement p.6 (Jun-25 to Jun-26); S3 4Q25 Financial Supplement p.5 (Mar-25).</t>
      </text>
    </comment>
    <comment ref="B50" authorId="0">
      <text>
        <t>Source: S1 2Q26 Financial Supplement p.6 (Jun-25 to Jun-26); S3 4Q25 Financial Supplement p.5 (Mar-25).</t>
      </text>
    </comment>
    <comment ref="B51" authorId="0">
      <text>
        <t>Source: S1 2Q26 Financial Supplement p.6 (Jun-25 to Jun-26); S3 4Q25 Financial Supplement p.5 (Mar-25).</t>
      </text>
    </comment>
    <comment ref="B52" authorId="0">
      <text>
        <t>Source: S1 2Q26 Financial Supplement p.6 (Jun-25 to Jun-26); S3 4Q25 Financial Supplement p.5 (Mar-25).</t>
      </text>
    </comment>
    <comment ref="B53" authorId="0">
      <text>
        <t>Source: S1 2Q26 Financial Supplement p.6 (Jun-25 to Jun-26); S3 4Q25 Financial Supplement p.5 (Mar-25).</t>
      </text>
    </comment>
    <comment ref="B54" authorId="0">
      <text>
        <t>Source: S1 2Q26 Financial Supplement p.6 (Jun-25 to Jun-26); S3 4Q25 Financial Supplement p.5 (Mar-25).</t>
      </text>
    </comment>
    <comment ref="B56" authorId="0">
      <text>
        <t>Source: S1 2Q26 Financial Supplement p.6 (Jun-25 to Jun-26); S3 4Q25 Financial Supplement p.5 (Mar-25).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B11" authorId="0">
      <text>
        <t>Source: YTD as reported in 10-Q 1Q26 (3M25/3M26), 10-Q 2Q26 (6M25/6M26), 10-Q 3Q25 (9M25), 10-K 2025 (FY25); quarterly = YTD differences.</t>
      </text>
    </comment>
    <comment ref="B65" authorId="0">
      <text>
        <t>Source: YTD as reported in 10-Q 1Q26 (3M25/3M26), 10-Q 2Q26 (6M25/6M26), 10-Q 3Q25 (9M25), 10-K 2025 (FY25); quarterly = YTD differences.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B12" authorId="0">
      <text>
        <t>Source: S1/S3 Consolidated Financial Highlights "Non-U.S. revenue as a percentage of total revenue" (whole percent).</t>
      </text>
    </comment>
    <comment ref="B35" authorId="0">
      <text>
        <t>Source: S23 2025 Form 10-K Note 24 (XBRL R61).</t>
      </text>
    </comment>
    <comment ref="B36" authorId="0">
      <text>
        <t>Source: S23 2025 Form 10-K Note 24 (XBRL R61).</t>
      </text>
    </comment>
    <comment ref="B37" authorId="0">
      <text>
        <t>Source: S23 2025 Form 10-K Note 24 (XBRL R61).</t>
      </text>
    </comment>
    <comment ref="B39" authorId="0">
      <text>
        <t>Source: S23 2025 Form 10-K Note 24.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B12" authorId="0">
      <text>
        <t>Source: S1 2Q26 Financial Supplement p.3 &amp; p.5 (shares reported in thousands; shown here in millions).</t>
      </text>
    </comment>
    <comment ref="B17" authorId="0">
      <text>
        <t>Source: S1 2Q26 Financial Supplement p.3 &amp; p.5 (shares reported in thousands; shown here in millions).</t>
      </text>
    </comment>
    <comment ref="B22" authorId="0">
      <text>
        <t>Source: S1 2Q26 Financial Supplement p.3 &amp; p.5 (shares reported in thousands; shown here in millions).</t>
      </text>
    </comment>
    <comment ref="B34" authorId="0">
      <text>
        <t>Source: S1 2Q26 Financial Supplement p.3 &amp; p.5 (shares reported in thousands; shown here in millions).</t>
      </text>
    </comment>
    <comment ref="B40" authorId="0">
      <text>
        <t>Source: S1 2Q26 Financial Supplement p.3 &amp; p.5 (shares reported in thousands; shown here in millions).</t>
      </text>
    </comment>
    <comment ref="B46" authorId="0">
      <text>
        <t>Source: S1; 3Q26 $0.63 declared 15-Jul-26 (S9 BNY Declares Dividends).</t>
      </text>
    </comment>
    <comment ref="B52" authorId="0">
      <text>
        <t>Source: S1 2Q26 Financial Supplement p.3 &amp; p.5 (shares reported in thousands; shown here in millions).</t>
      </text>
    </comment>
    <comment ref="B77" authorId="0">
      <text>
        <t>Source: S1 2Q26 Financial Supplement p.3 &amp; p.5 (shares reported in thousands; shown here in millions).</t>
      </text>
    </comment>
    <comment ref="B78" authorId="0">
      <text>
        <t>Source: S1 2Q26 Financial Supplement p.3 &amp; p.5 (shares reported in thousands; shown here in millions).</t>
      </text>
    </comment>
  </commentList>
</comments>
</file>

<file path=xl/sharedStrings.xml><?xml version="1.0" encoding="utf-8"?>
<sst xmlns="http://schemas.openxmlformats.org/spreadsheetml/2006/main" count="5572" uniqueCount="919">
  <si>
    <t>Company Model — built by Shortcut</t>
  </si>
  <si>
    <t>The Bank of New York Mellon Corporation (NYSE: BNY)</t>
  </si>
  <si>
    <t>Cover — Company Model — built by Shortcut</t>
  </si>
  <si>
    <t>$ millions, except per share</t>
  </si>
  <si>
    <t>Display: – = zero (reported nil or computed 0); n.a. = not applicable/available; n.d. = not disclosed; n.f. = not forecast; n.m. = not meaningful.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</si>
  <si>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</si>
  <si>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</si>
  <si>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</si>
  <si>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</si>
  <si>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</si>
  <si>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</si>
  <si>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</si>
  <si>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</si>
  <si>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</si>
  <si>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Notes</t>
  </si>
  <si>
    <t>Period end</t>
  </si>
  <si>
    <t>Days in period</t>
  </si>
  <si>
    <t>Snapshot (links to statements)</t>
  </si>
  <si>
    <t>Total revenue</t>
  </si>
  <si>
    <t>Net income to common – adjusted (ex notable items)</t>
  </si>
  <si>
    <t>Diluted EPS – adjusted (normalized, consensus basis)</t>
  </si>
  <si>
    <t>Diluted EPS – GAAP</t>
  </si>
  <si>
    <t>Company information</t>
  </si>
  <si>
    <t>Company</t>
  </si>
  <si>
    <t>The Bank of New York Mellon Corporation</t>
  </si>
  <si>
    <t>Ticker / exchange</t>
  </si>
  <si>
    <t>BNY / New York Stock Exchange (formerly BK)</t>
  </si>
  <si>
    <t>Fiscal year end</t>
  </si>
  <si>
    <t>December 31 (fiscal quarters = calendar quarters)</t>
  </si>
  <si>
    <t>Reporting currency</t>
  </si>
  <si>
    <t>USD; $ millions except per share</t>
  </si>
  <si>
    <t>Forecast period</t>
  </si>
  <si>
    <t>FQ3 2026 = 3Q26E, quarter ended 30-Sep-2026 (supplied label 2026-09-30 is the actual quarter end)</t>
  </si>
  <si>
    <t>EPS basis</t>
  </si>
  <si>
    <t>Normalized diluted EPS = BNY adjusted EPS excluding notable items (matches Capital IQ history 6/6)</t>
  </si>
  <si>
    <t>Information cutoff</t>
  </si>
  <si>
    <t>2026-10-11 22:24 UTC</t>
  </si>
  <si>
    <t>Expected report date</t>
  </si>
  <si>
    <t>2026-10-15, before market open (BNY IR events page)</t>
  </si>
  <si>
    <t>Author</t>
  </si>
  <si>
    <t>Shortcut</t>
  </si>
  <si>
    <t>3Q26E headline</t>
  </si>
  <si>
    <t>Shortcut est.</t>
  </si>
  <si>
    <t>Consensus</t>
  </si>
  <si>
    <t>Variance</t>
  </si>
  <si>
    <t>Guide-impl.</t>
  </si>
  <si>
    <t>Est. − guide</t>
  </si>
  <si>
    <t>Consensus = S&amp;P Capital IQ snapshot at the cutoff (2026-10-11), frozen scoring baseline. Guide-implied = FY26 outlook midpoints, 2H split evenly (Guidance tab).</t>
  </si>
  <si>
    <t xml:space="preserve">   % variance</t>
  </si>
  <si>
    <t xml:space="preserve">   # consensus estimates</t>
  </si>
  <si>
    <t>Net income to common – adjusted</t>
  </si>
  <si>
    <t>n.a.</t>
  </si>
  <si>
    <t>Diluted EPS – normalized (scored)</t>
  </si>
  <si>
    <t>Net income to common – GAAP</t>
  </si>
  <si>
    <t>Check: Cover ties to the statements</t>
  </si>
  <si>
    <t>Overall model check (historical C:I ties + Cover tie; 3Q26E in J44)</t>
  </si>
  <si>
    <t>C44 PASS = every historical (C:I) inline check TRUE plus Cover tie C43 (repair r2: 3Q26E col-J checks removed from PASS). J44 reports the 14 col-J checks separately: they hold BY CONSTRUCTION through plugs/residuals (Balance Sheet J12 Fed-deposit plug, CF J25, Income Statement J56 fee plug, Segment - Other J24/J38/J39, residual lines of business, Geo J22, Share Count identity) – forecast assumptions, not independent validation.</t>
  </si>
  <si>
    <t>P(beat consensus EPS)</t>
  </si>
  <si>
    <t>Confidence</t>
  </si>
  <si>
    <t>medium</t>
  </si>
  <si>
    <t>Revenue summary</t>
  </si>
  <si>
    <t>Revenue by reported segment</t>
  </si>
  <si>
    <t>Securities Services</t>
  </si>
  <si>
    <t xml:space="preserve">      % Y/Y (total reported growth)</t>
  </si>
  <si>
    <t xml:space="preserve">      % Q/Q</t>
  </si>
  <si>
    <t xml:space="preserve">      % of total revenue</t>
  </si>
  <si>
    <t xml:space="preserve">      M&amp;A / scope impact on growth</t>
  </si>
  <si>
    <t>n.d.</t>
  </si>
  <si>
    <t>Not disclosed by BNY for this line (no quarterly M&amp;A/scope disclosure).</t>
  </si>
  <si>
    <t xml:space="preserve">      FX impact on growth</t>
  </si>
  <si>
    <t>Not disclosed quarterly for this line (constant-currency only given for IM &amp; performance fees).</t>
  </si>
  <si>
    <t xml:space="preserve">      Organic growth</t>
  </si>
  <si>
    <t>Organic = (1+Y/Y)/((1+M&amp;A)*(1+FX))-1; unavailable because M&amp;A and FX components are not disclosed.</t>
  </si>
  <si>
    <t>Market and Wealth Services</t>
  </si>
  <si>
    <t>Investment and Wealth Management</t>
  </si>
  <si>
    <t>Other segment</t>
  </si>
  <si>
    <t>Small-base caveat (as Segment - Other B49): n.m. is shown only where the base is zero/negative or the value turns negative; rates on small positive bases (e.g. J34 on a $6m 2Q26 base) are arithmetic and not meaningful. Formulas unchanged.</t>
  </si>
  <si>
    <t>Reconciling item: revenue attributable to NCI of consolidated funds</t>
  </si>
  <si>
    <t>Segment revenue is reported net of NCI; consolidated revenue adds it back. 3Q26E assumption $10m (avg of 4 quarters ~$12m incl. 2Q26 spike).</t>
  </si>
  <si>
    <t>Small-base caveat (as Segment - Other B49): NCI growth rates on $2-12m bases (e.g. I40, D41) are arithmetic and not meaningful; n.m. is shown only where the base is zero/negative or the value is negative. Formulas unchanged.</t>
  </si>
  <si>
    <t>Check: segments + reconciling item = Income Statement total revenue</t>
  </si>
  <si>
    <t>3Q26E (col J) TRUE BY CONSTRUCTION – Segment - Other NII (J24) is consolidated NII less the three segments. Not an independent forecast validation.</t>
  </si>
  <si>
    <t>Geography: revenue split U.S. / non-U.S. is on the Geo tab</t>
  </si>
  <si>
    <t>Revenue by type (links to Income Statement)</t>
  </si>
  <si>
    <t>Fee revenue</t>
  </si>
  <si>
    <t>Investment and other revenue</t>
  </si>
  <si>
    <t>Net interest income</t>
  </si>
  <si>
    <t>Total revenue by type</t>
  </si>
  <si>
    <t>Check: revenue by type = revenue by segment</t>
  </si>
  <si>
    <t>3Q26E (col J) TRUE BY CONSTRUCTION – both totals built from the same segment/IS lines (fee plug IS J56, Other NII residual). Not an independent forecast validation.</t>
  </si>
  <si>
    <t>Net interest income drivers (consolidated average balances, $ millions)</t>
  </si>
  <si>
    <t>Interest-bearing deposits with Fed and other central banks</t>
  </si>
  <si>
    <t>3Q26E: CFO (Barclays 14-Sep-26) said deposits slowed in 3Q as guided; cash/Fed placements assumed to fall.</t>
  </si>
  <si>
    <t xml:space="preserve">      % Y/Y</t>
  </si>
  <si>
    <t xml:space="preserve">      Δ Q/Q (absolute)</t>
  </si>
  <si>
    <t>Interest-bearing deposits with banks</t>
  </si>
  <si>
    <t>Fed funds sold and reverse repo</t>
  </si>
  <si>
    <t>Investment securities</t>
  </si>
  <si>
    <t>Trading securities</t>
  </si>
  <si>
    <t>Loans</t>
  </si>
  <si>
    <t>Unreconciled (repairs r1-r6): 3Q26E consolidated avg loans 86,500 vs segment sum 87,100 (SS 13,400, MWS 57,500, IWM 14,500, Other 1,700); history ties exactly. Both are frozen original assumptions; no preserved source shows which is mis-entered, so neither is changed. Tracked average_loans = this consolidated cell J96 (a component of avg IEA J99 390,500 used for NII J120 and cited in the forecast rationale); segment loans are memo only. EPS dependency one-sided: $0 if a segment entry is wrong; if consolidated were 87,100 at 141.4 bp NIM, NII +$2.1m, EPS +$0.0024.</t>
  </si>
  <si>
    <t>Average interest-earning assets</t>
  </si>
  <si>
    <t>Average interest-earning assets – as reported</t>
  </si>
  <si>
    <t>Check: components = reported average interest-earning assets</t>
  </si>
  <si>
    <t>Average interest-bearing deposits</t>
  </si>
  <si>
    <t>Average noninterest-bearing deposits</t>
  </si>
  <si>
    <t>Average total deposits</t>
  </si>
  <si>
    <t>Noninterest-bearing share of deposits</t>
  </si>
  <si>
    <t xml:space="preserve">      Δ Q/Q (bps)</t>
  </si>
  <si>
    <t xml:space="preserve">      Δ Y/Y (bps)</t>
  </si>
  <si>
    <t>Net interest margin – model basis (bps, annualized on days; not BNY-reported)</t>
  </si>
  <si>
    <t>3Q26E 141.4 bps (-4.5 bps Q/Q): seasonal deposit slowdown flagged on 2Q26 call and at Barclays; ~150 bp reinvestment pickup and 17-Sep Fed hike partly offset. BASIS: model NIM = NII / avg IEA × 365/days; historically −0.1 to +2.5 bp vs BNY-reported FTE NIM (row 119). Tracked net_interest_margin is on this model basis.</t>
  </si>
  <si>
    <t>Net interest margin – as reported (bps)</t>
  </si>
  <si>
    <t>Net interest income (= avg IEA × NIM × days/365)</t>
  </si>
  <si>
    <t>Memo: FY26 NII guidance +12-13% Y/Y implies 2H26 NII of ~$2.72-2.77bn (see Guidance tab)</t>
  </si>
  <si>
    <t>Segment - Securities Services</t>
  </si>
  <si>
    <t>Asset Servicing – AUC/A driver ladder ($ trillions)</t>
  </si>
  <si>
    <t>AUC/A – opening balance</t>
  </si>
  <si>
    <t>1Q25 opening not available on the 2026 recast segment basis.</t>
  </si>
  <si>
    <t>Net change: market values, FX and net flows</t>
  </si>
  <si>
    <t>Net change as % of opening</t>
  </si>
  <si>
    <t>3Q26E -0.7%: AUC/A ~39% equity / 61% fixed income; S&amp;P 500 +2.0% and EAFE +0.3-0.8% in 3Q but U.S. govt bonds -3.0% as 10y yield rose ~87bp; modest net inflows.</t>
  </si>
  <si>
    <t>AUC/A – closing balance</t>
  </si>
  <si>
    <t>AUC/A – average of opening and closing</t>
  </si>
  <si>
    <t>Asset Servicing fee yield (bps of avg AUC/A, annualized)</t>
  </si>
  <si>
    <t>3Q26E 1.085 bps: last four quarters 1.08-1.11 bps (avg 1.098); trimmed for seasonally slower 3Q client activity (CFO: 3Q slower than 2Q).</t>
  </si>
  <si>
    <t>Asset Servicing fees</t>
  </si>
  <si>
    <t xml:space="preserve">      % of segment revenue</t>
  </si>
  <si>
    <t>Memo: securities lending revenue (in Asset Servicing fees)</t>
  </si>
  <si>
    <t>n.f.</t>
  </si>
  <si>
    <t>Memo: securities on loan at period end ($ billions)</t>
  </si>
  <si>
    <t>Issuer Services – drivers</t>
  </si>
  <si>
    <t>Total debt serviced at period end ($ trillions)</t>
  </si>
  <si>
    <t>3Q26E $15.4trn: +$0.2trn per quarter trend; share gains in CLO / conventional debt (2Q26 call).</t>
  </si>
  <si>
    <t>Depositary Receipts programs at period end (#)</t>
  </si>
  <si>
    <t>Issuer Services fees per $trn debt serviced ($m, annualized)</t>
  </si>
  <si>
    <t>3Q26E $97.5m per $trn (+14% Y/Y vs 3Q25 85.6): Trump Accounts public mandate live 4-Jul-26 ("durable" per CFO) and corporate-trust share gains; below 2Q26 seasonal DR peak (122). FY25 G44 = FY fees / year-end debt serviced G38 (not an average-balance rate; FY fees / average quarter-end balance = 89.5). Display only; does not feed 3Q26E.</t>
  </si>
  <si>
    <t>Issuer Services fees</t>
  </si>
  <si>
    <t>Total investment services fees</t>
  </si>
  <si>
    <t>Other revenue lines</t>
  </si>
  <si>
    <t>FX revenue per $trn average AUC/A ($m, annualized)</t>
  </si>
  <si>
    <t>3Q26E $16.0m per $trn: between 2H25 (13.4-13.9) and 1H26 (18.5-18.6); 3Q seasonally below 2Q, volatility supported by oil shock / Fed hike (1H26 segment FX +28% Y/Y).</t>
  </si>
  <si>
    <t>Foreign exchange revenue</t>
  </si>
  <si>
    <t>Other fees (primarily financing-related)</t>
  </si>
  <si>
    <t>3Q26E $75m: average of last four quarters ~$73m.</t>
  </si>
  <si>
    <t>Total fee revenue</t>
  </si>
  <si>
    <t>3Q26E $90m: near 2Q26 ($94m); excludes 1Q26-type investment gains.</t>
  </si>
  <si>
    <t>Total fee and other revenue</t>
  </si>
  <si>
    <t>Share of consolidated net interest income</t>
  </si>
  <si>
    <t>3Q26E held at 2Q26 share.</t>
  </si>
  <si>
    <t>Total revenue – Securities Services</t>
  </si>
  <si>
    <t>Memo: total revenue – as reported</t>
  </si>
  <si>
    <t>Check: built revenue = reported segment revenue</t>
  </si>
  <si>
    <t>Revenue by line of business</t>
  </si>
  <si>
    <t>Issuer Services non-fee revenue (FX, NII, other; derived)</t>
  </si>
  <si>
    <t>3Q26E $235m: average of 3Q25-2Q26 (~$231m) plus slight NII mix.</t>
  </si>
  <si>
    <t>Issuer Services total revenue</t>
  </si>
  <si>
    <t>Asset Servicing total revenue</t>
  </si>
  <si>
    <t>Total revenue by line of business</t>
  </si>
  <si>
    <t>Check: lines of business = segment total</t>
  </si>
  <si>
    <t>3Q26E (col J) TRUE BY CONSTRUCTION – Asset Servicing J135 = segment total less Issuer Services. Not an independent forecast validation.</t>
  </si>
  <si>
    <t>Segment profitability</t>
  </si>
  <si>
    <t>Provision for credit losses</t>
  </si>
  <si>
    <t>Noninterest expense</t>
  </si>
  <si>
    <t>3Q26E $1,735m: +0.8% Q/Q; Trump Accounts servicing costs and revenue-related expense (2Q26 call).</t>
  </si>
  <si>
    <t>Income before income taxes</t>
  </si>
  <si>
    <t>Pre-tax operating margin</t>
  </si>
  <si>
    <t>Selected balance sheet data (average, $ millions)</t>
  </si>
  <si>
    <t>Average loans</t>
  </si>
  <si>
    <t>Segment avg loans are memo only (feed growth rows, not NII/EPS). 3Q26E segment sum 87,100 vs consolidated 86,500 – unreconciled, see Revenue summary L96.</t>
  </si>
  <si>
    <t>Average deposits</t>
  </si>
  <si>
    <t>Average assets</t>
  </si>
  <si>
    <t>Segment - Market and Wealth Services</t>
  </si>
  <si>
    <t>Wealth Solutions (formerly Pershing) – drivers</t>
  </si>
  <si>
    <t>Wealth Solutions AUC/A – opening ($ trillions)</t>
  </si>
  <si>
    <t>1Q25 opening not available on the recast (Wealth Solutions) basis.</t>
  </si>
  <si>
    <t>Net new assets – U.S. platform ($ billions)</t>
  </si>
  <si>
    <t>3Q26E +$15bn: 3Q seasonally softer than 4Q25-2Q26 ($22-51bn).</t>
  </si>
  <si>
    <t xml:space="preserve">      Δ Y/Y (absolute)</t>
  </si>
  <si>
    <t>Market, FX and other change (derived; $ trillions)</t>
  </si>
  <si>
    <t>Market, FX and other change as % of opening</t>
  </si>
  <si>
    <t>3Q26E +0.5%: client assets equity-heavy (S&amp;P 500 +2.0% in 3Q) but fixed income -3.0%.</t>
  </si>
  <si>
    <t>Wealth Solutions AUC/A – closing ($ trillions)</t>
  </si>
  <si>
    <t>Daily average revenue trades – U.S. platform (thousands)</t>
  </si>
  <si>
    <t>3Q26E 380k: trading volumes strong and "kicked back into September" (CFO, Barclays 14-Sep-26).</t>
  </si>
  <si>
    <t>Average active clearing accounts (thousands)</t>
  </si>
  <si>
    <t>Wealth Solutions fees / period-end AUC/A (bps, annualized)</t>
  </si>
  <si>
    <t>3Q26E 6.12 bps (2Q26 6.14; last four quarters E28:I28 6.14-6.69): strong DARTs offset by lower sweep economics as deposits slow. FY25 G28 = FY fees / year-end AUC/A G19 (not an average-balance rate; on average quarter-end AUC/A = 6.70 bps). Display only; does not feed 3Q26E.</t>
  </si>
  <si>
    <t>Wealth Solutions fees</t>
  </si>
  <si>
    <t>Payments and Trade – drivers</t>
  </si>
  <si>
    <t>Average daily U.S. dollar payment volumes (#)</t>
  </si>
  <si>
    <t>3Q26E 262,000 (+0.7% Q/Q, +6.4% Y/Y): in line with the +5-6% Y/Y trend; net new business (2Q26 call).</t>
  </si>
  <si>
    <t>Fees per 1,000 average daily payments ($m, annualized)</t>
  </si>
  <si>
    <t>3Q26E held at 2Q26 rate (net new business pricing stable).</t>
  </si>
  <si>
    <t>Payments and Trade fees</t>
  </si>
  <si>
    <t>Clearance and Collateral Management – drivers</t>
  </si>
  <si>
    <t>Average collateral balances ($ billions)</t>
  </si>
  <si>
    <t>3Q26E $8.5trn (+3.7% Q/Q vs +5.3% in 2Q26): growing dealer balance sheets and Treasury issuance.</t>
  </si>
  <si>
    <t>Fee rate on average collateral (bps, annualized)</t>
  </si>
  <si>
    <t>3Q26E 2.20 bps: last five quarters 2.17-2.24 bps (2Q26 2.22); slight mix dilution as balances grow.</t>
  </si>
  <si>
    <t>Clearance and Collateral Management fees</t>
  </si>
  <si>
    <t>3Q26E 42.1% (2Q26 42.3%): MWS deposits seasonally softer.</t>
  </si>
  <si>
    <t>Total revenue – Market and Wealth Services</t>
  </si>
  <si>
    <t>Wealth Solutions non-fee revenue (derived)</t>
  </si>
  <si>
    <t>3Q26E $250m (2Q26 $255m): sweep/NII softer with deposits.</t>
  </si>
  <si>
    <t>Wealth Solutions total revenue</t>
  </si>
  <si>
    <t>Payments and Trade non-fee revenue (derived)</t>
  </si>
  <si>
    <t>3Q26E $340m (2Q26 $347m): deposit NII softer.</t>
  </si>
  <si>
    <t>Payments and Trade total revenue</t>
  </si>
  <si>
    <t>Clearance and Collateral Management total revenue</t>
  </si>
  <si>
    <t>3Q26E (col J) TRUE BY CONSTRUCTION – Clearance &amp; Collateral Mgmt J160 = segment total less other LOBs. Not an independent forecast validation.</t>
  </si>
  <si>
    <t>Selected balance sheet data</t>
  </si>
  <si>
    <t>Segment AUC/A at period end ($ trillions)</t>
  </si>
  <si>
    <t>Segment - Investment and Wealth Management</t>
  </si>
  <si>
    <t>Assets under management ladder ($ billions)</t>
  </si>
  <si>
    <t>AUM – opening balance</t>
  </si>
  <si>
    <t xml:space="preserve">   Net flows – equity (long-term active)</t>
  </si>
  <si>
    <t xml:space="preserve">   Net flows – fixed income (long-term active)</t>
  </si>
  <si>
    <t xml:space="preserve">   Net flows – liability-driven investments</t>
  </si>
  <si>
    <t xml:space="preserve">   Net flows – multi-asset and alternatives</t>
  </si>
  <si>
    <t>Net flows – long-term active strategies</t>
  </si>
  <si>
    <t xml:space="preserve">   Net flows – index</t>
  </si>
  <si>
    <t xml:space="preserve">   Net flows – short-term (cash)</t>
  </si>
  <si>
    <t>3Q26E +$10bn cash inflows: strong money-market fund flows (2Q26 call).</t>
  </si>
  <si>
    <t>Total net flows</t>
  </si>
  <si>
    <t>Net market impact</t>
  </si>
  <si>
    <t>3Q26E -$8bn: equity/index AUM up with markets but fixed income and LDI (gilt/Treasury yields up sharply) down.</t>
  </si>
  <si>
    <t>Net currency impact</t>
  </si>
  <si>
    <t>Other (methodology)</t>
  </si>
  <si>
    <t>AUM – closing balance</t>
  </si>
  <si>
    <t>AUM – average of opening and closing</t>
  </si>
  <si>
    <t>Organic AUM growth (net flows / opening AUM)</t>
  </si>
  <si>
    <t>AUM by product type ($ billions)</t>
  </si>
  <si>
    <t xml:space="preserve">   Equity</t>
  </si>
  <si>
    <t>3Q26E product mix held at 2Q26 proportions.</t>
  </si>
  <si>
    <t xml:space="preserve">   Fixed income</t>
  </si>
  <si>
    <t xml:space="preserve">   Index</t>
  </si>
  <si>
    <t xml:space="preserve">   Liability-driven investments</t>
  </si>
  <si>
    <t xml:space="preserve">   Multi-asset and alternatives</t>
  </si>
  <si>
    <t xml:space="preserve">   Cash</t>
  </si>
  <si>
    <t>Total AUM by product</t>
  </si>
  <si>
    <t>Check: AUM ladder closing = AUM by product</t>
  </si>
  <si>
    <t>3Q26E (col J) TRUE BY CONSTRUCTION – products J50:J65 are 2Q26 mix × ladder closing AUM J39. Not an independent forecast validation.</t>
  </si>
  <si>
    <t>Wealth Management client assets ($ billions)</t>
  </si>
  <si>
    <t>Revenue</t>
  </si>
  <si>
    <t>Investment management fee rate (bps of avg AUM, annualized)</t>
  </si>
  <si>
    <t>3Q26E 14.4 bps vs 14.49-14.79 bps in last four quarters (E75:I75; 2Q26 14.62): adverse mix (LDI/active outflows, cash inflows).</t>
  </si>
  <si>
    <t>Investment management fees</t>
  </si>
  <si>
    <t>Performance fees</t>
  </si>
  <si>
    <t>Small-base caveat (as Segment - Other B49; repair r6): performance-fee Q/Q on $1-14m bases (e.g. D87 100.0% on $5m, I87 200.0% on $1m) is arithmetic, not meaningful. Formulas unchanged; display only.</t>
  </si>
  <si>
    <t>Investment management and performance fees</t>
  </si>
  <si>
    <t xml:space="preserve">      Prior-year IM &amp; performance fees at current FX rates (Non-GAAP)</t>
  </si>
  <si>
    <t>BNY discloses constant-currency growth for IM &amp; performance fees only; 3Q25 vs 3Q24 not in model window.</t>
  </si>
  <si>
    <t xml:space="preserve">      Constant-currency growth (BNY Non-GAAP)</t>
  </si>
  <si>
    <t>Not disclosed by BNY.</t>
  </si>
  <si>
    <t>FX impact = (1+reported Y/Y)/(1+constant-currency Y/Y)-1, i.e. prior-year at current FX / prior-year reported - 1.</t>
  </si>
  <si>
    <t>Organic = (1+Y/Y)/((1+M&amp;A)*(1+FX))-1; unavailable because M&amp;A impact is not disclosed (FX shown above for 1Q26/2Q26).</t>
  </si>
  <si>
    <t>Distribution and servicing fees</t>
  </si>
  <si>
    <t>Other fees (primarily investment services fees, net)</t>
  </si>
  <si>
    <t>Investment and other revenue (net of NCI)</t>
  </si>
  <si>
    <t>3Q26E $15m seed capital/other: Russell 2000 -7.5% in 3Q tempers seed gains vs 2Q26 $29m.</t>
  </si>
  <si>
    <t>Small-base caveat (as Segment - Other B49; repair r6): I123 222.2% is 2Q26 $29m vs a $9m 2Q25 base; arithmetic, not meaningful. Formulas unchanged; display only.</t>
  </si>
  <si>
    <t>Total revenue – Investment and Wealth Management</t>
  </si>
  <si>
    <t>Wealth Management total revenue</t>
  </si>
  <si>
    <t>3Q26E $288m: client assets ~flat Q/Q, NII support.</t>
  </si>
  <si>
    <t>Investment Management total revenue</t>
  </si>
  <si>
    <t>3Q26E (col J) TRUE BY CONSTRUCTION – Investment Management J156 = segment total less Wealth Management. Not an independent forecast validation.</t>
  </si>
  <si>
    <t>Segment - Other</t>
  </si>
  <si>
    <t>Other segment (corporate treasury, other investments, eliminations)</t>
  </si>
  <si>
    <t>3Q26E $45m: 4-quarter average ~$44m.</t>
  </si>
  <si>
    <t>Net interest income (expense)</t>
  </si>
  <si>
    <t>3Q26E RESIDUAL (assumption) = consolidated NII less the three business segments (0.3 vs −19 to +1 in 1Q25-2Q26). Not independently validated.</t>
  </si>
  <si>
    <t>Total revenue – Other segment</t>
  </si>
  <si>
    <t>3Q26E RESIDUAL (assumption) = consolidated provision less the three business segments.</t>
  </si>
  <si>
    <t>3Q26E RESIDUAL (assumption) = consolidated expense less business segments. Not independently validated.</t>
  </si>
  <si>
    <t>Income (loss) before income taxes</t>
  </si>
  <si>
    <t>Average loans and leases</t>
  </si>
  <si>
    <t>3Q26E segment avg loans sum to 87,100 vs consolidated 86,500 (Revenue summary J96): unreconciled, see Revenue summary L96.</t>
  </si>
  <si>
    <t>Growth rates are shown as n.m. (not meaningful) where the base is zero or negative, or (Q/Q) where the value turns negative. Rates on small positive bases (e.g. J25 on a $1m base) are displayed arithmetically and are not meaningful.</t>
  </si>
  <si>
    <t>Income Statement</t>
  </si>
  <si>
    <t>Investment services fees</t>
  </si>
  <si>
    <t xml:space="preserve">      of which: IWM/Other segments (residual)</t>
  </si>
  <si>
    <t>3Q26E $9m: 4-quarter range $8-11m.</t>
  </si>
  <si>
    <t>IWM segment basis: linked from Segment - Inv &amp; Wealth Mgmt row 97 (segment IM &amp; performance fees, e.g. H92 786 vs consolidated H33 785).</t>
  </si>
  <si>
    <t>Linked from IWM segment constant-currency reconciliation (IWM segment basis; segment IM &amp; performance fees can differ from consolidated row 33 by $1m, e.g. H92 786 vs H33 785).</t>
  </si>
  <si>
    <t>Unavailable: M&amp;A impact not disclosed.</t>
  </si>
  <si>
    <t>3Q26E -$8m: corporate treasury FX hedging in Other segment (2Q26 -$8m).</t>
  </si>
  <si>
    <t>Financing-related fees</t>
  </si>
  <si>
    <t>3Q26E PLUG (residual, assumption): derived so consolidated fee revenue = sum of segment fee revenue; absorbs hardcoded residuals J12/J42/J49. 41 vs 36-38 in 1Q25-2Q26.</t>
  </si>
  <si>
    <t>Memo: sum of segment fee revenue</t>
  </si>
  <si>
    <t>Check: fee revenue = sum of segment fee revenue</t>
  </si>
  <si>
    <t>3Q26E (col J) TRUE BY CONSTRUCTION – distribution &amp; servicing fees J56 is the balancing plug. Not an independent forecast validation.</t>
  </si>
  <si>
    <t xml:space="preserve">   Income from consolidated investment management funds</t>
  </si>
  <si>
    <t>3Q26E investment and other revenue forecast at segment level (sum shown in total); components not forecast individually.</t>
  </si>
  <si>
    <t>Small-base caveat (as Revenue summary L34; repair r6): D74 483.3% is 2Q25 $35m vs a $6m 1Q25 base; arithmetic, not meaningful. Formulas unchanged; display only, no EPS feed.</t>
  </si>
  <si>
    <t xml:space="preserve">   Seed capital gains (losses)</t>
  </si>
  <si>
    <t xml:space="preserve">   Other trading revenue</t>
  </si>
  <si>
    <t xml:space="preserve">   Renewable energy investment gains</t>
  </si>
  <si>
    <t>Small-base caveat (as Revenue summary L34; repair r6): H95 633.3% is 1Q26 $44m vs a $6m 4Q25 base; arithmetic, not meaningful. Formulas unchanged; display only, no EPS feed.</t>
  </si>
  <si>
    <t xml:space="preserve">   Corporate/bank-owned life insurance</t>
  </si>
  <si>
    <t xml:space="preserve">   Other investments gains (losses)</t>
  </si>
  <si>
    <t xml:space="preserve">   Disposal gains</t>
  </si>
  <si>
    <t xml:space="preserve">   Expense reimbursements from joint venture</t>
  </si>
  <si>
    <t xml:space="preserve">   Other income</t>
  </si>
  <si>
    <t xml:space="preserve">   Net investment securities gains (losses)</t>
  </si>
  <si>
    <t>Total investment and other revenue</t>
  </si>
  <si>
    <t>3Q26E = segment investment &amp; other revenue (SS J87 + MWS J98 + IWM J122 + Other J17 + NCI Revenue summary J39); component lines J72:J135 are n.f. and do not foot to J142.</t>
  </si>
  <si>
    <t>Check: total revenue = Revenue summary (segments)</t>
  </si>
  <si>
    <t>3Q26E (col J) TRUE BY CONSTRUCTION – segment Other NII residual forces the tie. Not an independent forecast validation.</t>
  </si>
  <si>
    <t>Memo: S&amp;P Capital IQ revenue actual (Inputs)</t>
  </si>
  <si>
    <t>Check: total revenue = Capital IQ revenue actual</t>
  </si>
  <si>
    <t>Memo: FY25 total revenue as reported (4Q25 release)</t>
  </si>
  <si>
    <t>Check: FY25 = sum of quarters (revenue)</t>
  </si>
  <si>
    <t>Provision and noninterest expense</t>
  </si>
  <si>
    <t>3Q26E -$5m benefit: CRE NPAs now zero (2Q26 call); last five quarters -$7m to -$26m.</t>
  </si>
  <si>
    <t xml:space="preserve">   Staff</t>
  </si>
  <si>
    <t>3Q26E $1,815m incl. ~$10m severance; 2Q26 $1,785m + merit, revenue-related incentive accrual.</t>
  </si>
  <si>
    <t xml:space="preserve">   Software and equipment</t>
  </si>
  <si>
    <t>3Q26E +2% Q/Q: AI/engineering investment.</t>
  </si>
  <si>
    <t xml:space="preserve">   Professional, legal and other purchased services</t>
  </si>
  <si>
    <t>3Q26E: Trump Accounts servicing costs (CFO cited in raised expense guide).</t>
  </si>
  <si>
    <t xml:space="preserve">   Sub-custodian and clearing</t>
  </si>
  <si>
    <t>3Q26E revenue-related, tracks volumes.</t>
  </si>
  <si>
    <t xml:space="preserve">   Net occupancy</t>
  </si>
  <si>
    <t xml:space="preserve">   Distribution and servicing</t>
  </si>
  <si>
    <t xml:space="preserve">   Business development</t>
  </si>
  <si>
    <t>3Q26E seasonally lower than 2Q26 ($68m), 3Q25 $45m.</t>
  </si>
  <si>
    <t xml:space="preserve">   Bank assessment charges</t>
  </si>
  <si>
    <t>Small-base caveat (as Revenue summary L34; repair r6): J201 366.7% is 3Q26E $28m vs a $6m 3Q25 base; arithmetic, not meaningful. Formulas unchanged; display only, no EPS feed.</t>
  </si>
  <si>
    <t xml:space="preserve">   Amortization of intangible assets</t>
  </si>
  <si>
    <t xml:space="preserve">   Other</t>
  </si>
  <si>
    <t>Total noninterest expense</t>
  </si>
  <si>
    <t>Noninterest expense / total revenue</t>
  </si>
  <si>
    <t>Memo: sum of segment noninterest expense</t>
  </si>
  <si>
    <t>Check: expense = sum of segment expense</t>
  </si>
  <si>
    <t>3Q26E (col J) TRUE BY CONSTRUCTION – Segment - Other expense J39 is the residual. Not an independent forecast validation.</t>
  </si>
  <si>
    <t>Earnings</t>
  </si>
  <si>
    <t>Memo: sum of segment pre-tax income</t>
  </si>
  <si>
    <t>Check: pre-tax = segments + NCI revenue</t>
  </si>
  <si>
    <t>3Q26E (col J) TRUE BY CONSTRUCTION – Segment - Other NII/provision/expense residuals force the tie. Not an independent forecast validation.</t>
  </si>
  <si>
    <t>Effective tax rate</t>
  </si>
  <si>
    <t>3Q26E 22.0%: guide ~23% for 3Q-4Q26 (2Q26 call) but realized 19.1-21.3% in each of last four quarters vs ~21-23% guides; partial tilt.</t>
  </si>
  <si>
    <t>Provision for income taxes</t>
  </si>
  <si>
    <t>Net income</t>
  </si>
  <si>
    <t>Net (income) loss attributable to noncontrolling interests</t>
  </si>
  <si>
    <t>Preferred stock dividends</t>
  </si>
  <si>
    <t>3Q26E from declared September-period preferred dividends (Share Count tab).</t>
  </si>
  <si>
    <t>Net income applicable to common shareholders – GAAP</t>
  </si>
  <si>
    <t>Net income to common / total revenue</t>
  </si>
  <si>
    <t>Memo: FY25 net income to common as reported</t>
  </si>
  <si>
    <t>Check: FY25 = sum of quarters (net income to common)</t>
  </si>
  <si>
    <t>Per common share (shares in millions)</t>
  </si>
  <si>
    <t>Average basic common shares</t>
  </si>
  <si>
    <t>Average diluted common shares and equivalents</t>
  </si>
  <si>
    <t>Basic EPS – GAAP</t>
  </si>
  <si>
    <t>Memo: diluted EPS – GAAP as reported</t>
  </si>
  <si>
    <t>Check: EPS = net income / diluted shares (vs reported, ±$0.006)</t>
  </si>
  <si>
    <t>Memo: S&amp;P Capital IQ GAAP EPS actual (Inputs)</t>
  </si>
  <si>
    <t>Check: reported GAAP EPS = Capital IQ GAAP actual</t>
  </si>
  <si>
    <t>GAAP to non-GAAP bridge (BNY "excluding notable items" = Capital IQ normalized basis)</t>
  </si>
  <si>
    <t xml:space="preserve">   Notable item: severance expense (pre-tax, in Staff)</t>
  </si>
  <si>
    <t>3Q26E $10m: severance recorded every quarter ($6-98m); 2Q26 $6m, 1Q26 $18m.</t>
  </si>
  <si>
    <t xml:space="preserve">   Notable item: litigation reserves (pre-tax, in Other)</t>
  </si>
  <si>
    <t xml:space="preserve">   Notable item: FDIC special assessment (pre-tax)</t>
  </si>
  <si>
    <t xml:space="preserve">   Notable item: disposal gains (pre-tax, in revenue)</t>
  </si>
  <si>
    <t>Adjusted total revenue (ex notable items)</t>
  </si>
  <si>
    <t>Adjusted noninterest expense (ex notable items)</t>
  </si>
  <si>
    <t>Memo: FY25 adjusted revenue as reported</t>
  </si>
  <si>
    <t>Memo: FY25 adjusted expense as reported</t>
  </si>
  <si>
    <t>Check: FY25 adjusted revenue and expense = reported</t>
  </si>
  <si>
    <t>Adjusted income before income taxes</t>
  </si>
  <si>
    <t>Adjusted pre-tax operating margin</t>
  </si>
  <si>
    <t>Tax rate applied to forecast notable items</t>
  </si>
  <si>
    <t>Historical after-tax/pre-tax ratio on severance 0.755-0.833 (row 274 / row 258, C:I). 23% here differs by design from the 22% GAAP ETR (J227); aligning to 22% adds $0.1m (+$0.00015 EPS).</t>
  </si>
  <si>
    <t>Net income applicable to common – GAAP</t>
  </si>
  <si>
    <t xml:space="preserve">   Add: severance, after tax</t>
  </si>
  <si>
    <t xml:space="preserve">   Add: litigation reserves, after tax</t>
  </si>
  <si>
    <t>Source check (repair r1): 4Q25 pre-tax 3 / after-tax 6 and 2Q25 −16 / −16 match BNY notable-item reconciliations (4Q25 and 2Q26 releases); FY25 −8 / −7. After-tax &gt; pre-tax reflects issuer-reported tax effects (not itemized).</t>
  </si>
  <si>
    <t xml:space="preserve">   Add: FDIC special assessment, after tax</t>
  </si>
  <si>
    <t xml:space="preserve">   Less: disposal gains, after tax</t>
  </si>
  <si>
    <t>Adjusted net income applicable to common (ex notable items)</t>
  </si>
  <si>
    <t>Adjusted diluted EPS (consensus basis: normalized)</t>
  </si>
  <si>
    <t>EPS impact of notable items (adjusted less GAAP)</t>
  </si>
  <si>
    <t>Comparator-basis caveat (unresolved, repair r3): J284 = +$0.0112 from excluding forecast severance (J274). History matches Capital IQ normalized 6/6 (row 288), but 3Q26 consensus normalized 2.26 &lt; GAAP 2.27 (Inputs C22/C31); if Capital IQ does not exclude 3Q26 severance, comparable EPS = GAAP J249 (−$0.0112).</t>
  </si>
  <si>
    <t>Memo: adjusted diluted EPS as reported</t>
  </si>
  <si>
    <t>Check: adjusted EPS = adjusted NI / diluted shares (vs reported, ±$0.006)</t>
  </si>
  <si>
    <t>Memo: S&amp;P Capital IQ normalized EPS actual (Inputs)</t>
  </si>
  <si>
    <t>Check: BNY adjusted EPS = Capital IQ normalized actual (basis match)</t>
  </si>
  <si>
    <t>Memo: Capital IQ normalized EPS consensus (Inputs)</t>
  </si>
  <si>
    <t>Adjusted EPS less consensus ($ per share)</t>
  </si>
  <si>
    <t>Balance Sheet</t>
  </si>
  <si>
    <t>Assets (period end)</t>
  </si>
  <si>
    <t>Cash and due from banks</t>
  </si>
  <si>
    <t>3Q26E balance sheet held flat except retained earnings, treasury stock, premises, intangibles, allowance and the Fed-deposit balancing line.</t>
  </si>
  <si>
    <t>Interest-bearing deposits with the Fed and other central banks</t>
  </si>
  <si>
    <t>3Q26E PLUG (balancing item, assumption): central-bank placements absorb the net change in equity, premises, allowance and intangibles (other lines held flat). Judgmental; not independently validated.</t>
  </si>
  <si>
    <t>Fed funds sold and securities purchased under resale agreements</t>
  </si>
  <si>
    <t>Trading assets</t>
  </si>
  <si>
    <t>Allowance for loan losses</t>
  </si>
  <si>
    <t>Net loans</t>
  </si>
  <si>
    <t>Premises and equipment</t>
  </si>
  <si>
    <t>Accrued interest receivable</t>
  </si>
  <si>
    <t>Goodwill</t>
  </si>
  <si>
    <t>Intangible assets</t>
  </si>
  <si>
    <t>Other assets</t>
  </si>
  <si>
    <t>Total assets</t>
  </si>
  <si>
    <t>Memo: total assets as reported</t>
  </si>
  <si>
    <t>Check: total assets = reported</t>
  </si>
  <si>
    <t>Liabilities</t>
  </si>
  <si>
    <t>Deposits</t>
  </si>
  <si>
    <t>3Q26E period-end deposits held flat at 2Q26 (placeholder, not a forecast); forecast average total deposits fall 3.0% (Revenue summary J110). Average balances drive NII; no EPS dependency.</t>
  </si>
  <si>
    <t>Fed funds purchased and securities sold under repurchase agreements</t>
  </si>
  <si>
    <t>Trading liabilities</t>
  </si>
  <si>
    <t>Payables to customers and broker-dealers</t>
  </si>
  <si>
    <t>Commercial paper</t>
  </si>
  <si>
    <t>Other borrowed funds</t>
  </si>
  <si>
    <t>Accrued taxes and other expenses</t>
  </si>
  <si>
    <t>Other liabilities</t>
  </si>
  <si>
    <t>Long-term debt</t>
  </si>
  <si>
    <t>Total liabilities</t>
  </si>
  <si>
    <t>Memo: total liabilities as reported</t>
  </si>
  <si>
    <t>Check: total liabilities = reported</t>
  </si>
  <si>
    <t>Temporary equity: redeemable noncontrolling interests</t>
  </si>
  <si>
    <t>Permanent equity</t>
  </si>
  <si>
    <t>Preferred stock</t>
  </si>
  <si>
    <t>Common stock</t>
  </si>
  <si>
    <t>Additional paid-in capital</t>
  </si>
  <si>
    <t>3Q26E stock compensation not modelled (held flat).</t>
  </si>
  <si>
    <t>Retained earnings</t>
  </si>
  <si>
    <t>Accumulated other comprehensive loss, net of tax</t>
  </si>
  <si>
    <t>3Q26E AOCI held flat (no forecast of securities marks).</t>
  </si>
  <si>
    <t>Less: treasury stock, at cost</t>
  </si>
  <si>
    <t>Treasury rollforward note (repair r5): 3Q26E J54 = I54 less buyback dollars (Share Count J22) with no add-on. Historically the quarterly treasury-stock change exceeded repurchase dollars by $2-11m (D +9, E +8, F +10, H +2, I +11; about 1% of repurchases except H at 0.2%), mostly consistent with an accrued 1% buyback excise tax (not sourced, so not added). Omission is about $11m of equity, absorbed by plug J12; no EPS effect.</t>
  </si>
  <si>
    <t>Total BNY shareholders' equity</t>
  </si>
  <si>
    <t>Nonredeemable NCI of consolidated investment management funds</t>
  </si>
  <si>
    <t>3Q26E held flat; NCI share of fund income deducted in the cash flow statement.</t>
  </si>
  <si>
    <t>Total permanent equity</t>
  </si>
  <si>
    <t>Total liabilities, temporary equity and permanent equity</t>
  </si>
  <si>
    <t>Check: assets - liabilities - equity (incl. temporary equity) = 0</t>
  </si>
  <si>
    <t>Check: balance sheet balances</t>
  </si>
  <si>
    <t>3Q26E (col J) TRUE BY CONSTRUCTION – Fed-deposit line J12 is the balancing plug. Not an independent forecast validation.</t>
  </si>
  <si>
    <t>Memo: capital ratios (period end; regulatory, Standardized)</t>
  </si>
  <si>
    <t>CET1 ratio</t>
  </si>
  <si>
    <t>Tier 1 leverage ratio</t>
  </si>
  <si>
    <t>Cash Flow Statement</t>
  </si>
  <si>
    <t>Operating activities (quarterly; derived from year-to-date filings)</t>
  </si>
  <si>
    <t xml:space="preserve">   Net income</t>
  </si>
  <si>
    <t xml:space="preserve">   Net (income) loss attributable to NCI</t>
  </si>
  <si>
    <t xml:space="preserve">   Provision for credit losses</t>
  </si>
  <si>
    <t xml:space="preserve">   Pension plan contributions</t>
  </si>
  <si>
    <t>3Q26E working-capital / non-cash items other than D&amp;A and provision assumed nil.</t>
  </si>
  <si>
    <t xml:space="preserve">   Depreciation and amortization</t>
  </si>
  <si>
    <t>3Q26E $410m: 1H26 run-rate $407m/quarter.</t>
  </si>
  <si>
    <t xml:space="preserve">   Deferred tax expense (benefit)</t>
  </si>
  <si>
    <t xml:space="preserve">   Net investment securities losses</t>
  </si>
  <si>
    <t xml:space="preserve">   Change in trading assets and liabilities</t>
  </si>
  <si>
    <t xml:space="preserve">   Change in accruals and other, net</t>
  </si>
  <si>
    <t>Net cash provided by (used for) operating activities</t>
  </si>
  <si>
    <t>3Q26E LOW-CONFIDENCE PROXY: net income less NCI, plus provision and D&amp;A, with trading/working-capital flows assumed nil (L14). Historical CFO −3,013 to 5,185. Issuer-defined FCF not applicable (BNY does not define FCF; see row 62).</t>
  </si>
  <si>
    <t>Check: CFO = reported (YTD-derived)</t>
  </si>
  <si>
    <t>Investing activities</t>
  </si>
  <si>
    <t xml:space="preserve">   Change in interest-bearing deposits with banks</t>
  </si>
  <si>
    <t>3Q26E investing lines other than capex (J33) and the Fed-deposit plug (J25) are assumed-nil placeholders (J24, J26:J32, J34), not forecasts; most historical quarters move by $bn (other investing, row 34, by $0.0-0.9bn). No EPS feed (repair r6).</t>
  </si>
  <si>
    <t xml:space="preserve">   Change in interest-bearing deposits with the Fed and central banks</t>
  </si>
  <si>
    <t>3Q26E PLUG: = −(change in Balance Sheet J12 Fed-deposit balancing item); makes the J59 cash tie hold by construction.</t>
  </si>
  <si>
    <t xml:space="preserve">   Change in fed funds sold and reverse repo</t>
  </si>
  <si>
    <t xml:space="preserve">   Purchases of held-to-maturity securities</t>
  </si>
  <si>
    <t xml:space="preserve">   Paydowns and maturities of held-to-maturity securities</t>
  </si>
  <si>
    <t xml:space="preserve">   Purchases of available-for-sale securities</t>
  </si>
  <si>
    <t xml:space="preserve">   Sales of available-for-sale securities</t>
  </si>
  <si>
    <t xml:space="preserve">   Paydowns and maturities of available-for-sale securities</t>
  </si>
  <si>
    <t xml:space="preserve">   Net change in loans</t>
  </si>
  <si>
    <t xml:space="preserve">   Purchases of premises and equipment / capitalized software</t>
  </si>
  <si>
    <t>3Q26E $550m: 1H26 $1,104m.</t>
  </si>
  <si>
    <t xml:space="preserve">   Other investing, net</t>
  </si>
  <si>
    <t>Net cash provided by (used for) investing activities</t>
  </si>
  <si>
    <t>Check: CFI = reported (YTD-derived)</t>
  </si>
  <si>
    <t>Financing activities</t>
  </si>
  <si>
    <t xml:space="preserve">   Change in deposits</t>
  </si>
  <si>
    <t>3Q26E financing lines other than buybacks (J46) and dividends (J49) are assumed-nil placeholders (J38:J45, J47:J48, J50), as is FX effect J53; not forecasts. No EPS feed (repair r6).</t>
  </si>
  <si>
    <t xml:space="preserve">   Change in fed funds purchased and repo</t>
  </si>
  <si>
    <t xml:space="preserve">   Change in payables to customers and broker-dealers</t>
  </si>
  <si>
    <t xml:space="preserve">   Change in commercial paper</t>
  </si>
  <si>
    <t xml:space="preserve">   Change in other borrowed funds</t>
  </si>
  <si>
    <t xml:space="preserve">   Net proceeds from issuance of long-term debt</t>
  </si>
  <si>
    <t xml:space="preserve">   Repayments, redemptions and repurchases of long-term debt</t>
  </si>
  <si>
    <t xml:space="preserve">   Issuance of common stock</t>
  </si>
  <si>
    <t xml:space="preserve">   Treasury stock acquired</t>
  </si>
  <si>
    <t xml:space="preserve">   Issuance of preferred stock</t>
  </si>
  <si>
    <t xml:space="preserve">   Redemption of preferred stock</t>
  </si>
  <si>
    <t xml:space="preserve">   Cash dividends paid (common and preferred)</t>
  </si>
  <si>
    <t xml:space="preserve">   Other financing, net</t>
  </si>
  <si>
    <t>Net cash provided by (used for) financing activities</t>
  </si>
  <si>
    <t>Check: CFF = reported (YTD-derived)</t>
  </si>
  <si>
    <t>Effect of exchange rate changes on cash</t>
  </si>
  <si>
    <t>Change in cash and due from banks and restricted cash</t>
  </si>
  <si>
    <t>Cash and restricted cash – beginning of period</t>
  </si>
  <si>
    <t>Cash and restricted cash – end of period</t>
  </si>
  <si>
    <t>Less: restricted cash at end of period</t>
  </si>
  <si>
    <t>3Q26E restricted cash held flat.</t>
  </si>
  <si>
    <t>Cash and due from banks at end of period</t>
  </si>
  <si>
    <t>Check: change in cash ties to Balance Sheet cash and due from banks</t>
  </si>
  <si>
    <t>3Q26E (col J) TRUE BY CONSTRUCTION – CFI J25 is the change in the Balance Sheet J12 plug. Not an independent forecast validation.</t>
  </si>
  <si>
    <t>Check: ending cash = reported (YTD statements)</t>
  </si>
  <si>
    <t>Check: FY25 = sum of quarters = 10-K (change in cash)</t>
  </si>
  <si>
    <t>Memo: CFO less capex (Shortcut-derived; BNY does not define free cash flow)</t>
  </si>
  <si>
    <t>Memo: year-to-date as reported (C=3M25, D=6M25, E=9M25, F=FY25, H=3M26, I=6M26)</t>
  </si>
  <si>
    <t xml:space="preserve">   Net cash from operating activities (reported)</t>
  </si>
  <si>
    <t>9M25 and FY25 = reported paydowns + maturities (3,593+1,706; 5,030+2,979), combined to match the 2026 presentation.</t>
  </si>
  <si>
    <t>9M25 and FY25 = reported paydowns + maturities (6,435+5,568; 8,138+7,696).</t>
  </si>
  <si>
    <t xml:space="preserve">   Net cash from investing activities (reported)</t>
  </si>
  <si>
    <t>9M25 and FY25 = reported common (1,070; 1,447) + preferred (199; 238) cash dividends.</t>
  </si>
  <si>
    <t xml:space="preserve">   Net cash from financing activities (reported)</t>
  </si>
  <si>
    <t xml:space="preserve">   Effect of exchange rate changes</t>
  </si>
  <si>
    <t xml:space="preserve">   Change in cash and restricted cash (reported)</t>
  </si>
  <si>
    <t xml:space="preserve">   Beginning cash and restricted cash (reported)</t>
  </si>
  <si>
    <t xml:space="preserve">   Ending cash and restricted cash (reported)</t>
  </si>
  <si>
    <t xml:space="preserve">   Restricted cash at end of period (reported)</t>
  </si>
  <si>
    <t>Geo</t>
  </si>
  <si>
    <t>Revenue by geography (U.S. vs non-U.S.; BNY discloses non-U.S. share of total revenue)</t>
  </si>
  <si>
    <t>Non-U.S. revenue as % of total (quarters as disclosed, rounded)</t>
  </si>
  <si>
    <t>3Q26E 36%: average of last four quarters (35-37%). FY25 G12 is derived (G15/G11 = 35.03%); FY25 as disclosed = 35% (G31).</t>
  </si>
  <si>
    <t>Non-U.S. revenue (derived)</t>
  </si>
  <si>
    <t>U.S. revenue (derived)</t>
  </si>
  <si>
    <t>Total of geographies</t>
  </si>
  <si>
    <t>Check: geographies sum to total revenue</t>
  </si>
  <si>
    <t>3Q26E (col J) TRUE BY CONSTRUCTION – U.S. revenue J22 = total less non-U.S. Not an independent forecast validation.</t>
  </si>
  <si>
    <t>Memo: FY25 non-U.S. share as disclosed in 2025 Annual Report</t>
  </si>
  <si>
    <t>Check: FY25 derived non-U.S. share within 1pp of disclosed 35%</t>
  </si>
  <si>
    <t>Annual regional split as disclosed (2025 Annual Report Note 24, international operations; FY only – quarterly n.d.)</t>
  </si>
  <si>
    <t xml:space="preserve">   EMEA</t>
  </si>
  <si>
    <t>Includes UK-domiciled operations revenue ~$2.8bn (14% of total).</t>
  </si>
  <si>
    <t xml:space="preserve">   APAC</t>
  </si>
  <si>
    <t xml:space="preserve">   Other international</t>
  </si>
  <si>
    <t>Total international (as disclosed)</t>
  </si>
  <si>
    <t xml:space="preserve">   Domestic (U.S.)</t>
  </si>
  <si>
    <t>Total revenue (as disclosed by region)</t>
  </si>
  <si>
    <t>Check: regional split sums to FY25 total revenue</t>
  </si>
  <si>
    <t>Memo: disclosed FY international less sum of quarterly derived non-U.S. (rounding of quarterly %)</t>
  </si>
  <si>
    <t>Share Count</t>
  </si>
  <si>
    <t>Common shares outstanding (millions)</t>
  </si>
  <si>
    <t>Shares outstanding – opening</t>
  </si>
  <si>
    <t xml:space="preserve">   Less: shares repurchased</t>
  </si>
  <si>
    <t xml:space="preserve">   Add: issuance under employee plans</t>
  </si>
  <si>
    <t>3Q26E 0.3m: 2Q-4Q run-rate 0.1-0.4m (1Q vesting spike excluded).</t>
  </si>
  <si>
    <t xml:space="preserve">   Other changes (derived)</t>
  </si>
  <si>
    <t>Shares outstanding – closing</t>
  </si>
  <si>
    <t>Buybacks</t>
  </si>
  <si>
    <t>Common share repurchases ($ millions)</t>
  </si>
  <si>
    <t>3Q26E $1.1bn: 2Q26 $1,103m; 1H26 total payout 87%; $10bn authorization (Apr-26).</t>
  </si>
  <si>
    <t>Average price paid per share ($)</t>
  </si>
  <si>
    <t>3Q26E $155: stock $144.61 (30-Jun) to $162.66 (11-Sep), 52-week high $165.84; ~$145 early Oct.</t>
  </si>
  <si>
    <t>Weighted average shares (millions) – EPS denominators</t>
  </si>
  <si>
    <t>Simple average of opening and closing shares</t>
  </si>
  <si>
    <t>Basic weighted average less simple average (participating/vested units, timing)</t>
  </si>
  <si>
    <t>3Q26E = average of last four quarters.</t>
  </si>
  <si>
    <t>Dilutive impact of unvested PSUs and RSUs</t>
  </si>
  <si>
    <t>3Q26E held at 2Q26 level.</t>
  </si>
  <si>
    <t>Average diluted common shares and equivalents (EPS denominator)</t>
  </si>
  <si>
    <t>Check: diluted = basic + dilutive impact</t>
  </si>
  <si>
    <t>3Q26E (col J) TRUE BY CONSTRUCTION – arithmetic identity (J40 = J34 + J37). Not an independent forecast validation.</t>
  </si>
  <si>
    <t>Common dividends</t>
  </si>
  <si>
    <t>Cash dividends per common share ($)</t>
  </si>
  <si>
    <t>Total common dividends / (DPS × basic shares) (dividend equivalents)</t>
  </si>
  <si>
    <t>Total common stock dividends ($ millions)</t>
  </si>
  <si>
    <t>Preferred dividends – 3Q26E build from declared September-period dividends</t>
  </si>
  <si>
    <t xml:space="preserve">   Series A (Mellon Capital IV) – shares outstanding (#, $100,000 liquidation)</t>
  </si>
  <si>
    <t>Share counts inferred from face amounts (Series J/L/K 5,000 shares per 2025 Annual Report; others face/$100,000); carrying total reconciles to $4,754m.</t>
  </si>
  <si>
    <t xml:space="preserve">   Series A (Mellon Capital IV) – dividend declared per share ($)</t>
  </si>
  <si>
    <t>Declared 15-Jul-26 for period ending Sep-26 (S9). Series L pays Jun/Dec – none in 3Q.</t>
  </si>
  <si>
    <t xml:space="preserve">   Series A (Mellon Capital IV) – dividend ($ millions)</t>
  </si>
  <si>
    <t xml:space="preserve">   Series F (semi-annual) – shares outstanding (#, $100,000 liquidation)</t>
  </si>
  <si>
    <t xml:space="preserve">   Series F (semi-annual) – dividend declared per share ($)</t>
  </si>
  <si>
    <t xml:space="preserve">   Series F (semi-annual) – dividend ($ millions)</t>
  </si>
  <si>
    <t xml:space="preserve">   Series I – shares outstanding (#, $100,000 liquidation)</t>
  </si>
  <si>
    <t xml:space="preserve">   Series I – dividend declared per share ($)</t>
  </si>
  <si>
    <t xml:space="preserve">   Series I – dividend ($ millions)</t>
  </si>
  <si>
    <t xml:space="preserve">   Series J (semi-annual) – shares outstanding (#, $100,000 liquidation)</t>
  </si>
  <si>
    <t xml:space="preserve">   Series J (semi-annual) – dividend declared per share ($)</t>
  </si>
  <si>
    <t xml:space="preserve">   Series J (semi-annual) – dividend ($ millions)</t>
  </si>
  <si>
    <t xml:space="preserve">   Series K – shares outstanding (#, $100,000 liquidation)</t>
  </si>
  <si>
    <t xml:space="preserve">   Series K – dividend declared per share ($)</t>
  </si>
  <si>
    <t xml:space="preserve">   Series K – dividend ($ millions)</t>
  </si>
  <si>
    <t xml:space="preserve">   Series M – shares outstanding (#, $100,000 liquidation)</t>
  </si>
  <si>
    <t xml:space="preserve">   Series M – dividend declared per share ($)</t>
  </si>
  <si>
    <t xml:space="preserve">   Series M – dividend ($ millions)</t>
  </si>
  <si>
    <t>Preferred stock dividends ($ millions)</t>
  </si>
  <si>
    <t>Unresolved (audit F5; repair r6): series outstanding after the 2Q26 $583m redemption and inferred share counts (L56) are not verifiable from preserved sources. EPS sensitivity: each ±$1m of preferred dividends moves EPS by ∓$0.00146 (1/685.42).</t>
  </si>
  <si>
    <t>Market data (period end)</t>
  </si>
  <si>
    <t>Closing share price ($)</t>
  </si>
  <si>
    <t>Market capitalization ($ millions)</t>
  </si>
  <si>
    <t>Guidance</t>
  </si>
  <si>
    <t>Guidance-implied 3Q26 (FY26 outlook midpoints from 15-Jul-26; 2H26 split evenly) – compared with the model</t>
  </si>
  <si>
    <t>FY26 total revenue ex notable items growth – low</t>
  </si>
  <si>
    <t>FY26 total revenue ex notable items growth – high</t>
  </si>
  <si>
    <t>Total revenue ex notable items</t>
  </si>
  <si>
    <t>J = (FY25 base × (1 + midpoint) − 1Q26 − 2Q26) / 2.</t>
  </si>
  <si>
    <t>FY26 net interest income growth – low</t>
  </si>
  <si>
    <t>FY26 net interest income growth – high</t>
  </si>
  <si>
    <t>FY26 expenses ex notable items growth – low</t>
  </si>
  <si>
    <t>FY26 expenses ex notable items growth – high</t>
  </si>
  <si>
    <t>Noninterest expense ex notable items</t>
  </si>
  <si>
    <t>Provision for credit losses (no guidance; assumed nil)</t>
  </si>
  <si>
    <t>Implied income before taxes</t>
  </si>
  <si>
    <t>Guided quarterly tax rate (~23%)</t>
  </si>
  <si>
    <t>Implied net income</t>
  </si>
  <si>
    <t>NCI and preferred dividends (from model)</t>
  </si>
  <si>
    <t>Implied adjusted net income to common</t>
  </si>
  <si>
    <t>Diluted shares (from model)</t>
  </si>
  <si>
    <t>Guidance-implied adjusted diluted EPS</t>
  </si>
  <si>
    <t>Model adjusted diluted EPS</t>
  </si>
  <si>
    <t>Model less guidance-implied EPS</t>
  </si>
  <si>
    <t>Model sits above the mechanical guide midpoint: guidance has been conservative (see log) and Q4 is seasonally heavier on expense than Q3.</t>
  </si>
  <si>
    <t>Guidance log (C = date given, D = period, E = low, F = high, G = midpoint, H = actual, I = result)</t>
  </si>
  <si>
    <t>Columns C:I below hold guidance-log fields (date, period, low, high, midpoint, actual, result), not the row 6-8 period headers.</t>
  </si>
  <si>
    <t>Metric</t>
  </si>
  <si>
    <t>Date</t>
  </si>
  <si>
    <t>Low</t>
  </si>
  <si>
    <t>High</t>
  </si>
  <si>
    <t>Midpoint</t>
  </si>
  <si>
    <t>Actual</t>
  </si>
  <si>
    <t>Result</t>
  </si>
  <si>
    <t>Net interest income vs 3Q25 ("approximately flat"), $m</t>
  </si>
  <si>
    <t>2025-10-16</t>
  </si>
  <si>
    <t>4Q25</t>
  </si>
  <si>
    <t>S6 3Q25 call</t>
  </si>
  <si>
    <t>FY25 net interest income growth</t>
  </si>
  <si>
    <t>FY25</t>
  </si>
  <si>
    <t>S6 3Q25 call; FY24 NII base below (S3)</t>
  </si>
  <si>
    <t>FY25 expenses ex notable items growth</t>
  </si>
  <si>
    <t>S6; FY24 adjusted expense base below (S4)</t>
  </si>
  <si>
    <t>4Q25 effective tax rate</t>
  </si>
  <si>
    <t>FY26 total revenue ex notables growth (original, "~5% +/-")</t>
  </si>
  <si>
    <t>2026-01-13</t>
  </si>
  <si>
    <t>FY26</t>
  </si>
  <si>
    <t>S1 2Q26 presentation p.11 (original outlook)</t>
  </si>
  <si>
    <t>FY26 expenses ex notables growth (original)</t>
  </si>
  <si>
    <t>S1 p.11</t>
  </si>
  <si>
    <t>FY26 total revenue ex notables growth (1Q26 update, ~6%)</t>
  </si>
  <si>
    <t>2026-04-16</t>
  </si>
  <si>
    <t>S7 1Q26 call</t>
  </si>
  <si>
    <t>FY26 net interest income growth (1Q26 update, ~10%)</t>
  </si>
  <si>
    <t>Quarterly effective tax rate for 2Q-4Q26 (~23%) – 2Q26 outcome</t>
  </si>
  <si>
    <t>2Q26</t>
  </si>
  <si>
    <t>S7 1Q26 call; 2Q26 actual 21.0%</t>
  </si>
  <si>
    <t>FY26 total revenue ex notables growth (2Q26 update)</t>
  </si>
  <si>
    <t>2026-07-15</t>
  </si>
  <si>
    <t>S5/S8 2Q26 call; reaffirmed 14-Sep-26 (S10)</t>
  </si>
  <si>
    <t>FY26 net interest income growth (2Q26 update)</t>
  </si>
  <si>
    <t>S8 2Q26 call</t>
  </si>
  <si>
    <t>FY26 expenses ex notables growth (2Q26 update)</t>
  </si>
  <si>
    <t>S8 2Q26 call; reaffirmed 14-Sep-26</t>
  </si>
  <si>
    <t>Quarterly effective tax rate 3Q-4Q26 (~23%) – 3Q26 model</t>
  </si>
  <si>
    <t>3Q26</t>
  </si>
  <si>
    <t>S8 2Q26 call; actual not yet reported</t>
  </si>
  <si>
    <t>Base: FY24 net interest income, $m (S3 4Q25 Financial Supplement)</t>
  </si>
  <si>
    <t>Base: FY24 adjusted noninterest expense, $m (S4 4Q25 release)</t>
  </si>
  <si>
    <t>Operating leverage FY26: &gt;100 bps (Jan-26) raised to ~400 bps (Jul-26); qualitative, no numeric range</t>
  </si>
  <si>
    <t>No quarterly revenue or EPS guidance is given; Capital IQ EPS/revenue guidance fields are blank (Inputs).</t>
  </si>
  <si>
    <t>Track record: NII and tax-rate guidance beaten in every logged case; expense guide slightly exceeded in FY25 (+3.5% vs ~3%).</t>
  </si>
  <si>
    <t>Sources</t>
  </si>
  <si>
    <t>Sources (all published before the 2026-10-11 22:24 UTC information cutoff; retrieved 2026-10-12)</t>
  </si>
  <si>
    <t>Columns C:J below hold source fields (published date, publisher, feeds), not period data; the row 6-8 period header does not apply.</t>
  </si>
  <si>
    <t>ID</t>
  </si>
  <si>
    <t>Published</t>
  </si>
  <si>
    <t>Publisher</t>
  </si>
  <si>
    <t>Feeds</t>
  </si>
  <si>
    <t>URL or file</t>
  </si>
  <si>
    <t>S1</t>
  </si>
  <si>
    <t>BNY / SEC</t>
  </si>
  <si>
    <t>IS, BS, segments, avg balances, shares (2Q25-2Q26); 2026 outlook</t>
  </si>
  <si>
    <t>https://www.sec.gov/Archives/edgar/data/1390777/000139077726000071/ex992_financialsupplementx.htm</t>
  </si>
  <si>
    <t>S1b</t>
  </si>
  <si>
    <t>2Q26 quarterly update presentation: FY26 outlook page</t>
  </si>
  <si>
    <t>https://www.sec.gov/Archives/edgar/data/1390777/000139077726000071/ex993_quarterlyupdatepre.htm</t>
  </si>
  <si>
    <t>S2</t>
  </si>
  <si>
    <t>1Q25 recast segment data, AUM, 1Q25 metrics</t>
  </si>
  <si>
    <t>https://www.sec.gov/Archives/edgar/data/1390777/000139077726000042/ex992_financialsupplementx.htm</t>
  </si>
  <si>
    <t>S3</t>
  </si>
  <si>
    <t>1Q25 IS/BS/avg balances; FY25 totals</t>
  </si>
  <si>
    <t>https://www.sec.gov/Archives/edgar/data/1390777/000139077726000004/ex992_financialsupplementx.htm</t>
  </si>
  <si>
    <t>S4</t>
  </si>
  <si>
    <t>Notable items 3Q25/4Q25/FY25; FY25 adjusted EPS</t>
  </si>
  <si>
    <t>https://www.sec.gov/Archives/edgar/data/1390777/000139077726000004/ex991_earningsreleasex4q25.htm</t>
  </si>
  <si>
    <t>S5</t>
  </si>
  <si>
    <t>Notable items 2Q25/1Q26/2Q26; tax rate 21.0%</t>
  </si>
  <si>
    <t>https://www.sec.gov/Archives/edgar/data/1390777/000139077726000071/ex991_earningsreleasex2q26.htm</t>
  </si>
  <si>
    <t>S6</t>
  </si>
  <si>
    <t>StockAnalysis (transcript)</t>
  </si>
  <si>
    <t>3Q25 call guidance (4Q25 NII, tax, expenses)</t>
  </si>
  <si>
    <t>https://stockanalysis.com/stocks/bny/transcripts/363671-q3-2025/</t>
  </si>
  <si>
    <t>S7</t>
  </si>
  <si>
    <t>Motley Fool / Yahoo</t>
  </si>
  <si>
    <t>1Q26 call: ~23% tax for remaining 2026 quarters; NII ~10%</t>
  </si>
  <si>
    <t>https://www.fool.com/earnings/call-transcripts/2026/04/16/bny-mellon-bk-q1-2026-earnings-call-transcript/</t>
  </si>
  <si>
    <t>S8</t>
  </si>
  <si>
    <t>2026-07-22</t>
  </si>
  <si>
    <t>Motley Fool (15-Jul-26 call)</t>
  </si>
  <si>
    <t>2Q26 call: FY26 guide, 3Q seasonality, Trump Accounts, ~23% tax</t>
  </si>
  <si>
    <t>https://www.fool.com/earnings/call-transcripts/2026/07/22/bny-bny-q2-2026-earnings-call-transcript/</t>
  </si>
  <si>
    <t>S9</t>
  </si>
  <si>
    <t>PR Newswire / BNY</t>
  </si>
  <si>
    <t>3Q26 common ($0.63) and preferred dividends declared</t>
  </si>
  <si>
    <t>https://www.prnewswire.com/news-releases/bny-declares-dividends-302826325.html</t>
  </si>
  <si>
    <t>S10</t>
  </si>
  <si>
    <t>2026-09-14</t>
  </si>
  <si>
    <t>Investing.com (transcript)</t>
  </si>
  <si>
    <t>Barclays conference: guide reaffirmed, 3Q slower, deposits slower, volumes up in Sep</t>
  </si>
  <si>
    <t>https://uk.investing.com/news/stock-market-news/bny-mellon-at-barclays-conference-growth-ai-and-crosssell-push-93CH-4868143</t>
  </si>
  <si>
    <t>S11</t>
  </si>
  <si>
    <t>2026-02-25</t>
  </si>
  <si>
    <t>FY25 cash flow statement; preferred series J/K/L</t>
  </si>
  <si>
    <t>https://www.sec.gov/Archives/edgar/data/1390777/000139077726000033/R8.htm</t>
  </si>
  <si>
    <t>S12</t>
  </si>
  <si>
    <t>2025-10-31</t>
  </si>
  <si>
    <t>9M25 cash flow statement (10-Q 3Q25)</t>
  </si>
  <si>
    <t>https://www.sec.gov/Archives/edgar/data/1390777/000139077725000159/R7.htm</t>
  </si>
  <si>
    <t>S13</t>
  </si>
  <si>
    <t>2026-05-01</t>
  </si>
  <si>
    <t>3M26 and 3M25 cash flow statement (10-Q 1Q26)</t>
  </si>
  <si>
    <t>https://www.sec.gov/Archives/edgar/data/1390777/000139077726000060/R7.htm</t>
  </si>
  <si>
    <t>S14</t>
  </si>
  <si>
    <t>2026-07-31</t>
  </si>
  <si>
    <t>6M26 and 6M25 cash flow; preferred redemption (10-Q 2Q26)</t>
  </si>
  <si>
    <t>https://www.sec.gov/Archives/edgar/data/1390777/000139077726000086/R7.htm</t>
  </si>
  <si>
    <t>S15</t>
  </si>
  <si>
    <t>2026-09-30</t>
  </si>
  <si>
    <t>Morningstar / Dow Jones</t>
  </si>
  <si>
    <t>S&amp;P 500 3Q26 +2.03% to 7,651.54 (market-value drivers)</t>
  </si>
  <si>
    <t>https://www.morningstar.com/news/dow-jones/202609307962/sp-500-rises-203-this-quarter-to-765154-data-talk</t>
  </si>
  <si>
    <t>S16</t>
  </si>
  <si>
    <t>2026-10-01</t>
  </si>
  <si>
    <t>Cetera</t>
  </si>
  <si>
    <t>Bond index -3.0% in 3Q26; EAFE +0.8% (fixed-income AUC/A, LDI)</t>
  </si>
  <si>
    <t>https://cetera.com/files/market-insights/cim-quarterly-recap-3q-2026.pdf-0</t>
  </si>
  <si>
    <t>S17</t>
  </si>
  <si>
    <t>2026-09-16</t>
  </si>
  <si>
    <t>Federal Reserve</t>
  </si>
  <si>
    <t>FOMC +25bp to 3.75-4.00%, IORB 3.90% from 17-Sep (NIM)</t>
  </si>
  <si>
    <t>https://www.federalreserve.gov/newsevents/pressreleases/monetary20260916a.htm</t>
  </si>
  <si>
    <t>S18</t>
  </si>
  <si>
    <t>2026-10-07</t>
  </si>
  <si>
    <t>Earnings Whispers</t>
  </si>
  <si>
    <t>Consensus $2.27, whisper $2.38; report 15-Oct before open</t>
  </si>
  <si>
    <t>https://secure.earningswhispers.com/article/BNY/20329</t>
  </si>
  <si>
    <t>S19</t>
  </si>
  <si>
    <t>2026-10-05</t>
  </si>
  <si>
    <t>Benzinga</t>
  </si>
  <si>
    <t>Consensus EPS $2.27 / revenue $5.56bn (newer consensus record)</t>
  </si>
  <si>
    <t>https://www.benzinga.com/analyst-stock-ratings/price-target/26/10/62157927/bank-of-new-york-mellon-likely-to-report-higher-q3-earnings-these-most-accurate-analysts-revise-forecasts-ahead-of-earnings-call</t>
  </si>
  <si>
    <t>S20</t>
  </si>
  <si>
    <t>undated</t>
  </si>
  <si>
    <t>BNY IR</t>
  </si>
  <si>
    <t>Third Quarter 2026 results Thursday 15-Oct-2026 11:00 ET (report date)</t>
  </si>
  <si>
    <t>https://www.bny.com/corporate/global/en/investor-relations/quarterly-earnings.html</t>
  </si>
  <si>
    <t>S21</t>
  </si>
  <si>
    <t>2026-10-11</t>
  </si>
  <si>
    <t>S&amp;P Capital IQ (file)</t>
  </si>
  <si>
    <t>Frozen consensus, summary row, six-quarter history (Inputs)</t>
  </si>
  <si>
    <t>BNY_consensus.json; BNY_history.csv</t>
  </si>
  <si>
    <t>S22</t>
  </si>
  <si>
    <t>2026-09-28</t>
  </si>
  <si>
    <t>Hudson Labs</t>
  </si>
  <si>
    <t>Preview: 3Q seasonally slow for NII/deposits</t>
  </si>
  <si>
    <t>https://www.hudson-labs.com/research/bny-q3-2026-earnings-revenue-preview-guidance-key-metrics</t>
  </si>
  <si>
    <t>S23</t>
  </si>
  <si>
    <t>FY25 revenue by region (EMEA/APAC/Other/Domestic) for Geo</t>
  </si>
  <si>
    <t>https://www.sec.gov/Archives/edgar/data/1390777/000139077726000033/R61.htm</t>
  </si>
  <si>
    <t>Tabs: all standard tabs carry content; none omitted. Geo uses the quarterly non-U.S. revenue share (S1/S3) plus the FY25 EMEA/APAC/Other split (S23).</t>
  </si>
  <si>
    <t>Target-quarter (3Q26) actual results were not available or used; information cutoff 2026-10-11 22:24 UTC.</t>
  </si>
  <si>
    <t>Inputs (raw S&amp;P Capital IQ files and beat-probability calibration)</t>
  </si>
  <si>
    <t>S&amp;P Capital IQ summary row (BNY_consensus.json → summary_row), complete and unedited; blank = blank in source</t>
  </si>
  <si>
    <t>Column C in this block = scalar 3Q26E snapshot values (CapIQ, as of 2026-10-11), not 1Q25A period data.</t>
  </si>
  <si>
    <t>ticker</t>
  </si>
  <si>
    <t>BNY</t>
  </si>
  <si>
    <t>company_name</t>
  </si>
  <si>
    <t>exchange_ticker</t>
  </si>
  <si>
    <t>NYSE:BNY</t>
  </si>
  <si>
    <t>capiq_company_id</t>
  </si>
  <si>
    <t>135506</t>
  </si>
  <si>
    <t>sp500_member</t>
  </si>
  <si>
    <t>Y</t>
  </si>
  <si>
    <t>market_cap_usd_m</t>
  </si>
  <si>
    <t>blank in source (unavailable)</t>
  </si>
  <si>
    <t>fiscal_quarter</t>
  </si>
  <si>
    <t>FQ3 2026 - Sep 2026</t>
  </si>
  <si>
    <t>quarter_end_date</t>
  </si>
  <si>
    <t>expected_report_date</t>
  </si>
  <si>
    <t>2026-10-15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</si>
  <si>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</si>
  <si>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</si>
  <si>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</si>
  <si>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</si>
  <si>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</si>
  <si>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</si>
  <si>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</si>
  <si>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</si>
  <si>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</si>
  <si>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</si>
  <si>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</si>
  <si>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</si>
  <si>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</si>
  <si>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</si>
  <si>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</si>
  <si>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</si>
  <si>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</si>
  <si>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</si>
  <si>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</si>
  <si>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</si>
  <si>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</si>
  <si>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</si>
  <si>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</si>
  <si>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</si>
  <si>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</si>
  <si>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</si>
  <si>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</si>
  <si>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</si>
  <si>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</si>
  <si>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</si>
  <si>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</si>
  <si>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</si>
  <si>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</si>
  <si>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</si>
  <si>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</si>
  <si>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</si>
  <si>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</si>
  <si>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</si>
  <si>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</si>
  <si>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</si>
  <si>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</si>
  <si>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</si>
  <si>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</si>
  <si>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</si>
  <si>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</si>
  <si>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</si>
  <si>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</si>
  <si>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</si>
  <si>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</si>
  <si>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</si>
  <si>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</si>
  <si>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</si>
  <si>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</si>
  <si>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</si>
  <si>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</si>
  <si>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</si>
  <si>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</si>
  <si>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</si>
  <si>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</si>
  <si>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165.84/103.11</t>
  </si>
  <si>
    <t>currency</t>
  </si>
  <si>
    <t>USD</t>
  </si>
  <si>
    <t>units</t>
  </si>
  <si>
    <t>per-share in USD; revenue and income in USD millions</t>
  </si>
  <si>
    <t>estimates_captured_at</t>
  </si>
  <si>
    <t>notes</t>
  </si>
  <si>
    <t>Ticker is now NYSE:BNY (formerly BK). A GAAP EPS "Guidance 0.63" value looked like a different line item and was excluded.</t>
  </si>
  <si>
    <t>Capital IQ consensus file header fields</t>
  </si>
  <si>
    <t>Column C in this block = scalar file-header values, not 1Q25A period data.</t>
  </si>
  <si>
    <t>source</t>
  </si>
  <si>
    <t>S&amp;P Capital IQ</t>
  </si>
  <si>
    <t>fiscal_period</t>
  </si>
  <si>
    <t>period_end_date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</si>
  <si>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</si>
  <si>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</si>
  <si>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</si>
  <si>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</si>
  <si>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</si>
  <si>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</si>
  <si>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summary_sha256</t>
  </si>
  <si>
    <t>edbf949d984075e582c0427440965f3f2b24f43d8e9ef3ba40bd5d158b8c8d16</t>
  </si>
  <si>
    <t>captured_precision</t>
  </si>
  <si>
    <t>date only, user confirmed</t>
  </si>
  <si>
    <t>Capital IQ six-quarter history (BNY_history.csv), aligned to model period columns; target-quarter actuals absent</t>
  </si>
  <si>
    <t>2025-03-31</t>
  </si>
  <si>
    <t>2025-06-30</t>
  </si>
  <si>
    <t>2025-09-30</t>
  </si>
  <si>
    <t>2025-12-31</t>
  </si>
  <si>
    <t>2026-03-31</t>
  </si>
  <si>
    <t>2026-06-30</t>
  </si>
  <si>
    <t>report_date</t>
  </si>
  <si>
    <t>2025-04-11</t>
  </si>
  <si>
    <t>2025-07-15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</si>
  <si>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</si>
  <si>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</si>
  <si>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</si>
  <si>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</si>
  <si>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</si>
  <si>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</si>
  <si>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Normalized EPS surprise ($, actual − consensus)</t>
  </si>
  <si>
    <t>Strict beat (actual &gt; consensus)</t>
  </si>
  <si>
    <t>Revenue surprise ($m)</t>
  </si>
  <si>
    <t>Beat-probability calibration (forecasting playbook v2: size and issuer history)</t>
  </si>
  <si>
    <t>Column C in this block = scalar calibration values for 3Q26E, not 1Q25A period data.</t>
  </si>
  <si>
    <t>Market capitalization ($m) at 30-Jun-26 (2Q26 Financial Supplement)</t>
  </si>
  <si>
    <t>CapIQ market_cap_usd_m is blank; dated source S1 (30-Jun-26, before the 2026-10-11 cutoff). Cross-check below; Large either way.</t>
  </si>
  <si>
    <t>Cross-check: last close × 30-Jun-26 shares outstanding ($m)</t>
  </si>
  <si>
    <t>Last close $142.71 (CapIQ snapshot 2026-10-11).</t>
  </si>
  <si>
    <t>Size bucket (small $0.3-2bn / mid $2-10bn / large &gt;$10bn)</t>
  </si>
  <si>
    <t>S&amp;P 500 member (CapIQ sp500_member)</t>
  </si>
  <si>
    <t>Cohort prior – large cap or S&amp;P 500 member</t>
  </si>
  <si>
    <t>Priors 0.78 / 0.70 / 0.60 from forecasting-playbook.md (v2, sha256 1f08987c…): 0.60 small, 0.70 mid, 0.78 large OR S&amp;P 500; rounded hypotheses, not empirical estimates.</t>
  </si>
  <si>
    <t>Cohort prior – mid cap</t>
  </si>
  <si>
    <t>Cohort prior – small cap</t>
  </si>
  <si>
    <t>Cohort prior applied (large OR S&amp;P 500 rule applied once)</t>
  </si>
  <si>
    <t>b = strict beats in six supplied pairs</t>
  </si>
  <si>
    <t>n = valid pairs (all six on normalized basis; none excluded)</t>
  </si>
  <si>
    <t>Pseudo-observations (fixed)</t>
  </si>
  <si>
    <t>Starting probability = (8 × prior + b) / (8 + n)</t>
  </si>
  <si>
    <t>Quarter-specific evidence adjustment</t>
  </si>
  <si>
    <t>(-) CFO: 3Q slower than 2Q, deposits slower (Barclays 14-Sep-26); consensus already up after 2Q beat; strict beat needed. (+) Model EPS above consensus (tax-rate pattern), guide reaffirmed mid-Sep, whisper $2.38.</t>
  </si>
  <si>
    <t>Final P(beat consensus EPS)</t>
  </si>
  <si>
    <t>Average historical normalized EPS surprise ($)</t>
  </si>
  <si>
    <t>3Q25 (seasonal comparable) surprise ($)</t>
  </si>
  <si>
    <t>Newer / other consensus observations (recorded separately; NOT the scoring baseline)</t>
  </si>
  <si>
    <t>Benzinga 2026-10-05: Q3 EPS $2.27, revenue $5.56bn</t>
  </si>
  <si>
    <t>Earnings Whispers 2026-10-07: consensus $2.27; whisper $2.38</t>
  </si>
  <si>
    <t>ChartMill (undated, pre-cutoff): EPS $2.28, revenue $5.59bn</t>
  </si>
  <si>
    <t>Zacks via Yahoo 2026-10-08: consensus revised +0.41% in 30 days; Most Accurate Estimate above consensus</t>
  </si>
  <si>
    <t>Hudson Labs 2026-09-28: revenue consensus $5,546m</t>
  </si>
</sst>
</file>

<file path=xl/styles.xml><?xml version="1.0" encoding="utf-8"?>
<styleSheet xmlns="http://schemas.openxmlformats.org/spreadsheetml/2006/main">
  <numFmts count="12">
    <numFmt numFmtId="164" formatCode="$0.00"/>
    <numFmt numFmtId="165" formatCode="#,##0.0_);(#,##0.0);–_)"/>
    <numFmt numFmtId="166" formatCode="@"/>
    <numFmt numFmtId="167" formatCode="0.0%_);(0.0%);–_)"/>
    <numFmt numFmtId="168" formatCode="yyyy-mm-dd"/>
    <numFmt numFmtId="169" formatCode="General"/>
    <numFmt numFmtId="170" formatCode="0"/>
    <numFmt numFmtId="171" formatCode="0.0%"/>
    <numFmt numFmtId="172" formatCode="#,##0_);(#,##0);–_)"/>
    <numFmt numFmtId="173" formatCode="0.0x"/>
    <numFmt numFmtId="174" formatCode="#,##0.00_);(#,##0.00);–_)"/>
    <numFmt numFmtId="175" formatCode="0.000x"/>
  </numFmts>
  <fonts count="47">
    <font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/>
      <i val="0"/>
      <strike val="0"/>
      <sz val="14"/>
      <color rgb="FF000000"/>
      <name val="Arial"/>
    </font>
    <font>
      <b/>
      <i val="0"/>
      <strike val="0"/>
      <sz val="12"/>
      <color rgb="FF0000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404040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00FF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theme="1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/>
      <i val="0"/>
      <strike val="0"/>
      <sz val="10"/>
      <color theme="1"/>
      <name val="Arial"/>
      <family val="2"/>
      <scheme val="minor"/>
    </font>
    <font>
      <b val="0"/>
      <i/>
      <strike val="0"/>
      <sz val="10"/>
      <color rgb="FF404040"/>
      <name val="Arial"/>
      <family val="2"/>
      <scheme val="minor"/>
    </font>
    <font>
      <b val="0"/>
      <i/>
      <strike val="0"/>
      <sz val="10"/>
      <color rgb="FF0000FF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/>
      <i val="0"/>
      <strike val="0"/>
      <sz val="10"/>
      <color rgb="FF006100"/>
      <name val="Arial"/>
      <family val="2"/>
      <scheme val="minor"/>
    </font>
    <font>
      <b/>
      <i val="0"/>
      <strike val="0"/>
      <sz val="12"/>
      <color theme="1"/>
      <name val="Arial"/>
      <family val="2"/>
      <scheme val="minor"/>
    </font>
    <font>
      <b/>
      <i/>
      <strike val="0"/>
      <sz val="10"/>
      <color rgb="FF000000"/>
      <name val="Arial"/>
      <family val="2"/>
      <scheme val="minor"/>
    </font>
    <font>
      <b/>
      <i val="0"/>
      <strike val="0"/>
      <sz val="14"/>
      <color theme="1"/>
      <name val="Arial"/>
      <family val="2"/>
      <scheme val="minor"/>
    </font>
    <font>
      <b val="0"/>
      <i/>
      <strike val="0"/>
      <sz val="10"/>
      <color theme="1"/>
      <name val="Arial"/>
      <family val="2"/>
      <scheme val="minor"/>
    </font>
    <font>
      <b val="0"/>
      <i/>
      <strike val="0"/>
      <sz val="10"/>
      <color rgb="FF006100"/>
      <name val="Arial"/>
      <family val="2"/>
      <scheme val="minor"/>
    </font>
    <font>
      <b/>
      <i/>
      <strike val="0"/>
      <sz val="10"/>
      <color rgb="FF006100"/>
      <name val="Arial"/>
      <family val="2"/>
      <scheme val="minor"/>
    </font>
    <font>
      <b/>
      <i val="0"/>
      <strike val="0"/>
      <sz val="10"/>
      <color rgb="FF0000FF"/>
      <name val="Arial"/>
      <family val="2"/>
      <scheme val="minor"/>
    </font>
    <font>
      <b val="0"/>
      <i/>
      <strike val="0"/>
      <sz val="10"/>
      <color rgb="FF40404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theme="1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404040"/>
      <name val="Arial"/>
      <family val="2"/>
      <scheme val="minor"/>
    </font>
    <font>
      <b/>
      <i val="0"/>
      <strike val="0"/>
      <sz val="10"/>
      <color rgb="FF006100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404040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40404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404040"/>
      <name val="Arial"/>
      <family val="2"/>
      <scheme val="minor"/>
    </font>
    <font>
      <b val="0"/>
      <i/>
      <strike val="0"/>
      <sz val="10"/>
      <color rgb="FF40404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F2F2F2"/>
      </patternFill>
    </fill>
    <fill>
      <patternFill patternType="solid">
        <fgColor rgb="FFDDEBF7"/>
      </patternFill>
    </fill>
    <fill>
      <patternFill patternType="solid">
        <fgColor rgb="FFEEF4FB"/>
      </patternFill>
    </fill>
  </fills>
  <borders count="4">
    <border/>
    <border>
      <top style="thin">
        <color rgb="FF808080"/>
      </top>
    </border>
    <border>
      <bottom style="thin">
        <color rgb="FF808080"/>
      </bottom>
    </border>
    <border>
      <top style="thin">
        <color rgb="FF000000"/>
      </top>
    </border>
  </borders>
  <cellStyleXfs count="1">
    <xf numFmtId="0" fontId="0" fillId="0" borderId="0"/>
  </cellStyleXfs>
  <cellXfs count="203">
    <xf numFmtId="0" fontId="0" fillId="0" borderId="0" xfId="0"/>
    <xf numFmtId="0" fontId="1" fillId="2" borderId="0" xfId="0" applyFont="1" applyFill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165" fontId="3" fillId="2" borderId="0" xfId="0" applyNumberFormat="1" applyFont="1" applyFill="1" applyAlignment="1" applyProtection="1">
      <alignment horizontal="right" vertical="bottom"/>
      <protection locked="1" hidden="0"/>
    </xf>
    <xf numFmtId="166" fontId="1" fillId="2" borderId="0" xfId="0" applyNumberFormat="1" applyFont="1" applyFill="1" applyAlignment="1" applyProtection="1">
      <alignment horizontal="left" vertical="bottom"/>
      <protection locked="1" hidden="0"/>
    </xf>
    <xf numFmtId="165" fontId="4" fillId="2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7" fontId="5" fillId="2" borderId="0" xfId="0" applyNumberFormat="1" applyFont="1" applyFill="1" applyAlignment="1" applyProtection="1">
      <alignment horizontal="right" vertical="bottom"/>
      <protection locked="1" hidden="0"/>
    </xf>
    <xf numFmtId="168" fontId="1" fillId="4" borderId="0" xfId="0" applyNumberFormat="1" applyFont="1" applyFill="1" applyAlignment="1" applyProtection="1">
      <alignment horizontal="right" vertical="bottom"/>
      <protection locked="1" hidden="0"/>
    </xf>
    <xf numFmtId="0" fontId="1" fillId="5" borderId="0" xfId="0" applyFont="1" applyFill="1" applyAlignment="1" applyProtection="1">
      <alignment horizontal="general" vertical="bottom"/>
      <protection locked="1" hidden="0"/>
    </xf>
    <xf numFmtId="166" fontId="2" fillId="2" borderId="0" xfId="0" applyNumberFormat="1" applyFont="1" applyFill="1" applyAlignment="1" applyProtection="1">
      <alignment horizontal="left" vertical="bottom"/>
      <protection locked="1" hidden="0"/>
    </xf>
    <xf numFmtId="164" fontId="4" fillId="2" borderId="0" xfId="0" applyNumberFormat="1" applyFont="1" applyFill="1" applyAlignment="1" applyProtection="1">
      <alignment horizontal="right" vertical="bottom"/>
      <protection locked="1" hidden="0"/>
    </xf>
    <xf numFmtId="169" fontId="1" fillId="2" borderId="0" xfId="0" applyNumberFormat="1" applyFont="1" applyFill="1" applyAlignment="1" applyProtection="1">
      <alignment horizontal="right" vertical="bottom"/>
      <protection locked="1" hidden="0"/>
    </xf>
    <xf numFmtId="165" fontId="2" fillId="2" borderId="0" xfId="0" applyNumberFormat="1" applyFont="1" applyFill="1" applyAlignment="1" applyProtection="1">
      <alignment horizontal="right" vertical="bottom"/>
      <protection locked="1" hidden="0"/>
    </xf>
    <xf numFmtId="0" fontId="2" fillId="3" borderId="1" xfId="0" applyFont="1" applyFill="1" applyBorder="1" applyAlignment="1" applyProtection="1">
      <alignment horizontal="right" vertical="bottom"/>
      <protection locked="1" hidden="0"/>
    </xf>
    <xf numFmtId="0" fontId="6" fillId="2" borderId="0" xfId="0" applyFont="1" applyFill="1" applyAlignment="1" applyProtection="1">
      <alignment horizontal="general" vertical="center"/>
      <protection locked="1" hidden="0"/>
    </xf>
    <xf numFmtId="164" fontId="3" fillId="5" borderId="0" xfId="0" applyNumberFormat="1" applyFont="1" applyFill="1" applyAlignment="1" applyProtection="1">
      <alignment horizontal="right" vertical="bottom"/>
      <protection locked="1" hidden="0"/>
    </xf>
    <xf numFmtId="169" fontId="2" fillId="2" borderId="0" xfId="0" applyNumberFormat="1" applyFont="1" applyFill="1" applyAlignment="1" applyProtection="1">
      <alignment horizontal="right" vertical="bottom"/>
      <protection locked="1" hidden="0"/>
    </xf>
    <xf numFmtId="0" fontId="7" fillId="2" borderId="0" xfId="0" applyFont="1" applyFill="1" applyAlignment="1" applyProtection="1">
      <alignment horizontal="general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164" fontId="3" fillId="2" borderId="0" xfId="0" applyNumberFormat="1" applyFont="1" applyFill="1" applyAlignment="1" applyProtection="1">
      <alignment horizontal="right" vertical="bottom"/>
      <protection locked="1" hidden="0"/>
    </xf>
    <xf numFmtId="170" fontId="8" fillId="4" borderId="2" xfId="0" applyNumberFormat="1" applyFont="1" applyFill="1" applyBorder="1" applyAlignment="1" applyProtection="1">
      <alignment horizontal="right" vertical="bottom"/>
      <protection locked="1" hidden="0"/>
    </xf>
    <xf numFmtId="170" fontId="8" fillId="3" borderId="2" xfId="0" applyNumberFormat="1" applyFont="1" applyFill="1" applyBorder="1" applyAlignment="1" applyProtection="1">
      <alignment horizontal="right" vertical="bottom"/>
      <protection locked="1" hidden="0"/>
    </xf>
    <xf numFmtId="0" fontId="2" fillId="3" borderId="1" xfId="0" applyFont="1" applyFill="1" applyBorder="1" applyAlignment="1" applyProtection="1">
      <alignment horizontal="general" vertical="bottom"/>
      <protection locked="1" hidden="0"/>
    </xf>
    <xf numFmtId="166" fontId="5" fillId="2" borderId="0" xfId="0" applyNumberFormat="1" applyFont="1" applyFill="1" applyAlignment="1" applyProtection="1">
      <alignment horizontal="left" vertical="bottom"/>
      <protection locked="1" hidden="0"/>
    </xf>
    <xf numFmtId="169" fontId="4" fillId="2" borderId="0" xfId="0" applyNumberFormat="1" applyFont="1" applyFill="1" applyAlignment="1" applyProtection="1">
      <alignment horizontal="right" vertical="bottom"/>
      <protection locked="1" hidden="0"/>
    </xf>
    <xf numFmtId="165" fontId="4" fillId="5" borderId="0" xfId="0" applyNumberFormat="1" applyFont="1" applyFill="1" applyAlignment="1" applyProtection="1">
      <alignment horizontal="right" vertical="bottom"/>
      <protection locked="1" hidden="0"/>
    </xf>
    <xf numFmtId="0" fontId="2" fillId="4" borderId="1" xfId="0" applyFont="1" applyFill="1" applyBorder="1" applyAlignment="1" applyProtection="1">
      <alignment horizontal="right" vertical="bottom"/>
      <protection locked="1" hidden="0"/>
    </xf>
    <xf numFmtId="0" fontId="2" fillId="3" borderId="0" xfId="0" applyFont="1" applyFill="1" applyAlignment="1" applyProtection="1">
      <alignment horizontal="general" vertical="bottom"/>
      <protection locked="1" hidden="0"/>
    </xf>
    <xf numFmtId="164" fontId="4" fillId="5" borderId="0" xfId="0" applyNumberFormat="1" applyFont="1" applyFill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general" vertical="bottom"/>
      <protection locked="1" hidden="0"/>
    </xf>
    <xf numFmtId="165" fontId="8" fillId="2" borderId="0" xfId="0" applyNumberFormat="1" applyFont="1" applyFill="1" applyAlignment="1" applyProtection="1">
      <alignment horizontal="right" vertical="bottom"/>
      <protection locked="1" hidden="0"/>
    </xf>
    <xf numFmtId="165" fontId="2" fillId="2" borderId="3" xfId="0" applyNumberFormat="1" applyFont="1" applyFill="1" applyBorder="1" applyAlignment="1" applyProtection="1">
      <alignment horizontal="right" vertical="bottom"/>
      <protection locked="1" hidden="0"/>
    </xf>
    <xf numFmtId="167" fontId="5" fillId="5" borderId="0" xfId="0" applyNumberFormat="1" applyFont="1" applyFill="1" applyAlignment="1" applyProtection="1">
      <alignment horizontal="right" vertical="bottom"/>
      <protection locked="1" hidden="0"/>
    </xf>
    <xf numFmtId="0" fontId="1" fillId="3" borderId="2" xfId="0" applyFont="1" applyFill="1" applyBorder="1" applyAlignment="1" applyProtection="1">
      <alignment horizontal="general" vertical="bottom"/>
      <protection locked="1" hidden="0"/>
    </xf>
    <xf numFmtId="171" fontId="4" fillId="2" borderId="0" xfId="0" applyNumberFormat="1" applyFont="1" applyFill="1" applyAlignment="1" applyProtection="1">
      <alignment horizontal="right" vertical="bottom"/>
      <protection locked="1" hidden="0"/>
    </xf>
    <xf numFmtId="166" fontId="9" fillId="2" borderId="0" xfId="0" applyNumberFormat="1" applyFont="1" applyFill="1" applyAlignment="1" applyProtection="1">
      <alignment horizontal="left" vertical="bottom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165" fontId="3" fillId="5" borderId="0" xfId="0" applyNumberFormat="1" applyFont="1" applyFill="1" applyAlignment="1" applyProtection="1">
      <alignment horizontal="right" vertical="bottom"/>
      <protection locked="1" hidden="0"/>
    </xf>
    <xf numFmtId="169" fontId="3" fillId="2" borderId="0" xfId="0" applyNumberFormat="1" applyFont="1" applyFill="1" applyAlignment="1" applyProtection="1">
      <alignment horizontal="right" vertical="bottom"/>
      <protection locked="1" hidden="0"/>
    </xf>
    <xf numFmtId="165" fontId="2" fillId="5" borderId="3" xfId="0" applyNumberFormat="1" applyFont="1" applyFill="1" applyBorder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165" fontId="8" fillId="5" borderId="0" xfId="0" applyNumberFormat="1" applyFont="1" applyFill="1" applyAlignment="1" applyProtection="1">
      <alignment horizontal="right" vertical="bottom"/>
      <protection locked="1" hidden="0"/>
    </xf>
    <xf numFmtId="167" fontId="1" fillId="2" borderId="0" xfId="0" applyNumberFormat="1" applyFont="1" applyFill="1" applyAlignment="1" applyProtection="1">
      <alignment horizontal="right" vertical="bottom"/>
      <protection locked="1" hidden="0"/>
    </xf>
    <xf numFmtId="165" fontId="1" fillId="5" borderId="0" xfId="0" applyNumberFormat="1" applyFont="1" applyFill="1" applyAlignment="1" applyProtection="1">
      <alignment horizontal="right" vertical="bottom"/>
      <protection locked="1" hidden="0"/>
    </xf>
    <xf numFmtId="164" fontId="1" fillId="2" borderId="0" xfId="0" applyNumberFormat="1" applyFont="1" applyFill="1" applyAlignment="1" applyProtection="1">
      <alignment horizontal="right" vertical="bottom"/>
      <protection locked="1" hidden="0"/>
    </xf>
    <xf numFmtId="164" fontId="8" fillId="2" borderId="0" xfId="0" applyNumberFormat="1" applyFont="1" applyFill="1" applyAlignment="1" applyProtection="1">
      <alignment horizontal="right" vertical="bottom"/>
      <protection locked="1" hidden="0"/>
    </xf>
    <xf numFmtId="167" fontId="10" fillId="2" borderId="0" xfId="0" applyNumberFormat="1" applyFont="1" applyFill="1" applyAlignment="1" applyProtection="1">
      <alignment horizontal="right" vertical="bottom"/>
      <protection locked="1" hidden="0"/>
    </xf>
    <xf numFmtId="167" fontId="8" fillId="2" borderId="0" xfId="0" applyNumberFormat="1" applyFont="1" applyFill="1" applyAlignment="1" applyProtection="1">
      <alignment horizontal="right" vertical="bottom"/>
      <protection locked="1" hidden="0"/>
    </xf>
    <xf numFmtId="165" fontId="5" fillId="5" borderId="0" xfId="0" applyNumberFormat="1" applyFont="1" applyFill="1" applyAlignment="1" applyProtection="1">
      <alignment horizontal="right" vertical="bottom"/>
      <protection locked="1" hidden="0"/>
    </xf>
    <xf numFmtId="165" fontId="10" fillId="2" borderId="0" xfId="0" applyNumberFormat="1" applyFont="1" applyFill="1" applyAlignment="1" applyProtection="1">
      <alignment horizontal="right" vertical="bottom"/>
      <protection locked="1" hidden="0"/>
    </xf>
    <xf numFmtId="172" fontId="1" fillId="2" borderId="0" xfId="0" applyNumberFormat="1" applyFont="1" applyFill="1" applyAlignment="1" applyProtection="1">
      <alignment horizontal="right" vertical="bottom"/>
      <protection locked="1" hidden="0"/>
    </xf>
    <xf numFmtId="165" fontId="11" fillId="2" borderId="0" xfId="0" applyNumberFormat="1" applyFont="1" applyFill="1" applyAlignment="1" applyProtection="1">
      <alignment horizontal="right" vertical="bottom"/>
      <protection locked="1" hidden="0"/>
    </xf>
    <xf numFmtId="164" fontId="8" fillId="5" borderId="0" xfId="0" applyNumberFormat="1" applyFont="1" applyFill="1" applyAlignment="1" applyProtection="1">
      <alignment horizontal="right" vertical="bottom"/>
      <protection locked="1" hidden="0"/>
    </xf>
    <xf numFmtId="165" fontId="2" fillId="5" borderId="0" xfId="0" applyNumberFormat="1" applyFont="1" applyFill="1" applyAlignment="1" applyProtection="1">
      <alignment horizontal="right" vertical="bottom"/>
      <protection locked="1" hidden="0"/>
    </xf>
    <xf numFmtId="173" fontId="1" fillId="5" borderId="0" xfId="0" applyNumberFormat="1" applyFont="1" applyFill="1" applyAlignment="1" applyProtection="1">
      <alignment horizontal="right" vertical="bottom"/>
      <protection locked="1" hidden="0"/>
    </xf>
    <xf numFmtId="167" fontId="10" fillId="5" borderId="0" xfId="0" applyNumberFormat="1" applyFont="1" applyFill="1" applyAlignment="1" applyProtection="1">
      <alignment horizontal="right" vertical="bottom"/>
      <protection locked="1" hidden="0"/>
    </xf>
    <xf numFmtId="167" fontId="3" fillId="2" borderId="0" xfId="0" applyNumberFormat="1" applyFont="1" applyFill="1" applyAlignment="1" applyProtection="1">
      <alignment horizontal="right" vertical="bottom"/>
      <protection locked="1" hidden="0"/>
    </xf>
    <xf numFmtId="165" fontId="11" fillId="2" borderId="3" xfId="0" applyNumberFormat="1" applyFont="1" applyFill="1" applyBorder="1" applyAlignment="1" applyProtection="1">
      <alignment horizontal="right" vertical="bottom"/>
      <protection locked="1" hidden="0"/>
    </xf>
    <xf numFmtId="172" fontId="8" fillId="5" borderId="0" xfId="0" applyNumberFormat="1" applyFont="1" applyFill="1" applyAlignment="1" applyProtection="1">
      <alignment horizontal="right" vertical="bottom"/>
      <protection locked="1" hidden="0"/>
    </xf>
    <xf numFmtId="165" fontId="4" fillId="2" borderId="3" xfId="0" applyNumberFormat="1" applyFont="1" applyFill="1" applyBorder="1" applyAlignment="1" applyProtection="1">
      <alignment horizontal="right" vertical="bottom"/>
      <protection locked="1" hidden="0"/>
    </xf>
    <xf numFmtId="165" fontId="5" fillId="2" borderId="0" xfId="0" applyNumberFormat="1" applyFont="1" applyFill="1" applyAlignment="1" applyProtection="1">
      <alignment horizontal="right" vertical="bottom"/>
      <protection locked="1" hidden="0"/>
    </xf>
    <xf numFmtId="172" fontId="1" fillId="5" borderId="0" xfId="0" applyNumberFormat="1" applyFont="1" applyFill="1" applyAlignment="1" applyProtection="1">
      <alignment horizontal="right" vertical="bottom"/>
      <protection locked="1" hidden="0"/>
    </xf>
    <xf numFmtId="173" fontId="1" fillId="2" borderId="0" xfId="0" applyNumberFormat="1" applyFont="1" applyFill="1" applyAlignment="1" applyProtection="1">
      <alignment horizontal="right" vertical="bottom"/>
      <protection locked="1" hidden="0"/>
    </xf>
    <xf numFmtId="174" fontId="1" fillId="2" borderId="0" xfId="0" applyNumberFormat="1" applyFont="1" applyFill="1" applyAlignment="1" applyProtection="1">
      <alignment horizontal="right" vertical="bottom"/>
      <protection locked="1" hidden="0"/>
    </xf>
    <xf numFmtId="169" fontId="1" fillId="5" borderId="0" xfId="0" applyNumberFormat="1" applyFont="1" applyFill="1" applyAlignment="1" applyProtection="1">
      <alignment horizontal="right" vertical="bottom"/>
      <protection locked="1" hidden="0"/>
    </xf>
    <xf numFmtId="164" fontId="1" fillId="5" borderId="0" xfId="0" applyNumberFormat="1" applyFont="1" applyFill="1" applyAlignment="1" applyProtection="1">
      <alignment horizontal="right" vertical="bottom"/>
      <protection locked="1" hidden="0"/>
    </xf>
    <xf numFmtId="174" fontId="8" fillId="5" borderId="0" xfId="0" applyNumberFormat="1" applyFont="1" applyFill="1" applyAlignment="1" applyProtection="1">
      <alignment horizontal="right" vertical="bottom"/>
      <protection locked="1" hidden="0"/>
    </xf>
    <xf numFmtId="172" fontId="8" fillId="2" borderId="0" xfId="0" applyNumberFormat="1" applyFont="1" applyFill="1" applyAlignment="1" applyProtection="1">
      <alignment horizontal="right" vertical="bottom"/>
      <protection locked="1" hidden="0"/>
    </xf>
    <xf numFmtId="164" fontId="5" fillId="5" borderId="0" xfId="0" applyNumberFormat="1" applyFont="1" applyFill="1" applyAlignment="1" applyProtection="1">
      <alignment horizontal="right" vertical="bottom"/>
      <protection locked="1" hidden="0"/>
    </xf>
    <xf numFmtId="164" fontId="2" fillId="5" borderId="0" xfId="0" applyNumberFormat="1" applyFont="1" applyFill="1" applyAlignment="1" applyProtection="1">
      <alignment horizontal="right" vertical="bottom"/>
      <protection locked="1" hidden="0"/>
    </xf>
    <xf numFmtId="164" fontId="5" fillId="2" borderId="0" xfId="0" applyNumberFormat="1" applyFont="1" applyFill="1" applyAlignment="1" applyProtection="1">
      <alignment horizontal="right" vertical="bottom"/>
      <protection locked="1" hidden="0"/>
    </xf>
    <xf numFmtId="169" fontId="8" fillId="2" borderId="0" xfId="0" applyNumberFormat="1" applyFont="1" applyFill="1" applyAlignment="1" applyProtection="1">
      <alignment horizontal="right" vertical="bottom"/>
      <protection locked="1" hidden="0"/>
    </xf>
    <xf numFmtId="169" fontId="3" fillId="5" borderId="0" xfId="0" applyNumberFormat="1" applyFont="1" applyFill="1" applyAlignment="1" applyProtection="1">
      <alignment horizontal="right" vertical="bottom"/>
      <protection locked="1" hidden="0"/>
    </xf>
    <xf numFmtId="174" fontId="3" fillId="2" borderId="0" xfId="0" applyNumberFormat="1" applyFont="1" applyFill="1" applyAlignment="1" applyProtection="1">
      <alignment horizontal="right" vertical="bottom"/>
      <protection locked="1" hidden="0"/>
    </xf>
    <xf numFmtId="167" fontId="2" fillId="2" borderId="0" xfId="0" applyNumberFormat="1" applyFont="1" applyFill="1" applyAlignment="1" applyProtection="1">
      <alignment horizontal="right" vertical="bottom"/>
      <protection locked="1" hidden="0"/>
    </xf>
    <xf numFmtId="167" fontId="12" fillId="2" borderId="0" xfId="0" applyNumberFormat="1" applyFont="1" applyFill="1" applyAlignment="1" applyProtection="1">
      <alignment horizontal="right" vertical="bottom"/>
      <protection locked="1" hidden="0"/>
    </xf>
    <xf numFmtId="174" fontId="1" fillId="5" borderId="0" xfId="0" applyNumberFormat="1" applyFont="1" applyFill="1" applyAlignment="1" applyProtection="1">
      <alignment horizontal="right" vertical="bottom"/>
      <protection locked="1" hidden="0"/>
    </xf>
    <xf numFmtId="172" fontId="2" fillId="2" borderId="3" xfId="0" applyNumberFormat="1" applyFont="1" applyFill="1" applyBorder="1" applyAlignment="1" applyProtection="1">
      <alignment horizontal="right" vertical="bottom"/>
      <protection locked="1" hidden="0"/>
    </xf>
    <xf numFmtId="172" fontId="2" fillId="5" borderId="3" xfId="0" applyNumberFormat="1" applyFont="1" applyFill="1" applyBorder="1" applyAlignment="1" applyProtection="1">
      <alignment horizontal="right" vertical="bottom"/>
      <protection locked="1" hidden="0"/>
    </xf>
    <xf numFmtId="164" fontId="12" fillId="2" borderId="0" xfId="0" applyNumberFormat="1" applyFont="1" applyFill="1" applyAlignment="1" applyProtection="1">
      <alignment horizontal="right" vertical="bottom"/>
      <protection locked="1" hidden="0"/>
    </xf>
    <xf numFmtId="165" fontId="12" fillId="5" borderId="0" xfId="0" applyNumberFormat="1" applyFont="1" applyFill="1" applyAlignment="1" applyProtection="1">
      <alignment horizontal="right" vertical="bottom"/>
      <protection locked="1" hidden="0"/>
    </xf>
    <xf numFmtId="164" fontId="10" fillId="2" borderId="0" xfId="0" applyNumberFormat="1" applyFont="1" applyFill="1" applyAlignment="1" applyProtection="1">
      <alignment horizontal="right" vertical="bottom"/>
      <protection locked="1" hidden="0"/>
    </xf>
    <xf numFmtId="165" fontId="12" fillId="2" borderId="0" xfId="0" applyNumberFormat="1" applyFont="1" applyFill="1" applyAlignment="1" applyProtection="1">
      <alignment horizontal="right" vertical="bottom"/>
      <protection locked="1" hidden="0"/>
    </xf>
    <xf numFmtId="164" fontId="12" fillId="5" borderId="0" xfId="0" applyNumberFormat="1" applyFont="1" applyFill="1" applyAlignment="1" applyProtection="1">
      <alignment horizontal="right" vertical="bottom"/>
      <protection locked="1" hidden="0"/>
    </xf>
    <xf numFmtId="165" fontId="4" fillId="5" borderId="3" xfId="0" applyNumberFormat="1" applyFont="1" applyFill="1" applyBorder="1" applyAlignment="1" applyProtection="1">
      <alignment horizontal="right" vertical="bottom"/>
      <protection locked="1" hidden="0"/>
    </xf>
    <xf numFmtId="165" fontId="13" fillId="0" borderId="0" xfId="0" applyNumberFormat="1" applyFont="1" applyFill="1" applyAlignment="1" applyProtection="1">
      <alignment horizontal="right" vertical="bottom"/>
      <protection locked="1" hidden="0"/>
    </xf>
    <xf numFmtId="166" fontId="14" fillId="0" borderId="0" xfId="0" applyNumberFormat="1" applyFont="1" applyFill="1" applyAlignment="1" applyProtection="1">
      <alignment horizontal="left" vertical="bottom"/>
      <protection locked="1" hidden="0"/>
    </xf>
    <xf numFmtId="166" fontId="15" fillId="0" borderId="0" xfId="0" applyNumberFormat="1" applyFont="1" applyFill="1" applyAlignment="1" applyProtection="1">
      <alignment horizontal="left" vertical="bottom"/>
      <protection locked="1" hidden="0"/>
    </xf>
    <xf numFmtId="0" fontId="16" fillId="0" borderId="0" xfId="0" applyFont="1" applyFill="1" applyAlignment="1" applyProtection="1">
      <alignment horizontal="general" vertical="bottom"/>
      <protection locked="1" hidden="0"/>
    </xf>
    <xf numFmtId="165" fontId="17" fillId="0" borderId="3" xfId="0" applyNumberFormat="1" applyFont="1" applyFill="1" applyBorder="1" applyAlignment="1" applyProtection="1">
      <alignment horizontal="right" vertical="bottom"/>
      <protection locked="1" hidden="0"/>
    </xf>
    <xf numFmtId="167" fontId="14" fillId="5" borderId="0" xfId="0" applyNumberFormat="1" applyFont="1" applyFill="1" applyAlignment="1" applyProtection="1">
      <alignment horizontal="right" vertical="bottom"/>
      <protection locked="1" hidden="0"/>
    </xf>
    <xf numFmtId="167" fontId="14" fillId="0" borderId="0" xfId="0" applyNumberFormat="1" applyFont="1" applyFill="1" applyAlignment="1" applyProtection="1">
      <alignment horizontal="right" vertical="bottom"/>
      <protection locked="1" hidden="0"/>
    </xf>
    <xf numFmtId="0" fontId="18" fillId="3" borderId="1" xfId="0" applyFont="1" applyFill="1" applyBorder="1" applyAlignment="1" applyProtection="1">
      <alignment horizontal="right" vertical="bottom"/>
      <protection locked="1" hidden="0"/>
    </xf>
    <xf numFmtId="166" fontId="19" fillId="0" borderId="0" xfId="0" applyNumberFormat="1" applyFont="1" applyFill="1" applyAlignment="1" applyProtection="1">
      <alignment horizontal="left" vertical="bottom"/>
      <protection locked="1" hidden="0"/>
    </xf>
    <xf numFmtId="165" fontId="15" fillId="0" borderId="0" xfId="0" applyNumberFormat="1" applyFont="1" applyFill="1" applyAlignment="1" applyProtection="1">
      <alignment horizontal="right" vertical="bottom"/>
      <protection locked="1" hidden="0"/>
    </xf>
    <xf numFmtId="167" fontId="20" fillId="0" borderId="0" xfId="0" applyNumberFormat="1" applyFont="1" applyFill="1" applyAlignment="1" applyProtection="1">
      <alignment horizontal="right" vertical="bottom"/>
      <protection locked="1" hidden="0"/>
    </xf>
    <xf numFmtId="0" fontId="16" fillId="5" borderId="0" xfId="0" applyFont="1" applyFill="1" applyAlignment="1" applyProtection="1">
      <alignment horizontal="general" vertical="bottom"/>
      <protection locked="1" hidden="0"/>
    </xf>
    <xf numFmtId="0" fontId="16" fillId="3" borderId="0" xfId="0" applyFont="1" applyFill="1" applyAlignment="1" applyProtection="1">
      <alignment horizontal="general" vertical="bottom"/>
      <protection locked="1" hidden="0"/>
    </xf>
    <xf numFmtId="169" fontId="15" fillId="0" borderId="0" xfId="0" applyNumberFormat="1" applyFont="1" applyFill="1" applyAlignment="1" applyProtection="1">
      <alignment horizontal="right" vertical="bottom"/>
      <protection locked="1" hidden="0"/>
    </xf>
    <xf numFmtId="168" fontId="16" fillId="4" borderId="0" xfId="0" applyNumberFormat="1" applyFont="1" applyFill="1" applyAlignment="1" applyProtection="1">
      <alignment horizontal="right" vertical="bottom"/>
      <protection locked="1" hidden="0"/>
    </xf>
    <xf numFmtId="165" fontId="21" fillId="0" borderId="0" xfId="0" applyNumberFormat="1" applyFont="1" applyFill="1" applyAlignment="1" applyProtection="1">
      <alignment horizontal="right" vertical="bottom"/>
      <protection locked="1" hidden="0"/>
    </xf>
    <xf numFmtId="169" fontId="18" fillId="0" borderId="3" xfId="0" applyNumberFormat="1" applyFont="1" applyFill="1" applyBorder="1" applyAlignment="1" applyProtection="1">
      <alignment horizontal="right" vertical="bottom"/>
      <protection locked="1" hidden="0"/>
    </xf>
    <xf numFmtId="172" fontId="15" fillId="0" borderId="0" xfId="0" applyNumberFormat="1" applyFont="1" applyFill="1" applyAlignment="1" applyProtection="1">
      <alignment horizontal="right" vertical="bottom"/>
      <protection locked="1" hidden="0"/>
    </xf>
    <xf numFmtId="166" fontId="17" fillId="0" borderId="0" xfId="0" applyNumberFormat="1" applyFont="1" applyFill="1" applyAlignment="1" applyProtection="1">
      <alignment horizontal="left" vertical="bottom"/>
      <protection locked="1" hidden="0"/>
    </xf>
    <xf numFmtId="0" fontId="18" fillId="0" borderId="0" xfId="0" applyFont="1" applyFill="1" applyAlignment="1" applyProtection="1">
      <alignment horizontal="general" vertical="bottom"/>
      <protection locked="1" hidden="0"/>
    </xf>
    <xf numFmtId="164" fontId="22" fillId="0" borderId="3" xfId="0" applyNumberFormat="1" applyFont="1" applyFill="1" applyBorder="1" applyAlignment="1" applyProtection="1">
      <alignment horizontal="right" vertical="bottom"/>
      <protection locked="1" hidden="0"/>
    </xf>
    <xf numFmtId="168" fontId="16" fillId="3" borderId="0" xfId="0" applyNumberFormat="1" applyFont="1" applyFill="1" applyAlignment="1" applyProtection="1">
      <alignment horizontal="right" vertical="bottom"/>
      <protection locked="1" hidden="0"/>
    </xf>
    <xf numFmtId="166" fontId="14" fillId="0" borderId="0" xfId="0" applyNumberFormat="1" applyFont="1" applyFill="1" applyAlignment="1" applyProtection="1">
      <alignment horizontal="left" vertical="top" wrapText="1"/>
      <protection locked="1" hidden="0"/>
    </xf>
    <xf numFmtId="171" fontId="18" fillId="5" borderId="3" xfId="0" applyNumberFormat="1" applyFont="1" applyFill="1" applyBorder="1" applyAlignment="1" applyProtection="1">
      <alignment horizontal="right" vertical="bottom"/>
      <protection locked="1" hidden="0"/>
    </xf>
    <xf numFmtId="170" fontId="13" fillId="3" borderId="2" xfId="0" applyNumberFormat="1" applyFont="1" applyFill="1" applyBorder="1" applyAlignment="1" applyProtection="1">
      <alignment horizontal="right" vertical="bottom"/>
      <protection locked="1" hidden="0"/>
    </xf>
    <xf numFmtId="165" fontId="22" fillId="0" borderId="3" xfId="0" applyNumberFormat="1" applyFont="1" applyFill="1" applyBorder="1" applyAlignment="1" applyProtection="1">
      <alignment horizontal="right" vertical="bottom"/>
      <protection locked="1" hidden="0"/>
    </xf>
    <xf numFmtId="164" fontId="21" fillId="0" borderId="0" xfId="0" applyNumberFormat="1" applyFont="1" applyFill="1" applyAlignment="1" applyProtection="1">
      <alignment horizontal="right" vertical="bottom"/>
      <protection locked="1" hidden="0"/>
    </xf>
    <xf numFmtId="169" fontId="17" fillId="0" borderId="3" xfId="0" applyNumberFormat="1" applyFont="1" applyFill="1" applyBorder="1" applyAlignment="1" applyProtection="1">
      <alignment horizontal="right" vertical="bottom"/>
      <protection locked="1" hidden="0"/>
    </xf>
    <xf numFmtId="0" fontId="23" fillId="0" borderId="0" xfId="0" applyFont="1" applyFill="1" applyAlignment="1" applyProtection="1">
      <alignment horizontal="general" vertical="bottom"/>
      <protection locked="1" hidden="0"/>
    </xf>
    <xf numFmtId="165" fontId="18" fillId="5" borderId="3" xfId="0" applyNumberFormat="1" applyFont="1" applyFill="1" applyBorder="1" applyAlignment="1" applyProtection="1">
      <alignment horizontal="right" vertical="bottom"/>
      <protection locked="1" hidden="0"/>
    </xf>
    <xf numFmtId="164" fontId="17" fillId="0" borderId="3" xfId="0" applyNumberFormat="1" applyFont="1" applyFill="1" applyBorder="1" applyAlignment="1" applyProtection="1">
      <alignment horizontal="right" vertical="bottom"/>
      <protection locked="1" hidden="0"/>
    </xf>
    <xf numFmtId="165" fontId="21" fillId="5" borderId="0" xfId="0" applyNumberFormat="1" applyFont="1" applyFill="1" applyAlignment="1" applyProtection="1">
      <alignment horizontal="right" vertical="bottom"/>
      <protection locked="1" hidden="0"/>
    </xf>
    <xf numFmtId="171" fontId="18" fillId="0" borderId="3" xfId="0" applyNumberFormat="1" applyFont="1" applyFill="1" applyBorder="1" applyAlignment="1" applyProtection="1">
      <alignment horizontal="right" vertical="bottom"/>
      <protection locked="1" hidden="0"/>
    </xf>
    <xf numFmtId="166" fontId="24" fillId="0" borderId="0" xfId="0" applyNumberFormat="1" applyFont="1" applyFill="1" applyAlignment="1" applyProtection="1">
      <alignment horizontal="left" vertical="bottom"/>
      <protection locked="1" hidden="0"/>
    </xf>
    <xf numFmtId="169" fontId="15" fillId="0" borderId="0" xfId="0" applyNumberFormat="1" applyFont="1" applyFill="1" applyAlignment="1" applyProtection="1">
      <alignment horizontal="left" vertical="bottom"/>
      <protection locked="1" hidden="0"/>
    </xf>
    <xf numFmtId="165" fontId="15" fillId="5" borderId="0" xfId="0" applyNumberFormat="1" applyFont="1" applyFill="1" applyAlignment="1" applyProtection="1">
      <alignment horizontal="right" vertical="bottom"/>
      <protection locked="1" hidden="0"/>
    </xf>
    <xf numFmtId="164" fontId="18" fillId="0" borderId="3" xfId="0" applyNumberFormat="1" applyFont="1" applyFill="1" applyBorder="1" applyAlignment="1" applyProtection="1">
      <alignment horizontal="right" vertical="bottom"/>
      <protection locked="1" hidden="0"/>
    </xf>
    <xf numFmtId="170" fontId="13" fillId="4" borderId="2" xfId="0" applyNumberFormat="1" applyFont="1" applyFill="1" applyBorder="1" applyAlignment="1" applyProtection="1">
      <alignment horizontal="right" vertical="bottom"/>
      <protection locked="1" hidden="0"/>
    </xf>
    <xf numFmtId="0" fontId="25" fillId="0" borderId="0" xfId="0" applyFont="1" applyFill="1" applyAlignment="1" applyProtection="1">
      <alignment horizontal="general" vertical="center"/>
      <protection locked="1" hidden="0"/>
    </xf>
    <xf numFmtId="165" fontId="18" fillId="0" borderId="3" xfId="0" applyNumberFormat="1" applyFont="1" applyFill="1" applyBorder="1" applyAlignment="1" applyProtection="1">
      <alignment horizontal="right" vertical="bottom"/>
      <protection locked="1" hidden="0"/>
    </xf>
    <xf numFmtId="164" fontId="18" fillId="5" borderId="3" xfId="0" applyNumberFormat="1" applyFont="1" applyFill="1" applyBorder="1" applyAlignment="1" applyProtection="1">
      <alignment horizontal="right" vertical="bottom"/>
      <protection locked="1" hidden="0"/>
    </xf>
    <xf numFmtId="166" fontId="15" fillId="0" borderId="0" xfId="0" applyNumberFormat="1" applyFont="1" applyFill="1" applyAlignment="1" applyProtection="1">
      <alignment horizontal="left" vertical="top" wrapText="1"/>
      <protection locked="1" hidden="0"/>
    </xf>
    <xf numFmtId="172" fontId="15" fillId="5" borderId="0" xfId="0" applyNumberFormat="1" applyFont="1" applyFill="1" applyAlignment="1" applyProtection="1">
      <alignment horizontal="right" vertical="bottom"/>
      <protection locked="1" hidden="0"/>
    </xf>
    <xf numFmtId="164" fontId="21" fillId="5" borderId="0" xfId="0" applyNumberFormat="1" applyFont="1" applyFill="1" applyAlignment="1" applyProtection="1">
      <alignment horizontal="right" vertical="bottom"/>
      <protection locked="1" hidden="0"/>
    </xf>
    <xf numFmtId="172" fontId="21" fillId="0" borderId="0" xfId="0" applyNumberFormat="1" applyFont="1" applyFill="1" applyAlignment="1" applyProtection="1">
      <alignment horizontal="right" vertical="bottom"/>
      <protection locked="1" hidden="0"/>
    </xf>
    <xf numFmtId="0" fontId="18" fillId="3" borderId="1" xfId="0" applyFont="1" applyFill="1" applyBorder="1" applyAlignment="1" applyProtection="1">
      <alignment horizontal="general" vertical="bottom"/>
      <protection locked="1" hidden="0"/>
    </xf>
    <xf numFmtId="169" fontId="17" fillId="0" borderId="3" xfId="0" applyNumberFormat="1" applyFont="1" applyFill="1" applyBorder="1" applyAlignment="1" applyProtection="1">
      <alignment horizontal="left" vertical="bottom"/>
      <protection locked="1" hidden="0"/>
    </xf>
    <xf numFmtId="169" fontId="18" fillId="5" borderId="3" xfId="0" applyNumberFormat="1" applyFont="1" applyFill="1" applyBorder="1" applyAlignment="1" applyProtection="1">
      <alignment horizontal="right" vertical="bottom"/>
      <protection locked="1" hidden="0"/>
    </xf>
    <xf numFmtId="165" fontId="22" fillId="5" borderId="3" xfId="0" applyNumberFormat="1" applyFont="1" applyFill="1" applyBorder="1" applyAlignment="1" applyProtection="1">
      <alignment horizontal="right" vertical="bottom"/>
      <protection locked="1" hidden="0"/>
    </xf>
    <xf numFmtId="165" fontId="17" fillId="5" borderId="3" xfId="0" applyNumberFormat="1" applyFont="1" applyFill="1" applyBorder="1" applyAlignment="1" applyProtection="1">
      <alignment horizontal="right" vertical="bottom"/>
      <protection locked="1" hidden="0"/>
    </xf>
    <xf numFmtId="165" fontId="13" fillId="5" borderId="0" xfId="0" applyNumberFormat="1" applyFont="1" applyFill="1" applyAlignment="1" applyProtection="1">
      <alignment horizontal="right" vertical="bottom"/>
      <protection locked="1" hidden="0"/>
    </xf>
    <xf numFmtId="169" fontId="22" fillId="0" borderId="3" xfId="0" applyNumberFormat="1" applyFont="1" applyFill="1" applyBorder="1" applyAlignment="1" applyProtection="1">
      <alignment horizontal="right" vertical="bottom"/>
      <protection locked="1" hidden="0"/>
    </xf>
    <xf numFmtId="0" fontId="18" fillId="4" borderId="1" xfId="0" applyFont="1" applyFill="1" applyBorder="1" applyAlignment="1" applyProtection="1">
      <alignment horizontal="right" vertical="bottom"/>
      <protection locked="1" hidden="0"/>
    </xf>
    <xf numFmtId="169" fontId="15" fillId="5" borderId="0" xfId="0" applyNumberFormat="1" applyFont="1" applyFill="1" applyAlignment="1" applyProtection="1">
      <alignment horizontal="right" vertical="bottom"/>
      <protection locked="1" hidden="0"/>
    </xf>
    <xf numFmtId="0" fontId="18" fillId="3" borderId="0" xfId="0" applyFont="1" applyFill="1" applyAlignment="1" applyProtection="1">
      <alignment horizontal="general" vertical="bottom"/>
      <protection locked="1" hidden="0"/>
    </xf>
    <xf numFmtId="0" fontId="26" fillId="0" borderId="0" xfId="0" applyFont="1" applyFill="1" applyAlignment="1" applyProtection="1">
      <alignment horizontal="general" vertical="bottom"/>
      <protection locked="1" hidden="0"/>
    </xf>
    <xf numFmtId="165" fontId="20" fillId="0" borderId="0" xfId="0" applyNumberFormat="1" applyFont="1" applyFill="1" applyAlignment="1" applyProtection="1">
      <alignment horizontal="right" vertical="bottom"/>
      <protection locked="1" hidden="0"/>
    </xf>
    <xf numFmtId="0" fontId="16" fillId="3" borderId="2" xfId="0" applyFont="1" applyFill="1" applyBorder="1" applyAlignment="1" applyProtection="1">
      <alignment horizontal="general" vertical="bottom"/>
      <protection locked="1" hidden="0"/>
    </xf>
    <xf numFmtId="166" fontId="17" fillId="0" borderId="0" xfId="0" applyNumberFormat="1" applyFont="1" applyFill="1" applyAlignment="1" applyProtection="1">
      <alignment horizontal="left" vertical="top" wrapText="1"/>
      <protection locked="1" hidden="0"/>
    </xf>
    <xf numFmtId="164" fontId="22" fillId="5" borderId="3" xfId="0" applyNumberFormat="1" applyFont="1" applyFill="1" applyBorder="1" applyAlignment="1" applyProtection="1">
      <alignment horizontal="right" vertical="bottom"/>
      <protection locked="1" hidden="0"/>
    </xf>
    <xf numFmtId="165" fontId="14" fillId="0" borderId="0" xfId="0" applyNumberFormat="1" applyFont="1" applyFill="1" applyAlignment="1" applyProtection="1">
      <alignment horizontal="right" vertical="bottom"/>
      <protection locked="1" hidden="0"/>
    </xf>
    <xf numFmtId="167" fontId="27" fillId="0" borderId="0" xfId="0" applyNumberFormat="1" applyFont="1" applyFill="1" applyAlignment="1" applyProtection="1">
      <alignment horizontal="right" vertical="bottom"/>
      <protection locked="1" hidden="0"/>
    </xf>
    <xf numFmtId="167" fontId="20" fillId="5" borderId="0" xfId="0" applyNumberFormat="1" applyFont="1" applyFill="1" applyAlignment="1" applyProtection="1">
      <alignment horizontal="right" vertical="bottom"/>
      <protection locked="1" hidden="0"/>
    </xf>
    <xf numFmtId="171" fontId="28" fillId="0" borderId="3" xfId="0" applyNumberFormat="1" applyFont="1" applyFill="1" applyBorder="1" applyAlignment="1" applyProtection="1">
      <alignment horizontal="right" vertical="bottom"/>
      <protection locked="1" hidden="0"/>
    </xf>
    <xf numFmtId="169" fontId="21" fillId="0" borderId="0" xfId="0" applyNumberFormat="1" applyFont="1" applyFill="1" applyAlignment="1" applyProtection="1">
      <alignment horizontal="right" vertical="bottom"/>
      <protection locked="1" hidden="0"/>
    </xf>
    <xf numFmtId="165" fontId="14" fillId="5" borderId="0" xfId="0" applyNumberFormat="1" applyFont="1" applyFill="1" applyAlignment="1" applyProtection="1">
      <alignment horizontal="right" vertical="bottom"/>
      <protection locked="1" hidden="0"/>
    </xf>
    <xf numFmtId="174" fontId="15" fillId="0" borderId="0" xfId="0" applyNumberFormat="1" applyFont="1" applyFill="1" applyAlignment="1" applyProtection="1">
      <alignment horizontal="right" vertical="bottom"/>
      <protection locked="1" hidden="0"/>
    </xf>
    <xf numFmtId="165" fontId="29" fillId="0" borderId="3" xfId="0" applyNumberFormat="1" applyFont="1" applyFill="1" applyBorder="1" applyAlignment="1" applyProtection="1">
      <alignment horizontal="right" vertical="bottom"/>
      <protection locked="1" hidden="0"/>
    </xf>
    <xf numFmtId="173" fontId="15" fillId="0" borderId="0" xfId="0" applyNumberFormat="1" applyFont="1" applyFill="1" applyAlignment="1" applyProtection="1">
      <alignment horizontal="right" vertical="bottom"/>
      <protection locked="1" hidden="0"/>
    </xf>
    <xf numFmtId="164" fontId="15" fillId="0" borderId="0" xfId="0" applyNumberFormat="1" applyFont="1" applyFill="1" applyAlignment="1" applyProtection="1">
      <alignment horizontal="right" vertical="bottom"/>
      <protection locked="1" hidden="0"/>
    </xf>
    <xf numFmtId="173" fontId="15" fillId="5" borderId="0" xfId="0" applyNumberFormat="1" applyFont="1" applyFill="1" applyAlignment="1" applyProtection="1">
      <alignment horizontal="right" vertical="bottom"/>
      <protection locked="1" hidden="0"/>
    </xf>
    <xf numFmtId="174" fontId="21" fillId="0" borderId="0" xfId="0" applyNumberFormat="1" applyFont="1" applyFill="1" applyAlignment="1" applyProtection="1">
      <alignment horizontal="right" vertical="bottom"/>
      <protection locked="1" hidden="0"/>
    </xf>
    <xf numFmtId="164" fontId="14" fillId="5" borderId="0" xfId="0" applyNumberFormat="1" applyFont="1" applyFill="1" applyAlignment="1" applyProtection="1">
      <alignment horizontal="right" vertical="bottom"/>
      <protection locked="1" hidden="0"/>
    </xf>
    <xf numFmtId="164" fontId="13" fillId="0" borderId="0" xfId="0" applyNumberFormat="1" applyFont="1" applyFill="1" applyAlignment="1" applyProtection="1">
      <alignment horizontal="right" vertical="bottom"/>
      <protection locked="1" hidden="0"/>
    </xf>
    <xf numFmtId="172" fontId="13" fillId="5" borderId="0" xfId="0" applyNumberFormat="1" applyFont="1" applyFill="1" applyAlignment="1" applyProtection="1">
      <alignment horizontal="right" vertical="bottom"/>
      <protection locked="1" hidden="0"/>
    </xf>
    <xf numFmtId="172" fontId="13" fillId="0" borderId="0" xfId="0" applyNumberFormat="1" applyFont="1" applyFill="1" applyAlignment="1" applyProtection="1">
      <alignment horizontal="right" vertical="bottom"/>
      <protection locked="1" hidden="0"/>
    </xf>
    <xf numFmtId="164" fontId="17" fillId="5" borderId="3" xfId="0" applyNumberFormat="1" applyFont="1" applyFill="1" applyBorder="1" applyAlignment="1" applyProtection="1">
      <alignment horizontal="right" vertical="bottom"/>
      <protection locked="1" hidden="0"/>
    </xf>
    <xf numFmtId="164" fontId="15" fillId="5" borderId="0" xfId="0" applyNumberFormat="1" applyFont="1" applyFill="1" applyAlignment="1" applyProtection="1">
      <alignment horizontal="right" vertical="bottom"/>
      <protection locked="1" hidden="0"/>
    </xf>
    <xf numFmtId="174" fontId="15" fillId="5" borderId="0" xfId="0" applyNumberFormat="1" applyFont="1" applyFill="1" applyAlignment="1" applyProtection="1">
      <alignment horizontal="right" vertical="bottom"/>
      <protection locked="1" hidden="0"/>
    </xf>
    <xf numFmtId="169" fontId="13" fillId="0" borderId="0" xfId="0" applyNumberFormat="1" applyFont="1" applyFill="1" applyAlignment="1" applyProtection="1">
      <alignment horizontal="right" vertical="bottom"/>
      <protection locked="1" hidden="0"/>
    </xf>
    <xf numFmtId="164" fontId="14" fillId="0" borderId="0" xfId="0" applyNumberFormat="1" applyFont="1" applyFill="1" applyAlignment="1" applyProtection="1">
      <alignment horizontal="right" vertical="bottom"/>
      <protection locked="1" hidden="0"/>
    </xf>
    <xf numFmtId="169" fontId="21" fillId="5" borderId="0" xfId="0" applyNumberFormat="1" applyFont="1" applyFill="1" applyAlignment="1" applyProtection="1">
      <alignment horizontal="right" vertical="bottom"/>
      <protection locked="1" hidden="0"/>
    </xf>
    <xf numFmtId="164" fontId="13" fillId="5" borderId="0" xfId="0" applyNumberFormat="1" applyFont="1" applyFill="1" applyAlignment="1" applyProtection="1">
      <alignment horizontal="right" vertical="bottom"/>
      <protection locked="1" hidden="0"/>
    </xf>
    <xf numFmtId="167" fontId="18" fillId="5" borderId="3" xfId="0" applyNumberFormat="1" applyFont="1" applyFill="1" applyBorder="1" applyAlignment="1" applyProtection="1">
      <alignment horizontal="right" vertical="bottom"/>
      <protection locked="1" hidden="0"/>
    </xf>
    <xf numFmtId="167" fontId="18" fillId="0" borderId="3" xfId="0" applyNumberFormat="1" applyFont="1" applyFill="1" applyBorder="1" applyAlignment="1" applyProtection="1">
      <alignment horizontal="right" vertical="bottom"/>
      <protection locked="1" hidden="0"/>
    </xf>
    <xf numFmtId="174" fontId="13" fillId="5" borderId="0" xfId="0" applyNumberFormat="1" applyFont="1" applyFill="1" applyAlignment="1" applyProtection="1">
      <alignment horizontal="right" vertical="bottom"/>
      <protection locked="1" hidden="0"/>
    </xf>
    <xf numFmtId="172" fontId="17" fillId="0" borderId="3" xfId="0" applyNumberFormat="1" applyFont="1" applyFill="1" applyBorder="1" applyAlignment="1" applyProtection="1">
      <alignment horizontal="right" vertical="bottom"/>
      <protection locked="1" hidden="0"/>
    </xf>
    <xf numFmtId="172" fontId="17" fillId="5" borderId="3" xfId="0" applyNumberFormat="1" applyFont="1" applyFill="1" applyBorder="1" applyAlignment="1" applyProtection="1">
      <alignment horizontal="right" vertical="bottom"/>
      <protection locked="1" hidden="0"/>
    </xf>
    <xf numFmtId="165" fontId="27" fillId="5" borderId="0" xfId="0" applyNumberFormat="1" applyFont="1" applyFill="1" applyAlignment="1" applyProtection="1">
      <alignment horizontal="right" vertical="bottom"/>
      <protection locked="1" hidden="0"/>
    </xf>
    <xf numFmtId="167" fontId="24" fillId="0" borderId="3" xfId="0" applyNumberFormat="1" applyFont="1" applyFill="1" applyBorder="1" applyAlignment="1" applyProtection="1">
      <alignment horizontal="right" vertical="bottom"/>
      <protection locked="1" hidden="0"/>
    </xf>
    <xf numFmtId="164" fontId="20" fillId="0" borderId="0" xfId="0" applyNumberFormat="1" applyFont="1" applyFill="1" applyAlignment="1" applyProtection="1">
      <alignment horizontal="right" vertical="bottom"/>
      <protection locked="1" hidden="0"/>
    </xf>
    <xf numFmtId="165" fontId="27" fillId="0" borderId="0" xfId="0" applyNumberFormat="1" applyFont="1" applyFill="1" applyAlignment="1" applyProtection="1">
      <alignment horizontal="right" vertical="bottom"/>
      <protection locked="1" hidden="0"/>
    </xf>
    <xf numFmtId="164" fontId="27" fillId="0" borderId="0" xfId="0" applyNumberFormat="1" applyFont="1" applyFill="1" applyAlignment="1" applyProtection="1">
      <alignment horizontal="right" vertical="bottom"/>
      <protection locked="1" hidden="0"/>
    </xf>
    <xf numFmtId="167" fontId="27" fillId="5" borderId="0" xfId="0" applyNumberFormat="1" applyFont="1" applyFill="1" applyAlignment="1" applyProtection="1">
      <alignment horizontal="right" vertical="bottom"/>
      <protection locked="1" hidden="0"/>
    </xf>
    <xf numFmtId="164" fontId="27" fillId="5" borderId="0" xfId="0" applyNumberFormat="1" applyFont="1" applyFill="1" applyAlignment="1" applyProtection="1">
      <alignment horizontal="right" vertical="bottom"/>
      <protection locked="1" hidden="0"/>
    </xf>
    <xf numFmtId="166" fontId="30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9" fontId="3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3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30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3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6" fontId="34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6" fontId="33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6" fontId="3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9" fontId="36" fillId="5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6" fontId="37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9" fontId="3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39" fillId="0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6" fontId="40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6" fontId="41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6" fontId="40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41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9" fontId="42" fillId="0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6" fontId="4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5" fontId="4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44" fillId="5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4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6" fontId="4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Relationship Id="rId16" Type="http://schemas.openxmlformats.org/officeDocument/2006/relationships/theme" Target="theme/theme1.xml"/><Relationship Id="rId1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19050</xdr:colOff>
      <xdr:row>0</xdr:row>
      <xdr:rowOff>28575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showGridLines="0" tabSelected="1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 ht="49.5">
      <c r="A1" s="89"/>
      <c r="B1" s="89"/>
      <c r="C1" s="124" t="s">
        <v>0</v>
      </c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2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188" t="s">
        <v>4</v>
      </c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17</v>
      </c>
      <c r="C10" s="89"/>
      <c r="D10" s="89"/>
      <c r="E10" s="89"/>
      <c r="F10" s="89"/>
      <c r="G10" s="89"/>
      <c r="H10" s="89"/>
      <c r="I10" s="89"/>
      <c r="J10" s="97"/>
      <c r="K10" s="89"/>
      <c r="L10" s="89"/>
    </row>
    <row r="11">
      <c r="A11" s="89"/>
      <c r="B11" s="104" t="s">
        <v>18</v>
      </c>
      <c r="C11" s="111">
        <f>'Income Statement'!C163</f>
        <v>4792</v>
      </c>
      <c r="D11" s="111">
        <f>'Income Statement'!D163</f>
        <v>5028</v>
      </c>
      <c r="E11" s="111">
        <f>'Income Statement'!E163</f>
        <v>5081</v>
      </c>
      <c r="F11" s="111">
        <f>'Income Statement'!F163</f>
        <v>5179</v>
      </c>
      <c r="G11" s="111">
        <f>'Income Statement'!G163</f>
        <v>20080</v>
      </c>
      <c r="H11" s="111">
        <f>'Income Statement'!H163</f>
        <v>5409</v>
      </c>
      <c r="I11" s="111">
        <f>'Income Statement'!I163</f>
        <v>5698</v>
      </c>
      <c r="J11" s="134">
        <f>'Income Statement'!J163</f>
        <v>5576.653724673817</v>
      </c>
      <c r="K11" s="89"/>
      <c r="L11" s="89"/>
    </row>
    <row r="12" ht="23.25">
      <c r="A12" s="89"/>
      <c r="B12" s="187" t="s">
        <v>19</v>
      </c>
      <c r="C12" s="101">
        <f>'Income Statement'!C278</f>
        <v>1148</v>
      </c>
      <c r="D12" s="101">
        <f>'Income Statement'!D278</f>
        <v>1397</v>
      </c>
      <c r="E12" s="101">
        <f>'Income Statement'!E278</f>
        <v>1360</v>
      </c>
      <c r="F12" s="101">
        <f>'Income Statement'!F278</f>
        <v>1470</v>
      </c>
      <c r="G12" s="101">
        <f>'Income Statement'!G278</f>
        <v>5375</v>
      </c>
      <c r="H12" s="101">
        <f>'Income Statement'!H278</f>
        <v>1573</v>
      </c>
      <c r="I12" s="101">
        <f>'Income Statement'!I278</f>
        <v>1703</v>
      </c>
      <c r="J12" s="117">
        <f>'Income Statement'!J278</f>
        <v>1581.0914620355775</v>
      </c>
      <c r="K12" s="89"/>
      <c r="L12" s="89"/>
    </row>
    <row r="13" ht="23.24853515625">
      <c r="A13" s="89"/>
      <c r="B13" s="186" t="s">
        <v>20</v>
      </c>
      <c r="C13" s="106">
        <f>'Income Statement'!C281</f>
        <v>1.5782281502011277</v>
      </c>
      <c r="D13" s="106">
        <f>'Income Statement'!D281</f>
        <v>1.940258914149446</v>
      </c>
      <c r="E13" s="106">
        <f>'Income Statement'!E281</f>
        <v>1.9078240425108086</v>
      </c>
      <c r="F13" s="106">
        <f>'Income Statement'!F281</f>
        <v>2.0846924015089203</v>
      </c>
      <c r="G13" s="106">
        <f>'Income Statement'!G281</f>
        <v>7.499462829174097</v>
      </c>
      <c r="H13" s="106">
        <f>'Income Statement'!H281</f>
        <v>2.2530522914386877</v>
      </c>
      <c r="I13" s="106">
        <f>'Income Statement'!I281</f>
        <v>2.460189852114131</v>
      </c>
      <c r="J13" s="145">
        <f>'Income Statement'!J281</f>
        <v>2.3067366233279856</v>
      </c>
      <c r="K13" s="89"/>
      <c r="L13" s="89"/>
    </row>
    <row r="14">
      <c r="A14" s="89"/>
      <c r="B14" s="88" t="s">
        <v>21</v>
      </c>
      <c r="C14" s="112">
        <f>'Income Statement'!C249</f>
        <v>1.579602913398167</v>
      </c>
      <c r="D14" s="112">
        <f>'Income Statement'!D249</f>
        <v>1.9319256618338434</v>
      </c>
      <c r="E14" s="112">
        <f>'Income Statement'!E249</f>
        <v>1.878364994795568</v>
      </c>
      <c r="F14" s="112">
        <f>'Income Statement'!F249</f>
        <v>2.0237116033695437</v>
      </c>
      <c r="G14" s="112">
        <f>'Income Statement'!G249</f>
        <v>7.403190655180978</v>
      </c>
      <c r="H14" s="112">
        <f>'Income Statement'!H249</f>
        <v>2.2372966810090467</v>
      </c>
      <c r="I14" s="112">
        <f>'Income Statement'!I249</f>
        <v>2.4500775039257583</v>
      </c>
      <c r="J14" s="129">
        <f>'Income Statement'!J249</f>
        <v>2.2955026925743796</v>
      </c>
      <c r="K14" s="89"/>
      <c r="L14" s="89"/>
    </row>
    <row r="15">
      <c r="A15" s="89"/>
      <c r="B15" s="89"/>
      <c r="C15" s="89"/>
      <c r="D15" s="89"/>
      <c r="E15" s="89"/>
      <c r="F15" s="89"/>
      <c r="G15" s="89"/>
      <c r="H15" s="89"/>
      <c r="I15" s="89"/>
      <c r="J15" s="97"/>
      <c r="K15" s="89"/>
      <c r="L15" s="89"/>
    </row>
    <row r="16">
      <c r="A16" s="89"/>
      <c r="B16" s="104" t="s">
        <v>22</v>
      </c>
      <c r="C16" s="89"/>
      <c r="D16" s="89"/>
      <c r="E16" s="89"/>
      <c r="F16" s="89"/>
      <c r="G16" s="89"/>
      <c r="H16" s="89"/>
      <c r="I16" s="89"/>
      <c r="J16" s="97"/>
      <c r="K16" s="89"/>
      <c r="L16" s="89"/>
    </row>
    <row r="17">
      <c r="A17" s="89"/>
      <c r="B17" s="88" t="s">
        <v>23</v>
      </c>
      <c r="C17" s="120" t="s">
        <v>24</v>
      </c>
      <c r="D17" s="89"/>
      <c r="E17" s="89"/>
      <c r="F17" s="89"/>
      <c r="G17" s="89"/>
      <c r="H17" s="89"/>
      <c r="I17" s="89"/>
      <c r="J17" s="97"/>
      <c r="K17" s="89"/>
      <c r="L17" s="89"/>
    </row>
    <row r="18">
      <c r="A18" s="89"/>
      <c r="B18" s="88" t="s">
        <v>25</v>
      </c>
      <c r="C18" s="120" t="s">
        <v>26</v>
      </c>
      <c r="D18" s="89"/>
      <c r="E18" s="89"/>
      <c r="F18" s="89"/>
      <c r="G18" s="89"/>
      <c r="H18" s="89"/>
      <c r="I18" s="89"/>
      <c r="J18" s="97"/>
      <c r="K18" s="89"/>
      <c r="L18" s="89"/>
    </row>
    <row r="19">
      <c r="A19" s="89"/>
      <c r="B19" s="88" t="s">
        <v>27</v>
      </c>
      <c r="C19" s="120" t="s">
        <v>28</v>
      </c>
      <c r="D19" s="89"/>
      <c r="E19" s="89"/>
      <c r="F19" s="89"/>
      <c r="G19" s="89"/>
      <c r="H19" s="89"/>
      <c r="I19" s="89"/>
      <c r="J19" s="97"/>
      <c r="K19" s="89"/>
      <c r="L19" s="89"/>
    </row>
    <row r="20">
      <c r="A20" s="89"/>
      <c r="B20" s="88" t="s">
        <v>29</v>
      </c>
      <c r="C20" s="120" t="s">
        <v>30</v>
      </c>
      <c r="D20" s="89"/>
      <c r="E20" s="89"/>
      <c r="F20" s="89"/>
      <c r="G20" s="89"/>
      <c r="H20" s="89"/>
      <c r="I20" s="89"/>
      <c r="J20" s="97"/>
      <c r="K20" s="89"/>
      <c r="L20" s="89"/>
    </row>
    <row r="21">
      <c r="A21" s="89"/>
      <c r="B21" s="88" t="s">
        <v>31</v>
      </c>
      <c r="C21" s="120" t="s">
        <v>32</v>
      </c>
      <c r="D21" s="89"/>
      <c r="E21" s="89"/>
      <c r="F21" s="89"/>
      <c r="G21" s="89"/>
      <c r="H21" s="89"/>
      <c r="I21" s="89"/>
      <c r="J21" s="97"/>
      <c r="K21" s="89"/>
      <c r="L21" s="89"/>
    </row>
    <row r="22">
      <c r="A22" s="89"/>
      <c r="B22" s="88" t="s">
        <v>33</v>
      </c>
      <c r="C22" s="120" t="s">
        <v>34</v>
      </c>
      <c r="D22" s="89"/>
      <c r="E22" s="89"/>
      <c r="F22" s="89"/>
      <c r="G22" s="89"/>
      <c r="H22" s="89"/>
      <c r="I22" s="89"/>
      <c r="J22" s="97"/>
      <c r="K22" s="89"/>
      <c r="L22" s="89"/>
    </row>
    <row r="23">
      <c r="A23" s="89"/>
      <c r="B23" s="88" t="s">
        <v>35</v>
      </c>
      <c r="C23" s="120" t="s">
        <v>36</v>
      </c>
      <c r="D23" s="89"/>
      <c r="E23" s="89"/>
      <c r="F23" s="89"/>
      <c r="G23" s="89"/>
      <c r="H23" s="89"/>
      <c r="I23" s="89"/>
      <c r="J23" s="97"/>
      <c r="K23" s="89"/>
      <c r="L23" s="89"/>
    </row>
    <row r="24">
      <c r="A24" s="89"/>
      <c r="B24" s="88" t="s">
        <v>37</v>
      </c>
      <c r="C24" s="120" t="s">
        <v>38</v>
      </c>
      <c r="D24" s="89"/>
      <c r="E24" s="89"/>
      <c r="F24" s="89"/>
      <c r="G24" s="89"/>
      <c r="H24" s="89"/>
      <c r="I24" s="89"/>
      <c r="J24" s="97"/>
      <c r="K24" s="89"/>
      <c r="L24" s="89"/>
    </row>
    <row r="25">
      <c r="A25" s="89"/>
      <c r="B25" s="88" t="s">
        <v>39</v>
      </c>
      <c r="C25" s="120" t="s">
        <v>40</v>
      </c>
      <c r="D25" s="89"/>
      <c r="E25" s="89"/>
      <c r="F25" s="89"/>
      <c r="G25" s="89"/>
      <c r="H25" s="89"/>
      <c r="I25" s="89"/>
      <c r="J25" s="97"/>
      <c r="K25" s="89"/>
      <c r="L25" s="89"/>
    </row>
    <row r="26">
      <c r="A26" s="89"/>
      <c r="B26" s="89"/>
      <c r="C26" s="89"/>
      <c r="D26" s="89"/>
      <c r="E26" s="89"/>
      <c r="F26" s="89"/>
      <c r="G26" s="89"/>
      <c r="H26" s="89"/>
      <c r="I26" s="89"/>
      <c r="J26" s="97"/>
      <c r="K26" s="89"/>
      <c r="L26" s="89"/>
    </row>
    <row r="27">
      <c r="A27" s="89"/>
      <c r="B27" s="104" t="s">
        <v>41</v>
      </c>
      <c r="C27" s="113" t="s">
        <v>42</v>
      </c>
      <c r="D27" s="113" t="s">
        <v>43</v>
      </c>
      <c r="E27" s="113" t="s">
        <v>44</v>
      </c>
      <c r="F27" s="113" t="s">
        <v>45</v>
      </c>
      <c r="G27" s="113" t="s">
        <v>46</v>
      </c>
      <c r="H27" s="102"/>
      <c r="I27" s="102"/>
      <c r="J27" s="133"/>
      <c r="K27" s="89"/>
      <c r="L27" s="94" t="s">
        <v>47</v>
      </c>
    </row>
    <row r="28">
      <c r="A28" s="89"/>
      <c r="B28" s="104" t="s">
        <v>18</v>
      </c>
      <c r="C28" s="111">
        <f>'Income Statement'!J163</f>
        <v>5576.653724673817</v>
      </c>
      <c r="D28" s="111">
        <f>Inputs!C38</f>
        <v>5560.95</v>
      </c>
      <c r="E28" s="90">
        <f>C28-D28</f>
        <v>15.703724673817305</v>
      </c>
      <c r="F28" s="111">
        <f>Guidance!J13</f>
        <v>5511.969999999999</v>
      </c>
      <c r="G28" s="90">
        <f>IF(ISNUMBER(F28),C28-F28,"n.a.")</f>
        <v>64.68372467381778</v>
      </c>
      <c r="H28" s="125"/>
      <c r="I28" s="125"/>
      <c r="J28" s="115"/>
      <c r="K28" s="89"/>
      <c r="L28" s="89"/>
    </row>
    <row r="29">
      <c r="A29" s="89"/>
      <c r="B29" s="87" t="s">
        <v>48</v>
      </c>
      <c r="C29" s="89"/>
      <c r="D29" s="89"/>
      <c r="E29" s="92">
        <f>E28/D28</f>
        <v>0.002823928406804108</v>
      </c>
      <c r="F29" s="89"/>
      <c r="G29" s="92">
        <f>IF(ISNUMBER(G28),G28/F28,"n.a.")</f>
        <v>0.011735137287361468</v>
      </c>
      <c r="H29" s="89"/>
      <c r="I29" s="89"/>
      <c r="J29" s="97"/>
      <c r="K29" s="89"/>
      <c r="L29" s="89"/>
    </row>
    <row r="30">
      <c r="A30" s="89"/>
      <c r="B30" s="88" t="s">
        <v>49</v>
      </c>
      <c r="C30" s="89"/>
      <c r="D30" s="130">
        <f>Inputs!C43</f>
        <v>9</v>
      </c>
      <c r="E30" s="89"/>
      <c r="F30" s="89"/>
      <c r="G30" s="89"/>
      <c r="H30" s="89"/>
      <c r="I30" s="89"/>
      <c r="J30" s="97"/>
      <c r="K30" s="89"/>
      <c r="L30" s="89"/>
    </row>
    <row r="31">
      <c r="A31" s="89"/>
      <c r="B31" s="104" t="s">
        <v>50</v>
      </c>
      <c r="C31" s="111">
        <f>'Income Statement'!J278</f>
        <v>1581.0914620355775</v>
      </c>
      <c r="D31" s="111">
        <f>Inputs!C51</f>
        <v>1550.68</v>
      </c>
      <c r="E31" s="90">
        <f>C31-D31</f>
        <v>30.411462035577415</v>
      </c>
      <c r="F31" s="111">
        <f>Guidance!J25</f>
        <v>1493.02065679</v>
      </c>
      <c r="G31" s="90">
        <f>IF(ISNUMBER(F31),C31-F31,"n.a.")</f>
        <v>88.0708052455775</v>
      </c>
      <c r="H31" s="125"/>
      <c r="I31" s="125"/>
      <c r="J31" s="115"/>
      <c r="K31" s="89"/>
      <c r="L31" s="89"/>
    </row>
    <row r="32">
      <c r="A32" s="89"/>
      <c r="B32" s="87" t="s">
        <v>48</v>
      </c>
      <c r="C32" s="89"/>
      <c r="D32" s="89"/>
      <c r="E32" s="92">
        <f>E31/D31</f>
        <v>0.01961169424741237</v>
      </c>
      <c r="F32" s="89"/>
      <c r="G32" s="92">
        <f>IF(ISNUMBER(G31),G31/F31,"n.a.")</f>
        <v>0.05898833672866259</v>
      </c>
      <c r="H32" s="89"/>
      <c r="I32" s="89"/>
      <c r="J32" s="97"/>
      <c r="K32" s="89"/>
      <c r="L32" s="89"/>
    </row>
    <row r="33">
      <c r="A33" s="89"/>
      <c r="B33" s="88" t="s">
        <v>49</v>
      </c>
      <c r="C33" s="89"/>
      <c r="D33" s="103" t="s">
        <v>51</v>
      </c>
      <c r="E33" s="89"/>
      <c r="F33" s="89"/>
      <c r="G33" s="89"/>
      <c r="H33" s="89"/>
      <c r="I33" s="89"/>
      <c r="J33" s="97"/>
      <c r="K33" s="89"/>
      <c r="L33" s="89"/>
    </row>
    <row r="34">
      <c r="A34" s="89"/>
      <c r="B34" s="104" t="s">
        <v>52</v>
      </c>
      <c r="C34" s="106">
        <f>'Income Statement'!J281</f>
        <v>2.3067366233279856</v>
      </c>
      <c r="D34" s="106">
        <f>Inputs!C22</f>
        <v>2.26</v>
      </c>
      <c r="E34" s="116">
        <f>C34-D34</f>
        <v>0.04673662332798578</v>
      </c>
      <c r="F34" s="106">
        <f>Guidance!J27</f>
        <v>2.178245541828876</v>
      </c>
      <c r="G34" s="116">
        <f>IF(ISNUMBER(F34),C34-F34,"n.a.")</f>
        <v>0.1284910814991096</v>
      </c>
      <c r="H34" s="122"/>
      <c r="I34" s="122"/>
      <c r="J34" s="126"/>
      <c r="K34" s="89"/>
      <c r="L34" s="89"/>
    </row>
    <row r="35">
      <c r="A35" s="89"/>
      <c r="B35" s="87" t="s">
        <v>48</v>
      </c>
      <c r="C35" s="89"/>
      <c r="D35" s="89"/>
      <c r="E35" s="92">
        <f>E34/D34</f>
        <v>0.020679921826542384</v>
      </c>
      <c r="F35" s="89"/>
      <c r="G35" s="92">
        <f>IF(ISNUMBER(G34),G34/F34,"n.a.")</f>
        <v>0.05898833672866248</v>
      </c>
      <c r="H35" s="89"/>
      <c r="I35" s="89"/>
      <c r="J35" s="97"/>
      <c r="K35" s="89"/>
      <c r="L35" s="89"/>
    </row>
    <row r="36">
      <c r="A36" s="89"/>
      <c r="B36" s="88" t="s">
        <v>49</v>
      </c>
      <c r="C36" s="89"/>
      <c r="D36" s="130">
        <f>Inputs!C27</f>
        <v>12</v>
      </c>
      <c r="E36" s="89"/>
      <c r="F36" s="89"/>
      <c r="G36" s="89"/>
      <c r="H36" s="89"/>
      <c r="I36" s="89"/>
      <c r="J36" s="97"/>
      <c r="K36" s="89"/>
      <c r="L36" s="89"/>
    </row>
    <row r="37">
      <c r="A37" s="89"/>
      <c r="B37" s="104" t="s">
        <v>53</v>
      </c>
      <c r="C37" s="111">
        <f>'Income Statement'!J236</f>
        <v>1573.3914620355774</v>
      </c>
      <c r="D37" s="111">
        <f>Inputs!C52</f>
        <v>1555.24</v>
      </c>
      <c r="E37" s="90">
        <f>C37-D37</f>
        <v>18.151462035577424</v>
      </c>
      <c r="F37" s="90" t="s">
        <v>51</v>
      </c>
      <c r="G37" s="90" t="str">
        <f>IF(ISNUMBER(F37),C37-F37,"n.a.")</f>
        <v>n.a.</v>
      </c>
      <c r="H37" s="125"/>
      <c r="I37" s="125"/>
      <c r="J37" s="115"/>
      <c r="K37" s="89"/>
      <c r="L37" s="89"/>
    </row>
    <row r="38">
      <c r="A38" s="89"/>
      <c r="B38" s="87" t="s">
        <v>48</v>
      </c>
      <c r="C38" s="89"/>
      <c r="D38" s="89"/>
      <c r="E38" s="92">
        <f>E37/D37</f>
        <v>0.011671164601976173</v>
      </c>
      <c r="F38" s="89"/>
      <c r="G38" s="92" t="str">
        <f>IF(ISNUMBER(G37),G37/F37,"n.a.")</f>
        <v>n.a.</v>
      </c>
      <c r="H38" s="89"/>
      <c r="I38" s="89"/>
      <c r="J38" s="97"/>
      <c r="K38" s="89"/>
      <c r="L38" s="89"/>
    </row>
    <row r="39">
      <c r="A39" s="89"/>
      <c r="B39" s="88" t="s">
        <v>49</v>
      </c>
      <c r="C39" s="89"/>
      <c r="D39" s="103" t="s">
        <v>51</v>
      </c>
      <c r="E39" s="89"/>
      <c r="F39" s="89"/>
      <c r="G39" s="89"/>
      <c r="H39" s="89"/>
      <c r="I39" s="89"/>
      <c r="J39" s="97"/>
      <c r="K39" s="89"/>
      <c r="L39" s="89"/>
    </row>
    <row r="40">
      <c r="A40" s="89"/>
      <c r="B40" s="104" t="s">
        <v>21</v>
      </c>
      <c r="C40" s="106">
        <f>'Income Statement'!J249</f>
        <v>2.2955026925743796</v>
      </c>
      <c r="D40" s="106">
        <f>Inputs!C31</f>
        <v>2.27</v>
      </c>
      <c r="E40" s="116">
        <f>C40-D40</f>
        <v>0.025502692574379537</v>
      </c>
      <c r="F40" s="116" t="s">
        <v>51</v>
      </c>
      <c r="G40" s="116" t="str">
        <f>IF(ISNUMBER(F40),C40-F40,"n.a.")</f>
        <v>n.a.</v>
      </c>
      <c r="H40" s="122"/>
      <c r="I40" s="122"/>
      <c r="J40" s="126"/>
      <c r="K40" s="89"/>
      <c r="L40" s="89"/>
    </row>
    <row r="41">
      <c r="A41" s="89"/>
      <c r="B41" s="87" t="s">
        <v>48</v>
      </c>
      <c r="C41" s="89"/>
      <c r="D41" s="89"/>
      <c r="E41" s="92">
        <f>E40/D40</f>
        <v>0.011234666332325787</v>
      </c>
      <c r="F41" s="89"/>
      <c r="G41" s="92" t="str">
        <f>IF(ISNUMBER(G40),G40/F40,"n.a.")</f>
        <v>n.a.</v>
      </c>
      <c r="H41" s="89"/>
      <c r="I41" s="89"/>
      <c r="J41" s="97"/>
      <c r="K41" s="89"/>
      <c r="L41" s="89"/>
    </row>
    <row r="42">
      <c r="A42" s="89"/>
      <c r="B42" s="88" t="s">
        <v>49</v>
      </c>
      <c r="C42" s="89"/>
      <c r="D42" s="130">
        <f>Inputs!C36</f>
        <v>8</v>
      </c>
      <c r="E42" s="89"/>
      <c r="F42" s="89"/>
      <c r="G42" s="89"/>
      <c r="H42" s="89"/>
      <c r="I42" s="89"/>
      <c r="J42" s="97"/>
      <c r="K42" s="89"/>
      <c r="L42" s="89"/>
    </row>
    <row r="43">
      <c r="A43" s="89"/>
      <c r="B43" s="88" t="s">
        <v>54</v>
      </c>
      <c r="C43" s="150" t="b">
        <f>AND(ABS(C28-'Income Statement'!J163)&lt;0.01,ABS(C31-'Income Statement'!J278)&lt;0.01,ABS(C34-'Income Statement'!J281)&lt;0.0001,ABS(C37-'Income Statement'!J236)&lt;0.01,ABS(C40-'Income Statement'!J249)&lt;0.0001,ABS(C45-Inputs!C123)&lt;0.000001)</f>
        <v>1</v>
      </c>
      <c r="D43" s="89"/>
      <c r="E43" s="89"/>
      <c r="F43" s="89"/>
      <c r="G43" s="89"/>
      <c r="H43" s="89"/>
      <c r="I43" s="89"/>
      <c r="J43" s="97"/>
      <c r="K43" s="89"/>
      <c r="L43" s="89"/>
    </row>
    <row r="44" ht="23.25">
      <c r="A44" s="89"/>
      <c r="B44" s="186" t="s">
        <v>55</v>
      </c>
      <c r="C44" s="137" t="str">
        <f>IF(AND('Revenue summary'!C52:I52,'Revenue summary'!C78:I78,'Revenue summary'!C103:I103,'Segment - Securities Services'!C118:I118,'Segment - Securities Services'!C143:I143,'Segment - Market &amp; Wealth Svcs'!C129:I129,'Segment - Market &amp; Wealth Svcs'!C168:I168,'Segment - Inv &amp; Wealth Mgmt'!C69:I69,'Segment - Inv &amp; Wealth Mgmt'!C146:I146,'Segment - Inv &amp; Wealth Mgmt'!C164:I164,'Segment - Other'!C37:I37,'Income Statement'!C71:I71,'Income Statement'!C169:I169,'Income Statement'!C171:I171,'Income Statement'!C173:I173,'Income Statement'!C216:I216,'Income Statement'!C226:I226,'Income Statement'!C243:I243,'Income Statement'!C253:I253,'Income Statement'!C255:I255,'Income Statement'!C267:I267,'Income Statement'!C286:I286,'Income Statement'!C288:I288,'Balance Sheet'!C29:I29,'Balance Sheet'!C45:I45,'Balance Sheet'!C60:I60,'Cash Flow Statement'!C22:I22,'Cash Flow Statement'!C36:I36,'Cash Flow Statement'!C52:I52,'Cash Flow Statement'!C59:I59,'Cash Flow Statement'!C60:I60,'Cash Flow Statement'!C61:I61,Geo!C30:I30,Geo!C32:I32,Geo!C41:I41,'Share Count'!C43:I43,C43),"PASS","FAIL")</f>
        <v>PASS</v>
      </c>
      <c r="D44" s="102"/>
      <c r="E44" s="102"/>
      <c r="F44" s="102"/>
      <c r="G44" s="102"/>
      <c r="H44" s="102"/>
      <c r="I44" s="102"/>
      <c r="J44" s="189" t="str">
        <f>IF(AND('Revenue summary'!J52,'Revenue summary'!J78,'Segment - Securities Services'!J143,'Segment - Market &amp; Wealth Svcs'!J168,'Segment - Inv &amp; Wealth Mgmt'!J69,'Segment - Inv &amp; Wealth Mgmt'!J164,'Income Statement'!J71,'Income Statement'!J169,'Income Statement'!J216,'Income Statement'!J226,'Balance Sheet'!J60,'Cash Flow Statement'!J59,Geo!J30,'Share Count'!J43),"BY CONSTR.","FAIL")</f>
        <v>BY CONSTR.</v>
      </c>
      <c r="K44" s="89"/>
      <c r="L44" s="181" t="s">
        <v>56</v>
      </c>
    </row>
    <row r="45">
      <c r="A45" s="89"/>
      <c r="B45" s="119" t="s">
        <v>57</v>
      </c>
      <c r="C45" s="149">
        <f>Inputs!C123</f>
        <v>0.8502857142857143</v>
      </c>
      <c r="D45" s="118"/>
      <c r="E45" s="118"/>
      <c r="F45" s="118"/>
      <c r="G45" s="118"/>
      <c r="H45" s="118"/>
      <c r="I45" s="118"/>
      <c r="J45" s="109"/>
      <c r="K45" s="89"/>
      <c r="L45" s="89"/>
    </row>
    <row r="46">
      <c r="A46" s="89"/>
      <c r="B46" s="104" t="s">
        <v>58</v>
      </c>
      <c r="C46" s="197" t="s">
        <v>59</v>
      </c>
      <c r="D46" s="102"/>
      <c r="E46" s="102"/>
      <c r="F46" s="102"/>
      <c r="G46" s="102"/>
      <c r="H46" s="102"/>
      <c r="I46" s="102"/>
      <c r="J46" s="133"/>
      <c r="K46" s="89"/>
      <c r="L46" s="89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60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61</v>
      </c>
      <c r="C10" s="89"/>
      <c r="D10" s="89"/>
      <c r="E10" s="89"/>
      <c r="F10" s="89"/>
      <c r="G10" s="89"/>
      <c r="H10" s="89"/>
      <c r="I10" s="89"/>
      <c r="J10" s="97"/>
      <c r="K10" s="89"/>
      <c r="L10" s="89"/>
    </row>
    <row r="11">
      <c r="A11" s="89"/>
      <c r="B11" s="88" t="s">
        <v>62</v>
      </c>
      <c r="C11" s="101">
        <f>'Segment - Securities Services'!C111</f>
        <v>2288</v>
      </c>
      <c r="D11" s="101">
        <f>'Segment - Securities Services'!D111</f>
        <v>2462</v>
      </c>
      <c r="E11" s="101">
        <f>'Segment - Securities Services'!E111</f>
        <v>2447</v>
      </c>
      <c r="F11" s="101">
        <f>'Segment - Securities Services'!F111</f>
        <v>2484</v>
      </c>
      <c r="G11" s="101">
        <f>'Segment - Securities Services'!G111</f>
        <v>9681</v>
      </c>
      <c r="H11" s="101">
        <f>'Segment - Securities Services'!H111</f>
        <v>2678</v>
      </c>
      <c r="I11" s="101">
        <f>'Segment - Securities Services'!I111</f>
        <v>2828</v>
      </c>
      <c r="J11" s="117">
        <f>'Segment - Securities Services'!J111</f>
        <v>2712.7048027469255</v>
      </c>
      <c r="K11" s="89"/>
      <c r="L11" s="89"/>
    </row>
    <row r="12">
      <c r="A12" s="89"/>
      <c r="B12" s="87" t="s">
        <v>63</v>
      </c>
      <c r="C12" s="92" t="s">
        <v>51</v>
      </c>
      <c r="D12" s="92" t="s">
        <v>51</v>
      </c>
      <c r="E12" s="92" t="s">
        <v>51</v>
      </c>
      <c r="F12" s="92" t="s">
        <v>51</v>
      </c>
      <c r="G12" s="92" t="s">
        <v>51</v>
      </c>
      <c r="H12" s="92">
        <f>IF(C11&lt;=0,"n.m.",H11/C11-1)</f>
        <v>0.17045454545454541</v>
      </c>
      <c r="I12" s="92">
        <f>IF(D11&lt;=0,"n.m.",I11/D11-1)</f>
        <v>0.14865962632006502</v>
      </c>
      <c r="J12" s="91">
        <f>IF(E11&lt;=0,"n.m.",J11/E11-1)</f>
        <v>0.10858389977397853</v>
      </c>
      <c r="K12" s="89"/>
      <c r="L12" s="89"/>
    </row>
    <row r="13">
      <c r="A13" s="89"/>
      <c r="B13" s="87" t="s">
        <v>64</v>
      </c>
      <c r="C13" s="92" t="s">
        <v>51</v>
      </c>
      <c r="D13" s="92">
        <f>IF(C11&lt;=0,"n.m.",D11/C11-1)</f>
        <v>0.07604895104895104</v>
      </c>
      <c r="E13" s="92">
        <f>IF(D11&lt;=0,"n.m.",E11/D11-1)</f>
        <v>-0.006092607636068226</v>
      </c>
      <c r="F13" s="92">
        <f>IF(E11&lt;=0,"n.m.",F11/E11-1)</f>
        <v>0.015120555782590861</v>
      </c>
      <c r="G13" s="92" t="s">
        <v>51</v>
      </c>
      <c r="H13" s="92">
        <f>IF(F11&lt;=0,"n.m.",H11/F11-1)</f>
        <v>0.07809983896940409</v>
      </c>
      <c r="I13" s="92">
        <f>IF(H11&lt;=0,"n.m.",I11/H11-1)</f>
        <v>0.056011949215832635</v>
      </c>
      <c r="J13" s="91">
        <f>IF(I11&lt;=0,"n.m.",J11/I11-1)</f>
        <v>-0.04076916451664592</v>
      </c>
      <c r="K13" s="89"/>
      <c r="L13" s="89"/>
    </row>
    <row r="14">
      <c r="A14" s="89"/>
      <c r="B14" s="87" t="s">
        <v>65</v>
      </c>
      <c r="C14" s="92">
        <f>IF(C46=0,"n.m.",C11/C46)</f>
        <v>0.4774624373956594</v>
      </c>
      <c r="D14" s="92">
        <f>IF(D46=0,"n.m.",D11/D46)</f>
        <v>0.4896579156722355</v>
      </c>
      <c r="E14" s="92">
        <f>IF(E46=0,"n.m.",E11/E46)</f>
        <v>0.481598110608148</v>
      </c>
      <c r="F14" s="92">
        <f>IF(F46=0,"n.m.",F11/F46)</f>
        <v>0.4796292720602433</v>
      </c>
      <c r="G14" s="92">
        <f>IF(G46=0,"n.m.",G11/G46)</f>
        <v>0.4821215139442231</v>
      </c>
      <c r="H14" s="92">
        <f>IF(H46=0,"n.m.",H11/H46)</f>
        <v>0.4951007579959327</v>
      </c>
      <c r="I14" s="92">
        <f>IF(I46=0,"n.m.",I11/I46)</f>
        <v>0.4963144963144963</v>
      </c>
      <c r="J14" s="91">
        <f>IF(J46=0,"n.m.",J11/J46)</f>
        <v>0.48643952747946406</v>
      </c>
      <c r="K14" s="89"/>
      <c r="L14" s="89"/>
    </row>
    <row r="15">
      <c r="A15" s="89"/>
      <c r="B15" s="87" t="s">
        <v>66</v>
      </c>
      <c r="C15" s="92" t="s">
        <v>67</v>
      </c>
      <c r="D15" s="92" t="s">
        <v>67</v>
      </c>
      <c r="E15" s="92" t="s">
        <v>67</v>
      </c>
      <c r="F15" s="92" t="s">
        <v>67</v>
      </c>
      <c r="G15" s="92" t="s">
        <v>67</v>
      </c>
      <c r="H15" s="92" t="s">
        <v>67</v>
      </c>
      <c r="I15" s="92" t="s">
        <v>67</v>
      </c>
      <c r="J15" s="91" t="s">
        <v>67</v>
      </c>
      <c r="K15" s="89"/>
      <c r="L15" s="94" t="s">
        <v>68</v>
      </c>
    </row>
    <row r="16">
      <c r="A16" s="89"/>
      <c r="B16" s="87" t="s">
        <v>69</v>
      </c>
      <c r="C16" s="92" t="s">
        <v>67</v>
      </c>
      <c r="D16" s="92" t="s">
        <v>67</v>
      </c>
      <c r="E16" s="92" t="s">
        <v>67</v>
      </c>
      <c r="F16" s="92" t="s">
        <v>67</v>
      </c>
      <c r="G16" s="92" t="s">
        <v>67</v>
      </c>
      <c r="H16" s="92" t="s">
        <v>67</v>
      </c>
      <c r="I16" s="92" t="s">
        <v>67</v>
      </c>
      <c r="J16" s="91" t="s">
        <v>67</v>
      </c>
      <c r="K16" s="89"/>
      <c r="L16" s="94" t="s">
        <v>70</v>
      </c>
    </row>
    <row r="17">
      <c r="A17" s="89"/>
      <c r="B17" s="87" t="s">
        <v>71</v>
      </c>
      <c r="C17" s="92" t="s">
        <v>67</v>
      </c>
      <c r="D17" s="92" t="s">
        <v>67</v>
      </c>
      <c r="E17" s="92" t="s">
        <v>67</v>
      </c>
      <c r="F17" s="92" t="s">
        <v>67</v>
      </c>
      <c r="G17" s="92" t="s">
        <v>67</v>
      </c>
      <c r="H17" s="92" t="s">
        <v>67</v>
      </c>
      <c r="I17" s="92" t="s">
        <v>67</v>
      </c>
      <c r="J17" s="91" t="s">
        <v>67</v>
      </c>
      <c r="K17" s="89"/>
      <c r="L17" s="94" t="s">
        <v>72</v>
      </c>
    </row>
    <row r="18">
      <c r="A18" s="89"/>
      <c r="B18" s="88" t="s">
        <v>73</v>
      </c>
      <c r="C18" s="101">
        <f>'Segment - Market &amp; Wealth Svcs'!C122</f>
        <v>1698</v>
      </c>
      <c r="D18" s="101">
        <f>'Segment - Market &amp; Wealth Svcs'!D122</f>
        <v>1754</v>
      </c>
      <c r="E18" s="101">
        <f>'Segment - Market &amp; Wealth Svcs'!E122</f>
        <v>1779</v>
      </c>
      <c r="F18" s="101">
        <f>'Segment - Market &amp; Wealth Svcs'!F122</f>
        <v>1818</v>
      </c>
      <c r="G18" s="101">
        <f>'Segment - Market &amp; Wealth Svcs'!G122</f>
        <v>7049</v>
      </c>
      <c r="H18" s="101">
        <f>'Segment - Market &amp; Wealth Svcs'!H122</f>
        <v>1892</v>
      </c>
      <c r="I18" s="101">
        <f>'Segment - Market &amp; Wealth Svcs'!I122</f>
        <v>1970</v>
      </c>
      <c r="J18" s="117">
        <f>'Segment - Market &amp; Wealth Svcs'!J122</f>
        <v>1969.6549140984753</v>
      </c>
      <c r="K18" s="89"/>
      <c r="L18" s="89"/>
    </row>
    <row r="19">
      <c r="A19" s="89"/>
      <c r="B19" s="87" t="s">
        <v>63</v>
      </c>
      <c r="C19" s="92" t="s">
        <v>51</v>
      </c>
      <c r="D19" s="92" t="s">
        <v>51</v>
      </c>
      <c r="E19" s="92" t="s">
        <v>51</v>
      </c>
      <c r="F19" s="92" t="s">
        <v>51</v>
      </c>
      <c r="G19" s="92" t="s">
        <v>51</v>
      </c>
      <c r="H19" s="92">
        <f>IF(C18&lt;=0,"n.m.",H18/C18-1)</f>
        <v>0.1142520612485276</v>
      </c>
      <c r="I19" s="92">
        <f>IF(D18&lt;=0,"n.m.",I18/D18-1)</f>
        <v>0.12314709236031929</v>
      </c>
      <c r="J19" s="91">
        <f>IF(E18&lt;=0,"n.m.",J18/E18-1)</f>
        <v>0.10716971000476416</v>
      </c>
      <c r="K19" s="89"/>
      <c r="L19" s="89"/>
    </row>
    <row r="20">
      <c r="A20" s="89"/>
      <c r="B20" s="87" t="s">
        <v>64</v>
      </c>
      <c r="C20" s="92" t="s">
        <v>51</v>
      </c>
      <c r="D20" s="92">
        <f>IF(C18&lt;=0,"n.m.",D18/C18-1)</f>
        <v>0.03297997644287398</v>
      </c>
      <c r="E20" s="92">
        <f>IF(D18&lt;=0,"n.m.",E18/D18-1)</f>
        <v>0.01425313568985187</v>
      </c>
      <c r="F20" s="92">
        <f>IF(E18&lt;=0,"n.m.",F18/E18-1)</f>
        <v>0.021922428330522825</v>
      </c>
      <c r="G20" s="92" t="s">
        <v>51</v>
      </c>
      <c r="H20" s="92">
        <f>IF(F18&lt;=0,"n.m.",H18/F18-1)</f>
        <v>0.040704070407040716</v>
      </c>
      <c r="I20" s="92">
        <f>IF(H18&lt;=0,"n.m.",I18/H18-1)</f>
        <v>0.04122621564482021</v>
      </c>
      <c r="J20" s="91">
        <f>IF(I18&lt;=0,"n.m.",J18/I18-1)</f>
        <v>-0.00017517050838822268</v>
      </c>
      <c r="K20" s="89"/>
      <c r="L20" s="89"/>
    </row>
    <row r="21">
      <c r="A21" s="89"/>
      <c r="B21" s="87" t="s">
        <v>65</v>
      </c>
      <c r="C21" s="92">
        <f>IF(C46=0,"n.m.",C18/C46)</f>
        <v>0.35434056761268784</v>
      </c>
      <c r="D21" s="92">
        <f>IF(D46=0,"n.m.",D18/D46)</f>
        <v>0.34884645982498014</v>
      </c>
      <c r="E21" s="92">
        <f>IF(E46=0,"n.m.",E18/E46)</f>
        <v>0.35012792757331235</v>
      </c>
      <c r="F21" s="92">
        <f>IF(F46=0,"n.m.",F18/F46)</f>
        <v>0.3510330179571346</v>
      </c>
      <c r="G21" s="92">
        <f>IF(G46=0,"n.m.",G18/G46)</f>
        <v>0.35104581673306773</v>
      </c>
      <c r="H21" s="92">
        <f>IF(H46=0,"n.m.",H18/H46)</f>
        <v>0.34978739138472914</v>
      </c>
      <c r="I21" s="92">
        <f>IF(I46=0,"n.m.",I18/I46)</f>
        <v>0.34573534573534576</v>
      </c>
      <c r="J21" s="91">
        <f>IF(J46=0,"n.m.",J18/J46)</f>
        <v>0.3531965604003289</v>
      </c>
      <c r="K21" s="89"/>
      <c r="L21" s="89"/>
    </row>
    <row r="22">
      <c r="A22" s="89"/>
      <c r="B22" s="87" t="s">
        <v>66</v>
      </c>
      <c r="C22" s="92" t="s">
        <v>67</v>
      </c>
      <c r="D22" s="92" t="s">
        <v>67</v>
      </c>
      <c r="E22" s="92" t="s">
        <v>67</v>
      </c>
      <c r="F22" s="92" t="s">
        <v>67</v>
      </c>
      <c r="G22" s="92" t="s">
        <v>67</v>
      </c>
      <c r="H22" s="92" t="s">
        <v>67</v>
      </c>
      <c r="I22" s="92" t="s">
        <v>67</v>
      </c>
      <c r="J22" s="91" t="s">
        <v>67</v>
      </c>
      <c r="K22" s="89"/>
      <c r="L22" s="94" t="s">
        <v>68</v>
      </c>
    </row>
    <row r="23">
      <c r="A23" s="89"/>
      <c r="B23" s="87" t="s">
        <v>69</v>
      </c>
      <c r="C23" s="92" t="s">
        <v>67</v>
      </c>
      <c r="D23" s="92" t="s">
        <v>67</v>
      </c>
      <c r="E23" s="92" t="s">
        <v>67</v>
      </c>
      <c r="F23" s="92" t="s">
        <v>67</v>
      </c>
      <c r="G23" s="92" t="s">
        <v>67</v>
      </c>
      <c r="H23" s="92" t="s">
        <v>67</v>
      </c>
      <c r="I23" s="92" t="s">
        <v>67</v>
      </c>
      <c r="J23" s="91" t="s">
        <v>67</v>
      </c>
      <c r="K23" s="89"/>
      <c r="L23" s="94" t="s">
        <v>70</v>
      </c>
    </row>
    <row r="24">
      <c r="A24" s="89"/>
      <c r="B24" s="87" t="s">
        <v>71</v>
      </c>
      <c r="C24" s="92" t="s">
        <v>67</v>
      </c>
      <c r="D24" s="92" t="s">
        <v>67</v>
      </c>
      <c r="E24" s="92" t="s">
        <v>67</v>
      </c>
      <c r="F24" s="92" t="s">
        <v>67</v>
      </c>
      <c r="G24" s="92" t="s">
        <v>67</v>
      </c>
      <c r="H24" s="92" t="s">
        <v>67</v>
      </c>
      <c r="I24" s="92" t="s">
        <v>67</v>
      </c>
      <c r="J24" s="91" t="s">
        <v>67</v>
      </c>
      <c r="K24" s="89"/>
      <c r="L24" s="94" t="s">
        <v>72</v>
      </c>
    </row>
    <row r="25">
      <c r="A25" s="89"/>
      <c r="B25" s="88" t="s">
        <v>74</v>
      </c>
      <c r="C25" s="101">
        <f>'Segment - Inv &amp; Wealth Mgmt'!C139</f>
        <v>779</v>
      </c>
      <c r="D25" s="101">
        <f>'Segment - Inv &amp; Wealth Mgmt'!D139</f>
        <v>801</v>
      </c>
      <c r="E25" s="101">
        <f>'Segment - Inv &amp; Wealth Mgmt'!E139</f>
        <v>824</v>
      </c>
      <c r="F25" s="101">
        <f>'Segment - Inv &amp; Wealth Mgmt'!F139</f>
        <v>854</v>
      </c>
      <c r="G25" s="101">
        <f>'Segment - Inv &amp; Wealth Mgmt'!G139</f>
        <v>3258</v>
      </c>
      <c r="H25" s="101">
        <f>'Segment - Inv &amp; Wealth Mgmt'!H139</f>
        <v>825</v>
      </c>
      <c r="I25" s="101">
        <f>'Segment - Inv &amp; Wealth Mgmt'!I139</f>
        <v>863</v>
      </c>
      <c r="J25" s="117">
        <f>'Segment - Inv &amp; Wealth Mgmt'!J139</f>
        <v>864.0187351232876</v>
      </c>
      <c r="K25" s="89"/>
      <c r="L25" s="89"/>
    </row>
    <row r="26">
      <c r="A26" s="89"/>
      <c r="B26" s="87" t="s">
        <v>63</v>
      </c>
      <c r="C26" s="92" t="s">
        <v>51</v>
      </c>
      <c r="D26" s="92" t="s">
        <v>51</v>
      </c>
      <c r="E26" s="92" t="s">
        <v>51</v>
      </c>
      <c r="F26" s="92" t="s">
        <v>51</v>
      </c>
      <c r="G26" s="92" t="s">
        <v>51</v>
      </c>
      <c r="H26" s="92">
        <f>IF(C25&lt;=0,"n.m.",H25/C25-1)</f>
        <v>0.05905006418485237</v>
      </c>
      <c r="I26" s="92">
        <f>IF(D25&lt;=0,"n.m.",I25/D25-1)</f>
        <v>0.07740324594257175</v>
      </c>
      <c r="J26" s="91">
        <f>IF(E25&lt;=0,"n.m.",J25/E25-1)</f>
        <v>0.048566426120494555</v>
      </c>
      <c r="K26" s="89"/>
      <c r="L26" s="89"/>
    </row>
    <row r="27">
      <c r="A27" s="89"/>
      <c r="B27" s="87" t="s">
        <v>64</v>
      </c>
      <c r="C27" s="92" t="s">
        <v>51</v>
      </c>
      <c r="D27" s="92">
        <f>IF(C25&lt;=0,"n.m.",D25/C25-1)</f>
        <v>0.028241335044929317</v>
      </c>
      <c r="E27" s="92">
        <f>IF(D25&lt;=0,"n.m.",E25/D25-1)</f>
        <v>0.02871410736579283</v>
      </c>
      <c r="F27" s="92">
        <f>IF(E25&lt;=0,"n.m.",F25/E25-1)</f>
        <v>0.03640776699029136</v>
      </c>
      <c r="G27" s="92" t="s">
        <v>51</v>
      </c>
      <c r="H27" s="92">
        <f>IF(F25&lt;=0,"n.m.",H25/F25-1)</f>
        <v>-0.03395784543325531</v>
      </c>
      <c r="I27" s="92">
        <f>IF(H25&lt;=0,"n.m.",I25/H25-1)</f>
        <v>0.046060606060606135</v>
      </c>
      <c r="J27" s="91">
        <f>IF(I25&lt;=0,"n.m.",J25/I25-1)</f>
        <v>0.001180457848537264</v>
      </c>
      <c r="K27" s="89"/>
      <c r="L27" s="89"/>
    </row>
    <row r="28">
      <c r="A28" s="89"/>
      <c r="B28" s="87" t="s">
        <v>65</v>
      </c>
      <c r="C28" s="92">
        <f>IF(C46=0,"n.m.",C25/C46)</f>
        <v>0.1625626043405676</v>
      </c>
      <c r="D28" s="92">
        <f>IF(D46=0,"n.m.",D25/D46)</f>
        <v>0.15930787589498807</v>
      </c>
      <c r="E28" s="92">
        <f>IF(E46=0,"n.m.",E25/E46)</f>
        <v>0.16217280062979728</v>
      </c>
      <c r="F28" s="92">
        <f>IF(F46=0,"n.m.",F25/F46)</f>
        <v>0.16489669820428654</v>
      </c>
      <c r="G28" s="92">
        <f>IF(G46=0,"n.m.",G25/G46)</f>
        <v>0.16225099601593626</v>
      </c>
      <c r="H28" s="92">
        <f>IF(H46=0,"n.m.",H25/H46)</f>
        <v>0.15252357182473655</v>
      </c>
      <c r="I28" s="92">
        <f>IF(I46=0,"n.m.",I25/I46)</f>
        <v>0.15145665145665146</v>
      </c>
      <c r="J28" s="91">
        <f>IF(J46=0,"n.m.",J25/J46)</f>
        <v>0.1549349803270822</v>
      </c>
      <c r="K28" s="89"/>
      <c r="L28" s="89"/>
    </row>
    <row r="29">
      <c r="A29" s="89"/>
      <c r="B29" s="87" t="s">
        <v>66</v>
      </c>
      <c r="C29" s="92" t="s">
        <v>67</v>
      </c>
      <c r="D29" s="92" t="s">
        <v>67</v>
      </c>
      <c r="E29" s="92" t="s">
        <v>67</v>
      </c>
      <c r="F29" s="92" t="s">
        <v>67</v>
      </c>
      <c r="G29" s="92" t="s">
        <v>67</v>
      </c>
      <c r="H29" s="92" t="s">
        <v>67</v>
      </c>
      <c r="I29" s="92" t="s">
        <v>67</v>
      </c>
      <c r="J29" s="91" t="s">
        <v>67</v>
      </c>
      <c r="K29" s="89"/>
      <c r="L29" s="94" t="s">
        <v>68</v>
      </c>
    </row>
    <row r="30">
      <c r="A30" s="89"/>
      <c r="B30" s="87" t="s">
        <v>69</v>
      </c>
      <c r="C30" s="92" t="s">
        <v>67</v>
      </c>
      <c r="D30" s="92" t="s">
        <v>67</v>
      </c>
      <c r="E30" s="92" t="s">
        <v>67</v>
      </c>
      <c r="F30" s="92" t="s">
        <v>67</v>
      </c>
      <c r="G30" s="92" t="s">
        <v>67</v>
      </c>
      <c r="H30" s="92" t="s">
        <v>67</v>
      </c>
      <c r="I30" s="92" t="s">
        <v>67</v>
      </c>
      <c r="J30" s="91" t="s">
        <v>67</v>
      </c>
      <c r="K30" s="89"/>
      <c r="L30" s="94" t="s">
        <v>70</v>
      </c>
    </row>
    <row r="31">
      <c r="A31" s="89"/>
      <c r="B31" s="87" t="s">
        <v>71</v>
      </c>
      <c r="C31" s="92" t="s">
        <v>67</v>
      </c>
      <c r="D31" s="92" t="s">
        <v>67</v>
      </c>
      <c r="E31" s="92" t="s">
        <v>67</v>
      </c>
      <c r="F31" s="92" t="s">
        <v>67</v>
      </c>
      <c r="G31" s="92" t="s">
        <v>67</v>
      </c>
      <c r="H31" s="92" t="s">
        <v>67</v>
      </c>
      <c r="I31" s="92" t="s">
        <v>67</v>
      </c>
      <c r="J31" s="91" t="s">
        <v>67</v>
      </c>
      <c r="K31" s="89"/>
      <c r="L31" s="94" t="s">
        <v>72</v>
      </c>
    </row>
    <row r="32">
      <c r="A32" s="89"/>
      <c r="B32" s="88" t="s">
        <v>75</v>
      </c>
      <c r="C32" s="101">
        <f>'Segment - Other'!C30</f>
        <v>25</v>
      </c>
      <c r="D32" s="101">
        <f>'Segment - Other'!D30</f>
        <v>-1</v>
      </c>
      <c r="E32" s="101">
        <f>'Segment - Other'!E30</f>
        <v>19</v>
      </c>
      <c r="F32" s="101">
        <f>'Segment - Other'!F30</f>
        <v>15</v>
      </c>
      <c r="G32" s="101">
        <f>'Segment - Other'!G30</f>
        <v>58</v>
      </c>
      <c r="H32" s="101">
        <f>'Segment - Other'!H30</f>
        <v>16</v>
      </c>
      <c r="I32" s="101">
        <f>'Segment - Other'!I30</f>
        <v>6</v>
      </c>
      <c r="J32" s="117">
        <f>'Segment - Other'!J30</f>
        <v>20.275272705128984</v>
      </c>
      <c r="K32" s="89"/>
      <c r="L32" s="89"/>
    </row>
    <row r="33">
      <c r="A33" s="89"/>
      <c r="B33" s="87" t="s">
        <v>63</v>
      </c>
      <c r="C33" s="92" t="s">
        <v>51</v>
      </c>
      <c r="D33" s="92" t="s">
        <v>51</v>
      </c>
      <c r="E33" s="92" t="s">
        <v>51</v>
      </c>
      <c r="F33" s="92" t="s">
        <v>51</v>
      </c>
      <c r="G33" s="92" t="s">
        <v>51</v>
      </c>
      <c r="H33" s="92">
        <f>IF(C32&lt;=0,"n.m.",H32/C32-1)</f>
        <v>-0.36</v>
      </c>
      <c r="I33" s="92" t="str">
        <f>IF(D32&lt;=0,"n.m.",I32/D32-1)</f>
        <v>n.m.</v>
      </c>
      <c r="J33" s="91">
        <f>IF(E32&lt;=0,"n.m.",J32/E32-1)</f>
        <v>0.0671196160594203</v>
      </c>
      <c r="K33" s="89"/>
      <c r="L33" s="89"/>
    </row>
    <row r="34">
      <c r="A34" s="89"/>
      <c r="B34" s="87" t="s">
        <v>64</v>
      </c>
      <c r="C34" s="92" t="s">
        <v>51</v>
      </c>
      <c r="D34" s="92" t="str">
        <f>IF(OR(C32&lt;=0,D32&lt;0),"n.m.",D32/C32-1)</f>
        <v>n.m.</v>
      </c>
      <c r="E34" s="92" t="str">
        <f>IF(OR(D32&lt;=0,E32&lt;0),"n.m.",E32/D32-1)</f>
        <v>n.m.</v>
      </c>
      <c r="F34" s="92">
        <f>IF(OR(E32&lt;=0,F32&lt;0),"n.m.",F32/E32-1)</f>
        <v>-0.21052631578947367</v>
      </c>
      <c r="G34" s="92" t="s">
        <v>51</v>
      </c>
      <c r="H34" s="92">
        <f>IF(OR(F32&lt;=0,H32&lt;0),"n.m.",H32/F32-1)</f>
        <v>0.06666666666666665</v>
      </c>
      <c r="I34" s="92">
        <f>IF(OR(H32&lt;=0,I32&lt;0),"n.m.",I32/H32-1)</f>
        <v>-0.625</v>
      </c>
      <c r="J34" s="91">
        <f>IF(OR(I32&lt;=0,J32&lt;0),"n.m.",J32/I32-1)</f>
        <v>2.3792121175214973</v>
      </c>
      <c r="K34" s="89"/>
      <c r="L34" s="198" t="s">
        <v>76</v>
      </c>
    </row>
    <row r="35">
      <c r="A35" s="89"/>
      <c r="B35" s="87" t="s">
        <v>65</v>
      </c>
      <c r="C35" s="92">
        <f>IF(C46=0,"n.m.",C32/C46)</f>
        <v>0.005217028380634391</v>
      </c>
      <c r="D35" s="92">
        <f>IF(D46=0,"n.m.",D32/D46)</f>
        <v>-0.0001988862370723946</v>
      </c>
      <c r="E35" s="92">
        <f>IF(E46=0,"n.m.",E32/E46)</f>
        <v>0.0037394213737453256</v>
      </c>
      <c r="F35" s="92">
        <f>IF(F46=0,"n.m.",F32/F46)</f>
        <v>0.0028963120293492954</v>
      </c>
      <c r="G35" s="92">
        <f>IF(G46=0,"n.m.",G32/G46)</f>
        <v>0.002888446215139442</v>
      </c>
      <c r="H35" s="92">
        <f>IF(H46=0,"n.m.",H32/H46)</f>
        <v>0.002958032908116103</v>
      </c>
      <c r="I35" s="92">
        <f>IF(I46=0,"n.m.",I32/I46)</f>
        <v>0.001053001053001053</v>
      </c>
      <c r="J35" s="91">
        <f>IF(J46=0,"n.m.",J32/J46)</f>
        <v>0.003635741737992688</v>
      </c>
      <c r="K35" s="89"/>
      <c r="L35" s="89"/>
    </row>
    <row r="36">
      <c r="A36" s="89"/>
      <c r="B36" s="87" t="s">
        <v>66</v>
      </c>
      <c r="C36" s="92" t="s">
        <v>67</v>
      </c>
      <c r="D36" s="92" t="s">
        <v>67</v>
      </c>
      <c r="E36" s="92" t="s">
        <v>67</v>
      </c>
      <c r="F36" s="92" t="s">
        <v>67</v>
      </c>
      <c r="G36" s="92" t="s">
        <v>67</v>
      </c>
      <c r="H36" s="92" t="s">
        <v>67</v>
      </c>
      <c r="I36" s="92" t="s">
        <v>67</v>
      </c>
      <c r="J36" s="91" t="s">
        <v>67</v>
      </c>
      <c r="K36" s="89"/>
      <c r="L36" s="94" t="s">
        <v>68</v>
      </c>
    </row>
    <row r="37">
      <c r="A37" s="89"/>
      <c r="B37" s="87" t="s">
        <v>69</v>
      </c>
      <c r="C37" s="92" t="s">
        <v>67</v>
      </c>
      <c r="D37" s="92" t="s">
        <v>67</v>
      </c>
      <c r="E37" s="92" t="s">
        <v>67</v>
      </c>
      <c r="F37" s="92" t="s">
        <v>67</v>
      </c>
      <c r="G37" s="92" t="s">
        <v>67</v>
      </c>
      <c r="H37" s="92" t="s">
        <v>67</v>
      </c>
      <c r="I37" s="92" t="s">
        <v>67</v>
      </c>
      <c r="J37" s="91" t="s">
        <v>67</v>
      </c>
      <c r="K37" s="89"/>
      <c r="L37" s="94" t="s">
        <v>70</v>
      </c>
    </row>
    <row r="38">
      <c r="A38" s="89"/>
      <c r="B38" s="87" t="s">
        <v>71</v>
      </c>
      <c r="C38" s="92" t="s">
        <v>67</v>
      </c>
      <c r="D38" s="92" t="s">
        <v>67</v>
      </c>
      <c r="E38" s="92" t="s">
        <v>67</v>
      </c>
      <c r="F38" s="92" t="s">
        <v>67</v>
      </c>
      <c r="G38" s="92" t="s">
        <v>67</v>
      </c>
      <c r="H38" s="92" t="s">
        <v>67</v>
      </c>
      <c r="I38" s="92" t="s">
        <v>67</v>
      </c>
      <c r="J38" s="91" t="s">
        <v>67</v>
      </c>
      <c r="K38" s="89"/>
      <c r="L38" s="94" t="s">
        <v>72</v>
      </c>
    </row>
    <row r="39" ht="23.24853515625">
      <c r="A39" s="89"/>
      <c r="B39" s="187" t="s">
        <v>77</v>
      </c>
      <c r="C39" s="101">
        <f>-'Income Statement'!C234</f>
        <v>2</v>
      </c>
      <c r="D39" s="101">
        <f>-'Income Statement'!D234</f>
        <v>12</v>
      </c>
      <c r="E39" s="101">
        <f>-'Income Statement'!E234</f>
        <v>12</v>
      </c>
      <c r="F39" s="101">
        <f>-'Income Statement'!F234</f>
        <v>8</v>
      </c>
      <c r="G39" s="95">
        <f>SUM(C39:F39)</f>
        <v>34</v>
      </c>
      <c r="H39" s="101">
        <f>-'Income Statement'!H234</f>
        <v>-2</v>
      </c>
      <c r="I39" s="101">
        <f>-'Income Statement'!I234</f>
        <v>31</v>
      </c>
      <c r="J39" s="136">
        <v>10</v>
      </c>
      <c r="K39" s="89"/>
      <c r="L39" s="94" t="s">
        <v>78</v>
      </c>
    </row>
    <row r="40">
      <c r="A40" s="89"/>
      <c r="B40" s="87" t="s">
        <v>63</v>
      </c>
      <c r="C40" s="92" t="s">
        <v>51</v>
      </c>
      <c r="D40" s="92" t="s">
        <v>51</v>
      </c>
      <c r="E40" s="92" t="s">
        <v>51</v>
      </c>
      <c r="F40" s="92" t="s">
        <v>51</v>
      </c>
      <c r="G40" s="92" t="s">
        <v>51</v>
      </c>
      <c r="H40" s="92" t="str">
        <f>IF(OR(C39&lt;=0,H39&lt;0),"n.m.",H39/C39-1)</f>
        <v>n.m.</v>
      </c>
      <c r="I40" s="92">
        <f>IF(OR(D39&lt;=0,I39&lt;0),"n.m.",I39/D39-1)</f>
        <v>1.5833333333333335</v>
      </c>
      <c r="J40" s="91">
        <f>IF(OR(E39&lt;=0,J39&lt;0),"n.m.",J39/E39-1)</f>
        <v>-0.16666666666666663</v>
      </c>
      <c r="K40" s="89"/>
      <c r="L40" s="198" t="s">
        <v>79</v>
      </c>
    </row>
    <row r="41">
      <c r="A41" s="89"/>
      <c r="B41" s="87" t="s">
        <v>64</v>
      </c>
      <c r="C41" s="92" t="s">
        <v>51</v>
      </c>
      <c r="D41" s="92">
        <f>IF(OR(C39&lt;=0,D39&lt;0),"n.m.",D39/C39-1)</f>
        <v>5</v>
      </c>
      <c r="E41" s="92">
        <f>IF(OR(D39&lt;=0,E39&lt;0),"n.m.",E39/D39-1)</f>
        <v>0</v>
      </c>
      <c r="F41" s="92">
        <f>IF(OR(E39&lt;=0,F39&lt;0),"n.m.",F39/E39-1)</f>
        <v>-0.33333333333333337</v>
      </c>
      <c r="G41" s="92" t="s">
        <v>51</v>
      </c>
      <c r="H41" s="92" t="str">
        <f>IF(OR(F39&lt;=0,H39&lt;0),"n.m.",H39/F39-1)</f>
        <v>n.m.</v>
      </c>
      <c r="I41" s="92" t="str">
        <f>IF(OR(H39&lt;=0,I39&lt;0),"n.m.",I39/H39-1)</f>
        <v>n.m.</v>
      </c>
      <c r="J41" s="91">
        <f>IF(OR(I39&lt;=0,J39&lt;0),"n.m.",J39/I39-1)</f>
        <v>-0.6774193548387097</v>
      </c>
      <c r="K41" s="89"/>
      <c r="L41" s="89"/>
    </row>
    <row r="42">
      <c r="A42" s="89"/>
      <c r="B42" s="87" t="s">
        <v>65</v>
      </c>
      <c r="C42" s="92">
        <f>IF(C46=0,"n.m.",C39/C46)</f>
        <v>0.00041736227045075126</v>
      </c>
      <c r="D42" s="92">
        <f>IF(D46=0,"n.m.",D39/D46)</f>
        <v>0.002386634844868735</v>
      </c>
      <c r="E42" s="92">
        <f>IF(E46=0,"n.m.",E39/E46)</f>
        <v>0.002361739814997048</v>
      </c>
      <c r="F42" s="92">
        <f>IF(F46=0,"n.m.",F39/F46)</f>
        <v>0.0015446997489862908</v>
      </c>
      <c r="G42" s="92">
        <f>IF(G46=0,"n.m.",G39/G46)</f>
        <v>0.001693227091633466</v>
      </c>
      <c r="H42" s="92">
        <f>IF(H46=0,"n.m.",H39/H46)</f>
        <v>-0.00036975411351451286</v>
      </c>
      <c r="I42" s="92">
        <f>IF(I46=0,"n.m.",I39/I46)</f>
        <v>0.00544050544050544</v>
      </c>
      <c r="J42" s="91">
        <f>IF(J46=0,"n.m.",J39/J46)</f>
        <v>0.001793190055132015</v>
      </c>
      <c r="K42" s="89"/>
      <c r="L42" s="89"/>
    </row>
    <row r="43">
      <c r="A43" s="89"/>
      <c r="B43" s="87" t="s">
        <v>66</v>
      </c>
      <c r="C43" s="92" t="s">
        <v>67</v>
      </c>
      <c r="D43" s="92" t="s">
        <v>67</v>
      </c>
      <c r="E43" s="92" t="s">
        <v>67</v>
      </c>
      <c r="F43" s="92" t="s">
        <v>67</v>
      </c>
      <c r="G43" s="92" t="s">
        <v>67</v>
      </c>
      <c r="H43" s="92" t="s">
        <v>67</v>
      </c>
      <c r="I43" s="92" t="s">
        <v>67</v>
      </c>
      <c r="J43" s="91" t="s">
        <v>67</v>
      </c>
      <c r="K43" s="89"/>
      <c r="L43" s="94" t="s">
        <v>68</v>
      </c>
    </row>
    <row r="44">
      <c r="A44" s="89"/>
      <c r="B44" s="87" t="s">
        <v>69</v>
      </c>
      <c r="C44" s="92" t="s">
        <v>67</v>
      </c>
      <c r="D44" s="92" t="s">
        <v>67</v>
      </c>
      <c r="E44" s="92" t="s">
        <v>67</v>
      </c>
      <c r="F44" s="92" t="s">
        <v>67</v>
      </c>
      <c r="G44" s="92" t="s">
        <v>67</v>
      </c>
      <c r="H44" s="92" t="s">
        <v>67</v>
      </c>
      <c r="I44" s="92" t="s">
        <v>67</v>
      </c>
      <c r="J44" s="91" t="s">
        <v>67</v>
      </c>
      <c r="K44" s="89"/>
      <c r="L44" s="94" t="s">
        <v>70</v>
      </c>
    </row>
    <row r="45">
      <c r="A45" s="89"/>
      <c r="B45" s="87" t="s">
        <v>71</v>
      </c>
      <c r="C45" s="92" t="s">
        <v>67</v>
      </c>
      <c r="D45" s="92" t="s">
        <v>67</v>
      </c>
      <c r="E45" s="92" t="s">
        <v>67</v>
      </c>
      <c r="F45" s="92" t="s">
        <v>67</v>
      </c>
      <c r="G45" s="92" t="s">
        <v>67</v>
      </c>
      <c r="H45" s="92" t="s">
        <v>67</v>
      </c>
      <c r="I45" s="92" t="s">
        <v>67</v>
      </c>
      <c r="J45" s="91" t="s">
        <v>67</v>
      </c>
      <c r="K45" s="89"/>
      <c r="L45" s="94" t="s">
        <v>72</v>
      </c>
    </row>
    <row r="46">
      <c r="A46" s="89"/>
      <c r="B46" s="104" t="s">
        <v>18</v>
      </c>
      <c r="C46" s="90">
        <f>C11+C18+C25+C32+C39</f>
        <v>4792</v>
      </c>
      <c r="D46" s="90">
        <f>D11+D18+D25+D32+D39</f>
        <v>5028</v>
      </c>
      <c r="E46" s="90">
        <f>E11+E18+E25+E32+E39</f>
        <v>5081</v>
      </c>
      <c r="F46" s="90">
        <f>F11+F18+F25+F32+F39</f>
        <v>5179</v>
      </c>
      <c r="G46" s="90">
        <f>G11+G18+G25+G32+G39</f>
        <v>20080</v>
      </c>
      <c r="H46" s="90">
        <f>H11+H18+H25+H32+H39</f>
        <v>5409</v>
      </c>
      <c r="I46" s="90">
        <f>I11+I18+I25+I32+I39</f>
        <v>5698</v>
      </c>
      <c r="J46" s="135">
        <f>J11+J18+J25+J32+J39</f>
        <v>5576.653724673818</v>
      </c>
      <c r="K46" s="89"/>
      <c r="L46" s="89"/>
    </row>
    <row r="47">
      <c r="A47" s="89"/>
      <c r="B47" s="87" t="s">
        <v>63</v>
      </c>
      <c r="C47" s="92" t="s">
        <v>51</v>
      </c>
      <c r="D47" s="92" t="s">
        <v>51</v>
      </c>
      <c r="E47" s="92" t="s">
        <v>51</v>
      </c>
      <c r="F47" s="92" t="s">
        <v>51</v>
      </c>
      <c r="G47" s="92" t="s">
        <v>51</v>
      </c>
      <c r="H47" s="92">
        <f>IF(C46&lt;=0,"n.m.",H46/C46-1)</f>
        <v>0.12875626043405686</v>
      </c>
      <c r="I47" s="92">
        <f>IF(D46&lt;=0,"n.m.",I46/D46-1)</f>
        <v>0.13325377883850442</v>
      </c>
      <c r="J47" s="91">
        <f>IF(E46&lt;=0,"n.m.",J46/E46-1)</f>
        <v>0.097550428001145</v>
      </c>
      <c r="K47" s="89"/>
      <c r="L47" s="89"/>
    </row>
    <row r="48">
      <c r="A48" s="89"/>
      <c r="B48" s="87" t="s">
        <v>64</v>
      </c>
      <c r="C48" s="92" t="s">
        <v>51</v>
      </c>
      <c r="D48" s="92">
        <f>IF(C46&lt;=0,"n.m.",D46/C46-1)</f>
        <v>0.04924874791318867</v>
      </c>
      <c r="E48" s="92">
        <f>IF(D46&lt;=0,"n.m.",E46/D46-1)</f>
        <v>0.010540970564836938</v>
      </c>
      <c r="F48" s="92">
        <f>IF(E46&lt;=0,"n.m.",F46/E46-1)</f>
        <v>0.01928754182247583</v>
      </c>
      <c r="G48" s="92" t="s">
        <v>51</v>
      </c>
      <c r="H48" s="92">
        <f>IF(F46&lt;=0,"n.m.",H46/F46-1)</f>
        <v>0.044410117783355796</v>
      </c>
      <c r="I48" s="92">
        <f>IF(H46&lt;=0,"n.m.",I46/H46-1)</f>
        <v>0.05342946940284721</v>
      </c>
      <c r="J48" s="91">
        <f>IF(I46&lt;=0,"n.m.",J46/I46-1)</f>
        <v>-0.021296292616037604</v>
      </c>
      <c r="K48" s="89"/>
      <c r="L48" s="89"/>
    </row>
    <row r="49">
      <c r="A49" s="89"/>
      <c r="B49" s="87" t="s">
        <v>66</v>
      </c>
      <c r="C49" s="92" t="s">
        <v>67</v>
      </c>
      <c r="D49" s="92" t="s">
        <v>67</v>
      </c>
      <c r="E49" s="92" t="s">
        <v>67</v>
      </c>
      <c r="F49" s="92" t="s">
        <v>67</v>
      </c>
      <c r="G49" s="92" t="s">
        <v>67</v>
      </c>
      <c r="H49" s="92" t="s">
        <v>67</v>
      </c>
      <c r="I49" s="92" t="s">
        <v>67</v>
      </c>
      <c r="J49" s="91" t="s">
        <v>67</v>
      </c>
      <c r="K49" s="89"/>
      <c r="L49" s="94" t="s">
        <v>68</v>
      </c>
    </row>
    <row r="50">
      <c r="A50" s="89"/>
      <c r="B50" s="87" t="s">
        <v>69</v>
      </c>
      <c r="C50" s="92" t="s">
        <v>67</v>
      </c>
      <c r="D50" s="92" t="s">
        <v>67</v>
      </c>
      <c r="E50" s="92" t="s">
        <v>67</v>
      </c>
      <c r="F50" s="92" t="s">
        <v>67</v>
      </c>
      <c r="G50" s="92" t="s">
        <v>67</v>
      </c>
      <c r="H50" s="92" t="s">
        <v>67</v>
      </c>
      <c r="I50" s="92" t="s">
        <v>67</v>
      </c>
      <c r="J50" s="91" t="s">
        <v>67</v>
      </c>
      <c r="K50" s="89"/>
      <c r="L50" s="94" t="s">
        <v>70</v>
      </c>
    </row>
    <row r="51">
      <c r="A51" s="89"/>
      <c r="B51" s="87" t="s">
        <v>71</v>
      </c>
      <c r="C51" s="92" t="s">
        <v>67</v>
      </c>
      <c r="D51" s="92" t="s">
        <v>67</v>
      </c>
      <c r="E51" s="92" t="s">
        <v>67</v>
      </c>
      <c r="F51" s="92" t="s">
        <v>67</v>
      </c>
      <c r="G51" s="92" t="s">
        <v>67</v>
      </c>
      <c r="H51" s="92" t="s">
        <v>67</v>
      </c>
      <c r="I51" s="92" t="s">
        <v>67</v>
      </c>
      <c r="J51" s="91" t="s">
        <v>67</v>
      </c>
      <c r="K51" s="89"/>
      <c r="L51" s="94" t="s">
        <v>72</v>
      </c>
    </row>
    <row r="52" ht="23.24853515625">
      <c r="A52" s="89"/>
      <c r="B52" s="187" t="s">
        <v>80</v>
      </c>
      <c r="C52" s="150" t="b">
        <f>ABS(C46-'Income Statement'!C163)&lt;0.5</f>
        <v>1</v>
      </c>
      <c r="D52" s="150" t="b">
        <f>ABS(D46-'Income Statement'!D163)&lt;0.5</f>
        <v>1</v>
      </c>
      <c r="E52" s="150" t="b">
        <f>ABS(E46-'Income Statement'!E163)&lt;0.5</f>
        <v>1</v>
      </c>
      <c r="F52" s="150" t="b">
        <f>ABS(F46-'Income Statement'!F163)&lt;0.5</f>
        <v>1</v>
      </c>
      <c r="G52" s="150" t="b">
        <f>ABS(G46-'Income Statement'!G163)&lt;0.5</f>
        <v>1</v>
      </c>
      <c r="H52" s="150" t="b">
        <f>ABS(H46-'Income Statement'!H163)&lt;0.5</f>
        <v>1</v>
      </c>
      <c r="I52" s="150" t="b">
        <f>ABS(I46-'Income Statement'!I163)&lt;0.5</f>
        <v>1</v>
      </c>
      <c r="J52" s="167" t="b">
        <f>ABS(J46-'Income Statement'!J163)&lt;0.5</f>
        <v>1</v>
      </c>
      <c r="K52" s="89"/>
      <c r="L52" s="181" t="s">
        <v>81</v>
      </c>
    </row>
    <row r="53">
      <c r="A53" s="89"/>
      <c r="B53" s="87" t="s">
        <v>82</v>
      </c>
      <c r="C53" s="89"/>
      <c r="D53" s="89"/>
      <c r="E53" s="89"/>
      <c r="F53" s="89"/>
      <c r="G53" s="89"/>
      <c r="H53" s="89"/>
      <c r="I53" s="89"/>
      <c r="J53" s="97"/>
      <c r="K53" s="89"/>
      <c r="L53" s="89"/>
    </row>
    <row r="54">
      <c r="A54" s="89"/>
      <c r="B54" s="89"/>
      <c r="C54" s="89"/>
      <c r="D54" s="89"/>
      <c r="E54" s="89"/>
      <c r="F54" s="89"/>
      <c r="G54" s="89"/>
      <c r="H54" s="89"/>
      <c r="I54" s="89"/>
      <c r="J54" s="97"/>
      <c r="K54" s="89"/>
      <c r="L54" s="89"/>
    </row>
    <row r="55">
      <c r="A55" s="89"/>
      <c r="B55" s="104" t="s">
        <v>83</v>
      </c>
      <c r="C55" s="89"/>
      <c r="D55" s="89"/>
      <c r="E55" s="89"/>
      <c r="F55" s="89"/>
      <c r="G55" s="89"/>
      <c r="H55" s="89"/>
      <c r="I55" s="89"/>
      <c r="J55" s="97"/>
      <c r="K55" s="89"/>
      <c r="L55" s="89"/>
    </row>
    <row r="56">
      <c r="A56" s="89"/>
      <c r="B56" s="88" t="s">
        <v>84</v>
      </c>
      <c r="C56" s="101">
        <f>'Income Statement'!C63</f>
        <v>3403</v>
      </c>
      <c r="D56" s="101">
        <f>'Income Statement'!D63</f>
        <v>3641</v>
      </c>
      <c r="E56" s="101">
        <f>'Income Statement'!E63</f>
        <v>3637</v>
      </c>
      <c r="F56" s="101">
        <f>'Income Statement'!F63</f>
        <v>3698</v>
      </c>
      <c r="G56" s="101">
        <f>'Income Statement'!G63</f>
        <v>14379</v>
      </c>
      <c r="H56" s="101">
        <f>'Income Statement'!H63</f>
        <v>3768</v>
      </c>
      <c r="I56" s="101">
        <f>'Income Statement'!I63</f>
        <v>4036</v>
      </c>
      <c r="J56" s="117">
        <f>'Income Statement'!J63</f>
        <v>4002.890327413543</v>
      </c>
      <c r="K56" s="89"/>
      <c r="L56" s="89"/>
    </row>
    <row r="57">
      <c r="A57" s="89"/>
      <c r="B57" s="87" t="s">
        <v>63</v>
      </c>
      <c r="C57" s="92" t="s">
        <v>51</v>
      </c>
      <c r="D57" s="92" t="s">
        <v>51</v>
      </c>
      <c r="E57" s="92" t="s">
        <v>51</v>
      </c>
      <c r="F57" s="92" t="s">
        <v>51</v>
      </c>
      <c r="G57" s="92" t="s">
        <v>51</v>
      </c>
      <c r="H57" s="92">
        <f>IF(C56&lt;=0,"n.m.",H56/C56-1)</f>
        <v>0.10725830149867766</v>
      </c>
      <c r="I57" s="92">
        <f>IF(D56&lt;=0,"n.m.",I56/D56-1)</f>
        <v>0.10848667948365831</v>
      </c>
      <c r="J57" s="91">
        <f>IF(E56&lt;=0,"n.m.",J56/E56-1)</f>
        <v>0.10060223464766094</v>
      </c>
      <c r="K57" s="89"/>
      <c r="L57" s="89"/>
    </row>
    <row r="58">
      <c r="A58" s="89"/>
      <c r="B58" s="87" t="s">
        <v>64</v>
      </c>
      <c r="C58" s="92" t="s">
        <v>51</v>
      </c>
      <c r="D58" s="92">
        <f>IF(C56&lt;=0,"n.m.",D56/C56-1)</f>
        <v>0.06993828974434324</v>
      </c>
      <c r="E58" s="92">
        <f>IF(D56&lt;=0,"n.m.",E56/D56-1)</f>
        <v>-0.0010985992859104954</v>
      </c>
      <c r="F58" s="92">
        <f>IF(E56&lt;=0,"n.m.",F56/E56-1)</f>
        <v>0.016772064888644467</v>
      </c>
      <c r="G58" s="92" t="s">
        <v>51</v>
      </c>
      <c r="H58" s="92">
        <f>IF(F56&lt;=0,"n.m.",H56/F56-1)</f>
        <v>0.018929150892374347</v>
      </c>
      <c r="I58" s="92">
        <f>IF(H56&lt;=0,"n.m.",I56/H56-1)</f>
        <v>0.07112526539278141</v>
      </c>
      <c r="J58" s="91">
        <f>IF(I56&lt;=0,"n.m.",J56/I56-1)</f>
        <v>-0.008203585873750474</v>
      </c>
      <c r="K58" s="89"/>
      <c r="L58" s="89"/>
    </row>
    <row r="59">
      <c r="A59" s="89"/>
      <c r="B59" s="87" t="s">
        <v>65</v>
      </c>
      <c r="C59" s="92">
        <f>IF(C46=0,"n.m.",C56/C46)</f>
        <v>0.7101419031719532</v>
      </c>
      <c r="D59" s="92">
        <f>IF(D46=0,"n.m.",D56/D46)</f>
        <v>0.7241447891805887</v>
      </c>
      <c r="E59" s="92">
        <f>IF(E46=0,"n.m.",E56/E46)</f>
        <v>0.7158039755953552</v>
      </c>
      <c r="F59" s="92">
        <f>IF(F46=0,"n.m.",F56/F46)</f>
        <v>0.7140374589689129</v>
      </c>
      <c r="G59" s="92">
        <f>IF(G46=0,"n.m.",G56/G46)</f>
        <v>0.7160856573705179</v>
      </c>
      <c r="H59" s="92">
        <f>IF(H46=0,"n.m.",H56/H46)</f>
        <v>0.6966167498613423</v>
      </c>
      <c r="I59" s="92">
        <f>IF(I46=0,"n.m.",I56/I46)</f>
        <v>0.7083187083187084</v>
      </c>
      <c r="J59" s="91">
        <f>IF(J46=0,"n.m.",J56/J46)</f>
        <v>0.7177943126902101</v>
      </c>
      <c r="K59" s="89"/>
      <c r="L59" s="89"/>
    </row>
    <row r="60">
      <c r="A60" s="89"/>
      <c r="B60" s="87" t="s">
        <v>66</v>
      </c>
      <c r="C60" s="92" t="s">
        <v>67</v>
      </c>
      <c r="D60" s="92" t="s">
        <v>67</v>
      </c>
      <c r="E60" s="92" t="s">
        <v>67</v>
      </c>
      <c r="F60" s="92" t="s">
        <v>67</v>
      </c>
      <c r="G60" s="92" t="s">
        <v>67</v>
      </c>
      <c r="H60" s="92" t="s">
        <v>67</v>
      </c>
      <c r="I60" s="92" t="s">
        <v>67</v>
      </c>
      <c r="J60" s="91" t="s">
        <v>67</v>
      </c>
      <c r="K60" s="89"/>
      <c r="L60" s="94" t="s">
        <v>68</v>
      </c>
    </row>
    <row r="61">
      <c r="A61" s="89"/>
      <c r="B61" s="87" t="s">
        <v>69</v>
      </c>
      <c r="C61" s="92" t="s">
        <v>67</v>
      </c>
      <c r="D61" s="92" t="s">
        <v>67</v>
      </c>
      <c r="E61" s="92" t="s">
        <v>67</v>
      </c>
      <c r="F61" s="92" t="s">
        <v>67</v>
      </c>
      <c r="G61" s="92" t="s">
        <v>67</v>
      </c>
      <c r="H61" s="92" t="s">
        <v>67</v>
      </c>
      <c r="I61" s="92" t="s">
        <v>67</v>
      </c>
      <c r="J61" s="91" t="s">
        <v>67</v>
      </c>
      <c r="K61" s="89"/>
      <c r="L61" s="94" t="s">
        <v>70</v>
      </c>
    </row>
    <row r="62">
      <c r="A62" s="89"/>
      <c r="B62" s="87" t="s">
        <v>71</v>
      </c>
      <c r="C62" s="92" t="s">
        <v>67</v>
      </c>
      <c r="D62" s="92" t="s">
        <v>67</v>
      </c>
      <c r="E62" s="92" t="s">
        <v>67</v>
      </c>
      <c r="F62" s="92" t="s">
        <v>67</v>
      </c>
      <c r="G62" s="92" t="s">
        <v>67</v>
      </c>
      <c r="H62" s="92" t="s">
        <v>67</v>
      </c>
      <c r="I62" s="92" t="s">
        <v>67</v>
      </c>
      <c r="J62" s="91" t="s">
        <v>67</v>
      </c>
      <c r="K62" s="89"/>
      <c r="L62" s="94" t="s">
        <v>72</v>
      </c>
    </row>
    <row r="63">
      <c r="A63" s="89"/>
      <c r="B63" s="88" t="s">
        <v>85</v>
      </c>
      <c r="C63" s="101">
        <f>'Income Statement'!C142</f>
        <v>230</v>
      </c>
      <c r="D63" s="101">
        <f>'Income Statement'!D142</f>
        <v>184</v>
      </c>
      <c r="E63" s="101">
        <f>'Income Statement'!E142</f>
        <v>208</v>
      </c>
      <c r="F63" s="101">
        <f>'Income Statement'!F142</f>
        <v>135</v>
      </c>
      <c r="G63" s="101">
        <f>'Income Statement'!G142</f>
        <v>757</v>
      </c>
      <c r="H63" s="101">
        <f>'Income Statement'!H142</f>
        <v>271</v>
      </c>
      <c r="I63" s="101">
        <f>'Income Statement'!I142</f>
        <v>216</v>
      </c>
      <c r="J63" s="117">
        <f>'Income Statement'!J142</f>
        <v>182</v>
      </c>
      <c r="K63" s="89"/>
      <c r="L63" s="89"/>
    </row>
    <row r="64">
      <c r="A64" s="89"/>
      <c r="B64" s="87" t="s">
        <v>63</v>
      </c>
      <c r="C64" s="92" t="s">
        <v>51</v>
      </c>
      <c r="D64" s="92" t="s">
        <v>51</v>
      </c>
      <c r="E64" s="92" t="s">
        <v>51</v>
      </c>
      <c r="F64" s="92" t="s">
        <v>51</v>
      </c>
      <c r="G64" s="92" t="s">
        <v>51</v>
      </c>
      <c r="H64" s="92">
        <f>IF(C63&lt;=0,"n.m.",H63/C63-1)</f>
        <v>0.17826086956521747</v>
      </c>
      <c r="I64" s="92">
        <f>IF(D63&lt;=0,"n.m.",I63/D63-1)</f>
        <v>0.17391304347826098</v>
      </c>
      <c r="J64" s="91">
        <f>IF(E63&lt;=0,"n.m.",J63/E63-1)</f>
        <v>-0.125</v>
      </c>
      <c r="K64" s="89"/>
      <c r="L64" s="89"/>
    </row>
    <row r="65">
      <c r="A65" s="89"/>
      <c r="B65" s="87" t="s">
        <v>64</v>
      </c>
      <c r="C65" s="92" t="s">
        <v>51</v>
      </c>
      <c r="D65" s="92">
        <f>IF(C63&lt;=0,"n.m.",D63/C63-1)</f>
        <v>-0.19999999999999996</v>
      </c>
      <c r="E65" s="92">
        <f>IF(D63&lt;=0,"n.m.",E63/D63-1)</f>
        <v>0.13043478260869557</v>
      </c>
      <c r="F65" s="92">
        <f>IF(E63&lt;=0,"n.m.",F63/E63-1)</f>
        <v>-0.35096153846153844</v>
      </c>
      <c r="G65" s="92" t="s">
        <v>51</v>
      </c>
      <c r="H65" s="92">
        <f>IF(F63&lt;=0,"n.m.",H63/F63-1)</f>
        <v>1.0074074074074075</v>
      </c>
      <c r="I65" s="92">
        <f>IF(H63&lt;=0,"n.m.",I63/H63-1)</f>
        <v>-0.20295202952029523</v>
      </c>
      <c r="J65" s="91">
        <f>IF(I63&lt;=0,"n.m.",J63/I63-1)</f>
        <v>-0.15740740740740744</v>
      </c>
      <c r="K65" s="89"/>
      <c r="L65" s="89"/>
    </row>
    <row r="66">
      <c r="A66" s="89"/>
      <c r="B66" s="87" t="s">
        <v>65</v>
      </c>
      <c r="C66" s="92">
        <f>IF(C46=0,"n.m.",C63/C46)</f>
        <v>0.047996661101836396</v>
      </c>
      <c r="D66" s="92">
        <f>IF(D46=0,"n.m.",D63/D46)</f>
        <v>0.03659506762132061</v>
      </c>
      <c r="E66" s="92">
        <f>IF(E46=0,"n.m.",E63/E46)</f>
        <v>0.040936823459948826</v>
      </c>
      <c r="F66" s="92">
        <f>IF(F46=0,"n.m.",F63/F46)</f>
        <v>0.02606680826414366</v>
      </c>
      <c r="G66" s="92">
        <f>IF(G46=0,"n.m.",G63/G46)</f>
        <v>0.03769920318725099</v>
      </c>
      <c r="H66" s="92">
        <f>IF(H46=0,"n.m.",H63/H46)</f>
        <v>0.05010168238121649</v>
      </c>
      <c r="I66" s="92">
        <f>IF(I46=0,"n.m.",I63/I46)</f>
        <v>0.03790803790803791</v>
      </c>
      <c r="J66" s="91">
        <f>IF(J46=0,"n.m.",J63/J46)</f>
        <v>0.03263605900340267</v>
      </c>
      <c r="K66" s="89"/>
      <c r="L66" s="89"/>
    </row>
    <row r="67">
      <c r="A67" s="89"/>
      <c r="B67" s="87" t="s">
        <v>66</v>
      </c>
      <c r="C67" s="92" t="s">
        <v>67</v>
      </c>
      <c r="D67" s="92" t="s">
        <v>67</v>
      </c>
      <c r="E67" s="92" t="s">
        <v>67</v>
      </c>
      <c r="F67" s="92" t="s">
        <v>67</v>
      </c>
      <c r="G67" s="92" t="s">
        <v>67</v>
      </c>
      <c r="H67" s="92" t="s">
        <v>67</v>
      </c>
      <c r="I67" s="92" t="s">
        <v>67</v>
      </c>
      <c r="J67" s="91" t="s">
        <v>67</v>
      </c>
      <c r="K67" s="89"/>
      <c r="L67" s="94" t="s">
        <v>68</v>
      </c>
    </row>
    <row r="68">
      <c r="A68" s="89"/>
      <c r="B68" s="87" t="s">
        <v>69</v>
      </c>
      <c r="C68" s="92" t="s">
        <v>67</v>
      </c>
      <c r="D68" s="92" t="s">
        <v>67</v>
      </c>
      <c r="E68" s="92" t="s">
        <v>67</v>
      </c>
      <c r="F68" s="92" t="s">
        <v>67</v>
      </c>
      <c r="G68" s="92" t="s">
        <v>67</v>
      </c>
      <c r="H68" s="92" t="s">
        <v>67</v>
      </c>
      <c r="I68" s="92" t="s">
        <v>67</v>
      </c>
      <c r="J68" s="91" t="s">
        <v>67</v>
      </c>
      <c r="K68" s="89"/>
      <c r="L68" s="94" t="s">
        <v>70</v>
      </c>
    </row>
    <row r="69">
      <c r="A69" s="89"/>
      <c r="B69" s="87" t="s">
        <v>71</v>
      </c>
      <c r="C69" s="92" t="s">
        <v>67</v>
      </c>
      <c r="D69" s="92" t="s">
        <v>67</v>
      </c>
      <c r="E69" s="92" t="s">
        <v>67</v>
      </c>
      <c r="F69" s="92" t="s">
        <v>67</v>
      </c>
      <c r="G69" s="92" t="s">
        <v>67</v>
      </c>
      <c r="H69" s="92" t="s">
        <v>67</v>
      </c>
      <c r="I69" s="92" t="s">
        <v>67</v>
      </c>
      <c r="J69" s="91" t="s">
        <v>67</v>
      </c>
      <c r="K69" s="89"/>
      <c r="L69" s="94" t="s">
        <v>72</v>
      </c>
    </row>
    <row r="70">
      <c r="A70" s="89"/>
      <c r="B70" s="88" t="s">
        <v>86</v>
      </c>
      <c r="C70" s="101">
        <f>'Income Statement'!C156</f>
        <v>1159</v>
      </c>
      <c r="D70" s="101">
        <f>'Income Statement'!D156</f>
        <v>1203</v>
      </c>
      <c r="E70" s="101">
        <f>'Income Statement'!E156</f>
        <v>1236</v>
      </c>
      <c r="F70" s="101">
        <f>'Income Statement'!F156</f>
        <v>1346</v>
      </c>
      <c r="G70" s="101">
        <f>'Income Statement'!G156</f>
        <v>4944</v>
      </c>
      <c r="H70" s="101">
        <f>'Income Statement'!H156</f>
        <v>1370</v>
      </c>
      <c r="I70" s="101">
        <f>'Income Statement'!I156</f>
        <v>1446</v>
      </c>
      <c r="J70" s="117">
        <f>'Income Statement'!J156</f>
        <v>1391.763397260274</v>
      </c>
      <c r="K70" s="89"/>
      <c r="L70" s="89"/>
    </row>
    <row r="71">
      <c r="A71" s="89"/>
      <c r="B71" s="87" t="s">
        <v>63</v>
      </c>
      <c r="C71" s="92" t="s">
        <v>51</v>
      </c>
      <c r="D71" s="92" t="s">
        <v>51</v>
      </c>
      <c r="E71" s="92" t="s">
        <v>51</v>
      </c>
      <c r="F71" s="92" t="s">
        <v>51</v>
      </c>
      <c r="G71" s="92" t="s">
        <v>51</v>
      </c>
      <c r="H71" s="92">
        <f>IF(C70&lt;=0,"n.m.",H70/C70-1)</f>
        <v>0.18205349439171692</v>
      </c>
      <c r="I71" s="92">
        <f>IF(D70&lt;=0,"n.m.",I70/D70-1)</f>
        <v>0.2019950124688279</v>
      </c>
      <c r="J71" s="91">
        <f>IF(E70&lt;=0,"n.m.",J70/E70-1)</f>
        <v>0.12602216606818284</v>
      </c>
      <c r="K71" s="89"/>
      <c r="L71" s="89"/>
    </row>
    <row r="72">
      <c r="A72" s="89"/>
      <c r="B72" s="87" t="s">
        <v>64</v>
      </c>
      <c r="C72" s="92" t="s">
        <v>51</v>
      </c>
      <c r="D72" s="92">
        <f>IF(C70&lt;=0,"n.m.",D70/C70-1)</f>
        <v>0.03796376186367567</v>
      </c>
      <c r="E72" s="92">
        <f>IF(D70&lt;=0,"n.m.",E70/D70-1)</f>
        <v>0.027431421446383997</v>
      </c>
      <c r="F72" s="92">
        <f>IF(E70&lt;=0,"n.m.",F70/E70-1)</f>
        <v>0.08899676375404542</v>
      </c>
      <c r="G72" s="92" t="s">
        <v>51</v>
      </c>
      <c r="H72" s="92">
        <f>IF(F70&lt;=0,"n.m.",H70/F70-1)</f>
        <v>0.017830609212481363</v>
      </c>
      <c r="I72" s="92">
        <f>IF(H70&lt;=0,"n.m.",I70/H70-1)</f>
        <v>0.05547445255474459</v>
      </c>
      <c r="J72" s="91">
        <f>IF(I70&lt;=0,"n.m.",J70/I70-1)</f>
        <v>-0.037508024024706876</v>
      </c>
      <c r="K72" s="89"/>
      <c r="L72" s="89"/>
    </row>
    <row r="73">
      <c r="A73" s="89"/>
      <c r="B73" s="87" t="s">
        <v>65</v>
      </c>
      <c r="C73" s="92">
        <f>IF(C46=0,"n.m.",C70/C46)</f>
        <v>0.24186143572621036</v>
      </c>
      <c r="D73" s="92">
        <f>IF(D46=0,"n.m.",D70/D46)</f>
        <v>0.2392601431980907</v>
      </c>
      <c r="E73" s="92">
        <f>IF(E46=0,"n.m.",E70/E46)</f>
        <v>0.2432592009446959</v>
      </c>
      <c r="F73" s="92">
        <f>IF(F46=0,"n.m.",F70/F46)</f>
        <v>0.25989573276694344</v>
      </c>
      <c r="G73" s="92">
        <f>IF(G46=0,"n.m.",G70/G46)</f>
        <v>0.24621513944223108</v>
      </c>
      <c r="H73" s="92">
        <f>IF(H46=0,"n.m.",H70/H46)</f>
        <v>0.2532815677574413</v>
      </c>
      <c r="I73" s="92">
        <f>IF(I46=0,"n.m.",I70/I46)</f>
        <v>0.25377325377325377</v>
      </c>
      <c r="J73" s="91">
        <f>IF(J46=0,"n.m.",J70/J46)</f>
        <v>0.2495696283063871</v>
      </c>
      <c r="K73" s="89"/>
      <c r="L73" s="89"/>
    </row>
    <row r="74">
      <c r="A74" s="89"/>
      <c r="B74" s="87" t="s">
        <v>66</v>
      </c>
      <c r="C74" s="92" t="s">
        <v>67</v>
      </c>
      <c r="D74" s="92" t="s">
        <v>67</v>
      </c>
      <c r="E74" s="92" t="s">
        <v>67</v>
      </c>
      <c r="F74" s="92" t="s">
        <v>67</v>
      </c>
      <c r="G74" s="92" t="s">
        <v>67</v>
      </c>
      <c r="H74" s="92" t="s">
        <v>67</v>
      </c>
      <c r="I74" s="92" t="s">
        <v>67</v>
      </c>
      <c r="J74" s="91" t="s">
        <v>67</v>
      </c>
      <c r="K74" s="89"/>
      <c r="L74" s="94" t="s">
        <v>68</v>
      </c>
    </row>
    <row r="75">
      <c r="A75" s="89"/>
      <c r="B75" s="87" t="s">
        <v>69</v>
      </c>
      <c r="C75" s="92" t="s">
        <v>67</v>
      </c>
      <c r="D75" s="92" t="s">
        <v>67</v>
      </c>
      <c r="E75" s="92" t="s">
        <v>67</v>
      </c>
      <c r="F75" s="92" t="s">
        <v>67</v>
      </c>
      <c r="G75" s="92" t="s">
        <v>67</v>
      </c>
      <c r="H75" s="92" t="s">
        <v>67</v>
      </c>
      <c r="I75" s="92" t="s">
        <v>67</v>
      </c>
      <c r="J75" s="91" t="s">
        <v>67</v>
      </c>
      <c r="K75" s="89"/>
      <c r="L75" s="94" t="s">
        <v>70</v>
      </c>
    </row>
    <row r="76">
      <c r="A76" s="89"/>
      <c r="B76" s="87" t="s">
        <v>71</v>
      </c>
      <c r="C76" s="92" t="s">
        <v>67</v>
      </c>
      <c r="D76" s="92" t="s">
        <v>67</v>
      </c>
      <c r="E76" s="92" t="s">
        <v>67</v>
      </c>
      <c r="F76" s="92" t="s">
        <v>67</v>
      </c>
      <c r="G76" s="92" t="s">
        <v>67</v>
      </c>
      <c r="H76" s="92" t="s">
        <v>67</v>
      </c>
      <c r="I76" s="92" t="s">
        <v>67</v>
      </c>
      <c r="J76" s="91" t="s">
        <v>67</v>
      </c>
      <c r="K76" s="89"/>
      <c r="L76" s="94" t="s">
        <v>72</v>
      </c>
    </row>
    <row r="77">
      <c r="A77" s="89"/>
      <c r="B77" s="104" t="s">
        <v>87</v>
      </c>
      <c r="C77" s="90">
        <f>C56+C63+C70</f>
        <v>4792</v>
      </c>
      <c r="D77" s="90">
        <f>D56+D63+D70</f>
        <v>5028</v>
      </c>
      <c r="E77" s="90">
        <f>E56+E63+E70</f>
        <v>5081</v>
      </c>
      <c r="F77" s="90">
        <f>F56+F63+F70</f>
        <v>5179</v>
      </c>
      <c r="G77" s="90">
        <f>G56+G63+G70</f>
        <v>20080</v>
      </c>
      <c r="H77" s="90">
        <f>H56+H63+H70</f>
        <v>5409</v>
      </c>
      <c r="I77" s="90">
        <f>I56+I63+I70</f>
        <v>5698</v>
      </c>
      <c r="J77" s="135">
        <f>J56+J63+J70</f>
        <v>5576.653724673817</v>
      </c>
      <c r="K77" s="89"/>
      <c r="L77" s="89"/>
    </row>
    <row r="78" ht="23.25">
      <c r="A78" s="89"/>
      <c r="B78" s="187" t="s">
        <v>88</v>
      </c>
      <c r="C78" s="99" t="b">
        <f>ABS(C77-C46)&lt;0.5</f>
        <v>1</v>
      </c>
      <c r="D78" s="99" t="b">
        <f>ABS(D77-D46)&lt;0.5</f>
        <v>1</v>
      </c>
      <c r="E78" s="99" t="b">
        <f>ABS(E77-E46)&lt;0.5</f>
        <v>1</v>
      </c>
      <c r="F78" s="99" t="b">
        <f>ABS(F77-F46)&lt;0.5</f>
        <v>1</v>
      </c>
      <c r="G78" s="99" t="b">
        <f>ABS(G77-G46)&lt;0.5</f>
        <v>1</v>
      </c>
      <c r="H78" s="99" t="b">
        <f>ABS(H77-H46)&lt;0.5</f>
        <v>1</v>
      </c>
      <c r="I78" s="99" t="b">
        <f>ABS(I77-I46)&lt;0.5</f>
        <v>1</v>
      </c>
      <c r="J78" s="139" t="b">
        <f>ABS(J77-J46)&lt;0.5</f>
        <v>1</v>
      </c>
      <c r="K78" s="89"/>
      <c r="L78" s="181" t="s">
        <v>89</v>
      </c>
    </row>
    <row r="79">
      <c r="A79" s="89"/>
      <c r="B79" s="89"/>
      <c r="C79" s="89"/>
      <c r="D79" s="89"/>
      <c r="E79" s="89"/>
      <c r="F79" s="89"/>
      <c r="G79" s="89"/>
      <c r="H79" s="89"/>
      <c r="I79" s="89"/>
      <c r="J79" s="97"/>
      <c r="K79" s="89"/>
      <c r="L79" s="89"/>
    </row>
    <row r="80">
      <c r="A80" s="89"/>
      <c r="B80" s="104" t="s">
        <v>90</v>
      </c>
      <c r="C80" s="89"/>
      <c r="D80" s="89"/>
      <c r="E80" s="89"/>
      <c r="F80" s="89"/>
      <c r="G80" s="89"/>
      <c r="H80" s="89"/>
      <c r="I80" s="89"/>
      <c r="J80" s="97"/>
      <c r="K80" s="89"/>
      <c r="L80" s="89"/>
    </row>
    <row r="81" ht="23.24853515625">
      <c r="A81" s="89"/>
      <c r="B81" s="187" t="s">
        <v>91</v>
      </c>
      <c r="C81" s="86">
        <v>86038</v>
      </c>
      <c r="D81" s="86">
        <v>99426</v>
      </c>
      <c r="E81" s="86">
        <v>94533</v>
      </c>
      <c r="F81" s="86">
        <v>97489</v>
      </c>
      <c r="G81" s="95" t="s">
        <v>51</v>
      </c>
      <c r="H81" s="86">
        <v>97886</v>
      </c>
      <c r="I81" s="86">
        <v>89954</v>
      </c>
      <c r="J81" s="136">
        <v>82000</v>
      </c>
      <c r="K81" s="89"/>
      <c r="L81" s="94" t="s">
        <v>92</v>
      </c>
    </row>
    <row r="82">
      <c r="A82" s="89"/>
      <c r="B82" s="87" t="s">
        <v>93</v>
      </c>
      <c r="C82" s="92" t="s">
        <v>51</v>
      </c>
      <c r="D82" s="92" t="s">
        <v>51</v>
      </c>
      <c r="E82" s="92" t="s">
        <v>51</v>
      </c>
      <c r="F82" s="92" t="s">
        <v>51</v>
      </c>
      <c r="G82" s="92" t="s">
        <v>51</v>
      </c>
      <c r="H82" s="92">
        <f>IF(C81&lt;=0,"n.m.",H81/C81-1)</f>
        <v>0.13770659476045477</v>
      </c>
      <c r="I82" s="92">
        <f>IF(D81&lt;=0,"n.m.",I81/D81-1)</f>
        <v>-0.09526683161346128</v>
      </c>
      <c r="J82" s="91">
        <f>IF(E81&lt;=0,"n.m.",J81/E81-1)</f>
        <v>-0.1325780415304708</v>
      </c>
      <c r="K82" s="89"/>
      <c r="L82" s="89"/>
    </row>
    <row r="83">
      <c r="A83" s="89"/>
      <c r="B83" s="88" t="s">
        <v>94</v>
      </c>
      <c r="C83" s="95" t="s">
        <v>51</v>
      </c>
      <c r="D83" s="95">
        <f>D81-C81</f>
        <v>13388</v>
      </c>
      <c r="E83" s="95">
        <f>E81-D81</f>
        <v>-4893</v>
      </c>
      <c r="F83" s="95">
        <f>F81-E81</f>
        <v>2956</v>
      </c>
      <c r="G83" s="95" t="s">
        <v>51</v>
      </c>
      <c r="H83" s="95">
        <f>H81-F81</f>
        <v>397</v>
      </c>
      <c r="I83" s="95">
        <f>I81-H81</f>
        <v>-7932</v>
      </c>
      <c r="J83" s="121">
        <f>J81-I81</f>
        <v>-7954</v>
      </c>
      <c r="K83" s="89"/>
      <c r="L83" s="89"/>
    </row>
    <row r="84">
      <c r="A84" s="89"/>
      <c r="B84" s="88" t="s">
        <v>95</v>
      </c>
      <c r="C84" s="86">
        <v>10083</v>
      </c>
      <c r="D84" s="86">
        <v>11199</v>
      </c>
      <c r="E84" s="86">
        <v>10980</v>
      </c>
      <c r="F84" s="86">
        <v>11440</v>
      </c>
      <c r="G84" s="95" t="s">
        <v>51</v>
      </c>
      <c r="H84" s="86">
        <v>12049</v>
      </c>
      <c r="I84" s="86">
        <v>12657</v>
      </c>
      <c r="J84" s="136">
        <v>12000</v>
      </c>
      <c r="K84" s="89"/>
      <c r="L84" s="89"/>
    </row>
    <row r="85">
      <c r="A85" s="89"/>
      <c r="B85" s="87" t="s">
        <v>93</v>
      </c>
      <c r="C85" s="92" t="s">
        <v>51</v>
      </c>
      <c r="D85" s="92" t="s">
        <v>51</v>
      </c>
      <c r="E85" s="92" t="s">
        <v>51</v>
      </c>
      <c r="F85" s="92" t="s">
        <v>51</v>
      </c>
      <c r="G85" s="92" t="s">
        <v>51</v>
      </c>
      <c r="H85" s="92">
        <f>IF(C84&lt;=0,"n.m.",H84/C84-1)</f>
        <v>0.19498165228602593</v>
      </c>
      <c r="I85" s="92">
        <f>IF(D84&lt;=0,"n.m.",I84/D84-1)</f>
        <v>0.13019019555317435</v>
      </c>
      <c r="J85" s="91">
        <f>IF(E84&lt;=0,"n.m.",J84/E84-1)</f>
        <v>0.09289617486338808</v>
      </c>
      <c r="K85" s="89"/>
      <c r="L85" s="89"/>
    </row>
    <row r="86">
      <c r="A86" s="89"/>
      <c r="B86" s="88" t="s">
        <v>94</v>
      </c>
      <c r="C86" s="95" t="s">
        <v>51</v>
      </c>
      <c r="D86" s="95">
        <f>D84-C84</f>
        <v>1116</v>
      </c>
      <c r="E86" s="95">
        <f>E84-D84</f>
        <v>-219</v>
      </c>
      <c r="F86" s="95">
        <f>F84-E84</f>
        <v>460</v>
      </c>
      <c r="G86" s="95" t="s">
        <v>51</v>
      </c>
      <c r="H86" s="95">
        <f>H84-F84</f>
        <v>609</v>
      </c>
      <c r="I86" s="95">
        <f>I84-H84</f>
        <v>608</v>
      </c>
      <c r="J86" s="121">
        <f>J84-I84</f>
        <v>-657</v>
      </c>
      <c r="K86" s="89"/>
      <c r="L86" s="89"/>
    </row>
    <row r="87">
      <c r="A87" s="89"/>
      <c r="B87" s="88" t="s">
        <v>96</v>
      </c>
      <c r="C87" s="86">
        <v>41166</v>
      </c>
      <c r="D87" s="86">
        <v>39522</v>
      </c>
      <c r="E87" s="86">
        <v>40885</v>
      </c>
      <c r="F87" s="86">
        <v>43363</v>
      </c>
      <c r="G87" s="95" t="s">
        <v>51</v>
      </c>
      <c r="H87" s="86">
        <v>42848</v>
      </c>
      <c r="I87" s="86">
        <v>45056</v>
      </c>
      <c r="J87" s="136">
        <v>45000</v>
      </c>
      <c r="K87" s="89"/>
      <c r="L87" s="89"/>
    </row>
    <row r="88">
      <c r="A88" s="89"/>
      <c r="B88" s="87" t="s">
        <v>93</v>
      </c>
      <c r="C88" s="92" t="s">
        <v>51</v>
      </c>
      <c r="D88" s="92" t="s">
        <v>51</v>
      </c>
      <c r="E88" s="92" t="s">
        <v>51</v>
      </c>
      <c r="F88" s="92" t="s">
        <v>51</v>
      </c>
      <c r="G88" s="92" t="s">
        <v>51</v>
      </c>
      <c r="H88" s="92">
        <f>IF(C87&lt;=0,"n.m.",H87/C87-1)</f>
        <v>0.040858961278725126</v>
      </c>
      <c r="I88" s="92">
        <f>IF(D87&lt;=0,"n.m.",I87/D87-1)</f>
        <v>0.14002327817418148</v>
      </c>
      <c r="J88" s="91">
        <f>IF(E87&lt;=0,"n.m.",J87/E87-1)</f>
        <v>0.10064815947168881</v>
      </c>
      <c r="K88" s="89"/>
      <c r="L88" s="89"/>
    </row>
    <row r="89">
      <c r="A89" s="89"/>
      <c r="B89" s="88" t="s">
        <v>94</v>
      </c>
      <c r="C89" s="95" t="s">
        <v>51</v>
      </c>
      <c r="D89" s="95">
        <f>D87-C87</f>
        <v>-1644</v>
      </c>
      <c r="E89" s="95">
        <f>E87-D87</f>
        <v>1363</v>
      </c>
      <c r="F89" s="95">
        <f>F87-E87</f>
        <v>2478</v>
      </c>
      <c r="G89" s="95" t="s">
        <v>51</v>
      </c>
      <c r="H89" s="95">
        <f>H87-F87</f>
        <v>-515</v>
      </c>
      <c r="I89" s="95">
        <f>I87-H87</f>
        <v>2208</v>
      </c>
      <c r="J89" s="121">
        <f>J87-I87</f>
        <v>-56</v>
      </c>
      <c r="K89" s="89"/>
      <c r="L89" s="89"/>
    </row>
    <row r="90">
      <c r="A90" s="89"/>
      <c r="B90" s="88" t="s">
        <v>97</v>
      </c>
      <c r="C90" s="86">
        <v>141531</v>
      </c>
      <c r="D90" s="86">
        <v>146763</v>
      </c>
      <c r="E90" s="86">
        <v>147914</v>
      </c>
      <c r="F90" s="86">
        <v>150423</v>
      </c>
      <c r="G90" s="95" t="s">
        <v>51</v>
      </c>
      <c r="H90" s="86">
        <v>153901</v>
      </c>
      <c r="I90" s="86">
        <v>156356</v>
      </c>
      <c r="J90" s="136">
        <v>157000</v>
      </c>
      <c r="K90" s="89"/>
      <c r="L90" s="89"/>
    </row>
    <row r="91">
      <c r="A91" s="89"/>
      <c r="B91" s="87" t="s">
        <v>93</v>
      </c>
      <c r="C91" s="92" t="s">
        <v>51</v>
      </c>
      <c r="D91" s="92" t="s">
        <v>51</v>
      </c>
      <c r="E91" s="92" t="s">
        <v>51</v>
      </c>
      <c r="F91" s="92" t="s">
        <v>51</v>
      </c>
      <c r="G91" s="92" t="s">
        <v>51</v>
      </c>
      <c r="H91" s="92">
        <f>IF(C90&lt;=0,"n.m.",H90/C90-1)</f>
        <v>0.0874013467014294</v>
      </c>
      <c r="I91" s="92">
        <f>IF(D90&lt;=0,"n.m.",I90/D90-1)</f>
        <v>0.06536388599306364</v>
      </c>
      <c r="J91" s="91">
        <f>IF(E90&lt;=0,"n.m.",J90/E90-1)</f>
        <v>0.06142758630014744</v>
      </c>
      <c r="K91" s="89"/>
      <c r="L91" s="89"/>
    </row>
    <row r="92">
      <c r="A92" s="89"/>
      <c r="B92" s="88" t="s">
        <v>94</v>
      </c>
      <c r="C92" s="95" t="s">
        <v>51</v>
      </c>
      <c r="D92" s="95">
        <f>D90-C90</f>
        <v>5232</v>
      </c>
      <c r="E92" s="95">
        <f>E90-D90</f>
        <v>1151</v>
      </c>
      <c r="F92" s="95">
        <f>F90-E90</f>
        <v>2509</v>
      </c>
      <c r="G92" s="95" t="s">
        <v>51</v>
      </c>
      <c r="H92" s="95">
        <f>H90-F90</f>
        <v>3478</v>
      </c>
      <c r="I92" s="95">
        <f>I90-H90</f>
        <v>2455</v>
      </c>
      <c r="J92" s="121">
        <f>J90-I90</f>
        <v>644</v>
      </c>
      <c r="K92" s="89"/>
      <c r="L92" s="89"/>
    </row>
    <row r="93">
      <c r="A93" s="89"/>
      <c r="B93" s="88" t="s">
        <v>98</v>
      </c>
      <c r="C93" s="86">
        <v>6199</v>
      </c>
      <c r="D93" s="86">
        <v>7367</v>
      </c>
      <c r="E93" s="86">
        <v>7489</v>
      </c>
      <c r="F93" s="86">
        <v>7896</v>
      </c>
      <c r="G93" s="95" t="s">
        <v>51</v>
      </c>
      <c r="H93" s="86">
        <v>8568</v>
      </c>
      <c r="I93" s="86">
        <v>8025</v>
      </c>
      <c r="J93" s="136">
        <v>8000</v>
      </c>
      <c r="K93" s="89"/>
      <c r="L93" s="89"/>
    </row>
    <row r="94">
      <c r="A94" s="89"/>
      <c r="B94" s="87" t="s">
        <v>93</v>
      </c>
      <c r="C94" s="92" t="s">
        <v>51</v>
      </c>
      <c r="D94" s="92" t="s">
        <v>51</v>
      </c>
      <c r="E94" s="92" t="s">
        <v>51</v>
      </c>
      <c r="F94" s="92" t="s">
        <v>51</v>
      </c>
      <c r="G94" s="92" t="s">
        <v>51</v>
      </c>
      <c r="H94" s="92">
        <f>IF(C93&lt;=0,"n.m.",H93/C93-1)</f>
        <v>0.3821584126472011</v>
      </c>
      <c r="I94" s="92">
        <f>IF(D93&lt;=0,"n.m.",I93/D93-1)</f>
        <v>0.08931722546491105</v>
      </c>
      <c r="J94" s="91">
        <f>IF(E93&lt;=0,"n.m.",J93/E93-1)</f>
        <v>0.06823340899986641</v>
      </c>
      <c r="K94" s="89"/>
      <c r="L94" s="89"/>
    </row>
    <row r="95">
      <c r="A95" s="89"/>
      <c r="B95" s="88" t="s">
        <v>94</v>
      </c>
      <c r="C95" s="95" t="s">
        <v>51</v>
      </c>
      <c r="D95" s="95">
        <f>D93-C93</f>
        <v>1168</v>
      </c>
      <c r="E95" s="95">
        <f>E93-D93</f>
        <v>122</v>
      </c>
      <c r="F95" s="95">
        <f>F93-E93</f>
        <v>407</v>
      </c>
      <c r="G95" s="95" t="s">
        <v>51</v>
      </c>
      <c r="H95" s="95">
        <f>H93-F93</f>
        <v>672</v>
      </c>
      <c r="I95" s="95">
        <f>I93-H93</f>
        <v>-543</v>
      </c>
      <c r="J95" s="121">
        <f>J93-I93</f>
        <v>-25</v>
      </c>
      <c r="K95" s="89"/>
      <c r="L95" s="89"/>
    </row>
    <row r="96">
      <c r="A96" s="89"/>
      <c r="B96" s="88" t="s">
        <v>99</v>
      </c>
      <c r="C96" s="86">
        <v>69670</v>
      </c>
      <c r="D96" s="86">
        <v>71265</v>
      </c>
      <c r="E96" s="86">
        <v>72692</v>
      </c>
      <c r="F96" s="86">
        <v>76678</v>
      </c>
      <c r="G96" s="95" t="s">
        <v>51</v>
      </c>
      <c r="H96" s="86">
        <v>81058</v>
      </c>
      <c r="I96" s="86">
        <v>85587</v>
      </c>
      <c r="J96" s="136">
        <v>86500</v>
      </c>
      <c r="K96" s="89"/>
      <c r="L96" s="195" t="s">
        <v>100</v>
      </c>
    </row>
    <row r="97">
      <c r="A97" s="89"/>
      <c r="B97" s="87" t="s">
        <v>93</v>
      </c>
      <c r="C97" s="92" t="s">
        <v>51</v>
      </c>
      <c r="D97" s="92" t="s">
        <v>51</v>
      </c>
      <c r="E97" s="92" t="s">
        <v>51</v>
      </c>
      <c r="F97" s="92" t="s">
        <v>51</v>
      </c>
      <c r="G97" s="92" t="s">
        <v>51</v>
      </c>
      <c r="H97" s="92">
        <f>IF(C96&lt;=0,"n.m.",H96/C96-1)</f>
        <v>0.16345629395722683</v>
      </c>
      <c r="I97" s="92">
        <f>IF(D96&lt;=0,"n.m.",I96/D96-1)</f>
        <v>0.20096821721742786</v>
      </c>
      <c r="J97" s="91">
        <f>IF(E96&lt;=0,"n.m.",J96/E96-1)</f>
        <v>0.18995212678148898</v>
      </c>
      <c r="K97" s="89"/>
      <c r="L97" s="89"/>
    </row>
    <row r="98">
      <c r="A98" s="89"/>
      <c r="B98" s="88" t="s">
        <v>94</v>
      </c>
      <c r="C98" s="95" t="s">
        <v>51</v>
      </c>
      <c r="D98" s="95">
        <f>D96-C96</f>
        <v>1595</v>
      </c>
      <c r="E98" s="95">
        <f>E96-D96</f>
        <v>1427</v>
      </c>
      <c r="F98" s="95">
        <f>F96-E96</f>
        <v>3986</v>
      </c>
      <c r="G98" s="95" t="s">
        <v>51</v>
      </c>
      <c r="H98" s="95">
        <f>H96-F96</f>
        <v>4380</v>
      </c>
      <c r="I98" s="95">
        <f>I96-H96</f>
        <v>4529</v>
      </c>
      <c r="J98" s="121">
        <f>J96-I96</f>
        <v>913</v>
      </c>
      <c r="K98" s="89"/>
      <c r="L98" s="89"/>
    </row>
    <row r="99">
      <c r="A99" s="89"/>
      <c r="B99" s="104" t="s">
        <v>101</v>
      </c>
      <c r="C99" s="90">
        <f>C81+C84+C87+C90+C93+C96</f>
        <v>354687</v>
      </c>
      <c r="D99" s="90">
        <f>D81+D84+D87+D90+D93+D96</f>
        <v>375542</v>
      </c>
      <c r="E99" s="90">
        <f>E81+E84+E87+E90+E93+E96</f>
        <v>374493</v>
      </c>
      <c r="F99" s="90">
        <f>F81+F84+F87+F90+F93+F96</f>
        <v>387289</v>
      </c>
      <c r="G99" s="90" t="s">
        <v>51</v>
      </c>
      <c r="H99" s="90">
        <f>H81+H84+H87+H90+H93+H96</f>
        <v>396310</v>
      </c>
      <c r="I99" s="90">
        <f>I81+I84+I87+I90+I93+I96</f>
        <v>397635</v>
      </c>
      <c r="J99" s="135">
        <f>J81+J84+J87+J90+J93+J96</f>
        <v>390500</v>
      </c>
      <c r="K99" s="89"/>
      <c r="L99" s="89"/>
    </row>
    <row r="100">
      <c r="A100" s="89"/>
      <c r="B100" s="87" t="s">
        <v>93</v>
      </c>
      <c r="C100" s="92" t="s">
        <v>51</v>
      </c>
      <c r="D100" s="92" t="s">
        <v>51</v>
      </c>
      <c r="E100" s="92" t="s">
        <v>51</v>
      </c>
      <c r="F100" s="92" t="s">
        <v>51</v>
      </c>
      <c r="G100" s="92" t="s">
        <v>51</v>
      </c>
      <c r="H100" s="92">
        <f>IF(C99&lt;=0,"n.m.",H99/C99-1)</f>
        <v>0.11735135485653547</v>
      </c>
      <c r="I100" s="92">
        <f>IF(D99&lt;=0,"n.m.",I99/D99-1)</f>
        <v>0.058829638229545456</v>
      </c>
      <c r="J100" s="91">
        <f>IF(E99&lt;=0,"n.m.",J99/E99-1)</f>
        <v>0.04274312203432373</v>
      </c>
      <c r="K100" s="89"/>
      <c r="L100" s="89"/>
    </row>
    <row r="101">
      <c r="A101" s="89"/>
      <c r="B101" s="88" t="s">
        <v>94</v>
      </c>
      <c r="C101" s="95" t="s">
        <v>51</v>
      </c>
      <c r="D101" s="95">
        <f>D99-C99</f>
        <v>20855</v>
      </c>
      <c r="E101" s="95">
        <f>E99-D99</f>
        <v>-1049</v>
      </c>
      <c r="F101" s="95">
        <f>F99-E99</f>
        <v>12796</v>
      </c>
      <c r="G101" s="95" t="s">
        <v>51</v>
      </c>
      <c r="H101" s="95">
        <f>H99-F99</f>
        <v>9021</v>
      </c>
      <c r="I101" s="95">
        <f>I99-H99</f>
        <v>1325</v>
      </c>
      <c r="J101" s="121">
        <f>J99-I99</f>
        <v>-7135</v>
      </c>
      <c r="K101" s="89"/>
      <c r="L101" s="89"/>
    </row>
    <row r="102" ht="23.25">
      <c r="A102" s="89"/>
      <c r="B102" s="187" t="s">
        <v>102</v>
      </c>
      <c r="C102" s="86">
        <v>354687</v>
      </c>
      <c r="D102" s="86">
        <v>375542</v>
      </c>
      <c r="E102" s="86">
        <v>374493</v>
      </c>
      <c r="F102" s="86">
        <v>387289</v>
      </c>
      <c r="G102" s="95" t="s">
        <v>51</v>
      </c>
      <c r="H102" s="86">
        <v>396310</v>
      </c>
      <c r="I102" s="86">
        <v>397635</v>
      </c>
      <c r="J102" s="121" t="s">
        <v>51</v>
      </c>
      <c r="K102" s="89"/>
      <c r="L102" s="89"/>
    </row>
    <row r="103" ht="23.24853515625">
      <c r="A103" s="89"/>
      <c r="B103" s="187" t="s">
        <v>103</v>
      </c>
      <c r="C103" s="99" t="b">
        <f>ABS(C99-C102)&lt;0.5</f>
        <v>1</v>
      </c>
      <c r="D103" s="99" t="b">
        <f>ABS(D99-D102)&lt;0.5</f>
        <v>1</v>
      </c>
      <c r="E103" s="99" t="b">
        <f>ABS(E99-E102)&lt;0.5</f>
        <v>1</v>
      </c>
      <c r="F103" s="99" t="b">
        <f>ABS(F99-F102)&lt;0.5</f>
        <v>1</v>
      </c>
      <c r="G103" s="89"/>
      <c r="H103" s="99" t="b">
        <f>ABS(H99-H102)&lt;0.5</f>
        <v>1</v>
      </c>
      <c r="I103" s="99" t="b">
        <f>ABS(I99-I102)&lt;0.5</f>
        <v>1</v>
      </c>
      <c r="J103" s="97"/>
      <c r="K103" s="89"/>
      <c r="L103" s="89"/>
    </row>
    <row r="104">
      <c r="A104" s="89"/>
      <c r="B104" s="88" t="s">
        <v>104</v>
      </c>
      <c r="C104" s="86">
        <v>234394</v>
      </c>
      <c r="D104" s="86">
        <v>250688</v>
      </c>
      <c r="E104" s="86">
        <v>248016</v>
      </c>
      <c r="F104" s="86">
        <v>258640</v>
      </c>
      <c r="G104" s="95" t="s">
        <v>51</v>
      </c>
      <c r="H104" s="86">
        <v>263497</v>
      </c>
      <c r="I104" s="86">
        <v>259221</v>
      </c>
      <c r="J104" s="136">
        <v>251000</v>
      </c>
      <c r="K104" s="89"/>
      <c r="L104" s="89"/>
    </row>
    <row r="105">
      <c r="A105" s="89"/>
      <c r="B105" s="87" t="s">
        <v>93</v>
      </c>
      <c r="C105" s="92" t="s">
        <v>51</v>
      </c>
      <c r="D105" s="92" t="s">
        <v>51</v>
      </c>
      <c r="E105" s="92" t="s">
        <v>51</v>
      </c>
      <c r="F105" s="92" t="s">
        <v>51</v>
      </c>
      <c r="G105" s="92" t="s">
        <v>51</v>
      </c>
      <c r="H105" s="92">
        <f>IF(C104&lt;=0,"n.m.",H104/C104-1)</f>
        <v>0.12416273454098659</v>
      </c>
      <c r="I105" s="92">
        <f>IF(D104&lt;=0,"n.m.",I104/D104-1)</f>
        <v>0.03403832652540206</v>
      </c>
      <c r="J105" s="91">
        <f>IF(E104&lt;=0,"n.m.",J104/E104-1)</f>
        <v>0.01203148183988123</v>
      </c>
      <c r="K105" s="89"/>
      <c r="L105" s="89"/>
    </row>
    <row r="106">
      <c r="A106" s="89"/>
      <c r="B106" s="88" t="s">
        <v>94</v>
      </c>
      <c r="C106" s="95" t="s">
        <v>51</v>
      </c>
      <c r="D106" s="95">
        <f>D104-C104</f>
        <v>16294</v>
      </c>
      <c r="E106" s="95">
        <f>E104-D104</f>
        <v>-2672</v>
      </c>
      <c r="F106" s="95">
        <f>F104-E104</f>
        <v>10624</v>
      </c>
      <c r="G106" s="95" t="s">
        <v>51</v>
      </c>
      <c r="H106" s="95">
        <f>H104-F104</f>
        <v>4857</v>
      </c>
      <c r="I106" s="95">
        <f>I104-H104</f>
        <v>-4276</v>
      </c>
      <c r="J106" s="121">
        <f>J104-I104</f>
        <v>-8221</v>
      </c>
      <c r="K106" s="89"/>
      <c r="L106" s="89"/>
    </row>
    <row r="107">
      <c r="A107" s="89"/>
      <c r="B107" s="88" t="s">
        <v>105</v>
      </c>
      <c r="C107" s="86">
        <v>48141</v>
      </c>
      <c r="D107" s="86">
        <v>49610</v>
      </c>
      <c r="E107" s="86">
        <v>51310</v>
      </c>
      <c r="F107" s="86">
        <v>51842</v>
      </c>
      <c r="G107" s="95" t="s">
        <v>51</v>
      </c>
      <c r="H107" s="86">
        <v>54949</v>
      </c>
      <c r="I107" s="86">
        <v>54815</v>
      </c>
      <c r="J107" s="136">
        <v>53500</v>
      </c>
      <c r="K107" s="89"/>
      <c r="L107" s="89"/>
    </row>
    <row r="108">
      <c r="A108" s="89"/>
      <c r="B108" s="87" t="s">
        <v>93</v>
      </c>
      <c r="C108" s="92" t="s">
        <v>51</v>
      </c>
      <c r="D108" s="92" t="s">
        <v>51</v>
      </c>
      <c r="E108" s="92" t="s">
        <v>51</v>
      </c>
      <c r="F108" s="92" t="s">
        <v>51</v>
      </c>
      <c r="G108" s="92" t="s">
        <v>51</v>
      </c>
      <c r="H108" s="92">
        <f>IF(C107&lt;=0,"n.m.",H107/C107-1)</f>
        <v>0.14141791819862481</v>
      </c>
      <c r="I108" s="92">
        <f>IF(D107&lt;=0,"n.m.",I107/D107-1)</f>
        <v>0.10491836323321913</v>
      </c>
      <c r="J108" s="91">
        <f>IF(E107&lt;=0,"n.m.",J107/E107-1)</f>
        <v>0.042681738452543305</v>
      </c>
      <c r="K108" s="89"/>
      <c r="L108" s="89"/>
    </row>
    <row r="109">
      <c r="A109" s="89"/>
      <c r="B109" s="88" t="s">
        <v>94</v>
      </c>
      <c r="C109" s="95" t="s">
        <v>51</v>
      </c>
      <c r="D109" s="95">
        <f>D107-C107</f>
        <v>1469</v>
      </c>
      <c r="E109" s="95">
        <f>E107-D107</f>
        <v>1700</v>
      </c>
      <c r="F109" s="95">
        <f>F107-E107</f>
        <v>532</v>
      </c>
      <c r="G109" s="95" t="s">
        <v>51</v>
      </c>
      <c r="H109" s="95">
        <f>H107-F107</f>
        <v>3107</v>
      </c>
      <c r="I109" s="95">
        <f>I107-H107</f>
        <v>-134</v>
      </c>
      <c r="J109" s="121">
        <f>J107-I107</f>
        <v>-1315</v>
      </c>
      <c r="K109" s="89"/>
      <c r="L109" s="89"/>
    </row>
    <row r="110">
      <c r="A110" s="89"/>
      <c r="B110" s="104" t="s">
        <v>106</v>
      </c>
      <c r="C110" s="90">
        <f>C104+C107</f>
        <v>282535</v>
      </c>
      <c r="D110" s="90">
        <f>D104+D107</f>
        <v>300298</v>
      </c>
      <c r="E110" s="90">
        <f>E104+E107</f>
        <v>299326</v>
      </c>
      <c r="F110" s="90">
        <f>F104+F107</f>
        <v>310482</v>
      </c>
      <c r="G110" s="90" t="s">
        <v>51</v>
      </c>
      <c r="H110" s="90">
        <f>H104+H107</f>
        <v>318446</v>
      </c>
      <c r="I110" s="90">
        <f>I104+I107</f>
        <v>314036</v>
      </c>
      <c r="J110" s="135">
        <f>J104+J107</f>
        <v>304500</v>
      </c>
      <c r="K110" s="89"/>
      <c r="L110" s="89"/>
    </row>
    <row r="111">
      <c r="A111" s="89"/>
      <c r="B111" s="87" t="s">
        <v>93</v>
      </c>
      <c r="C111" s="92" t="s">
        <v>51</v>
      </c>
      <c r="D111" s="92" t="s">
        <v>51</v>
      </c>
      <c r="E111" s="92" t="s">
        <v>51</v>
      </c>
      <c r="F111" s="92" t="s">
        <v>51</v>
      </c>
      <c r="G111" s="92" t="s">
        <v>51</v>
      </c>
      <c r="H111" s="92">
        <f>IF(C110&lt;=0,"n.m.",H110/C110-1)</f>
        <v>0.12710283681667756</v>
      </c>
      <c r="I111" s="92">
        <f>IF(D110&lt;=0,"n.m.",I110/D110-1)</f>
        <v>0.04574789042884064</v>
      </c>
      <c r="J111" s="91">
        <f>IF(E110&lt;=0,"n.m.",J110/E110-1)</f>
        <v>0.017285501426538286</v>
      </c>
      <c r="K111" s="89"/>
      <c r="L111" s="89"/>
    </row>
    <row r="112">
      <c r="A112" s="89"/>
      <c r="B112" s="88" t="s">
        <v>94</v>
      </c>
      <c r="C112" s="95" t="s">
        <v>51</v>
      </c>
      <c r="D112" s="95">
        <f>D110-C110</f>
        <v>17763</v>
      </c>
      <c r="E112" s="95">
        <f>E110-D110</f>
        <v>-972</v>
      </c>
      <c r="F112" s="95">
        <f>F110-E110</f>
        <v>11156</v>
      </c>
      <c r="G112" s="95" t="s">
        <v>51</v>
      </c>
      <c r="H112" s="95">
        <f>H110-F110</f>
        <v>7964</v>
      </c>
      <c r="I112" s="95">
        <f>I110-H110</f>
        <v>-4410</v>
      </c>
      <c r="J112" s="121">
        <f>J110-I110</f>
        <v>-9536</v>
      </c>
      <c r="K112" s="89"/>
      <c r="L112" s="89"/>
    </row>
    <row r="113">
      <c r="A113" s="89"/>
      <c r="B113" s="87" t="s">
        <v>107</v>
      </c>
      <c r="C113" s="92">
        <f>C107/C110</f>
        <v>0.17038950926433893</v>
      </c>
      <c r="D113" s="92">
        <f>D107/D110</f>
        <v>0.16520256545165135</v>
      </c>
      <c r="E113" s="92">
        <f>E107/E110</f>
        <v>0.17141845345877071</v>
      </c>
      <c r="F113" s="92">
        <f>F107/F110</f>
        <v>0.16697264253644334</v>
      </c>
      <c r="G113" s="92" t="s">
        <v>51</v>
      </c>
      <c r="H113" s="92">
        <f>H107/H110</f>
        <v>0.1725535883634902</v>
      </c>
      <c r="I113" s="92">
        <f>I107/I110</f>
        <v>0.17455005158644232</v>
      </c>
      <c r="J113" s="91">
        <f>J107/J110</f>
        <v>0.17569786535303777</v>
      </c>
      <c r="K113" s="89"/>
      <c r="L113" s="89"/>
    </row>
    <row r="114">
      <c r="A114" s="89"/>
      <c r="B114" s="88" t="s">
        <v>108</v>
      </c>
      <c r="C114" s="103" t="s">
        <v>51</v>
      </c>
      <c r="D114" s="103">
        <f>(D113-C113)*10000</f>
        <v>-51.869438126875835</v>
      </c>
      <c r="E114" s="103">
        <f>(E113-D113)*10000</f>
        <v>62.158880071193636</v>
      </c>
      <c r="F114" s="103">
        <f>(F113-E113)*10000</f>
        <v>-44.45810922327376</v>
      </c>
      <c r="G114" s="103" t="s">
        <v>51</v>
      </c>
      <c r="H114" s="103">
        <f>(H113-F113)*10000</f>
        <v>55.80945827046852</v>
      </c>
      <c r="I114" s="103">
        <f>(I113-H113)*10000</f>
        <v>19.964632229521328</v>
      </c>
      <c r="J114" s="128">
        <f>(J113-I113)*10000</f>
        <v>11.478137665954513</v>
      </c>
      <c r="K114" s="89"/>
      <c r="L114" s="89"/>
    </row>
    <row r="115">
      <c r="A115" s="89"/>
      <c r="B115" s="88" t="s">
        <v>109</v>
      </c>
      <c r="C115" s="103" t="s">
        <v>51</v>
      </c>
      <c r="D115" s="103" t="s">
        <v>51</v>
      </c>
      <c r="E115" s="103" t="s">
        <v>51</v>
      </c>
      <c r="F115" s="103" t="s">
        <v>51</v>
      </c>
      <c r="G115" s="103" t="s">
        <v>51</v>
      </c>
      <c r="H115" s="103">
        <f>(H113-C113)*10000</f>
        <v>21.64079099151256</v>
      </c>
      <c r="I115" s="103">
        <f>(I113-D113)*10000</f>
        <v>93.47486134790972</v>
      </c>
      <c r="J115" s="128">
        <f>(J113-E113)*10000</f>
        <v>42.7941189426706</v>
      </c>
      <c r="K115" s="89"/>
      <c r="L115" s="89"/>
    </row>
    <row r="116" ht="23.25">
      <c r="A116" s="89"/>
      <c r="B116" s="187" t="s">
        <v>110</v>
      </c>
      <c r="C116" s="157">
        <f>'Income Statement'!C156/C99*10000*365/C$8</f>
        <v>132.52216429947782</v>
      </c>
      <c r="D116" s="157">
        <f>'Income Statement'!D156/D99*10000*365/D$8</f>
        <v>128.4868211869719</v>
      </c>
      <c r="E116" s="157">
        <f>'Income Statement'!E156/E99*10000*365/E$8</f>
        <v>130.94225131508233</v>
      </c>
      <c r="F116" s="157">
        <f>'Income Statement'!F156/F99*10000*365/F$8</f>
        <v>137.88433690737855</v>
      </c>
      <c r="G116" s="152" t="s">
        <v>51</v>
      </c>
      <c r="H116" s="157">
        <f>'Income Statement'!H156/H99*10000*365/H$8</f>
        <v>140.19608667737657</v>
      </c>
      <c r="I116" s="157">
        <f>'Income Statement'!I156/I99*10000*365/I$8</f>
        <v>145.85964791555347</v>
      </c>
      <c r="J116" s="171">
        <v>141.4</v>
      </c>
      <c r="K116" s="89"/>
      <c r="L116" s="184" t="s">
        <v>111</v>
      </c>
    </row>
    <row r="117">
      <c r="A117" s="89"/>
      <c r="B117" s="88" t="s">
        <v>108</v>
      </c>
      <c r="C117" s="152" t="s">
        <v>51</v>
      </c>
      <c r="D117" s="152">
        <f>(D116-C116)</f>
        <v>-4.035343112505927</v>
      </c>
      <c r="E117" s="152">
        <f>(E116-D116)</f>
        <v>2.455430128110436</v>
      </c>
      <c r="F117" s="152">
        <f>(F116-E116)</f>
        <v>6.942085592296223</v>
      </c>
      <c r="G117" s="152" t="s">
        <v>51</v>
      </c>
      <c r="H117" s="152">
        <f>(H116-F116)</f>
        <v>2.3117497699980163</v>
      </c>
      <c r="I117" s="152">
        <f>(I116-H116)</f>
        <v>5.6635612381768965</v>
      </c>
      <c r="J117" s="164">
        <f>(J116-I116)</f>
        <v>-4.459647915553461</v>
      </c>
      <c r="K117" s="89"/>
      <c r="L117" s="89"/>
    </row>
    <row r="118">
      <c r="A118" s="89"/>
      <c r="B118" s="88" t="s">
        <v>109</v>
      </c>
      <c r="C118" s="152" t="s">
        <v>51</v>
      </c>
      <c r="D118" s="152" t="s">
        <v>51</v>
      </c>
      <c r="E118" s="152" t="s">
        <v>51</v>
      </c>
      <c r="F118" s="152" t="s">
        <v>51</v>
      </c>
      <c r="G118" s="152" t="s">
        <v>51</v>
      </c>
      <c r="H118" s="152">
        <f>(H116-C116)</f>
        <v>7.673922377898748</v>
      </c>
      <c r="I118" s="152">
        <f>(I116-D116)</f>
        <v>17.372826728581572</v>
      </c>
      <c r="J118" s="164">
        <f>(J116-E116)</f>
        <v>10.457748684917675</v>
      </c>
      <c r="K118" s="89"/>
      <c r="L118" s="89"/>
    </row>
    <row r="119" ht="14.624267578125">
      <c r="A119" s="89"/>
      <c r="B119" s="187" t="s">
        <v>112</v>
      </c>
      <c r="C119" s="161">
        <v>130</v>
      </c>
      <c r="D119" s="161">
        <v>127</v>
      </c>
      <c r="E119" s="161">
        <v>131</v>
      </c>
      <c r="F119" s="161">
        <v>138</v>
      </c>
      <c r="G119" s="103" t="s">
        <v>51</v>
      </c>
      <c r="H119" s="161">
        <v>138</v>
      </c>
      <c r="I119" s="161">
        <v>145</v>
      </c>
      <c r="J119" s="128" t="s">
        <v>51</v>
      </c>
      <c r="K119" s="89"/>
      <c r="L119" s="89"/>
    </row>
    <row r="120" ht="23.25">
      <c r="A120" s="89"/>
      <c r="B120" s="186" t="s">
        <v>113</v>
      </c>
      <c r="C120" s="111">
        <f>'Income Statement'!C156</f>
        <v>1159</v>
      </c>
      <c r="D120" s="111">
        <f>'Income Statement'!D156</f>
        <v>1203</v>
      </c>
      <c r="E120" s="111">
        <f>'Income Statement'!E156</f>
        <v>1236</v>
      </c>
      <c r="F120" s="111">
        <f>'Income Statement'!F156</f>
        <v>1346</v>
      </c>
      <c r="G120" s="111">
        <f>'Income Statement'!G156</f>
        <v>4944</v>
      </c>
      <c r="H120" s="111">
        <f>'Income Statement'!H156</f>
        <v>1370</v>
      </c>
      <c r="I120" s="111">
        <f>'Income Statement'!I156</f>
        <v>1446</v>
      </c>
      <c r="J120" s="135">
        <f>J99*J116/10000*J$8/365</f>
        <v>1391.763397260274</v>
      </c>
      <c r="K120" s="89"/>
      <c r="L120" s="89"/>
    </row>
    <row r="121">
      <c r="A121" s="89"/>
      <c r="B121" s="87" t="s">
        <v>93</v>
      </c>
      <c r="C121" s="92" t="s">
        <v>51</v>
      </c>
      <c r="D121" s="92" t="s">
        <v>51</v>
      </c>
      <c r="E121" s="92" t="s">
        <v>51</v>
      </c>
      <c r="F121" s="92" t="s">
        <v>51</v>
      </c>
      <c r="G121" s="92" t="s">
        <v>51</v>
      </c>
      <c r="H121" s="92">
        <f>IF(C120&lt;=0,"n.m.",H120/C120-1)</f>
        <v>0.18205349439171692</v>
      </c>
      <c r="I121" s="92">
        <f>IF(D120&lt;=0,"n.m.",I120/D120-1)</f>
        <v>0.2019950124688279</v>
      </c>
      <c r="J121" s="91">
        <f>IF(E120&lt;=0,"n.m.",J120/E120-1)</f>
        <v>0.12602216606818284</v>
      </c>
      <c r="K121" s="89"/>
      <c r="L121" s="89"/>
    </row>
    <row r="122">
      <c r="A122" s="89"/>
      <c r="B122" s="87" t="s">
        <v>64</v>
      </c>
      <c r="C122" s="92" t="s">
        <v>51</v>
      </c>
      <c r="D122" s="92">
        <f>IF(C120&lt;=0,"n.m.",D120/C120-1)</f>
        <v>0.03796376186367567</v>
      </c>
      <c r="E122" s="92">
        <f>IF(D120&lt;=0,"n.m.",E120/D120-1)</f>
        <v>0.027431421446383997</v>
      </c>
      <c r="F122" s="92">
        <f>IF(E120&lt;=0,"n.m.",F120/E120-1)</f>
        <v>0.08899676375404542</v>
      </c>
      <c r="G122" s="92" t="s">
        <v>51</v>
      </c>
      <c r="H122" s="92">
        <f>IF(F120&lt;=0,"n.m.",H120/F120-1)</f>
        <v>0.017830609212481363</v>
      </c>
      <c r="I122" s="92">
        <f>IF(H120&lt;=0,"n.m.",I120/H120-1)</f>
        <v>0.05547445255474459</v>
      </c>
      <c r="J122" s="91">
        <f>IF(I120&lt;=0,"n.m.",J120/I120-1)</f>
        <v>-0.037508024024706876</v>
      </c>
      <c r="K122" s="89"/>
      <c r="L122" s="89"/>
    </row>
    <row r="123">
      <c r="A123" s="89"/>
      <c r="B123" s="87" t="s">
        <v>114</v>
      </c>
      <c r="C123" s="89"/>
      <c r="D123" s="89"/>
      <c r="E123" s="89"/>
      <c r="F123" s="89"/>
      <c r="G123" s="89"/>
      <c r="H123" s="89"/>
      <c r="I123" s="89"/>
      <c r="J123" s="97"/>
      <c r="K123" s="89"/>
      <c r="L123" s="89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6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115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116</v>
      </c>
      <c r="C10" s="89"/>
      <c r="D10" s="89"/>
      <c r="E10" s="89"/>
      <c r="F10" s="89"/>
      <c r="G10" s="89"/>
      <c r="H10" s="89"/>
      <c r="I10" s="89"/>
      <c r="J10" s="97"/>
      <c r="K10" s="89"/>
      <c r="L10" s="89"/>
    </row>
    <row r="11">
      <c r="A11" s="89"/>
      <c r="B11" s="88" t="s">
        <v>117</v>
      </c>
      <c r="C11" s="95" t="s">
        <v>51</v>
      </c>
      <c r="D11" s="95">
        <f>C16</f>
        <v>37.9</v>
      </c>
      <c r="E11" s="95">
        <f>D16</f>
        <v>39.9</v>
      </c>
      <c r="F11" s="95">
        <f>E16</f>
        <v>41.5</v>
      </c>
      <c r="G11" s="95" t="s">
        <v>51</v>
      </c>
      <c r="H11" s="95">
        <f>F16</f>
        <v>42.7</v>
      </c>
      <c r="I11" s="95">
        <f>H16</f>
        <v>42.7</v>
      </c>
      <c r="J11" s="121">
        <f>I16</f>
        <v>45.3</v>
      </c>
      <c r="K11" s="89"/>
      <c r="L11" s="94" t="s">
        <v>118</v>
      </c>
    </row>
    <row r="12" ht="23.25">
      <c r="A12" s="89"/>
      <c r="B12" s="187" t="s">
        <v>119</v>
      </c>
      <c r="C12" s="95" t="s">
        <v>51</v>
      </c>
      <c r="D12" s="95">
        <f>D16-D11</f>
        <v>2</v>
      </c>
      <c r="E12" s="95">
        <f>E16-E11</f>
        <v>1.6000000000000014</v>
      </c>
      <c r="F12" s="95">
        <f>F16-F11</f>
        <v>1.2000000000000028</v>
      </c>
      <c r="G12" s="95" t="s">
        <v>51</v>
      </c>
      <c r="H12" s="95">
        <f>H16-H11</f>
        <v>0</v>
      </c>
      <c r="I12" s="95">
        <f>I16-I11</f>
        <v>2.5999999999999943</v>
      </c>
      <c r="J12" s="121">
        <f>J11*J13</f>
        <v>-0.3171</v>
      </c>
      <c r="K12" s="89"/>
      <c r="L12" s="89"/>
    </row>
    <row r="13">
      <c r="A13" s="89"/>
      <c r="B13" s="87" t="s">
        <v>120</v>
      </c>
      <c r="C13" s="92" t="s">
        <v>51</v>
      </c>
      <c r="D13" s="92">
        <f>D12/D11</f>
        <v>0.052770448548812667</v>
      </c>
      <c r="E13" s="92">
        <f>E12/E11</f>
        <v>0.040100250626566455</v>
      </c>
      <c r="F13" s="92">
        <f>F12/F11</f>
        <v>0.02891566265060248</v>
      </c>
      <c r="G13" s="92" t="s">
        <v>51</v>
      </c>
      <c r="H13" s="92">
        <f>H12/H11</f>
        <v>0</v>
      </c>
      <c r="I13" s="92">
        <f>I12/I11</f>
        <v>0.06088992974238862</v>
      </c>
      <c r="J13" s="148">
        <v>-0.007</v>
      </c>
      <c r="K13" s="89"/>
      <c r="L13" s="94" t="s">
        <v>121</v>
      </c>
    </row>
    <row r="14">
      <c r="A14" s="89"/>
      <c r="B14" s="88" t="s">
        <v>108</v>
      </c>
      <c r="C14" s="103" t="s">
        <v>51</v>
      </c>
      <c r="D14" s="103" t="s">
        <v>51</v>
      </c>
      <c r="E14" s="103">
        <f>(E13-D13)*10000</f>
        <v>-126.70197922246211</v>
      </c>
      <c r="F14" s="103">
        <f>(F13-E13)*10000</f>
        <v>-111.84587975963976</v>
      </c>
      <c r="G14" s="103" t="s">
        <v>51</v>
      </c>
      <c r="H14" s="103">
        <f>(H13-F13)*10000</f>
        <v>-289.1566265060248</v>
      </c>
      <c r="I14" s="103">
        <f>(I13-H13)*10000</f>
        <v>608.8992974238862</v>
      </c>
      <c r="J14" s="128">
        <f>(J13-I13)*10000</f>
        <v>-678.8992974238862</v>
      </c>
      <c r="K14" s="89"/>
      <c r="L14" s="89"/>
    </row>
    <row r="15">
      <c r="A15" s="89"/>
      <c r="B15" s="88" t="s">
        <v>109</v>
      </c>
      <c r="C15" s="103" t="s">
        <v>51</v>
      </c>
      <c r="D15" s="103" t="s">
        <v>51</v>
      </c>
      <c r="E15" s="103" t="s">
        <v>51</v>
      </c>
      <c r="F15" s="103" t="s">
        <v>51</v>
      </c>
      <c r="G15" s="103" t="s">
        <v>51</v>
      </c>
      <c r="H15" s="103" t="s">
        <v>51</v>
      </c>
      <c r="I15" s="103">
        <f>(I13-D13)*10000</f>
        <v>81.19481193575952</v>
      </c>
      <c r="J15" s="128">
        <f>(J13-E13)*10000</f>
        <v>-471.0025062656645</v>
      </c>
      <c r="K15" s="89"/>
      <c r="L15" s="89"/>
    </row>
    <row r="16">
      <c r="A16" s="89"/>
      <c r="B16" s="104" t="s">
        <v>122</v>
      </c>
      <c r="C16" s="153">
        <v>37.9</v>
      </c>
      <c r="D16" s="153">
        <v>39.9</v>
      </c>
      <c r="E16" s="153">
        <v>41.5</v>
      </c>
      <c r="F16" s="153">
        <v>42.7</v>
      </c>
      <c r="G16" s="90">
        <f>F16</f>
        <v>42.7</v>
      </c>
      <c r="H16" s="153">
        <v>42.7</v>
      </c>
      <c r="I16" s="153">
        <v>45.3</v>
      </c>
      <c r="J16" s="135">
        <f>J11+J12</f>
        <v>44.982899999999994</v>
      </c>
      <c r="K16" s="89"/>
      <c r="L16" s="89"/>
    </row>
    <row r="17">
      <c r="A17" s="89"/>
      <c r="B17" s="87" t="s">
        <v>93</v>
      </c>
      <c r="C17" s="92" t="s">
        <v>51</v>
      </c>
      <c r="D17" s="92" t="s">
        <v>51</v>
      </c>
      <c r="E17" s="92" t="s">
        <v>51</v>
      </c>
      <c r="F17" s="92" t="s">
        <v>51</v>
      </c>
      <c r="G17" s="92" t="s">
        <v>51</v>
      </c>
      <c r="H17" s="92">
        <f>IF(C16&lt;=0,"n.m.",H16/C16-1)</f>
        <v>0.1266490765171504</v>
      </c>
      <c r="I17" s="92">
        <f>IF(D16&lt;=0,"n.m.",I16/D16-1)</f>
        <v>0.13533834586466154</v>
      </c>
      <c r="J17" s="91">
        <f>IF(E16&lt;=0,"n.m.",J16/E16-1)</f>
        <v>0.08392530120481911</v>
      </c>
      <c r="K17" s="89"/>
      <c r="L17" s="89"/>
    </row>
    <row r="18">
      <c r="A18" s="89"/>
      <c r="B18" s="88" t="s">
        <v>94</v>
      </c>
      <c r="C18" s="95" t="s">
        <v>51</v>
      </c>
      <c r="D18" s="95">
        <f>D16-C16</f>
        <v>2</v>
      </c>
      <c r="E18" s="95">
        <f>E16-D16</f>
        <v>1.6000000000000014</v>
      </c>
      <c r="F18" s="95">
        <f>F16-E16</f>
        <v>1.2000000000000028</v>
      </c>
      <c r="G18" s="95" t="s">
        <v>51</v>
      </c>
      <c r="H18" s="95">
        <f>H16-F16</f>
        <v>0</v>
      </c>
      <c r="I18" s="95">
        <f>I16-H16</f>
        <v>2.5999999999999943</v>
      </c>
      <c r="J18" s="121">
        <f>J16-I16</f>
        <v>-0.3171000000000035</v>
      </c>
      <c r="K18" s="89"/>
      <c r="L18" s="89"/>
    </row>
    <row r="19">
      <c r="A19" s="89"/>
      <c r="B19" s="88" t="s">
        <v>123</v>
      </c>
      <c r="C19" s="95" t="s">
        <v>51</v>
      </c>
      <c r="D19" s="95">
        <f>(D11+D16)/2</f>
        <v>38.9</v>
      </c>
      <c r="E19" s="95">
        <f>(E11+E16)/2</f>
        <v>40.7</v>
      </c>
      <c r="F19" s="95">
        <f>(F11+F16)/2</f>
        <v>42.1</v>
      </c>
      <c r="G19" s="95" t="s">
        <v>51</v>
      </c>
      <c r="H19" s="95">
        <f>(H11+H16)/2</f>
        <v>42.7</v>
      </c>
      <c r="I19" s="95">
        <f>(I11+I16)/2</f>
        <v>44</v>
      </c>
      <c r="J19" s="121">
        <f>(J11+J16)/2</f>
        <v>45.14144999999999</v>
      </c>
      <c r="K19" s="89"/>
      <c r="L19" s="89"/>
    </row>
    <row r="20">
      <c r="A20" s="89"/>
      <c r="B20" s="87" t="s">
        <v>93</v>
      </c>
      <c r="C20" s="92" t="s">
        <v>51</v>
      </c>
      <c r="D20" s="92" t="s">
        <v>51</v>
      </c>
      <c r="E20" s="92" t="s">
        <v>51</v>
      </c>
      <c r="F20" s="92" t="s">
        <v>51</v>
      </c>
      <c r="G20" s="92" t="s">
        <v>51</v>
      </c>
      <c r="H20" s="92" t="s">
        <v>51</v>
      </c>
      <c r="I20" s="92">
        <f>IF(D19&lt;=0,"n.m.",I19/D19-1)</f>
        <v>0.13110539845758362</v>
      </c>
      <c r="J20" s="91">
        <f>IF(E19&lt;=0,"n.m.",J19/E19-1)</f>
        <v>0.1091265356265354</v>
      </c>
      <c r="K20" s="89"/>
      <c r="L20" s="89"/>
    </row>
    <row r="21">
      <c r="A21" s="89"/>
      <c r="B21" s="88" t="s">
        <v>94</v>
      </c>
      <c r="C21" s="95" t="s">
        <v>51</v>
      </c>
      <c r="D21" s="95" t="s">
        <v>51</v>
      </c>
      <c r="E21" s="95">
        <f>E19-D19</f>
        <v>1.8000000000000043</v>
      </c>
      <c r="F21" s="95">
        <f>F19-E19</f>
        <v>1.3999999999999986</v>
      </c>
      <c r="G21" s="95" t="s">
        <v>51</v>
      </c>
      <c r="H21" s="95">
        <f>H19-F19</f>
        <v>0.6000000000000014</v>
      </c>
      <c r="I21" s="95">
        <f>I19-H19</f>
        <v>1.2999999999999972</v>
      </c>
      <c r="J21" s="121">
        <f>J19-I19</f>
        <v>1.1414499999999919</v>
      </c>
      <c r="K21" s="89"/>
      <c r="L21" s="89"/>
    </row>
    <row r="22" ht="23.24853515625">
      <c r="A22" s="89"/>
      <c r="B22" s="187" t="s">
        <v>124</v>
      </c>
      <c r="C22" s="152" t="s">
        <v>51</v>
      </c>
      <c r="D22" s="152">
        <f>D25/D19/100*365/D$8</f>
        <v>1.1156529845475862</v>
      </c>
      <c r="E22" s="152">
        <f>E25/E19/100*365/E$8</f>
        <v>1.1005368016237582</v>
      </c>
      <c r="F22" s="152">
        <f>F25/F19/100*365/F$8</f>
        <v>1.0799597232262728</v>
      </c>
      <c r="G22" s="152" t="s">
        <v>51</v>
      </c>
      <c r="H22" s="152">
        <f>H25/H19/100*365/H$8</f>
        <v>1.1112412177985946</v>
      </c>
      <c r="I22" s="152">
        <f>I25/I19/100*365/I$8</f>
        <v>1.1021103896103897</v>
      </c>
      <c r="J22" s="171">
        <v>1.085</v>
      </c>
      <c r="K22" s="89"/>
      <c r="L22" s="94" t="s">
        <v>125</v>
      </c>
    </row>
    <row r="23">
      <c r="A23" s="89"/>
      <c r="B23" s="88" t="s">
        <v>108</v>
      </c>
      <c r="C23" s="152" t="s">
        <v>51</v>
      </c>
      <c r="D23" s="152" t="s">
        <v>51</v>
      </c>
      <c r="E23" s="152">
        <f>(E22-D22)</f>
        <v>-0.015116182923827992</v>
      </c>
      <c r="F23" s="152">
        <f>(F22-E22)</f>
        <v>-0.02057707839748546</v>
      </c>
      <c r="G23" s="152" t="s">
        <v>51</v>
      </c>
      <c r="H23" s="152">
        <f>(H22-F22)</f>
        <v>0.03128149457232188</v>
      </c>
      <c r="I23" s="152">
        <f>(I22-H22)</f>
        <v>-0.009130828188204987</v>
      </c>
      <c r="J23" s="164">
        <f>(J22-I22)</f>
        <v>-0.017110389610389687</v>
      </c>
      <c r="K23" s="89"/>
      <c r="L23" s="89"/>
    </row>
    <row r="24">
      <c r="A24" s="89"/>
      <c r="B24" s="88" t="s">
        <v>109</v>
      </c>
      <c r="C24" s="152" t="s">
        <v>51</v>
      </c>
      <c r="D24" s="152" t="s">
        <v>51</v>
      </c>
      <c r="E24" s="152" t="s">
        <v>51</v>
      </c>
      <c r="F24" s="152" t="s">
        <v>51</v>
      </c>
      <c r="G24" s="152" t="s">
        <v>51</v>
      </c>
      <c r="H24" s="152" t="s">
        <v>51</v>
      </c>
      <c r="I24" s="152">
        <f>(I22-D22)</f>
        <v>-0.013542594937196561</v>
      </c>
      <c r="J24" s="164">
        <f>(J22-E22)</f>
        <v>-0.015536801623758256</v>
      </c>
      <c r="K24" s="89"/>
      <c r="L24" s="89"/>
    </row>
    <row r="25">
      <c r="A25" s="89"/>
      <c r="B25" s="88" t="s">
        <v>126</v>
      </c>
      <c r="C25" s="86">
        <v>1050</v>
      </c>
      <c r="D25" s="86">
        <v>1082</v>
      </c>
      <c r="E25" s="86">
        <v>1129</v>
      </c>
      <c r="F25" s="86">
        <v>1146</v>
      </c>
      <c r="G25" s="95">
        <f>SUM(C25:F25)</f>
        <v>4407</v>
      </c>
      <c r="H25" s="86">
        <v>1170</v>
      </c>
      <c r="I25" s="86">
        <v>1209</v>
      </c>
      <c r="J25" s="121">
        <f>J19*J22*100*J$8/365</f>
        <v>1234.52590109589</v>
      </c>
      <c r="K25" s="89"/>
      <c r="L25" s="89"/>
    </row>
    <row r="26">
      <c r="A26" s="89"/>
      <c r="B26" s="87" t="s">
        <v>63</v>
      </c>
      <c r="C26" s="92" t="s">
        <v>51</v>
      </c>
      <c r="D26" s="92" t="s">
        <v>51</v>
      </c>
      <c r="E26" s="92" t="s">
        <v>51</v>
      </c>
      <c r="F26" s="92" t="s">
        <v>51</v>
      </c>
      <c r="G26" s="92" t="s">
        <v>51</v>
      </c>
      <c r="H26" s="92">
        <f>IF(C25&lt;=0,"n.m.",H25/C25-1)</f>
        <v>0.11428571428571432</v>
      </c>
      <c r="I26" s="92">
        <f>IF(D25&lt;=0,"n.m.",I25/D25-1)</f>
        <v>0.11737523105360448</v>
      </c>
      <c r="J26" s="91">
        <f>IF(E25&lt;=0,"n.m.",J25/E25-1)</f>
        <v>0.09346846864117797</v>
      </c>
      <c r="K26" s="89"/>
      <c r="L26" s="89"/>
    </row>
    <row r="27">
      <c r="A27" s="89"/>
      <c r="B27" s="87" t="s">
        <v>64</v>
      </c>
      <c r="C27" s="92" t="s">
        <v>51</v>
      </c>
      <c r="D27" s="92">
        <f>IF(C25&lt;=0,"n.m.",D25/C25-1)</f>
        <v>0.030476190476190546</v>
      </c>
      <c r="E27" s="92">
        <f>IF(D25&lt;=0,"n.m.",E25/D25-1)</f>
        <v>0.043438077634011085</v>
      </c>
      <c r="F27" s="92">
        <f>IF(E25&lt;=0,"n.m.",F25/E25-1)</f>
        <v>0.015057573073516295</v>
      </c>
      <c r="G27" s="92" t="s">
        <v>51</v>
      </c>
      <c r="H27" s="92">
        <f>IF(F25&lt;=0,"n.m.",H25/F25-1)</f>
        <v>0.020942408376963373</v>
      </c>
      <c r="I27" s="92">
        <f>IF(H25&lt;=0,"n.m.",I25/H25-1)</f>
        <v>0.03333333333333344</v>
      </c>
      <c r="J27" s="91">
        <f>IF(I25&lt;=0,"n.m.",J25/I25-1)</f>
        <v>0.021113234984193596</v>
      </c>
      <c r="K27" s="89"/>
      <c r="L27" s="89"/>
    </row>
    <row r="28">
      <c r="A28" s="89"/>
      <c r="B28" s="87" t="s">
        <v>127</v>
      </c>
      <c r="C28" s="92">
        <f>IF(C111=0,"n.m.",C25/C111)</f>
        <v>0.4589160839160839</v>
      </c>
      <c r="D28" s="92">
        <f>IF(D111=0,"n.m.",D25/D111)</f>
        <v>0.4394800974817222</v>
      </c>
      <c r="E28" s="92">
        <f>IF(E111=0,"n.m.",E25/E111)</f>
        <v>0.4613812832039232</v>
      </c>
      <c r="F28" s="92">
        <f>IF(F111=0,"n.m.",F25/F111)</f>
        <v>0.4613526570048309</v>
      </c>
      <c r="G28" s="92">
        <f>IF(G111=0,"n.m.",G25/G111)</f>
        <v>0.45522156801983266</v>
      </c>
      <c r="H28" s="92">
        <f>IF(H111=0,"n.m.",H25/H111)</f>
        <v>0.4368932038834951</v>
      </c>
      <c r="I28" s="92">
        <f>IF(I111=0,"n.m.",I25/I111)</f>
        <v>0.42751060820367753</v>
      </c>
      <c r="J28" s="91">
        <f>IF(J111=0,"n.m.",J25/J111)</f>
        <v>0.4550903953300745</v>
      </c>
      <c r="K28" s="89"/>
      <c r="L28" s="89"/>
    </row>
    <row r="29">
      <c r="A29" s="89"/>
      <c r="B29" s="87" t="s">
        <v>66</v>
      </c>
      <c r="C29" s="92" t="s">
        <v>67</v>
      </c>
      <c r="D29" s="92" t="s">
        <v>67</v>
      </c>
      <c r="E29" s="92" t="s">
        <v>67</v>
      </c>
      <c r="F29" s="92" t="s">
        <v>67</v>
      </c>
      <c r="G29" s="92" t="s">
        <v>67</v>
      </c>
      <c r="H29" s="92" t="s">
        <v>67</v>
      </c>
      <c r="I29" s="92" t="s">
        <v>67</v>
      </c>
      <c r="J29" s="91" t="s">
        <v>67</v>
      </c>
      <c r="K29" s="89"/>
      <c r="L29" s="94" t="s">
        <v>68</v>
      </c>
    </row>
    <row r="30">
      <c r="A30" s="89"/>
      <c r="B30" s="87" t="s">
        <v>69</v>
      </c>
      <c r="C30" s="92" t="s">
        <v>67</v>
      </c>
      <c r="D30" s="92" t="s">
        <v>67</v>
      </c>
      <c r="E30" s="92" t="s">
        <v>67</v>
      </c>
      <c r="F30" s="92" t="s">
        <v>67</v>
      </c>
      <c r="G30" s="92" t="s">
        <v>67</v>
      </c>
      <c r="H30" s="92" t="s">
        <v>67</v>
      </c>
      <c r="I30" s="92" t="s">
        <v>67</v>
      </c>
      <c r="J30" s="91" t="s">
        <v>67</v>
      </c>
      <c r="K30" s="89"/>
      <c r="L30" s="94" t="s">
        <v>70</v>
      </c>
    </row>
    <row r="31">
      <c r="A31" s="89"/>
      <c r="B31" s="87" t="s">
        <v>71</v>
      </c>
      <c r="C31" s="92" t="s">
        <v>67</v>
      </c>
      <c r="D31" s="92" t="s">
        <v>67</v>
      </c>
      <c r="E31" s="92" t="s">
        <v>67</v>
      </c>
      <c r="F31" s="92" t="s">
        <v>67</v>
      </c>
      <c r="G31" s="92" t="s">
        <v>67</v>
      </c>
      <c r="H31" s="92" t="s">
        <v>67</v>
      </c>
      <c r="I31" s="92" t="s">
        <v>67</v>
      </c>
      <c r="J31" s="91" t="s">
        <v>67</v>
      </c>
      <c r="K31" s="89"/>
      <c r="L31" s="94" t="s">
        <v>72</v>
      </c>
    </row>
    <row r="32" ht="23.24853515625">
      <c r="A32" s="89"/>
      <c r="B32" s="187" t="s">
        <v>128</v>
      </c>
      <c r="C32" s="86">
        <v>52</v>
      </c>
      <c r="D32" s="86">
        <v>56</v>
      </c>
      <c r="E32" s="86">
        <v>62</v>
      </c>
      <c r="F32" s="86">
        <v>69</v>
      </c>
      <c r="G32" s="95">
        <f>SUM(C32:F32)</f>
        <v>239</v>
      </c>
      <c r="H32" s="86">
        <v>72</v>
      </c>
      <c r="I32" s="86">
        <v>78</v>
      </c>
      <c r="J32" s="121" t="s">
        <v>129</v>
      </c>
      <c r="K32" s="89"/>
      <c r="L32" s="89"/>
    </row>
    <row r="33">
      <c r="A33" s="89"/>
      <c r="B33" s="87" t="s">
        <v>93</v>
      </c>
      <c r="C33" s="92" t="s">
        <v>51</v>
      </c>
      <c r="D33" s="92" t="s">
        <v>51</v>
      </c>
      <c r="E33" s="92" t="s">
        <v>51</v>
      </c>
      <c r="F33" s="92" t="s">
        <v>51</v>
      </c>
      <c r="G33" s="92" t="s">
        <v>51</v>
      </c>
      <c r="H33" s="92">
        <f>IF(C32&lt;=0,"n.m.",H32/C32-1)</f>
        <v>0.3846153846153846</v>
      </c>
      <c r="I33" s="92">
        <f>IF(D32&lt;=0,"n.m.",I32/D32-1)</f>
        <v>0.3928571428571428</v>
      </c>
      <c r="J33" s="91" t="s">
        <v>51</v>
      </c>
      <c r="K33" s="89"/>
      <c r="L33" s="89"/>
    </row>
    <row r="34" ht="23.25">
      <c r="A34" s="89"/>
      <c r="B34" s="187" t="s">
        <v>130</v>
      </c>
      <c r="C34" s="161">
        <v>504</v>
      </c>
      <c r="D34" s="161">
        <v>516</v>
      </c>
      <c r="E34" s="161">
        <v>554</v>
      </c>
      <c r="F34" s="161">
        <v>604</v>
      </c>
      <c r="G34" s="103">
        <f>F34</f>
        <v>604</v>
      </c>
      <c r="H34" s="161">
        <v>629</v>
      </c>
      <c r="I34" s="161">
        <v>645</v>
      </c>
      <c r="J34" s="128" t="s">
        <v>129</v>
      </c>
      <c r="K34" s="89"/>
      <c r="L34" s="89"/>
    </row>
    <row r="35">
      <c r="A35" s="89"/>
      <c r="B35" s="87" t="s">
        <v>93</v>
      </c>
      <c r="C35" s="92" t="s">
        <v>51</v>
      </c>
      <c r="D35" s="92" t="s">
        <v>51</v>
      </c>
      <c r="E35" s="92" t="s">
        <v>51</v>
      </c>
      <c r="F35" s="92" t="s">
        <v>51</v>
      </c>
      <c r="G35" s="92" t="s">
        <v>51</v>
      </c>
      <c r="H35" s="92">
        <f>IF(C34&lt;=0,"n.m.",H34/C34-1)</f>
        <v>0.24801587301587302</v>
      </c>
      <c r="I35" s="92">
        <f>IF(D34&lt;=0,"n.m.",I34/D34-1)</f>
        <v>0.25</v>
      </c>
      <c r="J35" s="91" t="s">
        <v>51</v>
      </c>
      <c r="K35" s="89"/>
      <c r="L35" s="89"/>
    </row>
    <row r="36">
      <c r="A36" s="89"/>
      <c r="B36" s="89"/>
      <c r="C36" s="89"/>
      <c r="D36" s="89"/>
      <c r="E36" s="89"/>
      <c r="F36" s="89"/>
      <c r="G36" s="89"/>
      <c r="H36" s="89"/>
      <c r="I36" s="89"/>
      <c r="J36" s="97"/>
      <c r="K36" s="89"/>
      <c r="L36" s="89"/>
    </row>
    <row r="37">
      <c r="A37" s="89"/>
      <c r="B37" s="104" t="s">
        <v>131</v>
      </c>
      <c r="C37" s="89"/>
      <c r="D37" s="89"/>
      <c r="E37" s="89"/>
      <c r="F37" s="89"/>
      <c r="G37" s="89"/>
      <c r="H37" s="89"/>
      <c r="I37" s="89"/>
      <c r="J37" s="97"/>
      <c r="K37" s="89"/>
      <c r="L37" s="89"/>
    </row>
    <row r="38" ht="23.25">
      <c r="A38" s="89"/>
      <c r="B38" s="187" t="s">
        <v>132</v>
      </c>
      <c r="C38" s="86">
        <v>13.9</v>
      </c>
      <c r="D38" s="86">
        <v>14.3</v>
      </c>
      <c r="E38" s="86">
        <v>14.5</v>
      </c>
      <c r="F38" s="86">
        <v>14.8</v>
      </c>
      <c r="G38" s="95">
        <f>F38</f>
        <v>14.8</v>
      </c>
      <c r="H38" s="86">
        <v>15</v>
      </c>
      <c r="I38" s="86">
        <v>15.2</v>
      </c>
      <c r="J38" s="136">
        <v>15.4</v>
      </c>
      <c r="K38" s="89"/>
      <c r="L38" s="94" t="s">
        <v>133</v>
      </c>
    </row>
    <row r="39">
      <c r="A39" s="89"/>
      <c r="B39" s="87" t="s">
        <v>93</v>
      </c>
      <c r="C39" s="92" t="s">
        <v>51</v>
      </c>
      <c r="D39" s="92" t="s">
        <v>51</v>
      </c>
      <c r="E39" s="92" t="s">
        <v>51</v>
      </c>
      <c r="F39" s="92" t="s">
        <v>51</v>
      </c>
      <c r="G39" s="92" t="s">
        <v>51</v>
      </c>
      <c r="H39" s="92">
        <f>IF(C38&lt;=0,"n.m.",H38/C38-1)</f>
        <v>0.07913669064748197</v>
      </c>
      <c r="I39" s="92">
        <f>IF(D38&lt;=0,"n.m.",I38/D38-1)</f>
        <v>0.06293706293706292</v>
      </c>
      <c r="J39" s="91">
        <f>IF(E38&lt;=0,"n.m.",J38/E38-1)</f>
        <v>0.0620689655172415</v>
      </c>
      <c r="K39" s="89"/>
      <c r="L39" s="89"/>
    </row>
    <row r="40">
      <c r="A40" s="89"/>
      <c r="B40" s="88" t="s">
        <v>94</v>
      </c>
      <c r="C40" s="95" t="s">
        <v>51</v>
      </c>
      <c r="D40" s="95">
        <f>D38-C38</f>
        <v>0.40000000000000036</v>
      </c>
      <c r="E40" s="95">
        <f>E38-D38</f>
        <v>0.1999999999999993</v>
      </c>
      <c r="F40" s="95">
        <f>F38-E38</f>
        <v>0.3000000000000007</v>
      </c>
      <c r="G40" s="95" t="s">
        <v>51</v>
      </c>
      <c r="H40" s="95">
        <f>H38-F38</f>
        <v>0.1999999999999993</v>
      </c>
      <c r="I40" s="95">
        <f>I38-H38</f>
        <v>0.1999999999999993</v>
      </c>
      <c r="J40" s="121">
        <f>J38-I38</f>
        <v>0.20000000000000107</v>
      </c>
      <c r="K40" s="89"/>
      <c r="L40" s="89"/>
    </row>
    <row r="41" ht="23.25">
      <c r="A41" s="89"/>
      <c r="B41" s="187" t="s">
        <v>134</v>
      </c>
      <c r="C41" s="161">
        <v>1576</v>
      </c>
      <c r="D41" s="161">
        <v>1568</v>
      </c>
      <c r="E41" s="161">
        <v>1601</v>
      </c>
      <c r="F41" s="161">
        <v>1614</v>
      </c>
      <c r="G41" s="103">
        <f>F41</f>
        <v>1614</v>
      </c>
      <c r="H41" s="161">
        <v>1632</v>
      </c>
      <c r="I41" s="161">
        <v>1655</v>
      </c>
      <c r="J41" s="160">
        <v>1665</v>
      </c>
      <c r="K41" s="89"/>
      <c r="L41" s="89"/>
    </row>
    <row r="42">
      <c r="A42" s="89"/>
      <c r="B42" s="87" t="s">
        <v>93</v>
      </c>
      <c r="C42" s="92" t="s">
        <v>51</v>
      </c>
      <c r="D42" s="92" t="s">
        <v>51</v>
      </c>
      <c r="E42" s="92" t="s">
        <v>51</v>
      </c>
      <c r="F42" s="92" t="s">
        <v>51</v>
      </c>
      <c r="G42" s="92" t="s">
        <v>51</v>
      </c>
      <c r="H42" s="92">
        <f>IF(C41&lt;=0,"n.m.",H41/C41-1)</f>
        <v>0.035532994923857864</v>
      </c>
      <c r="I42" s="92">
        <f>IF(D41&lt;=0,"n.m.",I41/D41-1)</f>
        <v>0.05548469387755106</v>
      </c>
      <c r="J42" s="91">
        <f>IF(E41&lt;=0,"n.m.",J41/E41-1)</f>
        <v>0.03997501561524053</v>
      </c>
      <c r="K42" s="89"/>
      <c r="L42" s="89"/>
    </row>
    <row r="43">
      <c r="A43" s="89"/>
      <c r="B43" s="88" t="s">
        <v>94</v>
      </c>
      <c r="C43" s="103" t="s">
        <v>51</v>
      </c>
      <c r="D43" s="103">
        <f>D41-C41</f>
        <v>-8</v>
      </c>
      <c r="E43" s="103">
        <f>E41-D41</f>
        <v>33</v>
      </c>
      <c r="F43" s="103">
        <f>F41-E41</f>
        <v>13</v>
      </c>
      <c r="G43" s="103" t="s">
        <v>51</v>
      </c>
      <c r="H43" s="103">
        <f>H41-F41</f>
        <v>18</v>
      </c>
      <c r="I43" s="103">
        <f>I41-H41</f>
        <v>23</v>
      </c>
      <c r="J43" s="128">
        <f>J41-I41</f>
        <v>10</v>
      </c>
      <c r="K43" s="89"/>
      <c r="L43" s="89"/>
    </row>
    <row r="44" ht="23.24853515625">
      <c r="A44" s="89"/>
      <c r="B44" s="187" t="s">
        <v>135</v>
      </c>
      <c r="C44" s="95">
        <f>C47/C38*365/C$8</f>
        <v>77.90167865707434</v>
      </c>
      <c r="D44" s="95">
        <f>D47/D38*365/D$8</f>
        <v>105.46376700222854</v>
      </c>
      <c r="E44" s="95">
        <f>E47/E38*365/E$8</f>
        <v>85.64092953523237</v>
      </c>
      <c r="F44" s="95">
        <f>F47/F38*365/F$8</f>
        <v>88.73017038777907</v>
      </c>
      <c r="G44" s="95">
        <f>G47/G38</f>
        <v>86.95945945945945</v>
      </c>
      <c r="H44" s="95">
        <f>H47/H38*365/H$8</f>
        <v>75.16296296296296</v>
      </c>
      <c r="I44" s="95">
        <f>I47/I38*365/I$8</f>
        <v>122.17683632157316</v>
      </c>
      <c r="J44" s="136">
        <v>97.5</v>
      </c>
      <c r="K44" s="89"/>
      <c r="L44" s="94" t="s">
        <v>136</v>
      </c>
    </row>
    <row r="45">
      <c r="A45" s="89"/>
      <c r="B45" s="87" t="s">
        <v>93</v>
      </c>
      <c r="C45" s="92" t="s">
        <v>51</v>
      </c>
      <c r="D45" s="92" t="s">
        <v>51</v>
      </c>
      <c r="E45" s="92" t="s">
        <v>51</v>
      </c>
      <c r="F45" s="92" t="s">
        <v>51</v>
      </c>
      <c r="G45" s="92" t="s">
        <v>51</v>
      </c>
      <c r="H45" s="92">
        <f>IF(C44&lt;=0,"n.m.",H44/C44-1)</f>
        <v>-0.03515605493133578</v>
      </c>
      <c r="I45" s="92">
        <f>IF(D44&lt;=0,"n.m.",I44/D44-1)</f>
        <v>0.15847214445688684</v>
      </c>
      <c r="J45" s="91">
        <f>IF(E44&lt;=0,"n.m.",J44/E44-1)</f>
        <v>0.13847433148059007</v>
      </c>
      <c r="K45" s="89"/>
      <c r="L45" s="89"/>
    </row>
    <row r="46">
      <c r="A46" s="89"/>
      <c r="B46" s="88" t="s">
        <v>94</v>
      </c>
      <c r="C46" s="95" t="s">
        <v>51</v>
      </c>
      <c r="D46" s="95">
        <f>D44-C44</f>
        <v>27.562088345154194</v>
      </c>
      <c r="E46" s="95">
        <f>E44-D44</f>
        <v>-19.822837466996162</v>
      </c>
      <c r="F46" s="95">
        <f>F44-E44</f>
        <v>3.089240852546695</v>
      </c>
      <c r="G46" s="95" t="s">
        <v>51</v>
      </c>
      <c r="H46" s="95">
        <f>H44-F44</f>
        <v>-13.567207424816104</v>
      </c>
      <c r="I46" s="95">
        <f>I44-H44</f>
        <v>47.0138733586102</v>
      </c>
      <c r="J46" s="121">
        <f>J44-I44</f>
        <v>-24.676836321573163</v>
      </c>
      <c r="K46" s="89"/>
      <c r="L46" s="89"/>
    </row>
    <row r="47">
      <c r="A47" s="89"/>
      <c r="B47" s="88" t="s">
        <v>137</v>
      </c>
      <c r="C47" s="86">
        <v>267</v>
      </c>
      <c r="D47" s="86">
        <v>376</v>
      </c>
      <c r="E47" s="86">
        <v>313</v>
      </c>
      <c r="F47" s="86">
        <v>331</v>
      </c>
      <c r="G47" s="95">
        <f>SUM(C47:F47)</f>
        <v>1287</v>
      </c>
      <c r="H47" s="86">
        <v>278</v>
      </c>
      <c r="I47" s="86">
        <v>463</v>
      </c>
      <c r="J47" s="121">
        <f>J38*J44*J$8/365</f>
        <v>378.46027397260275</v>
      </c>
      <c r="K47" s="89"/>
      <c r="L47" s="89"/>
    </row>
    <row r="48">
      <c r="A48" s="89"/>
      <c r="B48" s="87" t="s">
        <v>63</v>
      </c>
      <c r="C48" s="92" t="s">
        <v>51</v>
      </c>
      <c r="D48" s="92" t="s">
        <v>51</v>
      </c>
      <c r="E48" s="92" t="s">
        <v>51</v>
      </c>
      <c r="F48" s="92" t="s">
        <v>51</v>
      </c>
      <c r="G48" s="92" t="s">
        <v>51</v>
      </c>
      <c r="H48" s="92">
        <f>IF(C47&lt;=0,"n.m.",H47/C47-1)</f>
        <v>0.04119850187265928</v>
      </c>
      <c r="I48" s="92">
        <f>IF(D47&lt;=0,"n.m.",I47/D47-1)</f>
        <v>0.2313829787234043</v>
      </c>
      <c r="J48" s="91">
        <f>IF(E47&lt;=0,"n.m.",J47/E47-1)</f>
        <v>0.20913825550352305</v>
      </c>
      <c r="K48" s="89"/>
      <c r="L48" s="89"/>
    </row>
    <row r="49">
      <c r="A49" s="89"/>
      <c r="B49" s="87" t="s">
        <v>64</v>
      </c>
      <c r="C49" s="92" t="s">
        <v>51</v>
      </c>
      <c r="D49" s="92">
        <f>IF(C47&lt;=0,"n.m.",D47/C47-1)</f>
        <v>0.40823970037453194</v>
      </c>
      <c r="E49" s="92">
        <f>IF(D47&lt;=0,"n.m.",E47/D47-1)</f>
        <v>-0.16755319148936165</v>
      </c>
      <c r="F49" s="92">
        <f>IF(E47&lt;=0,"n.m.",F47/E47-1)</f>
        <v>0.057507987220447365</v>
      </c>
      <c r="G49" s="92" t="s">
        <v>51</v>
      </c>
      <c r="H49" s="92">
        <f>IF(F47&lt;=0,"n.m.",H47/F47-1)</f>
        <v>-0.16012084592145015</v>
      </c>
      <c r="I49" s="92">
        <f>IF(H47&lt;=0,"n.m.",I47/H47-1)</f>
        <v>0.6654676258992807</v>
      </c>
      <c r="J49" s="91">
        <f>IF(I47&lt;=0,"n.m.",J47/I47-1)</f>
        <v>-0.1825912009231042</v>
      </c>
      <c r="K49" s="89"/>
      <c r="L49" s="89"/>
    </row>
    <row r="50">
      <c r="A50" s="89"/>
      <c r="B50" s="87" t="s">
        <v>127</v>
      </c>
      <c r="C50" s="92">
        <f>IF(C111=0,"n.m.",C47/C111)</f>
        <v>0.11669580419580419</v>
      </c>
      <c r="D50" s="92">
        <f>IF(D111=0,"n.m.",D47/D111)</f>
        <v>0.15272136474411047</v>
      </c>
      <c r="E50" s="92">
        <f>IF(E111=0,"n.m.",E47/E111)</f>
        <v>0.12791172864732325</v>
      </c>
      <c r="F50" s="92">
        <f>IF(F111=0,"n.m.",F47/F111)</f>
        <v>0.13325281803542674</v>
      </c>
      <c r="G50" s="92">
        <f>IF(G111=0,"n.m.",G47/G111)</f>
        <v>0.13294081189959714</v>
      </c>
      <c r="H50" s="92">
        <f>IF(H111=0,"n.m.",H47/H111)</f>
        <v>0.10380881254667662</v>
      </c>
      <c r="I50" s="92">
        <f>IF(I111=0,"n.m.",I47/I111)</f>
        <v>0.1637199434229137</v>
      </c>
      <c r="J50" s="91">
        <f>IF(J111=0,"n.m.",J47/J111)</f>
        <v>0.1395139911977773</v>
      </c>
      <c r="K50" s="89"/>
      <c r="L50" s="89"/>
    </row>
    <row r="51">
      <c r="A51" s="89"/>
      <c r="B51" s="87" t="s">
        <v>66</v>
      </c>
      <c r="C51" s="92" t="s">
        <v>67</v>
      </c>
      <c r="D51" s="92" t="s">
        <v>67</v>
      </c>
      <c r="E51" s="92" t="s">
        <v>67</v>
      </c>
      <c r="F51" s="92" t="s">
        <v>67</v>
      </c>
      <c r="G51" s="92" t="s">
        <v>67</v>
      </c>
      <c r="H51" s="92" t="s">
        <v>67</v>
      </c>
      <c r="I51" s="92" t="s">
        <v>67</v>
      </c>
      <c r="J51" s="91" t="s">
        <v>67</v>
      </c>
      <c r="K51" s="89"/>
      <c r="L51" s="94" t="s">
        <v>68</v>
      </c>
    </row>
    <row r="52">
      <c r="A52" s="89"/>
      <c r="B52" s="87" t="s">
        <v>69</v>
      </c>
      <c r="C52" s="92" t="s">
        <v>67</v>
      </c>
      <c r="D52" s="92" t="s">
        <v>67</v>
      </c>
      <c r="E52" s="92" t="s">
        <v>67</v>
      </c>
      <c r="F52" s="92" t="s">
        <v>67</v>
      </c>
      <c r="G52" s="92" t="s">
        <v>67</v>
      </c>
      <c r="H52" s="92" t="s">
        <v>67</v>
      </c>
      <c r="I52" s="92" t="s">
        <v>67</v>
      </c>
      <c r="J52" s="91" t="s">
        <v>67</v>
      </c>
      <c r="K52" s="89"/>
      <c r="L52" s="94" t="s">
        <v>70</v>
      </c>
    </row>
    <row r="53">
      <c r="A53" s="89"/>
      <c r="B53" s="87" t="s">
        <v>71</v>
      </c>
      <c r="C53" s="92" t="s">
        <v>67</v>
      </c>
      <c r="D53" s="92" t="s">
        <v>67</v>
      </c>
      <c r="E53" s="92" t="s">
        <v>67</v>
      </c>
      <c r="F53" s="92" t="s">
        <v>67</v>
      </c>
      <c r="G53" s="92" t="s">
        <v>67</v>
      </c>
      <c r="H53" s="92" t="s">
        <v>67</v>
      </c>
      <c r="I53" s="92" t="s">
        <v>67</v>
      </c>
      <c r="J53" s="91" t="s">
        <v>67</v>
      </c>
      <c r="K53" s="89"/>
      <c r="L53" s="94" t="s">
        <v>72</v>
      </c>
    </row>
    <row r="54">
      <c r="A54" s="89"/>
      <c r="B54" s="104" t="s">
        <v>138</v>
      </c>
      <c r="C54" s="90">
        <f>C25+C47</f>
        <v>1317</v>
      </c>
      <c r="D54" s="90">
        <f>D25+D47</f>
        <v>1458</v>
      </c>
      <c r="E54" s="90">
        <f>E25+E47</f>
        <v>1442</v>
      </c>
      <c r="F54" s="90">
        <f>F25+F47</f>
        <v>1477</v>
      </c>
      <c r="G54" s="90">
        <f>G25+G47</f>
        <v>5694</v>
      </c>
      <c r="H54" s="90">
        <f>H25+H47</f>
        <v>1448</v>
      </c>
      <c r="I54" s="90">
        <f>I25+I47</f>
        <v>1672</v>
      </c>
      <c r="J54" s="135">
        <f>J25+J47</f>
        <v>1612.9861750684927</v>
      </c>
      <c r="K54" s="89"/>
      <c r="L54" s="89"/>
    </row>
    <row r="55">
      <c r="A55" s="89"/>
      <c r="B55" s="87" t="s">
        <v>63</v>
      </c>
      <c r="C55" s="92" t="s">
        <v>51</v>
      </c>
      <c r="D55" s="92" t="s">
        <v>51</v>
      </c>
      <c r="E55" s="92" t="s">
        <v>51</v>
      </c>
      <c r="F55" s="92" t="s">
        <v>51</v>
      </c>
      <c r="G55" s="92" t="s">
        <v>51</v>
      </c>
      <c r="H55" s="92">
        <f>IF(C54&lt;=0,"n.m.",H54/C54-1)</f>
        <v>0.09946848899012917</v>
      </c>
      <c r="I55" s="92">
        <f>IF(D54&lt;=0,"n.m.",I54/D54-1)</f>
        <v>0.14677640603566533</v>
      </c>
      <c r="J55" s="91">
        <f>IF(E54&lt;=0,"n.m.",J54/E54-1)</f>
        <v>0.11857571086580632</v>
      </c>
      <c r="K55" s="89"/>
      <c r="L55" s="89"/>
    </row>
    <row r="56">
      <c r="A56" s="89"/>
      <c r="B56" s="87" t="s">
        <v>64</v>
      </c>
      <c r="C56" s="92" t="s">
        <v>51</v>
      </c>
      <c r="D56" s="92">
        <f>IF(C54&lt;=0,"n.m.",D54/C54-1)</f>
        <v>0.1070615034168565</v>
      </c>
      <c r="E56" s="92">
        <f>IF(D54&lt;=0,"n.m.",E54/D54-1)</f>
        <v>-0.010973936899862813</v>
      </c>
      <c r="F56" s="92">
        <f>IF(E54&lt;=0,"n.m.",F54/E54-1)</f>
        <v>0.024271844660194164</v>
      </c>
      <c r="G56" s="92" t="s">
        <v>51</v>
      </c>
      <c r="H56" s="92">
        <f>IF(F54&lt;=0,"n.m.",H54/F54-1)</f>
        <v>-0.019634394041976977</v>
      </c>
      <c r="I56" s="92">
        <f>IF(H54&lt;=0,"n.m.",I54/H54-1)</f>
        <v>0.15469613259668513</v>
      </c>
      <c r="J56" s="91">
        <f>IF(I54&lt;=0,"n.m.",J54/I54-1)</f>
        <v>-0.03529534983941829</v>
      </c>
      <c r="K56" s="89"/>
      <c r="L56" s="89"/>
    </row>
    <row r="57">
      <c r="A57" s="89"/>
      <c r="B57" s="87" t="s">
        <v>127</v>
      </c>
      <c r="C57" s="92">
        <f>IF(C111=0,"n.m.",C54/C111)</f>
        <v>0.5756118881118881</v>
      </c>
      <c r="D57" s="92">
        <f>IF(D111=0,"n.m.",D54/D111)</f>
        <v>0.5922014622258327</v>
      </c>
      <c r="E57" s="92">
        <f>IF(E111=0,"n.m.",E54/E111)</f>
        <v>0.5892930118512464</v>
      </c>
      <c r="F57" s="92">
        <f>IF(F111=0,"n.m.",F54/F111)</f>
        <v>0.5946054750402576</v>
      </c>
      <c r="G57" s="92">
        <f>IF(G111=0,"n.m.",G54/G111)</f>
        <v>0.5881623799194298</v>
      </c>
      <c r="H57" s="92">
        <f>IF(H111=0,"n.m.",H54/H111)</f>
        <v>0.5407020164301718</v>
      </c>
      <c r="I57" s="92">
        <f>IF(I111=0,"n.m.",I54/I111)</f>
        <v>0.5912305516265912</v>
      </c>
      <c r="J57" s="91">
        <f>IF(J111=0,"n.m.",J54/J111)</f>
        <v>0.5946043865278517</v>
      </c>
      <c r="K57" s="89"/>
      <c r="L57" s="89"/>
    </row>
    <row r="58">
      <c r="A58" s="89"/>
      <c r="B58" s="87" t="s">
        <v>66</v>
      </c>
      <c r="C58" s="92" t="s">
        <v>67</v>
      </c>
      <c r="D58" s="92" t="s">
        <v>67</v>
      </c>
      <c r="E58" s="92" t="s">
        <v>67</v>
      </c>
      <c r="F58" s="92" t="s">
        <v>67</v>
      </c>
      <c r="G58" s="92" t="s">
        <v>67</v>
      </c>
      <c r="H58" s="92" t="s">
        <v>67</v>
      </c>
      <c r="I58" s="92" t="s">
        <v>67</v>
      </c>
      <c r="J58" s="91" t="s">
        <v>67</v>
      </c>
      <c r="K58" s="89"/>
      <c r="L58" s="94" t="s">
        <v>68</v>
      </c>
    </row>
    <row r="59">
      <c r="A59" s="89"/>
      <c r="B59" s="87" t="s">
        <v>69</v>
      </c>
      <c r="C59" s="92" t="s">
        <v>67</v>
      </c>
      <c r="D59" s="92" t="s">
        <v>67</v>
      </c>
      <c r="E59" s="92" t="s">
        <v>67</v>
      </c>
      <c r="F59" s="92" t="s">
        <v>67</v>
      </c>
      <c r="G59" s="92" t="s">
        <v>67</v>
      </c>
      <c r="H59" s="92" t="s">
        <v>67</v>
      </c>
      <c r="I59" s="92" t="s">
        <v>67</v>
      </c>
      <c r="J59" s="91" t="s">
        <v>67</v>
      </c>
      <c r="K59" s="89"/>
      <c r="L59" s="94" t="s">
        <v>70</v>
      </c>
    </row>
    <row r="60">
      <c r="A60" s="89"/>
      <c r="B60" s="87" t="s">
        <v>71</v>
      </c>
      <c r="C60" s="92" t="s">
        <v>67</v>
      </c>
      <c r="D60" s="92" t="s">
        <v>67</v>
      </c>
      <c r="E60" s="92" t="s">
        <v>67</v>
      </c>
      <c r="F60" s="92" t="s">
        <v>67</v>
      </c>
      <c r="G60" s="92" t="s">
        <v>67</v>
      </c>
      <c r="H60" s="92" t="s">
        <v>67</v>
      </c>
      <c r="I60" s="92" t="s">
        <v>67</v>
      </c>
      <c r="J60" s="91" t="s">
        <v>67</v>
      </c>
      <c r="K60" s="89"/>
      <c r="L60" s="94" t="s">
        <v>72</v>
      </c>
    </row>
    <row r="61">
      <c r="A61" s="89"/>
      <c r="B61" s="89"/>
      <c r="C61" s="89"/>
      <c r="D61" s="89"/>
      <c r="E61" s="89"/>
      <c r="F61" s="89"/>
      <c r="G61" s="89"/>
      <c r="H61" s="89"/>
      <c r="I61" s="89"/>
      <c r="J61" s="97"/>
      <c r="K61" s="89"/>
      <c r="L61" s="89"/>
    </row>
    <row r="62">
      <c r="A62" s="89"/>
      <c r="B62" s="104" t="s">
        <v>139</v>
      </c>
      <c r="C62" s="89"/>
      <c r="D62" s="89"/>
      <c r="E62" s="89"/>
      <c r="F62" s="89"/>
      <c r="G62" s="89"/>
      <c r="H62" s="89"/>
      <c r="I62" s="89"/>
      <c r="J62" s="97"/>
      <c r="K62" s="89"/>
      <c r="L62" s="89"/>
    </row>
    <row r="63" ht="23.24853515625">
      <c r="A63" s="89"/>
      <c r="B63" s="187" t="s">
        <v>140</v>
      </c>
      <c r="C63" s="95" t="s">
        <v>51</v>
      </c>
      <c r="D63" s="95">
        <f>D66/D19*365/D$8</f>
        <v>18.044295036582955</v>
      </c>
      <c r="E63" s="95">
        <f>E66/E19*365/E$8</f>
        <v>13.93948296122209</v>
      </c>
      <c r="F63" s="95">
        <f>F66/F19*365/F$8</f>
        <v>13.381699886398842</v>
      </c>
      <c r="G63" s="95" t="s">
        <v>51</v>
      </c>
      <c r="H63" s="95">
        <f>H66/H19*365/H$8</f>
        <v>18.61566484517304</v>
      </c>
      <c r="I63" s="95">
        <f>I66/I19*365/I$8</f>
        <v>18.505244755244753</v>
      </c>
      <c r="J63" s="136">
        <v>16</v>
      </c>
      <c r="K63" s="89"/>
      <c r="L63" s="94" t="s">
        <v>141</v>
      </c>
    </row>
    <row r="64">
      <c r="A64" s="89"/>
      <c r="B64" s="87" t="s">
        <v>93</v>
      </c>
      <c r="C64" s="92" t="s">
        <v>51</v>
      </c>
      <c r="D64" s="92" t="s">
        <v>51</v>
      </c>
      <c r="E64" s="92" t="s">
        <v>51</v>
      </c>
      <c r="F64" s="92" t="s">
        <v>51</v>
      </c>
      <c r="G64" s="92" t="s">
        <v>51</v>
      </c>
      <c r="H64" s="92" t="s">
        <v>51</v>
      </c>
      <c r="I64" s="92">
        <f>IF(D63&lt;=0,"n.m.",I63/D63-1)</f>
        <v>0.025545454545454316</v>
      </c>
      <c r="J64" s="91">
        <f>IF(E63&lt;=0,"n.m.",J63/E63-1)</f>
        <v>0.14781875658587995</v>
      </c>
      <c r="K64" s="89"/>
      <c r="L64" s="89"/>
    </row>
    <row r="65">
      <c r="A65" s="89"/>
      <c r="B65" s="88" t="s">
        <v>94</v>
      </c>
      <c r="C65" s="95" t="s">
        <v>51</v>
      </c>
      <c r="D65" s="95" t="s">
        <v>51</v>
      </c>
      <c r="E65" s="95">
        <f>E63-D63</f>
        <v>-4.104812075360865</v>
      </c>
      <c r="F65" s="95">
        <f>F63-E63</f>
        <v>-0.5577830748232486</v>
      </c>
      <c r="G65" s="95" t="s">
        <v>51</v>
      </c>
      <c r="H65" s="95">
        <f>H63-F63</f>
        <v>5.233964958774198</v>
      </c>
      <c r="I65" s="95">
        <f>I63-H63</f>
        <v>-0.11042008992828656</v>
      </c>
      <c r="J65" s="121">
        <f>J63-I63</f>
        <v>-2.505244755244753</v>
      </c>
      <c r="K65" s="89"/>
      <c r="L65" s="89"/>
    </row>
    <row r="66">
      <c r="A66" s="89"/>
      <c r="B66" s="88" t="s">
        <v>142</v>
      </c>
      <c r="C66" s="86">
        <v>136</v>
      </c>
      <c r="D66" s="86">
        <v>175</v>
      </c>
      <c r="E66" s="86">
        <v>143</v>
      </c>
      <c r="F66" s="86">
        <v>142</v>
      </c>
      <c r="G66" s="95">
        <f>SUM(C66:F66)</f>
        <v>596</v>
      </c>
      <c r="H66" s="86">
        <v>196</v>
      </c>
      <c r="I66" s="86">
        <v>203</v>
      </c>
      <c r="J66" s="121">
        <f>J19*J63*J$8/365</f>
        <v>182.04990246575338</v>
      </c>
      <c r="K66" s="89"/>
      <c r="L66" s="89"/>
    </row>
    <row r="67">
      <c r="A67" s="89"/>
      <c r="B67" s="87" t="s">
        <v>63</v>
      </c>
      <c r="C67" s="92" t="s">
        <v>51</v>
      </c>
      <c r="D67" s="92" t="s">
        <v>51</v>
      </c>
      <c r="E67" s="92" t="s">
        <v>51</v>
      </c>
      <c r="F67" s="92" t="s">
        <v>51</v>
      </c>
      <c r="G67" s="92" t="s">
        <v>51</v>
      </c>
      <c r="H67" s="92">
        <f>IF(C66&lt;=0,"n.m.",H66/C66-1)</f>
        <v>0.4411764705882353</v>
      </c>
      <c r="I67" s="92">
        <f>IF(D66&lt;=0,"n.m.",I66/D66-1)</f>
        <v>0.15999999999999992</v>
      </c>
      <c r="J67" s="91">
        <f>IF(E66&lt;=0,"n.m.",J66/E66-1)</f>
        <v>0.27307624101925443</v>
      </c>
      <c r="K67" s="89"/>
      <c r="L67" s="89"/>
    </row>
    <row r="68">
      <c r="A68" s="89"/>
      <c r="B68" s="87" t="s">
        <v>64</v>
      </c>
      <c r="C68" s="92" t="s">
        <v>51</v>
      </c>
      <c r="D68" s="92">
        <f>IF(C66&lt;=0,"n.m.",D66/C66-1)</f>
        <v>0.28676470588235303</v>
      </c>
      <c r="E68" s="92">
        <f>IF(D66&lt;=0,"n.m.",E66/D66-1)</f>
        <v>-0.18285714285714283</v>
      </c>
      <c r="F68" s="92">
        <f>IF(E66&lt;=0,"n.m.",F66/E66-1)</f>
        <v>-0.006993006993006978</v>
      </c>
      <c r="G68" s="92" t="s">
        <v>51</v>
      </c>
      <c r="H68" s="92">
        <f>IF(F66&lt;=0,"n.m.",H66/F66-1)</f>
        <v>0.380281690140845</v>
      </c>
      <c r="I68" s="92">
        <f>IF(H66&lt;=0,"n.m.",I66/H66-1)</f>
        <v>0.03571428571428581</v>
      </c>
      <c r="J68" s="91">
        <f>IF(I66&lt;=0,"n.m.",J66/I66-1)</f>
        <v>-0.10320245090761881</v>
      </c>
      <c r="K68" s="89"/>
      <c r="L68" s="89"/>
    </row>
    <row r="69">
      <c r="A69" s="89"/>
      <c r="B69" s="87" t="s">
        <v>127</v>
      </c>
      <c r="C69" s="92">
        <f>IF(C111=0,"n.m.",C66/C111)</f>
        <v>0.05944055944055944</v>
      </c>
      <c r="D69" s="92">
        <f>IF(D111=0,"n.m.",D66/D111)</f>
        <v>0.0710804224207961</v>
      </c>
      <c r="E69" s="92">
        <f>IF(E111=0,"n.m.",E66/E111)</f>
        <v>0.05843890478136494</v>
      </c>
      <c r="F69" s="92">
        <f>IF(F111=0,"n.m.",F66/F111)</f>
        <v>0.0571658615136876</v>
      </c>
      <c r="G69" s="92">
        <f>IF(G111=0,"n.m.",G66/G111)</f>
        <v>0.06156388802809627</v>
      </c>
      <c r="H69" s="92">
        <f>IF(H111=0,"n.m.",H66/H111)</f>
        <v>0.07318894697535475</v>
      </c>
      <c r="I69" s="92">
        <f>IF(I111=0,"n.m.",I66/I111)</f>
        <v>0.07178217821782178</v>
      </c>
      <c r="J69" s="91">
        <f>IF(J111=0,"n.m.",J66/J111)</f>
        <v>0.06711010438047181</v>
      </c>
      <c r="K69" s="89"/>
      <c r="L69" s="89"/>
    </row>
    <row r="70">
      <c r="A70" s="89"/>
      <c r="B70" s="87" t="s">
        <v>66</v>
      </c>
      <c r="C70" s="92" t="s">
        <v>67</v>
      </c>
      <c r="D70" s="92" t="s">
        <v>67</v>
      </c>
      <c r="E70" s="92" t="s">
        <v>67</v>
      </c>
      <c r="F70" s="92" t="s">
        <v>67</v>
      </c>
      <c r="G70" s="92" t="s">
        <v>67</v>
      </c>
      <c r="H70" s="92" t="s">
        <v>67</v>
      </c>
      <c r="I70" s="92" t="s">
        <v>67</v>
      </c>
      <c r="J70" s="91" t="s">
        <v>67</v>
      </c>
      <c r="K70" s="89"/>
      <c r="L70" s="94" t="s">
        <v>68</v>
      </c>
    </row>
    <row r="71">
      <c r="A71" s="89"/>
      <c r="B71" s="87" t="s">
        <v>69</v>
      </c>
      <c r="C71" s="92" t="s">
        <v>67</v>
      </c>
      <c r="D71" s="92" t="s">
        <v>67</v>
      </c>
      <c r="E71" s="92" t="s">
        <v>67</v>
      </c>
      <c r="F71" s="92" t="s">
        <v>67</v>
      </c>
      <c r="G71" s="92" t="s">
        <v>67</v>
      </c>
      <c r="H71" s="92" t="s">
        <v>67</v>
      </c>
      <c r="I71" s="92" t="s">
        <v>67</v>
      </c>
      <c r="J71" s="91" t="s">
        <v>67</v>
      </c>
      <c r="K71" s="89"/>
      <c r="L71" s="94" t="s">
        <v>70</v>
      </c>
    </row>
    <row r="72">
      <c r="A72" s="89"/>
      <c r="B72" s="87" t="s">
        <v>71</v>
      </c>
      <c r="C72" s="92" t="s">
        <v>67</v>
      </c>
      <c r="D72" s="92" t="s">
        <v>67</v>
      </c>
      <c r="E72" s="92" t="s">
        <v>67</v>
      </c>
      <c r="F72" s="92" t="s">
        <v>67</v>
      </c>
      <c r="G72" s="92" t="s">
        <v>67</v>
      </c>
      <c r="H72" s="92" t="s">
        <v>67</v>
      </c>
      <c r="I72" s="92" t="s">
        <v>67</v>
      </c>
      <c r="J72" s="91" t="s">
        <v>67</v>
      </c>
      <c r="K72" s="89"/>
      <c r="L72" s="94" t="s">
        <v>72</v>
      </c>
    </row>
    <row r="73" ht="14.624267578125">
      <c r="A73" s="89"/>
      <c r="B73" s="187" t="s">
        <v>143</v>
      </c>
      <c r="C73" s="86">
        <v>65</v>
      </c>
      <c r="D73" s="86">
        <v>60</v>
      </c>
      <c r="E73" s="86">
        <v>73</v>
      </c>
      <c r="F73" s="86">
        <v>68</v>
      </c>
      <c r="G73" s="95">
        <f>SUM(C73:F73)</f>
        <v>266</v>
      </c>
      <c r="H73" s="86">
        <v>74</v>
      </c>
      <c r="I73" s="86">
        <v>77</v>
      </c>
      <c r="J73" s="136">
        <v>75</v>
      </c>
      <c r="K73" s="89"/>
      <c r="L73" s="94" t="s">
        <v>144</v>
      </c>
    </row>
    <row r="74">
      <c r="A74" s="89"/>
      <c r="B74" s="87" t="s">
        <v>63</v>
      </c>
      <c r="C74" s="92" t="s">
        <v>51</v>
      </c>
      <c r="D74" s="92" t="s">
        <v>51</v>
      </c>
      <c r="E74" s="92" t="s">
        <v>51</v>
      </c>
      <c r="F74" s="92" t="s">
        <v>51</v>
      </c>
      <c r="G74" s="92" t="s">
        <v>51</v>
      </c>
      <c r="H74" s="92">
        <f>IF(C73&lt;=0,"n.m.",H73/C73-1)</f>
        <v>0.1384615384615384</v>
      </c>
      <c r="I74" s="92">
        <f>IF(D73&lt;=0,"n.m.",I73/D73-1)</f>
        <v>0.28333333333333344</v>
      </c>
      <c r="J74" s="91">
        <f>IF(E73&lt;=0,"n.m.",J73/E73-1)</f>
        <v>0.027397260273972712</v>
      </c>
      <c r="K74" s="89"/>
      <c r="L74" s="89"/>
    </row>
    <row r="75">
      <c r="A75" s="89"/>
      <c r="B75" s="87" t="s">
        <v>64</v>
      </c>
      <c r="C75" s="92" t="s">
        <v>51</v>
      </c>
      <c r="D75" s="92">
        <f>IF(C73&lt;=0,"n.m.",D73/C73-1)</f>
        <v>-0.07692307692307687</v>
      </c>
      <c r="E75" s="92">
        <f>IF(D73&lt;=0,"n.m.",E73/D73-1)</f>
        <v>0.21666666666666656</v>
      </c>
      <c r="F75" s="92">
        <f>IF(E73&lt;=0,"n.m.",F73/E73-1)</f>
        <v>-0.06849315068493156</v>
      </c>
      <c r="G75" s="92" t="s">
        <v>51</v>
      </c>
      <c r="H75" s="92">
        <f>IF(F73&lt;=0,"n.m.",H73/F73-1)</f>
        <v>0.08823529411764697</v>
      </c>
      <c r="I75" s="92">
        <f>IF(H73&lt;=0,"n.m.",I73/H73-1)</f>
        <v>0.04054054054054057</v>
      </c>
      <c r="J75" s="91">
        <f>IF(I73&lt;=0,"n.m.",J73/I73-1)</f>
        <v>-0.025974025974025983</v>
      </c>
      <c r="K75" s="89"/>
      <c r="L75" s="89"/>
    </row>
    <row r="76">
      <c r="A76" s="89"/>
      <c r="B76" s="87" t="s">
        <v>127</v>
      </c>
      <c r="C76" s="92">
        <f>IF(C111=0,"n.m.",C73/C111)</f>
        <v>0.028409090909090908</v>
      </c>
      <c r="D76" s="92">
        <f>IF(D111=0,"n.m.",D73/D111)</f>
        <v>0.024370430544272948</v>
      </c>
      <c r="E76" s="92">
        <f>IF(E111=0,"n.m.",E73/E111)</f>
        <v>0.0298324478953821</v>
      </c>
      <c r="F76" s="92">
        <f>IF(F111=0,"n.m.",F73/F111)</f>
        <v>0.027375201288244767</v>
      </c>
      <c r="G76" s="92">
        <f>IF(G111=0,"n.m.",G73/G111)</f>
        <v>0.0274765003615329</v>
      </c>
      <c r="H76" s="92">
        <f>IF(H111=0,"n.m.",H73/H111)</f>
        <v>0.027632561613144136</v>
      </c>
      <c r="I76" s="92">
        <f>IF(I111=0,"n.m.",I73/I111)</f>
        <v>0.027227722772277228</v>
      </c>
      <c r="J76" s="91">
        <f>IF(J111=0,"n.m.",J73/J111)</f>
        <v>0.027647682093552485</v>
      </c>
      <c r="K76" s="89"/>
      <c r="L76" s="89"/>
    </row>
    <row r="77">
      <c r="A77" s="89"/>
      <c r="B77" s="87" t="s">
        <v>66</v>
      </c>
      <c r="C77" s="92" t="s">
        <v>67</v>
      </c>
      <c r="D77" s="92" t="s">
        <v>67</v>
      </c>
      <c r="E77" s="92" t="s">
        <v>67</v>
      </c>
      <c r="F77" s="92" t="s">
        <v>67</v>
      </c>
      <c r="G77" s="92" t="s">
        <v>67</v>
      </c>
      <c r="H77" s="92" t="s">
        <v>67</v>
      </c>
      <c r="I77" s="92" t="s">
        <v>67</v>
      </c>
      <c r="J77" s="91" t="s">
        <v>67</v>
      </c>
      <c r="K77" s="89"/>
      <c r="L77" s="94" t="s">
        <v>68</v>
      </c>
    </row>
    <row r="78">
      <c r="A78" s="89"/>
      <c r="B78" s="87" t="s">
        <v>69</v>
      </c>
      <c r="C78" s="92" t="s">
        <v>67</v>
      </c>
      <c r="D78" s="92" t="s">
        <v>67</v>
      </c>
      <c r="E78" s="92" t="s">
        <v>67</v>
      </c>
      <c r="F78" s="92" t="s">
        <v>67</v>
      </c>
      <c r="G78" s="92" t="s">
        <v>67</v>
      </c>
      <c r="H78" s="92" t="s">
        <v>67</v>
      </c>
      <c r="I78" s="92" t="s">
        <v>67</v>
      </c>
      <c r="J78" s="91" t="s">
        <v>67</v>
      </c>
      <c r="K78" s="89"/>
      <c r="L78" s="94" t="s">
        <v>70</v>
      </c>
    </row>
    <row r="79">
      <c r="A79" s="89"/>
      <c r="B79" s="87" t="s">
        <v>71</v>
      </c>
      <c r="C79" s="92" t="s">
        <v>67</v>
      </c>
      <c r="D79" s="92" t="s">
        <v>67</v>
      </c>
      <c r="E79" s="92" t="s">
        <v>67</v>
      </c>
      <c r="F79" s="92" t="s">
        <v>67</v>
      </c>
      <c r="G79" s="92" t="s">
        <v>67</v>
      </c>
      <c r="H79" s="92" t="s">
        <v>67</v>
      </c>
      <c r="I79" s="92" t="s">
        <v>67</v>
      </c>
      <c r="J79" s="91" t="s">
        <v>67</v>
      </c>
      <c r="K79" s="89"/>
      <c r="L79" s="94" t="s">
        <v>72</v>
      </c>
    </row>
    <row r="80">
      <c r="A80" s="89"/>
      <c r="B80" s="104" t="s">
        <v>145</v>
      </c>
      <c r="C80" s="90">
        <f>C54+C66+C73</f>
        <v>1518</v>
      </c>
      <c r="D80" s="90">
        <f>D54+D66+D73</f>
        <v>1693</v>
      </c>
      <c r="E80" s="90">
        <f>E54+E66+E73</f>
        <v>1658</v>
      </c>
      <c r="F80" s="90">
        <f>F54+F66+F73</f>
        <v>1687</v>
      </c>
      <c r="G80" s="90">
        <f>G54+G66+G73</f>
        <v>6556</v>
      </c>
      <c r="H80" s="90">
        <f>H54+H66+H73</f>
        <v>1718</v>
      </c>
      <c r="I80" s="90">
        <f>I54+I66+I73</f>
        <v>1952</v>
      </c>
      <c r="J80" s="135">
        <f>J54+J66+J73</f>
        <v>1870.036077534246</v>
      </c>
      <c r="K80" s="89"/>
      <c r="L80" s="89"/>
    </row>
    <row r="81">
      <c r="A81" s="89"/>
      <c r="B81" s="87" t="s">
        <v>63</v>
      </c>
      <c r="C81" s="92" t="s">
        <v>51</v>
      </c>
      <c r="D81" s="92" t="s">
        <v>51</v>
      </c>
      <c r="E81" s="92" t="s">
        <v>51</v>
      </c>
      <c r="F81" s="92" t="s">
        <v>51</v>
      </c>
      <c r="G81" s="92" t="s">
        <v>51</v>
      </c>
      <c r="H81" s="92">
        <f>IF(C80&lt;=0,"n.m.",H80/C80-1)</f>
        <v>0.13175230566534912</v>
      </c>
      <c r="I81" s="92">
        <f>IF(D80&lt;=0,"n.m.",I80/D80-1)</f>
        <v>0.15298287064382743</v>
      </c>
      <c r="J81" s="91">
        <f>IF(E80&lt;=0,"n.m.",J80/E80-1)</f>
        <v>0.12788665713766356</v>
      </c>
      <c r="K81" s="89"/>
      <c r="L81" s="89"/>
    </row>
    <row r="82">
      <c r="A82" s="89"/>
      <c r="B82" s="87" t="s">
        <v>64</v>
      </c>
      <c r="C82" s="92" t="s">
        <v>51</v>
      </c>
      <c r="D82" s="92">
        <f>IF(C80&lt;=0,"n.m.",D80/C80-1)</f>
        <v>0.11528326745718043</v>
      </c>
      <c r="E82" s="92">
        <f>IF(D80&lt;=0,"n.m.",E80/D80-1)</f>
        <v>-0.020673360897814574</v>
      </c>
      <c r="F82" s="92">
        <f>IF(E80&lt;=0,"n.m.",F80/E80-1)</f>
        <v>0.017490952955367955</v>
      </c>
      <c r="G82" s="92" t="s">
        <v>51</v>
      </c>
      <c r="H82" s="92">
        <f>IF(F80&lt;=0,"n.m.",H80/F80-1)</f>
        <v>0.018375815056312916</v>
      </c>
      <c r="I82" s="92">
        <f>IF(H80&lt;=0,"n.m.",I80/H80-1)</f>
        <v>0.1362048894062864</v>
      </c>
      <c r="J82" s="91">
        <f>IF(I80&lt;=0,"n.m.",J80/I80-1)</f>
        <v>-0.04198971437794774</v>
      </c>
      <c r="K82" s="89"/>
      <c r="L82" s="89"/>
    </row>
    <row r="83">
      <c r="A83" s="89"/>
      <c r="B83" s="87" t="s">
        <v>127</v>
      </c>
      <c r="C83" s="92">
        <f>IF(C111=0,"n.m.",C80/C111)</f>
        <v>0.6634615384615384</v>
      </c>
      <c r="D83" s="92">
        <f>IF(D111=0,"n.m.",D80/D111)</f>
        <v>0.6876523151909018</v>
      </c>
      <c r="E83" s="92">
        <f>IF(E111=0,"n.m.",E80/E111)</f>
        <v>0.6775643645279935</v>
      </c>
      <c r="F83" s="92">
        <f>IF(F111=0,"n.m.",F80/F111)</f>
        <v>0.67914653784219</v>
      </c>
      <c r="G83" s="92">
        <f>IF(G111=0,"n.m.",G80/G111)</f>
        <v>0.677202768309059</v>
      </c>
      <c r="H83" s="92">
        <f>IF(H111=0,"n.m.",H80/H111)</f>
        <v>0.6415235250186706</v>
      </c>
      <c r="I83" s="92">
        <f>IF(I111=0,"n.m.",I80/I111)</f>
        <v>0.6902404526166902</v>
      </c>
      <c r="J83" s="91">
        <f>IF(J111=0,"n.m.",J80/J111)</f>
        <v>0.6893621730018761</v>
      </c>
      <c r="K83" s="89"/>
      <c r="L83" s="89"/>
    </row>
    <row r="84">
      <c r="A84" s="89"/>
      <c r="B84" s="87" t="s">
        <v>66</v>
      </c>
      <c r="C84" s="92" t="s">
        <v>67</v>
      </c>
      <c r="D84" s="92" t="s">
        <v>67</v>
      </c>
      <c r="E84" s="92" t="s">
        <v>67</v>
      </c>
      <c r="F84" s="92" t="s">
        <v>67</v>
      </c>
      <c r="G84" s="92" t="s">
        <v>67</v>
      </c>
      <c r="H84" s="92" t="s">
        <v>67</v>
      </c>
      <c r="I84" s="92" t="s">
        <v>67</v>
      </c>
      <c r="J84" s="91" t="s">
        <v>67</v>
      </c>
      <c r="K84" s="89"/>
      <c r="L84" s="94" t="s">
        <v>68</v>
      </c>
    </row>
    <row r="85">
      <c r="A85" s="89"/>
      <c r="B85" s="87" t="s">
        <v>69</v>
      </c>
      <c r="C85" s="92" t="s">
        <v>67</v>
      </c>
      <c r="D85" s="92" t="s">
        <v>67</v>
      </c>
      <c r="E85" s="92" t="s">
        <v>67</v>
      </c>
      <c r="F85" s="92" t="s">
        <v>67</v>
      </c>
      <c r="G85" s="92" t="s">
        <v>67</v>
      </c>
      <c r="H85" s="92" t="s">
        <v>67</v>
      </c>
      <c r="I85" s="92" t="s">
        <v>67</v>
      </c>
      <c r="J85" s="91" t="s">
        <v>67</v>
      </c>
      <c r="K85" s="89"/>
      <c r="L85" s="94" t="s">
        <v>70</v>
      </c>
    </row>
    <row r="86">
      <c r="A86" s="89"/>
      <c r="B86" s="87" t="s">
        <v>71</v>
      </c>
      <c r="C86" s="92" t="s">
        <v>67</v>
      </c>
      <c r="D86" s="92" t="s">
        <v>67</v>
      </c>
      <c r="E86" s="92" t="s">
        <v>67</v>
      </c>
      <c r="F86" s="92" t="s">
        <v>67</v>
      </c>
      <c r="G86" s="92" t="s">
        <v>67</v>
      </c>
      <c r="H86" s="92" t="s">
        <v>67</v>
      </c>
      <c r="I86" s="92" t="s">
        <v>67</v>
      </c>
      <c r="J86" s="91" t="s">
        <v>67</v>
      </c>
      <c r="K86" s="89"/>
      <c r="L86" s="94" t="s">
        <v>72</v>
      </c>
    </row>
    <row r="87">
      <c r="A87" s="89"/>
      <c r="B87" s="88" t="s">
        <v>85</v>
      </c>
      <c r="C87" s="86">
        <v>140</v>
      </c>
      <c r="D87" s="86">
        <v>94</v>
      </c>
      <c r="E87" s="86">
        <v>119</v>
      </c>
      <c r="F87" s="86">
        <v>62</v>
      </c>
      <c r="G87" s="95">
        <f>SUM(C87:F87)</f>
        <v>415</v>
      </c>
      <c r="H87" s="86">
        <v>203</v>
      </c>
      <c r="I87" s="86">
        <v>94</v>
      </c>
      <c r="J87" s="136">
        <v>90</v>
      </c>
      <c r="K87" s="89"/>
      <c r="L87" s="94" t="s">
        <v>146</v>
      </c>
    </row>
    <row r="88">
      <c r="A88" s="89"/>
      <c r="B88" s="87" t="s">
        <v>63</v>
      </c>
      <c r="C88" s="92" t="s">
        <v>51</v>
      </c>
      <c r="D88" s="92" t="s">
        <v>51</v>
      </c>
      <c r="E88" s="92" t="s">
        <v>51</v>
      </c>
      <c r="F88" s="92" t="s">
        <v>51</v>
      </c>
      <c r="G88" s="92" t="s">
        <v>51</v>
      </c>
      <c r="H88" s="92">
        <f>IF(C87&lt;=0,"n.m.",H87/C87-1)</f>
        <v>0.44999999999999996</v>
      </c>
      <c r="I88" s="92">
        <f>IF(D87&lt;=0,"n.m.",I87/D87-1)</f>
        <v>0</v>
      </c>
      <c r="J88" s="91">
        <f>IF(E87&lt;=0,"n.m.",J87/E87-1)</f>
        <v>-0.24369747899159666</v>
      </c>
      <c r="K88" s="89"/>
      <c r="L88" s="89"/>
    </row>
    <row r="89">
      <c r="A89" s="89"/>
      <c r="B89" s="87" t="s">
        <v>64</v>
      </c>
      <c r="C89" s="92" t="s">
        <v>51</v>
      </c>
      <c r="D89" s="92">
        <f>IF(C87&lt;=0,"n.m.",D87/C87-1)</f>
        <v>-0.3285714285714286</v>
      </c>
      <c r="E89" s="92">
        <f>IF(D87&lt;=0,"n.m.",E87/D87-1)</f>
        <v>0.26595744680851063</v>
      </c>
      <c r="F89" s="92">
        <f>IF(E87&lt;=0,"n.m.",F87/E87-1)</f>
        <v>-0.4789915966386554</v>
      </c>
      <c r="G89" s="92" t="s">
        <v>51</v>
      </c>
      <c r="H89" s="92">
        <f>IF(F87&lt;=0,"n.m.",H87/F87-1)</f>
        <v>2.274193548387097</v>
      </c>
      <c r="I89" s="92">
        <f>IF(H87&lt;=0,"n.m.",I87/H87-1)</f>
        <v>-0.5369458128078818</v>
      </c>
      <c r="J89" s="91">
        <f>IF(I87&lt;=0,"n.m.",J87/I87-1)</f>
        <v>-0.04255319148936165</v>
      </c>
      <c r="K89" s="89"/>
      <c r="L89" s="89"/>
    </row>
    <row r="90">
      <c r="A90" s="89"/>
      <c r="B90" s="87" t="s">
        <v>127</v>
      </c>
      <c r="C90" s="92">
        <f>IF(C111=0,"n.m.",C87/C111)</f>
        <v>0.06118881118881119</v>
      </c>
      <c r="D90" s="92">
        <f>IF(D111=0,"n.m.",D87/D111)</f>
        <v>0.038180341186027617</v>
      </c>
      <c r="E90" s="92">
        <f>IF(E111=0,"n.m.",E87/E111)</f>
        <v>0.04863097670617082</v>
      </c>
      <c r="F90" s="92">
        <f>IF(F111=0,"n.m.",F87/F111)</f>
        <v>0.0249597423510467</v>
      </c>
      <c r="G90" s="92">
        <f>IF(G111=0,"n.m.",G87/G111)</f>
        <v>0.042867472368556966</v>
      </c>
      <c r="H90" s="92">
        <f>IF(H111=0,"n.m.",H87/H111)</f>
        <v>0.07580283793876028</v>
      </c>
      <c r="I90" s="92">
        <f>IF(I111=0,"n.m.",I87/I111)</f>
        <v>0.03323903818953324</v>
      </c>
      <c r="J90" s="91">
        <f>IF(J111=0,"n.m.",J87/J111)</f>
        <v>0.03317721851226298</v>
      </c>
      <c r="K90" s="89"/>
      <c r="L90" s="89"/>
    </row>
    <row r="91">
      <c r="A91" s="89"/>
      <c r="B91" s="87" t="s">
        <v>66</v>
      </c>
      <c r="C91" s="92" t="s">
        <v>67</v>
      </c>
      <c r="D91" s="92" t="s">
        <v>67</v>
      </c>
      <c r="E91" s="92" t="s">
        <v>67</v>
      </c>
      <c r="F91" s="92" t="s">
        <v>67</v>
      </c>
      <c r="G91" s="92" t="s">
        <v>67</v>
      </c>
      <c r="H91" s="92" t="s">
        <v>67</v>
      </c>
      <c r="I91" s="92" t="s">
        <v>67</v>
      </c>
      <c r="J91" s="91" t="s">
        <v>67</v>
      </c>
      <c r="K91" s="89"/>
      <c r="L91" s="94" t="s">
        <v>68</v>
      </c>
    </row>
    <row r="92">
      <c r="A92" s="89"/>
      <c r="B92" s="87" t="s">
        <v>69</v>
      </c>
      <c r="C92" s="92" t="s">
        <v>67</v>
      </c>
      <c r="D92" s="92" t="s">
        <v>67</v>
      </c>
      <c r="E92" s="92" t="s">
        <v>67</v>
      </c>
      <c r="F92" s="92" t="s">
        <v>67</v>
      </c>
      <c r="G92" s="92" t="s">
        <v>67</v>
      </c>
      <c r="H92" s="92" t="s">
        <v>67</v>
      </c>
      <c r="I92" s="92" t="s">
        <v>67</v>
      </c>
      <c r="J92" s="91" t="s">
        <v>67</v>
      </c>
      <c r="K92" s="89"/>
      <c r="L92" s="94" t="s">
        <v>70</v>
      </c>
    </row>
    <row r="93">
      <c r="A93" s="89"/>
      <c r="B93" s="87" t="s">
        <v>71</v>
      </c>
      <c r="C93" s="92" t="s">
        <v>67</v>
      </c>
      <c r="D93" s="92" t="s">
        <v>67</v>
      </c>
      <c r="E93" s="92" t="s">
        <v>67</v>
      </c>
      <c r="F93" s="92" t="s">
        <v>67</v>
      </c>
      <c r="G93" s="92" t="s">
        <v>67</v>
      </c>
      <c r="H93" s="92" t="s">
        <v>67</v>
      </c>
      <c r="I93" s="92" t="s">
        <v>67</v>
      </c>
      <c r="J93" s="91" t="s">
        <v>67</v>
      </c>
      <c r="K93" s="89"/>
      <c r="L93" s="94" t="s">
        <v>72</v>
      </c>
    </row>
    <row r="94">
      <c r="A94" s="89"/>
      <c r="B94" s="104" t="s">
        <v>147</v>
      </c>
      <c r="C94" s="90">
        <f>C80+C87</f>
        <v>1658</v>
      </c>
      <c r="D94" s="90">
        <f>D80+D87</f>
        <v>1787</v>
      </c>
      <c r="E94" s="90">
        <f>E80+E87</f>
        <v>1777</v>
      </c>
      <c r="F94" s="90">
        <f>F80+F87</f>
        <v>1749</v>
      </c>
      <c r="G94" s="90">
        <f>G80+G87</f>
        <v>6971</v>
      </c>
      <c r="H94" s="90">
        <f>H80+H87</f>
        <v>1921</v>
      </c>
      <c r="I94" s="90">
        <f>I80+I87</f>
        <v>2046</v>
      </c>
      <c r="J94" s="135">
        <f>J80+J87</f>
        <v>1960.036077534246</v>
      </c>
      <c r="K94" s="89"/>
      <c r="L94" s="89"/>
    </row>
    <row r="95">
      <c r="A95" s="89"/>
      <c r="B95" s="87" t="s">
        <v>63</v>
      </c>
      <c r="C95" s="92" t="s">
        <v>51</v>
      </c>
      <c r="D95" s="92" t="s">
        <v>51</v>
      </c>
      <c r="E95" s="92" t="s">
        <v>51</v>
      </c>
      <c r="F95" s="92" t="s">
        <v>51</v>
      </c>
      <c r="G95" s="92" t="s">
        <v>51</v>
      </c>
      <c r="H95" s="92">
        <f>IF(C94&lt;=0,"n.m.",H94/C94-1)</f>
        <v>0.1586248492159228</v>
      </c>
      <c r="I95" s="92">
        <f>IF(D94&lt;=0,"n.m.",I94/D94-1)</f>
        <v>0.14493564633463896</v>
      </c>
      <c r="J95" s="91">
        <f>IF(E94&lt;=0,"n.m.",J94/E94-1)</f>
        <v>0.10300285736310966</v>
      </c>
      <c r="K95" s="89"/>
      <c r="L95" s="89"/>
    </row>
    <row r="96">
      <c r="A96" s="89"/>
      <c r="B96" s="87" t="s">
        <v>64</v>
      </c>
      <c r="C96" s="92" t="s">
        <v>51</v>
      </c>
      <c r="D96" s="92">
        <f>IF(C94&lt;=0,"n.m.",D94/C94-1)</f>
        <v>0.0778045838359469</v>
      </c>
      <c r="E96" s="92">
        <f>IF(D94&lt;=0,"n.m.",E94/D94-1)</f>
        <v>-0.005595970900951319</v>
      </c>
      <c r="F96" s="92">
        <f>IF(E94&lt;=0,"n.m.",F94/E94-1)</f>
        <v>-0.015756893640967884</v>
      </c>
      <c r="G96" s="92" t="s">
        <v>51</v>
      </c>
      <c r="H96" s="92">
        <f>IF(F94&lt;=0,"n.m.",H94/F94-1)</f>
        <v>0.09834190966266432</v>
      </c>
      <c r="I96" s="92">
        <f>IF(H94&lt;=0,"n.m.",I94/H94-1)</f>
        <v>0.06507027589796976</v>
      </c>
      <c r="J96" s="91">
        <f>IF(I94&lt;=0,"n.m.",J94/I94-1)</f>
        <v>-0.04201560237817892</v>
      </c>
      <c r="K96" s="89"/>
      <c r="L96" s="89"/>
    </row>
    <row r="97">
      <c r="A97" s="89"/>
      <c r="B97" s="87" t="s">
        <v>127</v>
      </c>
      <c r="C97" s="92">
        <f>IF(C111=0,"n.m.",C94/C111)</f>
        <v>0.7246503496503497</v>
      </c>
      <c r="D97" s="92">
        <f>IF(D111=0,"n.m.",D94/D111)</f>
        <v>0.7258326563769293</v>
      </c>
      <c r="E97" s="92">
        <f>IF(E111=0,"n.m.",E94/E111)</f>
        <v>0.7261953412341643</v>
      </c>
      <c r="F97" s="92">
        <f>IF(F111=0,"n.m.",F94/F111)</f>
        <v>0.7041062801932367</v>
      </c>
      <c r="G97" s="92">
        <f>IF(G111=0,"n.m.",G94/G111)</f>
        <v>0.7200702406776159</v>
      </c>
      <c r="H97" s="92">
        <f>IF(H111=0,"n.m.",H94/H111)</f>
        <v>0.7173263629574309</v>
      </c>
      <c r="I97" s="92">
        <f>IF(I111=0,"n.m.",I94/I111)</f>
        <v>0.7234794908062234</v>
      </c>
      <c r="J97" s="91">
        <f>IF(J111=0,"n.m.",J94/J111)</f>
        <v>0.722539391514139</v>
      </c>
      <c r="K97" s="89"/>
      <c r="L97" s="89"/>
    </row>
    <row r="98">
      <c r="A98" s="89"/>
      <c r="B98" s="87" t="s">
        <v>66</v>
      </c>
      <c r="C98" s="92" t="s">
        <v>67</v>
      </c>
      <c r="D98" s="92" t="s">
        <v>67</v>
      </c>
      <c r="E98" s="92" t="s">
        <v>67</v>
      </c>
      <c r="F98" s="92" t="s">
        <v>67</v>
      </c>
      <c r="G98" s="92" t="s">
        <v>67</v>
      </c>
      <c r="H98" s="92" t="s">
        <v>67</v>
      </c>
      <c r="I98" s="92" t="s">
        <v>67</v>
      </c>
      <c r="J98" s="91" t="s">
        <v>67</v>
      </c>
      <c r="K98" s="89"/>
      <c r="L98" s="94" t="s">
        <v>68</v>
      </c>
    </row>
    <row r="99">
      <c r="A99" s="89"/>
      <c r="B99" s="87" t="s">
        <v>69</v>
      </c>
      <c r="C99" s="92" t="s">
        <v>67</v>
      </c>
      <c r="D99" s="92" t="s">
        <v>67</v>
      </c>
      <c r="E99" s="92" t="s">
        <v>67</v>
      </c>
      <c r="F99" s="92" t="s">
        <v>67</v>
      </c>
      <c r="G99" s="92" t="s">
        <v>67</v>
      </c>
      <c r="H99" s="92" t="s">
        <v>67</v>
      </c>
      <c r="I99" s="92" t="s">
        <v>67</v>
      </c>
      <c r="J99" s="91" t="s">
        <v>67</v>
      </c>
      <c r="K99" s="89"/>
      <c r="L99" s="94" t="s">
        <v>70</v>
      </c>
    </row>
    <row r="100">
      <c r="A100" s="89"/>
      <c r="B100" s="87" t="s">
        <v>71</v>
      </c>
      <c r="C100" s="92" t="s">
        <v>67</v>
      </c>
      <c r="D100" s="92" t="s">
        <v>67</v>
      </c>
      <c r="E100" s="92" t="s">
        <v>67</v>
      </c>
      <c r="F100" s="92" t="s">
        <v>67</v>
      </c>
      <c r="G100" s="92" t="s">
        <v>67</v>
      </c>
      <c r="H100" s="92" t="s">
        <v>67</v>
      </c>
      <c r="I100" s="92" t="s">
        <v>67</v>
      </c>
      <c r="J100" s="91" t="s">
        <v>67</v>
      </c>
      <c r="K100" s="89"/>
      <c r="L100" s="94" t="s">
        <v>72</v>
      </c>
    </row>
    <row r="101" ht="23.25">
      <c r="A101" s="89"/>
      <c r="B101" s="190" t="s">
        <v>148</v>
      </c>
      <c r="C101" s="147">
        <f>C104/'Revenue summary'!C120</f>
        <v>0.543572044866264</v>
      </c>
      <c r="D101" s="147">
        <f>D104/'Revenue summary'!D120</f>
        <v>0.5610972568578554</v>
      </c>
      <c r="E101" s="147">
        <f>E104/'Revenue summary'!E120</f>
        <v>0.5420711974110033</v>
      </c>
      <c r="F101" s="147">
        <f>F104/'Revenue summary'!F120</f>
        <v>0.5460624071322436</v>
      </c>
      <c r="G101" s="147">
        <f>G104/'Revenue summary'!G120</f>
        <v>0.5481391585760518</v>
      </c>
      <c r="H101" s="147">
        <f>H104/'Revenue summary'!H120</f>
        <v>0.5525547445255474</v>
      </c>
      <c r="I101" s="147">
        <f>I104/'Revenue summary'!I120</f>
        <v>0.5408022130013831</v>
      </c>
      <c r="J101" s="91">
        <f>I101</f>
        <v>0.5408022130013831</v>
      </c>
      <c r="K101" s="89"/>
      <c r="L101" s="94" t="s">
        <v>149</v>
      </c>
    </row>
    <row r="102">
      <c r="A102" s="89"/>
      <c r="B102" s="88" t="s">
        <v>108</v>
      </c>
      <c r="C102" s="103" t="s">
        <v>51</v>
      </c>
      <c r="D102" s="103">
        <f>(D101-C101)*10000</f>
        <v>175.25211991591405</v>
      </c>
      <c r="E102" s="103">
        <f>(E101-D101)*10000</f>
        <v>-190.26059446852094</v>
      </c>
      <c r="F102" s="103">
        <f>(F101-E101)*10000</f>
        <v>39.91209721240341</v>
      </c>
      <c r="G102" s="103" t="s">
        <v>51</v>
      </c>
      <c r="H102" s="103">
        <f>(H101-F101)*10000</f>
        <v>64.92337393303794</v>
      </c>
      <c r="I102" s="103">
        <f>(I101-H101)*10000</f>
        <v>-117.52531524164334</v>
      </c>
      <c r="J102" s="128">
        <f>(J101-I101)*10000</f>
        <v>0</v>
      </c>
      <c r="K102" s="89"/>
      <c r="L102" s="89"/>
    </row>
    <row r="103">
      <c r="A103" s="89"/>
      <c r="B103" s="88" t="s">
        <v>109</v>
      </c>
      <c r="C103" s="103" t="s">
        <v>51</v>
      </c>
      <c r="D103" s="103" t="s">
        <v>51</v>
      </c>
      <c r="E103" s="103" t="s">
        <v>51</v>
      </c>
      <c r="F103" s="103" t="s">
        <v>51</v>
      </c>
      <c r="G103" s="103" t="s">
        <v>51</v>
      </c>
      <c r="H103" s="103">
        <f>(H101-C101)*10000</f>
        <v>89.82699659283443</v>
      </c>
      <c r="I103" s="103">
        <f>(I101-D101)*10000</f>
        <v>-202.95043856472296</v>
      </c>
      <c r="J103" s="128">
        <f>(J101-E101)*10000</f>
        <v>-12.689844096201996</v>
      </c>
      <c r="K103" s="89"/>
      <c r="L103" s="89"/>
    </row>
    <row r="104">
      <c r="A104" s="89"/>
      <c r="B104" s="88" t="s">
        <v>86</v>
      </c>
      <c r="C104" s="86">
        <v>630</v>
      </c>
      <c r="D104" s="86">
        <v>675</v>
      </c>
      <c r="E104" s="86">
        <v>670</v>
      </c>
      <c r="F104" s="86">
        <v>735</v>
      </c>
      <c r="G104" s="95">
        <f>SUM(C104:F104)</f>
        <v>2710</v>
      </c>
      <c r="H104" s="86">
        <v>757</v>
      </c>
      <c r="I104" s="86">
        <v>782</v>
      </c>
      <c r="J104" s="117">
        <f>J101*'Revenue summary'!J120</f>
        <v>752.6687252126792</v>
      </c>
      <c r="K104" s="89"/>
      <c r="L104" s="89"/>
    </row>
    <row r="105">
      <c r="A105" s="89"/>
      <c r="B105" s="87" t="s">
        <v>63</v>
      </c>
      <c r="C105" s="92" t="s">
        <v>51</v>
      </c>
      <c r="D105" s="92" t="s">
        <v>51</v>
      </c>
      <c r="E105" s="92" t="s">
        <v>51</v>
      </c>
      <c r="F105" s="92" t="s">
        <v>51</v>
      </c>
      <c r="G105" s="92" t="s">
        <v>51</v>
      </c>
      <c r="H105" s="92">
        <f>IF(C104&lt;=0,"n.m.",H104/C104-1)</f>
        <v>0.20158730158730154</v>
      </c>
      <c r="I105" s="92">
        <f>IF(D104&lt;=0,"n.m.",I104/D104-1)</f>
        <v>0.1585185185185185</v>
      </c>
      <c r="J105" s="91">
        <f>IF(E104&lt;=0,"n.m.",J104/E104-1)</f>
        <v>0.12338615703384948</v>
      </c>
      <c r="K105" s="89"/>
      <c r="L105" s="89"/>
    </row>
    <row r="106">
      <c r="A106" s="89"/>
      <c r="B106" s="87" t="s">
        <v>64</v>
      </c>
      <c r="C106" s="92" t="s">
        <v>51</v>
      </c>
      <c r="D106" s="92">
        <f>IF(C104&lt;=0,"n.m.",D104/C104-1)</f>
        <v>0.0714285714285714</v>
      </c>
      <c r="E106" s="92">
        <f>IF(D104&lt;=0,"n.m.",E104/D104-1)</f>
        <v>-0.007407407407407418</v>
      </c>
      <c r="F106" s="92">
        <f>IF(E104&lt;=0,"n.m.",F104/E104-1)</f>
        <v>0.09701492537313428</v>
      </c>
      <c r="G106" s="92" t="s">
        <v>51</v>
      </c>
      <c r="H106" s="92">
        <f>IF(F104&lt;=0,"n.m.",H104/F104-1)</f>
        <v>0.029931972789115635</v>
      </c>
      <c r="I106" s="92">
        <f>IF(H104&lt;=0,"n.m.",I104/H104-1)</f>
        <v>0.03302509907529716</v>
      </c>
      <c r="J106" s="91">
        <f>IF(I104&lt;=0,"n.m.",J104/I104-1)</f>
        <v>-0.037508024024706876</v>
      </c>
      <c r="K106" s="89"/>
      <c r="L106" s="89"/>
    </row>
    <row r="107">
      <c r="A107" s="89"/>
      <c r="B107" s="87" t="s">
        <v>127</v>
      </c>
      <c r="C107" s="92">
        <f>IF(C111=0,"n.m.",C104/C111)</f>
        <v>0.27534965034965037</v>
      </c>
      <c r="D107" s="92">
        <f>IF(D111=0,"n.m.",D104/D111)</f>
        <v>0.27416734362307066</v>
      </c>
      <c r="E107" s="92">
        <f>IF(E111=0,"n.m.",E104/E111)</f>
        <v>0.2738046587658357</v>
      </c>
      <c r="F107" s="92">
        <f>IF(F111=0,"n.m.",F104/F111)</f>
        <v>0.29589371980676327</v>
      </c>
      <c r="G107" s="92">
        <f>IF(G111=0,"n.m.",G104/G111)</f>
        <v>0.27992975932238406</v>
      </c>
      <c r="H107" s="92">
        <f>IF(H111=0,"n.m.",H104/H111)</f>
        <v>0.2826736370425691</v>
      </c>
      <c r="I107" s="92">
        <f>IF(I111=0,"n.m.",I104/I111)</f>
        <v>0.2765205091937765</v>
      </c>
      <c r="J107" s="91">
        <f>IF(J111=0,"n.m.",J104/J111)</f>
        <v>0.2774606084858609</v>
      </c>
      <c r="K107" s="89"/>
      <c r="L107" s="89"/>
    </row>
    <row r="108">
      <c r="A108" s="89"/>
      <c r="B108" s="87" t="s">
        <v>66</v>
      </c>
      <c r="C108" s="92" t="s">
        <v>67</v>
      </c>
      <c r="D108" s="92" t="s">
        <v>67</v>
      </c>
      <c r="E108" s="92" t="s">
        <v>67</v>
      </c>
      <c r="F108" s="92" t="s">
        <v>67</v>
      </c>
      <c r="G108" s="92" t="s">
        <v>67</v>
      </c>
      <c r="H108" s="92" t="s">
        <v>67</v>
      </c>
      <c r="I108" s="92" t="s">
        <v>67</v>
      </c>
      <c r="J108" s="91" t="s">
        <v>67</v>
      </c>
      <c r="K108" s="89"/>
      <c r="L108" s="94" t="s">
        <v>68</v>
      </c>
    </row>
    <row r="109">
      <c r="A109" s="89"/>
      <c r="B109" s="87" t="s">
        <v>69</v>
      </c>
      <c r="C109" s="92" t="s">
        <v>67</v>
      </c>
      <c r="D109" s="92" t="s">
        <v>67</v>
      </c>
      <c r="E109" s="92" t="s">
        <v>67</v>
      </c>
      <c r="F109" s="92" t="s">
        <v>67</v>
      </c>
      <c r="G109" s="92" t="s">
        <v>67</v>
      </c>
      <c r="H109" s="92" t="s">
        <v>67</v>
      </c>
      <c r="I109" s="92" t="s">
        <v>67</v>
      </c>
      <c r="J109" s="91" t="s">
        <v>67</v>
      </c>
      <c r="K109" s="89"/>
      <c r="L109" s="94" t="s">
        <v>70</v>
      </c>
    </row>
    <row r="110">
      <c r="A110" s="89"/>
      <c r="B110" s="87" t="s">
        <v>71</v>
      </c>
      <c r="C110" s="92" t="s">
        <v>67</v>
      </c>
      <c r="D110" s="92" t="s">
        <v>67</v>
      </c>
      <c r="E110" s="92" t="s">
        <v>67</v>
      </c>
      <c r="F110" s="92" t="s">
        <v>67</v>
      </c>
      <c r="G110" s="92" t="s">
        <v>67</v>
      </c>
      <c r="H110" s="92" t="s">
        <v>67</v>
      </c>
      <c r="I110" s="92" t="s">
        <v>67</v>
      </c>
      <c r="J110" s="91" t="s">
        <v>67</v>
      </c>
      <c r="K110" s="89"/>
      <c r="L110" s="94" t="s">
        <v>72</v>
      </c>
    </row>
    <row r="111">
      <c r="A111" s="89"/>
      <c r="B111" s="104" t="s">
        <v>150</v>
      </c>
      <c r="C111" s="90">
        <f>C94+C104</f>
        <v>2288</v>
      </c>
      <c r="D111" s="90">
        <f>D94+D104</f>
        <v>2462</v>
      </c>
      <c r="E111" s="90">
        <f>E94+E104</f>
        <v>2447</v>
      </c>
      <c r="F111" s="90">
        <f>F94+F104</f>
        <v>2484</v>
      </c>
      <c r="G111" s="90">
        <f>G94+G104</f>
        <v>9681</v>
      </c>
      <c r="H111" s="90">
        <f>H94+H104</f>
        <v>2678</v>
      </c>
      <c r="I111" s="90">
        <f>I94+I104</f>
        <v>2828</v>
      </c>
      <c r="J111" s="135">
        <f>J94+J104</f>
        <v>2712.7048027469255</v>
      </c>
      <c r="K111" s="89"/>
      <c r="L111" s="89"/>
    </row>
    <row r="112">
      <c r="A112" s="89"/>
      <c r="B112" s="87" t="s">
        <v>63</v>
      </c>
      <c r="C112" s="92" t="s">
        <v>51</v>
      </c>
      <c r="D112" s="92" t="s">
        <v>51</v>
      </c>
      <c r="E112" s="92" t="s">
        <v>51</v>
      </c>
      <c r="F112" s="92" t="s">
        <v>51</v>
      </c>
      <c r="G112" s="92" t="s">
        <v>51</v>
      </c>
      <c r="H112" s="92">
        <f>IF(C111&lt;=0,"n.m.",H111/C111-1)</f>
        <v>0.17045454545454541</v>
      </c>
      <c r="I112" s="92">
        <f>IF(D111&lt;=0,"n.m.",I111/D111-1)</f>
        <v>0.14865962632006502</v>
      </c>
      <c r="J112" s="91">
        <f>IF(E111&lt;=0,"n.m.",J111/E111-1)</f>
        <v>0.10858389977397853</v>
      </c>
      <c r="K112" s="89"/>
      <c r="L112" s="89"/>
    </row>
    <row r="113">
      <c r="A113" s="89"/>
      <c r="B113" s="87" t="s">
        <v>64</v>
      </c>
      <c r="C113" s="92" t="s">
        <v>51</v>
      </c>
      <c r="D113" s="92">
        <f>IF(C111&lt;=0,"n.m.",D111/C111-1)</f>
        <v>0.07604895104895104</v>
      </c>
      <c r="E113" s="92">
        <f>IF(D111&lt;=0,"n.m.",E111/D111-1)</f>
        <v>-0.006092607636068226</v>
      </c>
      <c r="F113" s="92">
        <f>IF(E111&lt;=0,"n.m.",F111/E111-1)</f>
        <v>0.015120555782590861</v>
      </c>
      <c r="G113" s="92" t="s">
        <v>51</v>
      </c>
      <c r="H113" s="92">
        <f>IF(F111&lt;=0,"n.m.",H111/F111-1)</f>
        <v>0.07809983896940409</v>
      </c>
      <c r="I113" s="92">
        <f>IF(H111&lt;=0,"n.m.",I111/H111-1)</f>
        <v>0.056011949215832635</v>
      </c>
      <c r="J113" s="91">
        <f>IF(I111&lt;=0,"n.m.",J111/I111-1)</f>
        <v>-0.04076916451664592</v>
      </c>
      <c r="K113" s="89"/>
      <c r="L113" s="89"/>
    </row>
    <row r="114">
      <c r="A114" s="89"/>
      <c r="B114" s="87" t="s">
        <v>66</v>
      </c>
      <c r="C114" s="92" t="s">
        <v>67</v>
      </c>
      <c r="D114" s="92" t="s">
        <v>67</v>
      </c>
      <c r="E114" s="92" t="s">
        <v>67</v>
      </c>
      <c r="F114" s="92" t="s">
        <v>67</v>
      </c>
      <c r="G114" s="92" t="s">
        <v>67</v>
      </c>
      <c r="H114" s="92" t="s">
        <v>67</v>
      </c>
      <c r="I114" s="92" t="s">
        <v>67</v>
      </c>
      <c r="J114" s="91" t="s">
        <v>67</v>
      </c>
      <c r="K114" s="89"/>
      <c r="L114" s="94" t="s">
        <v>68</v>
      </c>
    </row>
    <row r="115">
      <c r="A115" s="89"/>
      <c r="B115" s="87" t="s">
        <v>69</v>
      </c>
      <c r="C115" s="92" t="s">
        <v>67</v>
      </c>
      <c r="D115" s="92" t="s">
        <v>67</v>
      </c>
      <c r="E115" s="92" t="s">
        <v>67</v>
      </c>
      <c r="F115" s="92" t="s">
        <v>67</v>
      </c>
      <c r="G115" s="92" t="s">
        <v>67</v>
      </c>
      <c r="H115" s="92" t="s">
        <v>67</v>
      </c>
      <c r="I115" s="92" t="s">
        <v>67</v>
      </c>
      <c r="J115" s="91" t="s">
        <v>67</v>
      </c>
      <c r="K115" s="89"/>
      <c r="L115" s="94" t="s">
        <v>70</v>
      </c>
    </row>
    <row r="116">
      <c r="A116" s="89"/>
      <c r="B116" s="87" t="s">
        <v>71</v>
      </c>
      <c r="C116" s="92" t="s">
        <v>67</v>
      </c>
      <c r="D116" s="92" t="s">
        <v>67</v>
      </c>
      <c r="E116" s="92" t="s">
        <v>67</v>
      </c>
      <c r="F116" s="92" t="s">
        <v>67</v>
      </c>
      <c r="G116" s="92" t="s">
        <v>67</v>
      </c>
      <c r="H116" s="92" t="s">
        <v>67</v>
      </c>
      <c r="I116" s="92" t="s">
        <v>67</v>
      </c>
      <c r="J116" s="91" t="s">
        <v>67</v>
      </c>
      <c r="K116" s="89"/>
      <c r="L116" s="94" t="s">
        <v>72</v>
      </c>
    </row>
    <row r="117">
      <c r="A117" s="89"/>
      <c r="B117" s="88" t="s">
        <v>151</v>
      </c>
      <c r="C117" s="86">
        <v>2288</v>
      </c>
      <c r="D117" s="86">
        <v>2462</v>
      </c>
      <c r="E117" s="86">
        <v>2447</v>
      </c>
      <c r="F117" s="86">
        <v>2484</v>
      </c>
      <c r="G117" s="95">
        <f>SUM(C117:F117)</f>
        <v>9681</v>
      </c>
      <c r="H117" s="86">
        <v>2678</v>
      </c>
      <c r="I117" s="86">
        <v>2828</v>
      </c>
      <c r="J117" s="121" t="s">
        <v>51</v>
      </c>
      <c r="K117" s="89"/>
      <c r="L117" s="89"/>
    </row>
    <row r="118" ht="23.25">
      <c r="A118" s="89"/>
      <c r="B118" s="187" t="s">
        <v>152</v>
      </c>
      <c r="C118" s="99" t="b">
        <f>ABS(C111-C117)&lt;0.5</f>
        <v>1</v>
      </c>
      <c r="D118" s="99" t="b">
        <f>ABS(D111-D117)&lt;0.5</f>
        <v>1</v>
      </c>
      <c r="E118" s="99" t="b">
        <f>ABS(E111-E117)&lt;0.5</f>
        <v>1</v>
      </c>
      <c r="F118" s="99" t="b">
        <f>ABS(F111-F117)&lt;0.5</f>
        <v>1</v>
      </c>
      <c r="G118" s="99" t="b">
        <f>ABS(G111-G117)&lt;0.5</f>
        <v>1</v>
      </c>
      <c r="H118" s="99" t="b">
        <f>ABS(H111-H117)&lt;0.5</f>
        <v>1</v>
      </c>
      <c r="I118" s="99" t="b">
        <f>ABS(I111-I117)&lt;0.5</f>
        <v>1</v>
      </c>
      <c r="J118" s="97"/>
      <c r="K118" s="89"/>
      <c r="L118" s="89"/>
    </row>
    <row r="119">
      <c r="A119" s="89"/>
      <c r="B119" s="89"/>
      <c r="C119" s="89"/>
      <c r="D119" s="89"/>
      <c r="E119" s="89"/>
      <c r="F119" s="89"/>
      <c r="G119" s="89"/>
      <c r="H119" s="89"/>
      <c r="I119" s="89"/>
      <c r="J119" s="97"/>
      <c r="K119" s="89"/>
      <c r="L119" s="89"/>
    </row>
    <row r="120">
      <c r="A120" s="89"/>
      <c r="B120" s="104" t="s">
        <v>153</v>
      </c>
      <c r="C120" s="89"/>
      <c r="D120" s="89"/>
      <c r="E120" s="89"/>
      <c r="F120" s="89"/>
      <c r="G120" s="89"/>
      <c r="H120" s="89"/>
      <c r="I120" s="89"/>
      <c r="J120" s="97"/>
      <c r="K120" s="89"/>
      <c r="L120" s="89"/>
    </row>
    <row r="121" ht="23.24853515625">
      <c r="A121" s="89"/>
      <c r="B121" s="187" t="s">
        <v>154</v>
      </c>
      <c r="C121" s="95">
        <f>C128-C47</f>
        <v>247</v>
      </c>
      <c r="D121" s="95">
        <f>D128-D47</f>
        <v>228</v>
      </c>
      <c r="E121" s="95">
        <f>E128-E47</f>
        <v>231</v>
      </c>
      <c r="F121" s="95">
        <f>F128-F47</f>
        <v>221</v>
      </c>
      <c r="G121" s="95">
        <f>G128-G47</f>
        <v>927</v>
      </c>
      <c r="H121" s="95">
        <f>H128-H47</f>
        <v>230</v>
      </c>
      <c r="I121" s="95">
        <f>I128-I47</f>
        <v>244</v>
      </c>
      <c r="J121" s="136">
        <v>235</v>
      </c>
      <c r="K121" s="89"/>
      <c r="L121" s="94" t="s">
        <v>155</v>
      </c>
    </row>
    <row r="122">
      <c r="A122" s="89"/>
      <c r="B122" s="87" t="s">
        <v>63</v>
      </c>
      <c r="C122" s="92" t="s">
        <v>51</v>
      </c>
      <c r="D122" s="92" t="s">
        <v>51</v>
      </c>
      <c r="E122" s="92" t="s">
        <v>51</v>
      </c>
      <c r="F122" s="92" t="s">
        <v>51</v>
      </c>
      <c r="G122" s="92" t="s">
        <v>51</v>
      </c>
      <c r="H122" s="92">
        <f>IF(C121&lt;=0,"n.m.",H121/C121-1)</f>
        <v>-0.06882591093117407</v>
      </c>
      <c r="I122" s="92">
        <f>IF(D121&lt;=0,"n.m.",I121/D121-1)</f>
        <v>0.07017543859649122</v>
      </c>
      <c r="J122" s="91">
        <f>IF(E121&lt;=0,"n.m.",J121/E121-1)</f>
        <v>0.017316017316017396</v>
      </c>
      <c r="K122" s="89"/>
      <c r="L122" s="89"/>
    </row>
    <row r="123">
      <c r="A123" s="89"/>
      <c r="B123" s="87" t="s">
        <v>64</v>
      </c>
      <c r="C123" s="92" t="s">
        <v>51</v>
      </c>
      <c r="D123" s="92">
        <f>IF(C121&lt;=0,"n.m.",D121/C121-1)</f>
        <v>-0.07692307692307687</v>
      </c>
      <c r="E123" s="92">
        <f>IF(D121&lt;=0,"n.m.",E121/D121-1)</f>
        <v>0.013157894736842035</v>
      </c>
      <c r="F123" s="92">
        <f>IF(E121&lt;=0,"n.m.",F121/E121-1)</f>
        <v>-0.04329004329004327</v>
      </c>
      <c r="G123" s="92" t="s">
        <v>51</v>
      </c>
      <c r="H123" s="92">
        <f>IF(F121&lt;=0,"n.m.",H121/F121-1)</f>
        <v>0.040723981900452566</v>
      </c>
      <c r="I123" s="92">
        <f>IF(H121&lt;=0,"n.m.",I121/H121-1)</f>
        <v>0.0608695652173914</v>
      </c>
      <c r="J123" s="91">
        <f>IF(I121&lt;=0,"n.m.",J121/I121-1)</f>
        <v>-0.03688524590163933</v>
      </c>
      <c r="K123" s="89"/>
      <c r="L123" s="89"/>
    </row>
    <row r="124">
      <c r="A124" s="89"/>
      <c r="B124" s="87" t="s">
        <v>127</v>
      </c>
      <c r="C124" s="92">
        <f>IF(C111=0,"n.m.",C121/C111)</f>
        <v>0.10795454545454546</v>
      </c>
      <c r="D124" s="92">
        <f>IF(D111=0,"n.m.",D121/D111)</f>
        <v>0.0926076360682372</v>
      </c>
      <c r="E124" s="92">
        <f>IF(E111=0,"n.m.",E121/E111)</f>
        <v>0.09440130772374336</v>
      </c>
      <c r="F124" s="92">
        <f>IF(F111=0,"n.m.",F121/F111)</f>
        <v>0.0889694041867955</v>
      </c>
      <c r="G124" s="92">
        <f>IF(G111=0,"n.m.",G121/G111)</f>
        <v>0.09575457080880075</v>
      </c>
      <c r="H124" s="92">
        <f>IF(H111=0,"n.m.",H121/H111)</f>
        <v>0.08588498879761015</v>
      </c>
      <c r="I124" s="92">
        <f>IF(I111=0,"n.m.",I121/I111)</f>
        <v>0.08628005657708628</v>
      </c>
      <c r="J124" s="91">
        <f>IF(J111=0,"n.m.",J121/J111)</f>
        <v>0.08662940389313112</v>
      </c>
      <c r="K124" s="89"/>
      <c r="L124" s="89"/>
    </row>
    <row r="125">
      <c r="A125" s="89"/>
      <c r="B125" s="87" t="s">
        <v>66</v>
      </c>
      <c r="C125" s="92" t="s">
        <v>67</v>
      </c>
      <c r="D125" s="92" t="s">
        <v>67</v>
      </c>
      <c r="E125" s="92" t="s">
        <v>67</v>
      </c>
      <c r="F125" s="92" t="s">
        <v>67</v>
      </c>
      <c r="G125" s="92" t="s">
        <v>67</v>
      </c>
      <c r="H125" s="92" t="s">
        <v>67</v>
      </c>
      <c r="I125" s="92" t="s">
        <v>67</v>
      </c>
      <c r="J125" s="91" t="s">
        <v>67</v>
      </c>
      <c r="K125" s="89"/>
      <c r="L125" s="94" t="s">
        <v>68</v>
      </c>
    </row>
    <row r="126">
      <c r="A126" s="89"/>
      <c r="B126" s="87" t="s">
        <v>69</v>
      </c>
      <c r="C126" s="92" t="s">
        <v>67</v>
      </c>
      <c r="D126" s="92" t="s">
        <v>67</v>
      </c>
      <c r="E126" s="92" t="s">
        <v>67</v>
      </c>
      <c r="F126" s="92" t="s">
        <v>67</v>
      </c>
      <c r="G126" s="92" t="s">
        <v>67</v>
      </c>
      <c r="H126" s="92" t="s">
        <v>67</v>
      </c>
      <c r="I126" s="92" t="s">
        <v>67</v>
      </c>
      <c r="J126" s="91" t="s">
        <v>67</v>
      </c>
      <c r="K126" s="89"/>
      <c r="L126" s="94" t="s">
        <v>70</v>
      </c>
    </row>
    <row r="127">
      <c r="A127" s="89"/>
      <c r="B127" s="87" t="s">
        <v>71</v>
      </c>
      <c r="C127" s="92" t="s">
        <v>67</v>
      </c>
      <c r="D127" s="92" t="s">
        <v>67</v>
      </c>
      <c r="E127" s="92" t="s">
        <v>67</v>
      </c>
      <c r="F127" s="92" t="s">
        <v>67</v>
      </c>
      <c r="G127" s="92" t="s">
        <v>67</v>
      </c>
      <c r="H127" s="92" t="s">
        <v>67</v>
      </c>
      <c r="I127" s="92" t="s">
        <v>67</v>
      </c>
      <c r="J127" s="91" t="s">
        <v>67</v>
      </c>
      <c r="K127" s="89"/>
      <c r="L127" s="94" t="s">
        <v>72</v>
      </c>
    </row>
    <row r="128">
      <c r="A128" s="89"/>
      <c r="B128" s="88" t="s">
        <v>156</v>
      </c>
      <c r="C128" s="86">
        <v>514</v>
      </c>
      <c r="D128" s="86">
        <v>604</v>
      </c>
      <c r="E128" s="86">
        <v>544</v>
      </c>
      <c r="F128" s="86">
        <v>552</v>
      </c>
      <c r="G128" s="95">
        <f>SUM(C128:F128)</f>
        <v>2214</v>
      </c>
      <c r="H128" s="86">
        <v>508</v>
      </c>
      <c r="I128" s="86">
        <v>707</v>
      </c>
      <c r="J128" s="121">
        <f>J47+J121</f>
        <v>613.4602739726027</v>
      </c>
      <c r="K128" s="89"/>
      <c r="L128" s="89"/>
    </row>
    <row r="129">
      <c r="A129" s="89"/>
      <c r="B129" s="87" t="s">
        <v>63</v>
      </c>
      <c r="C129" s="92" t="s">
        <v>51</v>
      </c>
      <c r="D129" s="92" t="s">
        <v>51</v>
      </c>
      <c r="E129" s="92" t="s">
        <v>51</v>
      </c>
      <c r="F129" s="92" t="s">
        <v>51</v>
      </c>
      <c r="G129" s="92" t="s">
        <v>51</v>
      </c>
      <c r="H129" s="92">
        <f>IF(C128&lt;=0,"n.m.",H128/C128-1)</f>
        <v>-0.011673151750972721</v>
      </c>
      <c r="I129" s="92">
        <f>IF(D128&lt;=0,"n.m.",I128/D128-1)</f>
        <v>0.17052980132450335</v>
      </c>
      <c r="J129" s="91">
        <f>IF(E128&lt;=0,"n.m.",J128/E128-1)</f>
        <v>0.1276843271555197</v>
      </c>
      <c r="K129" s="89"/>
      <c r="L129" s="89"/>
    </row>
    <row r="130">
      <c r="A130" s="89"/>
      <c r="B130" s="87" t="s">
        <v>64</v>
      </c>
      <c r="C130" s="92" t="s">
        <v>51</v>
      </c>
      <c r="D130" s="92">
        <f>IF(C128&lt;=0,"n.m.",D128/C128-1)</f>
        <v>0.17509727626459148</v>
      </c>
      <c r="E130" s="92">
        <f>IF(D128&lt;=0,"n.m.",E128/D128-1)</f>
        <v>-0.09933774834437081</v>
      </c>
      <c r="F130" s="92">
        <f>IF(E128&lt;=0,"n.m.",F128/E128-1)</f>
        <v>0.014705882352941124</v>
      </c>
      <c r="G130" s="92" t="s">
        <v>51</v>
      </c>
      <c r="H130" s="92">
        <f>IF(F128&lt;=0,"n.m.",H128/F128-1)</f>
        <v>-0.07971014492753625</v>
      </c>
      <c r="I130" s="92">
        <f>IF(H128&lt;=0,"n.m.",I128/H128-1)</f>
        <v>0.3917322834645669</v>
      </c>
      <c r="J130" s="91">
        <f>IF(I128&lt;=0,"n.m.",J128/I128-1)</f>
        <v>-0.1323051287516227</v>
      </c>
      <c r="K130" s="89"/>
      <c r="L130" s="89"/>
    </row>
    <row r="131">
      <c r="A131" s="89"/>
      <c r="B131" s="87" t="s">
        <v>127</v>
      </c>
      <c r="C131" s="92">
        <f>IF(C111=0,"n.m.",C128/C111)</f>
        <v>0.22465034965034966</v>
      </c>
      <c r="D131" s="92">
        <f>IF(D111=0,"n.m.",D128/D111)</f>
        <v>0.24532900081234768</v>
      </c>
      <c r="E131" s="92">
        <f>IF(E111=0,"n.m.",E128/E111)</f>
        <v>0.2223130363710666</v>
      </c>
      <c r="F131" s="92">
        <f>IF(F111=0,"n.m.",F128/F111)</f>
        <v>0.2222222222222222</v>
      </c>
      <c r="G131" s="92">
        <f>IF(G111=0,"n.m.",G128/G111)</f>
        <v>0.2286953827083979</v>
      </c>
      <c r="H131" s="92">
        <f>IF(H111=0,"n.m.",H128/H111)</f>
        <v>0.1896938013442868</v>
      </c>
      <c r="I131" s="92">
        <f>IF(I111=0,"n.m.",I128/I111)</f>
        <v>0.25</v>
      </c>
      <c r="J131" s="91">
        <f>IF(J111=0,"n.m.",J128/J111)</f>
        <v>0.22614339509090842</v>
      </c>
      <c r="K131" s="89"/>
      <c r="L131" s="89"/>
    </row>
    <row r="132">
      <c r="A132" s="89"/>
      <c r="B132" s="87" t="s">
        <v>66</v>
      </c>
      <c r="C132" s="92" t="s">
        <v>67</v>
      </c>
      <c r="D132" s="92" t="s">
        <v>67</v>
      </c>
      <c r="E132" s="92" t="s">
        <v>67</v>
      </c>
      <c r="F132" s="92" t="s">
        <v>67</v>
      </c>
      <c r="G132" s="92" t="s">
        <v>67</v>
      </c>
      <c r="H132" s="92" t="s">
        <v>67</v>
      </c>
      <c r="I132" s="92" t="s">
        <v>67</v>
      </c>
      <c r="J132" s="91" t="s">
        <v>67</v>
      </c>
      <c r="K132" s="89"/>
      <c r="L132" s="94" t="s">
        <v>68</v>
      </c>
    </row>
    <row r="133">
      <c r="A133" s="89"/>
      <c r="B133" s="87" t="s">
        <v>69</v>
      </c>
      <c r="C133" s="92" t="s">
        <v>67</v>
      </c>
      <c r="D133" s="92" t="s">
        <v>67</v>
      </c>
      <c r="E133" s="92" t="s">
        <v>67</v>
      </c>
      <c r="F133" s="92" t="s">
        <v>67</v>
      </c>
      <c r="G133" s="92" t="s">
        <v>67</v>
      </c>
      <c r="H133" s="92" t="s">
        <v>67</v>
      </c>
      <c r="I133" s="92" t="s">
        <v>67</v>
      </c>
      <c r="J133" s="91" t="s">
        <v>67</v>
      </c>
      <c r="K133" s="89"/>
      <c r="L133" s="94" t="s">
        <v>70</v>
      </c>
    </row>
    <row r="134">
      <c r="A134" s="89"/>
      <c r="B134" s="87" t="s">
        <v>71</v>
      </c>
      <c r="C134" s="92" t="s">
        <v>67</v>
      </c>
      <c r="D134" s="92" t="s">
        <v>67</v>
      </c>
      <c r="E134" s="92" t="s">
        <v>67</v>
      </c>
      <c r="F134" s="92" t="s">
        <v>67</v>
      </c>
      <c r="G134" s="92" t="s">
        <v>67</v>
      </c>
      <c r="H134" s="92" t="s">
        <v>67</v>
      </c>
      <c r="I134" s="92" t="s">
        <v>67</v>
      </c>
      <c r="J134" s="91" t="s">
        <v>67</v>
      </c>
      <c r="K134" s="89"/>
      <c r="L134" s="94" t="s">
        <v>72</v>
      </c>
    </row>
    <row r="135">
      <c r="A135" s="89"/>
      <c r="B135" s="88" t="s">
        <v>157</v>
      </c>
      <c r="C135" s="86">
        <v>1774</v>
      </c>
      <c r="D135" s="86">
        <v>1858</v>
      </c>
      <c r="E135" s="86">
        <v>1903</v>
      </c>
      <c r="F135" s="86">
        <v>1932</v>
      </c>
      <c r="G135" s="95">
        <f>SUM(C135:F135)</f>
        <v>7467</v>
      </c>
      <c r="H135" s="86">
        <v>2170</v>
      </c>
      <c r="I135" s="86">
        <v>2121</v>
      </c>
      <c r="J135" s="121">
        <f>J111-J128</f>
        <v>2099.2445287743226</v>
      </c>
      <c r="K135" s="89"/>
      <c r="L135" s="89"/>
    </row>
    <row r="136">
      <c r="A136" s="89"/>
      <c r="B136" s="87" t="s">
        <v>63</v>
      </c>
      <c r="C136" s="92" t="s">
        <v>51</v>
      </c>
      <c r="D136" s="92" t="s">
        <v>51</v>
      </c>
      <c r="E136" s="92" t="s">
        <v>51</v>
      </c>
      <c r="F136" s="92" t="s">
        <v>51</v>
      </c>
      <c r="G136" s="92" t="s">
        <v>51</v>
      </c>
      <c r="H136" s="92">
        <f>IF(C135&lt;=0,"n.m.",H135/C135-1)</f>
        <v>0.22322435174746347</v>
      </c>
      <c r="I136" s="92">
        <f>IF(D135&lt;=0,"n.m.",I135/D135-1)</f>
        <v>0.14155005382131325</v>
      </c>
      <c r="J136" s="91">
        <f>IF(E135&lt;=0,"n.m.",J135/E135-1)</f>
        <v>0.10312376709107851</v>
      </c>
      <c r="K136" s="89"/>
      <c r="L136" s="89"/>
    </row>
    <row r="137">
      <c r="A137" s="89"/>
      <c r="B137" s="87" t="s">
        <v>64</v>
      </c>
      <c r="C137" s="92" t="s">
        <v>51</v>
      </c>
      <c r="D137" s="92">
        <f>IF(C135&lt;=0,"n.m.",D135/C135-1)</f>
        <v>0.04735062006764368</v>
      </c>
      <c r="E137" s="92">
        <f>IF(D135&lt;=0,"n.m.",E135/D135-1)</f>
        <v>0.0242195909580194</v>
      </c>
      <c r="F137" s="92">
        <f>IF(E135&lt;=0,"n.m.",F135/E135-1)</f>
        <v>0.015239096163951693</v>
      </c>
      <c r="G137" s="92" t="s">
        <v>51</v>
      </c>
      <c r="H137" s="92">
        <f>IF(F135&lt;=0,"n.m.",H135/F135-1)</f>
        <v>0.12318840579710155</v>
      </c>
      <c r="I137" s="92">
        <f>IF(H135&lt;=0,"n.m.",I135/H135-1)</f>
        <v>-0.022580645161290325</v>
      </c>
      <c r="J137" s="91">
        <f>IF(I135&lt;=0,"n.m.",J135/I135-1)</f>
        <v>-0.010257176438320359</v>
      </c>
      <c r="K137" s="89"/>
      <c r="L137" s="89"/>
    </row>
    <row r="138">
      <c r="A138" s="89"/>
      <c r="B138" s="87" t="s">
        <v>127</v>
      </c>
      <c r="C138" s="92">
        <f>IF(C111=0,"n.m.",C135/C111)</f>
        <v>0.7753496503496503</v>
      </c>
      <c r="D138" s="92">
        <f>IF(D111=0,"n.m.",D135/D111)</f>
        <v>0.7546709991876523</v>
      </c>
      <c r="E138" s="92">
        <f>IF(E111=0,"n.m.",E135/E111)</f>
        <v>0.7776869636289334</v>
      </c>
      <c r="F138" s="92">
        <f>IF(F111=0,"n.m.",F135/F111)</f>
        <v>0.7777777777777778</v>
      </c>
      <c r="G138" s="92">
        <f>IF(G111=0,"n.m.",G135/G111)</f>
        <v>0.7713046172916022</v>
      </c>
      <c r="H138" s="92">
        <f>IF(H111=0,"n.m.",H135/H111)</f>
        <v>0.8103061986557132</v>
      </c>
      <c r="I138" s="92">
        <f>IF(I111=0,"n.m.",I135/I111)</f>
        <v>0.75</v>
      </c>
      <c r="J138" s="91">
        <f>IF(J111=0,"n.m.",J135/J111)</f>
        <v>0.7738566049090916</v>
      </c>
      <c r="K138" s="89"/>
      <c r="L138" s="89"/>
    </row>
    <row r="139">
      <c r="A139" s="89"/>
      <c r="B139" s="87" t="s">
        <v>66</v>
      </c>
      <c r="C139" s="92" t="s">
        <v>67</v>
      </c>
      <c r="D139" s="92" t="s">
        <v>67</v>
      </c>
      <c r="E139" s="92" t="s">
        <v>67</v>
      </c>
      <c r="F139" s="92" t="s">
        <v>67</v>
      </c>
      <c r="G139" s="92" t="s">
        <v>67</v>
      </c>
      <c r="H139" s="92" t="s">
        <v>67</v>
      </c>
      <c r="I139" s="92" t="s">
        <v>67</v>
      </c>
      <c r="J139" s="91" t="s">
        <v>67</v>
      </c>
      <c r="K139" s="89"/>
      <c r="L139" s="94" t="s">
        <v>68</v>
      </c>
    </row>
    <row r="140">
      <c r="A140" s="89"/>
      <c r="B140" s="87" t="s">
        <v>69</v>
      </c>
      <c r="C140" s="92" t="s">
        <v>67</v>
      </c>
      <c r="D140" s="92" t="s">
        <v>67</v>
      </c>
      <c r="E140" s="92" t="s">
        <v>67</v>
      </c>
      <c r="F140" s="92" t="s">
        <v>67</v>
      </c>
      <c r="G140" s="92" t="s">
        <v>67</v>
      </c>
      <c r="H140" s="92" t="s">
        <v>67</v>
      </c>
      <c r="I140" s="92" t="s">
        <v>67</v>
      </c>
      <c r="J140" s="91" t="s">
        <v>67</v>
      </c>
      <c r="K140" s="89"/>
      <c r="L140" s="94" t="s">
        <v>70</v>
      </c>
    </row>
    <row r="141">
      <c r="A141" s="89"/>
      <c r="B141" s="87" t="s">
        <v>71</v>
      </c>
      <c r="C141" s="92" t="s">
        <v>67</v>
      </c>
      <c r="D141" s="92" t="s">
        <v>67</v>
      </c>
      <c r="E141" s="92" t="s">
        <v>67</v>
      </c>
      <c r="F141" s="92" t="s">
        <v>67</v>
      </c>
      <c r="G141" s="92" t="s">
        <v>67</v>
      </c>
      <c r="H141" s="92" t="s">
        <v>67</v>
      </c>
      <c r="I141" s="92" t="s">
        <v>67</v>
      </c>
      <c r="J141" s="91" t="s">
        <v>67</v>
      </c>
      <c r="K141" s="89"/>
      <c r="L141" s="94" t="s">
        <v>72</v>
      </c>
    </row>
    <row r="142">
      <c r="A142" s="89"/>
      <c r="B142" s="104" t="s">
        <v>158</v>
      </c>
      <c r="C142" s="90">
        <f>C135+C128</f>
        <v>2288</v>
      </c>
      <c r="D142" s="90">
        <f>D135+D128</f>
        <v>2462</v>
      </c>
      <c r="E142" s="90">
        <f>E135+E128</f>
        <v>2447</v>
      </c>
      <c r="F142" s="90">
        <f>F135+F128</f>
        <v>2484</v>
      </c>
      <c r="G142" s="90">
        <f>G135+G128</f>
        <v>9681</v>
      </c>
      <c r="H142" s="90">
        <f>H135+H128</f>
        <v>2678</v>
      </c>
      <c r="I142" s="90">
        <f>I135+I128</f>
        <v>2828</v>
      </c>
      <c r="J142" s="135">
        <f>J135+J128</f>
        <v>2712.7048027469255</v>
      </c>
      <c r="K142" s="89"/>
      <c r="L142" s="89"/>
    </row>
    <row r="143" ht="23.25">
      <c r="A143" s="89"/>
      <c r="B143" s="187" t="s">
        <v>159</v>
      </c>
      <c r="C143" s="99" t="b">
        <f>ABS(C142-C111)&lt;0.5</f>
        <v>1</v>
      </c>
      <c r="D143" s="99" t="b">
        <f>ABS(D142-D111)&lt;0.5</f>
        <v>1</v>
      </c>
      <c r="E143" s="99" t="b">
        <f>ABS(E142-E111)&lt;0.5</f>
        <v>1</v>
      </c>
      <c r="F143" s="99" t="b">
        <f>ABS(F142-F111)&lt;0.5</f>
        <v>1</v>
      </c>
      <c r="G143" s="99" t="b">
        <f>ABS(G142-G111)&lt;0.5</f>
        <v>1</v>
      </c>
      <c r="H143" s="99" t="b">
        <f>ABS(H142-H111)&lt;0.5</f>
        <v>1</v>
      </c>
      <c r="I143" s="99" t="b">
        <f>ABS(I142-I111)&lt;0.5</f>
        <v>1</v>
      </c>
      <c r="J143" s="139" t="b">
        <f>ABS(J142-J111)&lt;0.5</f>
        <v>1</v>
      </c>
      <c r="K143" s="89"/>
      <c r="L143" s="181" t="s">
        <v>160</v>
      </c>
    </row>
    <row r="144">
      <c r="A144" s="89"/>
      <c r="B144" s="89"/>
      <c r="C144" s="89"/>
      <c r="D144" s="89"/>
      <c r="E144" s="89"/>
      <c r="F144" s="89"/>
      <c r="G144" s="89"/>
      <c r="H144" s="89"/>
      <c r="I144" s="89"/>
      <c r="J144" s="97"/>
      <c r="K144" s="89"/>
      <c r="L144" s="89"/>
    </row>
    <row r="145">
      <c r="A145" s="89"/>
      <c r="B145" s="104" t="s">
        <v>161</v>
      </c>
      <c r="C145" s="89"/>
      <c r="D145" s="89"/>
      <c r="E145" s="89"/>
      <c r="F145" s="89"/>
      <c r="G145" s="89"/>
      <c r="H145" s="89"/>
      <c r="I145" s="89"/>
      <c r="J145" s="97"/>
      <c r="K145" s="89"/>
      <c r="L145" s="89"/>
    </row>
    <row r="146">
      <c r="A146" s="89"/>
      <c r="B146" s="88" t="s">
        <v>162</v>
      </c>
      <c r="C146" s="86">
        <v>8</v>
      </c>
      <c r="D146" s="86">
        <v>-13</v>
      </c>
      <c r="E146" s="86">
        <v>-3</v>
      </c>
      <c r="F146" s="86">
        <v>-13</v>
      </c>
      <c r="G146" s="95">
        <f>SUM(C146:F146)</f>
        <v>-21</v>
      </c>
      <c r="H146" s="86">
        <v>-11</v>
      </c>
      <c r="I146" s="86">
        <v>-5</v>
      </c>
      <c r="J146" s="136">
        <v>-3</v>
      </c>
      <c r="K146" s="89"/>
      <c r="L146" s="89"/>
    </row>
    <row r="147">
      <c r="A147" s="89"/>
      <c r="B147" s="88" t="s">
        <v>163</v>
      </c>
      <c r="C147" s="86">
        <v>1569</v>
      </c>
      <c r="D147" s="86">
        <v>1605</v>
      </c>
      <c r="E147" s="86">
        <v>1639</v>
      </c>
      <c r="F147" s="86">
        <v>1651</v>
      </c>
      <c r="G147" s="95">
        <f>SUM(C147:F147)</f>
        <v>6464</v>
      </c>
      <c r="H147" s="86">
        <v>1648</v>
      </c>
      <c r="I147" s="86">
        <v>1722</v>
      </c>
      <c r="J147" s="136">
        <v>1735</v>
      </c>
      <c r="K147" s="89"/>
      <c r="L147" s="94" t="s">
        <v>164</v>
      </c>
    </row>
    <row r="148">
      <c r="A148" s="89"/>
      <c r="B148" s="87" t="s">
        <v>93</v>
      </c>
      <c r="C148" s="92" t="s">
        <v>51</v>
      </c>
      <c r="D148" s="92" t="s">
        <v>51</v>
      </c>
      <c r="E148" s="92" t="s">
        <v>51</v>
      </c>
      <c r="F148" s="92" t="s">
        <v>51</v>
      </c>
      <c r="G148" s="92" t="s">
        <v>51</v>
      </c>
      <c r="H148" s="92">
        <f>IF(C147&lt;=0,"n.m.",H147/C147-1)</f>
        <v>0.05035054174633524</v>
      </c>
      <c r="I148" s="92">
        <f>IF(D147&lt;=0,"n.m.",I147/D147-1)</f>
        <v>0.07289719626168223</v>
      </c>
      <c r="J148" s="91">
        <f>IF(E147&lt;=0,"n.m.",J147/E147-1)</f>
        <v>0.058572300183038495</v>
      </c>
      <c r="K148" s="89"/>
      <c r="L148" s="89"/>
    </row>
    <row r="149">
      <c r="A149" s="89"/>
      <c r="B149" s="87" t="s">
        <v>64</v>
      </c>
      <c r="C149" s="92" t="s">
        <v>51</v>
      </c>
      <c r="D149" s="92">
        <f>IF(C147&lt;=0,"n.m.",D147/C147-1)</f>
        <v>0.02294455066921608</v>
      </c>
      <c r="E149" s="92">
        <f>IF(D147&lt;=0,"n.m.",E147/D147-1)</f>
        <v>0.021183800623052917</v>
      </c>
      <c r="F149" s="92">
        <f>IF(E147&lt;=0,"n.m.",F147/E147-1)</f>
        <v>0.007321537522879895</v>
      </c>
      <c r="G149" s="92" t="s">
        <v>51</v>
      </c>
      <c r="H149" s="92">
        <f>IF(F147&lt;=0,"n.m.",H147/F147-1)</f>
        <v>-0.00181708055723806</v>
      </c>
      <c r="I149" s="92">
        <f>IF(H147&lt;=0,"n.m.",I147/H147-1)</f>
        <v>0.04490291262135915</v>
      </c>
      <c r="J149" s="91">
        <f>IF(I147&lt;=0,"n.m.",J147/I147-1)</f>
        <v>0.007549361207897842</v>
      </c>
      <c r="K149" s="89"/>
      <c r="L149" s="89"/>
    </row>
    <row r="150">
      <c r="A150" s="89"/>
      <c r="B150" s="104" t="s">
        <v>165</v>
      </c>
      <c r="C150" s="90">
        <f>C111-C146-C147</f>
        <v>711</v>
      </c>
      <c r="D150" s="90">
        <f>D111-D146-D147</f>
        <v>870</v>
      </c>
      <c r="E150" s="90">
        <f>E111-E146-E147</f>
        <v>811</v>
      </c>
      <c r="F150" s="90">
        <f>F111-F146-F147</f>
        <v>846</v>
      </c>
      <c r="G150" s="90">
        <f>G111-G146-G147</f>
        <v>3238</v>
      </c>
      <c r="H150" s="90">
        <f>H111-H146-H147</f>
        <v>1041</v>
      </c>
      <c r="I150" s="90">
        <f>I111-I146-I147</f>
        <v>1111</v>
      </c>
      <c r="J150" s="135">
        <f>J111-J146-J147</f>
        <v>980.7048027469255</v>
      </c>
      <c r="K150" s="89"/>
      <c r="L150" s="89"/>
    </row>
    <row r="151">
      <c r="A151" s="89"/>
      <c r="B151" s="87" t="s">
        <v>93</v>
      </c>
      <c r="C151" s="92" t="s">
        <v>51</v>
      </c>
      <c r="D151" s="92" t="s">
        <v>51</v>
      </c>
      <c r="E151" s="92" t="s">
        <v>51</v>
      </c>
      <c r="F151" s="92" t="s">
        <v>51</v>
      </c>
      <c r="G151" s="92" t="s">
        <v>51</v>
      </c>
      <c r="H151" s="92">
        <f>IF(C150&lt;=0,"n.m.",H150/C150-1)</f>
        <v>0.4641350210970465</v>
      </c>
      <c r="I151" s="92">
        <f>IF(D150&lt;=0,"n.m.",I150/D150-1)</f>
        <v>0.27701149425287364</v>
      </c>
      <c r="J151" s="91">
        <f>IF(E150&lt;=0,"n.m.",J150/E150-1)</f>
        <v>0.20925376417623354</v>
      </c>
      <c r="K151" s="89"/>
      <c r="L151" s="89"/>
    </row>
    <row r="152">
      <c r="A152" s="89"/>
      <c r="B152" s="87" t="s">
        <v>166</v>
      </c>
      <c r="C152" s="92">
        <f>C150/C111</f>
        <v>0.3107517482517482</v>
      </c>
      <c r="D152" s="92">
        <f>D150/D111</f>
        <v>0.35337124289195776</v>
      </c>
      <c r="E152" s="92">
        <f>E150/E111</f>
        <v>0.33142623620760114</v>
      </c>
      <c r="F152" s="92">
        <f>F150/F111</f>
        <v>0.34057971014492755</v>
      </c>
      <c r="G152" s="92">
        <f>G150/G111</f>
        <v>0.33446957958888546</v>
      </c>
      <c r="H152" s="92">
        <f>H150/H111</f>
        <v>0.388722927557879</v>
      </c>
      <c r="I152" s="92">
        <f>I150/I111</f>
        <v>0.39285714285714285</v>
      </c>
      <c r="J152" s="91">
        <f>J150/J111</f>
        <v>0.36152286151956126</v>
      </c>
      <c r="K152" s="89"/>
      <c r="L152" s="89"/>
    </row>
    <row r="153">
      <c r="A153" s="89"/>
      <c r="B153" s="88" t="s">
        <v>108</v>
      </c>
      <c r="C153" s="103" t="s">
        <v>51</v>
      </c>
      <c r="D153" s="103">
        <f>(D152-C152)*10000</f>
        <v>426.1949464020953</v>
      </c>
      <c r="E153" s="103">
        <f>(E152-D152)*10000</f>
        <v>-219.45006684356616</v>
      </c>
      <c r="F153" s="103">
        <f>(F152-E152)*10000</f>
        <v>91.53473937326406</v>
      </c>
      <c r="G153" s="103" t="s">
        <v>51</v>
      </c>
      <c r="H153" s="103">
        <f>(H152-F152)*10000</f>
        <v>481.4321741295147</v>
      </c>
      <c r="I153" s="103">
        <f>(I152-H152)*10000</f>
        <v>41.342152992638326</v>
      </c>
      <c r="J153" s="128">
        <f>(J152-I152)*10000</f>
        <v>-313.3428133758159</v>
      </c>
      <c r="K153" s="89"/>
      <c r="L153" s="89"/>
    </row>
    <row r="154">
      <c r="A154" s="89"/>
      <c r="B154" s="88" t="s">
        <v>109</v>
      </c>
      <c r="C154" s="103" t="s">
        <v>51</v>
      </c>
      <c r="D154" s="103" t="s">
        <v>51</v>
      </c>
      <c r="E154" s="103" t="s">
        <v>51</v>
      </c>
      <c r="F154" s="103" t="s">
        <v>51</v>
      </c>
      <c r="G154" s="103" t="s">
        <v>51</v>
      </c>
      <c r="H154" s="103">
        <f>(H152-C152)*10000</f>
        <v>779.7117930613078</v>
      </c>
      <c r="I154" s="103">
        <f>(I152-D152)*10000</f>
        <v>394.8589996518509</v>
      </c>
      <c r="J154" s="128">
        <f>(J152-E152)*10000</f>
        <v>300.9662531196011</v>
      </c>
      <c r="K154" s="89"/>
      <c r="L154" s="89"/>
    </row>
    <row r="155">
      <c r="A155" s="89"/>
      <c r="B155" s="89"/>
      <c r="C155" s="89"/>
      <c r="D155" s="89"/>
      <c r="E155" s="89"/>
      <c r="F155" s="89"/>
      <c r="G155" s="89"/>
      <c r="H155" s="89"/>
      <c r="I155" s="89"/>
      <c r="J155" s="97"/>
      <c r="K155" s="89"/>
      <c r="L155" s="89"/>
    </row>
    <row r="156">
      <c r="A156" s="89"/>
      <c r="B156" s="104" t="s">
        <v>167</v>
      </c>
      <c r="C156" s="89"/>
      <c r="D156" s="89"/>
      <c r="E156" s="89"/>
      <c r="F156" s="89"/>
      <c r="G156" s="89"/>
      <c r="H156" s="89"/>
      <c r="I156" s="89"/>
      <c r="J156" s="97"/>
      <c r="K156" s="89"/>
      <c r="L156" s="89"/>
    </row>
    <row r="157">
      <c r="A157" s="89"/>
      <c r="B157" s="88" t="s">
        <v>168</v>
      </c>
      <c r="C157" s="86">
        <v>11347</v>
      </c>
      <c r="D157" s="86">
        <v>11327</v>
      </c>
      <c r="E157" s="86">
        <v>10706</v>
      </c>
      <c r="F157" s="86">
        <v>11439</v>
      </c>
      <c r="G157" s="95" t="s">
        <v>51</v>
      </c>
      <c r="H157" s="86">
        <v>12265</v>
      </c>
      <c r="I157" s="86">
        <v>13180</v>
      </c>
      <c r="J157" s="136">
        <v>13400</v>
      </c>
      <c r="K157" s="89"/>
      <c r="L157" s="188" t="s">
        <v>169</v>
      </c>
    </row>
    <row r="158">
      <c r="A158" s="89"/>
      <c r="B158" s="87" t="s">
        <v>93</v>
      </c>
      <c r="C158" s="92" t="s">
        <v>51</v>
      </c>
      <c r="D158" s="92" t="s">
        <v>51</v>
      </c>
      <c r="E158" s="92" t="s">
        <v>51</v>
      </c>
      <c r="F158" s="92" t="s">
        <v>51</v>
      </c>
      <c r="G158" s="92" t="s">
        <v>51</v>
      </c>
      <c r="H158" s="92">
        <f>IF(C157&lt;=0,"n.m.",H157/C157-1)</f>
        <v>0.08090244117387857</v>
      </c>
      <c r="I158" s="92">
        <f>IF(D157&lt;=0,"n.m.",I157/D157-1)</f>
        <v>0.1635914187339984</v>
      </c>
      <c r="J158" s="91">
        <f>IF(E157&lt;=0,"n.m.",J157/E157-1)</f>
        <v>0.25163459742200645</v>
      </c>
      <c r="K158" s="89"/>
      <c r="L158" s="89"/>
    </row>
    <row r="159">
      <c r="A159" s="89"/>
      <c r="B159" s="88" t="s">
        <v>94</v>
      </c>
      <c r="C159" s="95" t="s">
        <v>51</v>
      </c>
      <c r="D159" s="95">
        <f>D157-C157</f>
        <v>-20</v>
      </c>
      <c r="E159" s="95">
        <f>E157-D157</f>
        <v>-621</v>
      </c>
      <c r="F159" s="95">
        <f>F157-E157</f>
        <v>733</v>
      </c>
      <c r="G159" s="95" t="s">
        <v>51</v>
      </c>
      <c r="H159" s="95">
        <f>H157-F157</f>
        <v>826</v>
      </c>
      <c r="I159" s="95">
        <f>I157-H157</f>
        <v>915</v>
      </c>
      <c r="J159" s="121">
        <f>J157-I157</f>
        <v>220</v>
      </c>
      <c r="K159" s="89"/>
      <c r="L159" s="89"/>
    </row>
    <row r="160">
      <c r="A160" s="89"/>
      <c r="B160" s="88" t="s">
        <v>170</v>
      </c>
      <c r="C160" s="86">
        <v>175853</v>
      </c>
      <c r="D160" s="86">
        <v>185823</v>
      </c>
      <c r="E160" s="86">
        <v>183070</v>
      </c>
      <c r="F160" s="86">
        <v>192771</v>
      </c>
      <c r="G160" s="95" t="s">
        <v>51</v>
      </c>
      <c r="H160" s="86">
        <v>197789</v>
      </c>
      <c r="I160" s="86">
        <v>194183</v>
      </c>
      <c r="J160" s="136">
        <v>188000</v>
      </c>
      <c r="K160" s="89"/>
      <c r="L160" s="89"/>
    </row>
    <row r="161">
      <c r="A161" s="89"/>
      <c r="B161" s="87" t="s">
        <v>93</v>
      </c>
      <c r="C161" s="92" t="s">
        <v>51</v>
      </c>
      <c r="D161" s="92" t="s">
        <v>51</v>
      </c>
      <c r="E161" s="92" t="s">
        <v>51</v>
      </c>
      <c r="F161" s="92" t="s">
        <v>51</v>
      </c>
      <c r="G161" s="92" t="s">
        <v>51</v>
      </c>
      <c r="H161" s="92">
        <f>IF(C160&lt;=0,"n.m.",H160/C160-1)</f>
        <v>0.12474055034602771</v>
      </c>
      <c r="I161" s="92">
        <f>IF(D160&lt;=0,"n.m.",I160/D160-1)</f>
        <v>0.044989048718404145</v>
      </c>
      <c r="J161" s="91">
        <f>IF(E160&lt;=0,"n.m.",J160/E160-1)</f>
        <v>0.026929589774403295</v>
      </c>
      <c r="K161" s="89"/>
      <c r="L161" s="89"/>
    </row>
    <row r="162">
      <c r="A162" s="89"/>
      <c r="B162" s="88" t="s">
        <v>94</v>
      </c>
      <c r="C162" s="95" t="s">
        <v>51</v>
      </c>
      <c r="D162" s="95">
        <f>D160-C160</f>
        <v>9970</v>
      </c>
      <c r="E162" s="95">
        <f>E160-D160</f>
        <v>-2753</v>
      </c>
      <c r="F162" s="95">
        <f>F160-E160</f>
        <v>9701</v>
      </c>
      <c r="G162" s="95" t="s">
        <v>51</v>
      </c>
      <c r="H162" s="95">
        <f>H160-F160</f>
        <v>5018</v>
      </c>
      <c r="I162" s="95">
        <f>I160-H160</f>
        <v>-3606</v>
      </c>
      <c r="J162" s="121">
        <f>J160-I160</f>
        <v>-6183</v>
      </c>
      <c r="K162" s="89"/>
      <c r="L162" s="89"/>
    </row>
    <row r="163">
      <c r="A163" s="89"/>
      <c r="B163" s="88" t="s">
        <v>171</v>
      </c>
      <c r="C163" s="86">
        <v>194418</v>
      </c>
      <c r="D163" s="86">
        <v>206064</v>
      </c>
      <c r="E163" s="86">
        <v>201965</v>
      </c>
      <c r="F163" s="86">
        <v>211728</v>
      </c>
      <c r="G163" s="95" t="s">
        <v>51</v>
      </c>
      <c r="H163" s="86">
        <v>218500</v>
      </c>
      <c r="I163" s="86">
        <v>214794</v>
      </c>
      <c r="J163" s="136">
        <v>210000</v>
      </c>
      <c r="K163" s="89"/>
      <c r="L163" s="89"/>
    </row>
    <row r="164">
      <c r="A164" s="89"/>
      <c r="B164" s="87" t="s">
        <v>93</v>
      </c>
      <c r="C164" s="92" t="s">
        <v>51</v>
      </c>
      <c r="D164" s="92" t="s">
        <v>51</v>
      </c>
      <c r="E164" s="92" t="s">
        <v>51</v>
      </c>
      <c r="F164" s="92" t="s">
        <v>51</v>
      </c>
      <c r="G164" s="92" t="s">
        <v>51</v>
      </c>
      <c r="H164" s="92">
        <f>IF(C163&lt;=0,"n.m.",H163/C163-1)</f>
        <v>0.12386713164418928</v>
      </c>
      <c r="I164" s="92">
        <f>IF(D163&lt;=0,"n.m.",I163/D163-1)</f>
        <v>0.042365478686233304</v>
      </c>
      <c r="J164" s="91">
        <f>IF(E163&lt;=0,"n.m.",J163/E163-1)</f>
        <v>0.03978412101106632</v>
      </c>
      <c r="K164" s="89"/>
      <c r="L164" s="89"/>
    </row>
    <row r="165">
      <c r="A165" s="89"/>
      <c r="B165" s="88" t="s">
        <v>94</v>
      </c>
      <c r="C165" s="95" t="s">
        <v>51</v>
      </c>
      <c r="D165" s="95">
        <f>D163-C163</f>
        <v>11646</v>
      </c>
      <c r="E165" s="95">
        <f>E163-D163</f>
        <v>-4099</v>
      </c>
      <c r="F165" s="95">
        <f>F163-E163</f>
        <v>9763</v>
      </c>
      <c r="G165" s="95" t="s">
        <v>51</v>
      </c>
      <c r="H165" s="95">
        <f>H163-F163</f>
        <v>6772</v>
      </c>
      <c r="I165" s="95">
        <f>I163-H163</f>
        <v>-3706</v>
      </c>
      <c r="J165" s="121">
        <f>J163-I163</f>
        <v>-4794</v>
      </c>
      <c r="K165" s="89"/>
      <c r="L165" s="89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172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173</v>
      </c>
      <c r="C10" s="89"/>
      <c r="D10" s="89"/>
      <c r="E10" s="89"/>
      <c r="F10" s="89"/>
      <c r="G10" s="89"/>
      <c r="H10" s="89"/>
      <c r="I10" s="89"/>
      <c r="J10" s="97"/>
      <c r="K10" s="89"/>
      <c r="L10" s="89"/>
    </row>
    <row r="11" ht="23.25">
      <c r="A11" s="89"/>
      <c r="B11" s="187" t="s">
        <v>174</v>
      </c>
      <c r="C11" s="95" t="s">
        <v>51</v>
      </c>
      <c r="D11" s="95">
        <f>C19</f>
        <v>2.9</v>
      </c>
      <c r="E11" s="95">
        <f>D19</f>
        <v>3</v>
      </c>
      <c r="F11" s="95">
        <f>E19</f>
        <v>3.2</v>
      </c>
      <c r="G11" s="95" t="s">
        <v>51</v>
      </c>
      <c r="H11" s="95">
        <f>F19</f>
        <v>3.3</v>
      </c>
      <c r="I11" s="95">
        <f>H19</f>
        <v>3.3</v>
      </c>
      <c r="J11" s="121">
        <f>I19</f>
        <v>3.6</v>
      </c>
      <c r="K11" s="89"/>
      <c r="L11" s="94" t="s">
        <v>175</v>
      </c>
    </row>
    <row r="12" ht="23.25">
      <c r="A12" s="89"/>
      <c r="B12" s="187" t="s">
        <v>176</v>
      </c>
      <c r="C12" s="86">
        <v>11</v>
      </c>
      <c r="D12" s="86">
        <v>-10</v>
      </c>
      <c r="E12" s="86">
        <v>3</v>
      </c>
      <c r="F12" s="86">
        <v>51</v>
      </c>
      <c r="G12" s="95">
        <f>SUM(C12:F12)</f>
        <v>55</v>
      </c>
      <c r="H12" s="86">
        <v>22</v>
      </c>
      <c r="I12" s="86">
        <v>25</v>
      </c>
      <c r="J12" s="136">
        <v>15</v>
      </c>
      <c r="K12" s="89"/>
      <c r="L12" s="94" t="s">
        <v>177</v>
      </c>
    </row>
    <row r="13">
      <c r="A13" s="89"/>
      <c r="B13" s="88" t="s">
        <v>178</v>
      </c>
      <c r="C13" s="95" t="s">
        <v>51</v>
      </c>
      <c r="D13" s="95" t="s">
        <v>51</v>
      </c>
      <c r="E13" s="95" t="s">
        <v>51</v>
      </c>
      <c r="F13" s="95" t="s">
        <v>51</v>
      </c>
      <c r="G13" s="95" t="s">
        <v>51</v>
      </c>
      <c r="H13" s="95">
        <f>H12-C12</f>
        <v>11</v>
      </c>
      <c r="I13" s="95">
        <f>I12-D12</f>
        <v>35</v>
      </c>
      <c r="J13" s="121">
        <f>J12-E12</f>
        <v>12</v>
      </c>
      <c r="K13" s="89"/>
      <c r="L13" s="89"/>
    </row>
    <row r="14">
      <c r="A14" s="89"/>
      <c r="B14" s="88" t="s">
        <v>94</v>
      </c>
      <c r="C14" s="95" t="s">
        <v>51</v>
      </c>
      <c r="D14" s="95">
        <f>D12-C12</f>
        <v>-21</v>
      </c>
      <c r="E14" s="95">
        <f>E12-D12</f>
        <v>13</v>
      </c>
      <c r="F14" s="95">
        <f>F12-E12</f>
        <v>48</v>
      </c>
      <c r="G14" s="95" t="s">
        <v>51</v>
      </c>
      <c r="H14" s="95">
        <f>H12-F12</f>
        <v>-29</v>
      </c>
      <c r="I14" s="95">
        <f>I12-H12</f>
        <v>3</v>
      </c>
      <c r="J14" s="121">
        <f>J12-I12</f>
        <v>-10</v>
      </c>
      <c r="K14" s="89"/>
      <c r="L14" s="89"/>
    </row>
    <row r="15" ht="23.25">
      <c r="A15" s="89"/>
      <c r="B15" s="187" t="s">
        <v>179</v>
      </c>
      <c r="C15" s="95" t="s">
        <v>51</v>
      </c>
      <c r="D15" s="95">
        <f>D19-D11-D12/1000</f>
        <v>0.11000000000000008</v>
      </c>
      <c r="E15" s="95">
        <f>E19-E11-E12/1000</f>
        <v>0.19700000000000017</v>
      </c>
      <c r="F15" s="95">
        <f>F19-F11-F12/1000</f>
        <v>0.04899999999999965</v>
      </c>
      <c r="G15" s="95" t="s">
        <v>51</v>
      </c>
      <c r="H15" s="95">
        <f>H19-H11-H12/1000</f>
        <v>-0.022</v>
      </c>
      <c r="I15" s="95">
        <f>I19-I11-I12/1000</f>
        <v>0.27500000000000024</v>
      </c>
      <c r="J15" s="121">
        <f>J11*J16</f>
        <v>0.018000000000000002</v>
      </c>
      <c r="K15" s="89"/>
      <c r="L15" s="89"/>
    </row>
    <row r="16" ht="23.25">
      <c r="A16" s="89"/>
      <c r="B16" s="190" t="s">
        <v>180</v>
      </c>
      <c r="C16" s="92" t="s">
        <v>51</v>
      </c>
      <c r="D16" s="92">
        <f>D15/D11</f>
        <v>0.03793103448275865</v>
      </c>
      <c r="E16" s="92">
        <f>E15/E11</f>
        <v>0.06566666666666672</v>
      </c>
      <c r="F16" s="92">
        <f>F15/F11</f>
        <v>0.015312499999999889</v>
      </c>
      <c r="G16" s="92" t="s">
        <v>51</v>
      </c>
      <c r="H16" s="92">
        <f>H15/H11</f>
        <v>-0.006666666666666666</v>
      </c>
      <c r="I16" s="92">
        <f>I15/I11</f>
        <v>0.08333333333333341</v>
      </c>
      <c r="J16" s="148">
        <v>0.005</v>
      </c>
      <c r="K16" s="89"/>
      <c r="L16" s="94" t="s">
        <v>181</v>
      </c>
    </row>
    <row r="17">
      <c r="A17" s="89"/>
      <c r="B17" s="88" t="s">
        <v>108</v>
      </c>
      <c r="C17" s="103" t="s">
        <v>51</v>
      </c>
      <c r="D17" s="103" t="s">
        <v>51</v>
      </c>
      <c r="E17" s="103">
        <f>(E16-D16)*10000</f>
        <v>277.35632183908075</v>
      </c>
      <c r="F17" s="103">
        <f>(F16-E16)*10000</f>
        <v>-503.54166666666833</v>
      </c>
      <c r="G17" s="103" t="s">
        <v>51</v>
      </c>
      <c r="H17" s="103">
        <f>(H16-F16)*10000</f>
        <v>-219.79166666666558</v>
      </c>
      <c r="I17" s="103">
        <f>(I16-H16)*10000</f>
        <v>900.0000000000008</v>
      </c>
      <c r="J17" s="128">
        <f>(J16-I16)*10000</f>
        <v>-783.333333333334</v>
      </c>
      <c r="K17" s="89"/>
      <c r="L17" s="89"/>
    </row>
    <row r="18">
      <c r="A18" s="89"/>
      <c r="B18" s="88" t="s">
        <v>109</v>
      </c>
      <c r="C18" s="103" t="s">
        <v>51</v>
      </c>
      <c r="D18" s="103" t="s">
        <v>51</v>
      </c>
      <c r="E18" s="103" t="s">
        <v>51</v>
      </c>
      <c r="F18" s="103" t="s">
        <v>51</v>
      </c>
      <c r="G18" s="103" t="s">
        <v>51</v>
      </c>
      <c r="H18" s="103" t="s">
        <v>51</v>
      </c>
      <c r="I18" s="103">
        <f>(I16-D16)*10000</f>
        <v>454.02298850574766</v>
      </c>
      <c r="J18" s="128">
        <f>(J16-E16)*10000</f>
        <v>-606.6666666666672</v>
      </c>
      <c r="K18" s="89"/>
      <c r="L18" s="89"/>
    </row>
    <row r="19" ht="23.25">
      <c r="A19" s="89"/>
      <c r="B19" s="186" t="s">
        <v>182</v>
      </c>
      <c r="C19" s="153">
        <v>2.9</v>
      </c>
      <c r="D19" s="153">
        <v>3</v>
      </c>
      <c r="E19" s="153">
        <v>3.2</v>
      </c>
      <c r="F19" s="153">
        <v>3.3</v>
      </c>
      <c r="G19" s="90">
        <f>F19</f>
        <v>3.3</v>
      </c>
      <c r="H19" s="153">
        <v>3.3</v>
      </c>
      <c r="I19" s="153">
        <v>3.6</v>
      </c>
      <c r="J19" s="135">
        <f>J11+J12/1000+J15</f>
        <v>3.633</v>
      </c>
      <c r="K19" s="89"/>
      <c r="L19" s="89"/>
    </row>
    <row r="20">
      <c r="A20" s="89"/>
      <c r="B20" s="87" t="s">
        <v>93</v>
      </c>
      <c r="C20" s="92" t="s">
        <v>51</v>
      </c>
      <c r="D20" s="92" t="s">
        <v>51</v>
      </c>
      <c r="E20" s="92" t="s">
        <v>51</v>
      </c>
      <c r="F20" s="92" t="s">
        <v>51</v>
      </c>
      <c r="G20" s="92" t="s">
        <v>51</v>
      </c>
      <c r="H20" s="92">
        <f>IF(C19&lt;=0,"n.m.",H19/C19-1)</f>
        <v>0.13793103448275867</v>
      </c>
      <c r="I20" s="92">
        <f>IF(D19&lt;=0,"n.m.",I19/D19-1)</f>
        <v>0.19999999999999996</v>
      </c>
      <c r="J20" s="91">
        <f>IF(E19&lt;=0,"n.m.",J19/E19-1)</f>
        <v>0.13531249999999995</v>
      </c>
      <c r="K20" s="89"/>
      <c r="L20" s="89"/>
    </row>
    <row r="21">
      <c r="A21" s="89"/>
      <c r="B21" s="88" t="s">
        <v>94</v>
      </c>
      <c r="C21" s="95" t="s">
        <v>51</v>
      </c>
      <c r="D21" s="95">
        <f>D19-C19</f>
        <v>0.10000000000000009</v>
      </c>
      <c r="E21" s="95">
        <f>E19-D19</f>
        <v>0.20000000000000018</v>
      </c>
      <c r="F21" s="95">
        <f>F19-E19</f>
        <v>0.09999999999999964</v>
      </c>
      <c r="G21" s="95" t="s">
        <v>51</v>
      </c>
      <c r="H21" s="95">
        <f>H19-F19</f>
        <v>0</v>
      </c>
      <c r="I21" s="95">
        <f>I19-H19</f>
        <v>0.30000000000000027</v>
      </c>
      <c r="J21" s="121">
        <f>J19-I19</f>
        <v>0.03299999999999992</v>
      </c>
      <c r="K21" s="89"/>
      <c r="L21" s="89"/>
    </row>
    <row r="22" ht="23.24853515625">
      <c r="A22" s="89"/>
      <c r="B22" s="187" t="s">
        <v>183</v>
      </c>
      <c r="C22" s="161">
        <v>298</v>
      </c>
      <c r="D22" s="161">
        <v>334</v>
      </c>
      <c r="E22" s="161">
        <v>269</v>
      </c>
      <c r="F22" s="161">
        <v>285</v>
      </c>
      <c r="G22" s="103" t="s">
        <v>51</v>
      </c>
      <c r="H22" s="161">
        <v>352</v>
      </c>
      <c r="I22" s="161">
        <v>391</v>
      </c>
      <c r="J22" s="160">
        <v>380</v>
      </c>
      <c r="K22" s="89"/>
      <c r="L22" s="94" t="s">
        <v>184</v>
      </c>
    </row>
    <row r="23">
      <c r="A23" s="89"/>
      <c r="B23" s="87" t="s">
        <v>93</v>
      </c>
      <c r="C23" s="92" t="s">
        <v>51</v>
      </c>
      <c r="D23" s="92" t="s">
        <v>51</v>
      </c>
      <c r="E23" s="92" t="s">
        <v>51</v>
      </c>
      <c r="F23" s="92" t="s">
        <v>51</v>
      </c>
      <c r="G23" s="92" t="s">
        <v>51</v>
      </c>
      <c r="H23" s="92">
        <f>IF(C22&lt;=0,"n.m.",H22/C22-1)</f>
        <v>0.18120805369127524</v>
      </c>
      <c r="I23" s="92">
        <f>IF(D22&lt;=0,"n.m.",I22/D22-1)</f>
        <v>0.1706586826347305</v>
      </c>
      <c r="J23" s="91">
        <f>IF(E22&lt;=0,"n.m.",J22/E22-1)</f>
        <v>0.4126394052044611</v>
      </c>
      <c r="K23" s="89"/>
      <c r="L23" s="89"/>
    </row>
    <row r="24">
      <c r="A24" s="89"/>
      <c r="B24" s="88" t="s">
        <v>94</v>
      </c>
      <c r="C24" s="103" t="s">
        <v>51</v>
      </c>
      <c r="D24" s="103">
        <f>D22-C22</f>
        <v>36</v>
      </c>
      <c r="E24" s="103">
        <f>E22-D22</f>
        <v>-65</v>
      </c>
      <c r="F24" s="103">
        <f>F22-E22</f>
        <v>16</v>
      </c>
      <c r="G24" s="103" t="s">
        <v>51</v>
      </c>
      <c r="H24" s="103">
        <f>H22-F22</f>
        <v>67</v>
      </c>
      <c r="I24" s="103">
        <f>I22-H22</f>
        <v>39</v>
      </c>
      <c r="J24" s="128">
        <f>J22-I22</f>
        <v>-11</v>
      </c>
      <c r="K24" s="89"/>
      <c r="L24" s="89"/>
    </row>
    <row r="25" ht="23.25">
      <c r="A25" s="89"/>
      <c r="B25" s="187" t="s">
        <v>185</v>
      </c>
      <c r="C25" s="161">
        <v>8406</v>
      </c>
      <c r="D25" s="161">
        <v>8405</v>
      </c>
      <c r="E25" s="161">
        <v>8387</v>
      </c>
      <c r="F25" s="161">
        <v>8487</v>
      </c>
      <c r="G25" s="103" t="s">
        <v>51</v>
      </c>
      <c r="H25" s="161">
        <v>8601</v>
      </c>
      <c r="I25" s="161">
        <v>8730</v>
      </c>
      <c r="J25" s="160">
        <v>8800</v>
      </c>
      <c r="K25" s="89"/>
      <c r="L25" s="89"/>
    </row>
    <row r="26">
      <c r="A26" s="89"/>
      <c r="B26" s="87" t="s">
        <v>93</v>
      </c>
      <c r="C26" s="92" t="s">
        <v>51</v>
      </c>
      <c r="D26" s="92" t="s">
        <v>51</v>
      </c>
      <c r="E26" s="92" t="s">
        <v>51</v>
      </c>
      <c r="F26" s="92" t="s">
        <v>51</v>
      </c>
      <c r="G26" s="92" t="s">
        <v>51</v>
      </c>
      <c r="H26" s="92">
        <f>IF(C25&lt;=0,"n.m.",H25/C25-1)</f>
        <v>0.0231977159172021</v>
      </c>
      <c r="I26" s="92">
        <f>IF(D25&lt;=0,"n.m.",I25/D25-1)</f>
        <v>0.038667459845330265</v>
      </c>
      <c r="J26" s="91">
        <f>IF(E25&lt;=0,"n.m.",J25/E25-1)</f>
        <v>0.04924287587933707</v>
      </c>
      <c r="K26" s="89"/>
      <c r="L26" s="89"/>
    </row>
    <row r="27">
      <c r="A27" s="89"/>
      <c r="B27" s="88" t="s">
        <v>94</v>
      </c>
      <c r="C27" s="103" t="s">
        <v>51</v>
      </c>
      <c r="D27" s="103">
        <f>D25-C25</f>
        <v>-1</v>
      </c>
      <c r="E27" s="103">
        <f>E25-D25</f>
        <v>-18</v>
      </c>
      <c r="F27" s="103">
        <f>F25-E25</f>
        <v>100</v>
      </c>
      <c r="G27" s="103" t="s">
        <v>51</v>
      </c>
      <c r="H27" s="103">
        <f>H25-F25</f>
        <v>114</v>
      </c>
      <c r="I27" s="103">
        <f>I25-H25</f>
        <v>129</v>
      </c>
      <c r="J27" s="128">
        <f>J25-I25</f>
        <v>70</v>
      </c>
      <c r="K27" s="89"/>
      <c r="L27" s="89"/>
    </row>
    <row r="28" ht="23.24853515625">
      <c r="A28" s="89"/>
      <c r="B28" s="187" t="s">
        <v>186</v>
      </c>
      <c r="C28" s="152">
        <f>C31/C19/100*365/C$8</f>
        <v>7.202107279693487</v>
      </c>
      <c r="D28" s="152">
        <f>D31/D19/100*365/D$8</f>
        <v>7.019230769230769</v>
      </c>
      <c r="E28" s="152">
        <f>E31/E19/100*365/E$8</f>
        <v>6.447010869565218</v>
      </c>
      <c r="F28" s="152">
        <f>F31/F19/100*365/F$8</f>
        <v>6.22760210803689</v>
      </c>
      <c r="G28" s="152">
        <f>G31/G19/100*365/G$8</f>
        <v>6.296969696969697</v>
      </c>
      <c r="H28" s="152">
        <f>H31/H19/100*365/H$8</f>
        <v>6.685521885521885</v>
      </c>
      <c r="I28" s="152">
        <f>I31/I19/100*365/I$8</f>
        <v>6.139041514041513</v>
      </c>
      <c r="J28" s="171">
        <v>6.12</v>
      </c>
      <c r="K28" s="89"/>
      <c r="L28" s="94" t="s">
        <v>187</v>
      </c>
    </row>
    <row r="29">
      <c r="A29" s="89"/>
      <c r="B29" s="88" t="s">
        <v>108</v>
      </c>
      <c r="C29" s="152" t="s">
        <v>51</v>
      </c>
      <c r="D29" s="152">
        <f>(D28-C28)</f>
        <v>-0.1828765104627177</v>
      </c>
      <c r="E29" s="152">
        <f>(E28-D28)</f>
        <v>-0.5722198996655514</v>
      </c>
      <c r="F29" s="152">
        <f>(F28-E28)</f>
        <v>-0.219408761528328</v>
      </c>
      <c r="G29" s="152" t="s">
        <v>51</v>
      </c>
      <c r="H29" s="152">
        <f>(H28-F28)</f>
        <v>0.457919777484995</v>
      </c>
      <c r="I29" s="152">
        <f>(I28-H28)</f>
        <v>-0.5464803714803717</v>
      </c>
      <c r="J29" s="164">
        <f>(J28-I28)</f>
        <v>-0.019041514041512997</v>
      </c>
      <c r="K29" s="89"/>
      <c r="L29" s="89"/>
    </row>
    <row r="30">
      <c r="A30" s="89"/>
      <c r="B30" s="88" t="s">
        <v>109</v>
      </c>
      <c r="C30" s="152" t="s">
        <v>51</v>
      </c>
      <c r="D30" s="152" t="s">
        <v>51</v>
      </c>
      <c r="E30" s="152" t="s">
        <v>51</v>
      </c>
      <c r="F30" s="152" t="s">
        <v>51</v>
      </c>
      <c r="G30" s="152" t="s">
        <v>51</v>
      </c>
      <c r="H30" s="152">
        <f>(H28-C28)</f>
        <v>-0.5165853941716021</v>
      </c>
      <c r="I30" s="152">
        <f>(I28-D28)</f>
        <v>-0.8801892551892561</v>
      </c>
      <c r="J30" s="164">
        <f>(J28-E28)</f>
        <v>-0.32701086956521763</v>
      </c>
      <c r="K30" s="89"/>
      <c r="L30" s="89"/>
    </row>
    <row r="31">
      <c r="A31" s="89"/>
      <c r="B31" s="88" t="s">
        <v>188</v>
      </c>
      <c r="C31" s="86">
        <v>515</v>
      </c>
      <c r="D31" s="86">
        <v>525</v>
      </c>
      <c r="E31" s="86">
        <v>520</v>
      </c>
      <c r="F31" s="86">
        <v>518</v>
      </c>
      <c r="G31" s="95">
        <f>SUM(C31:F31)</f>
        <v>2078</v>
      </c>
      <c r="H31" s="86">
        <v>544</v>
      </c>
      <c r="I31" s="86">
        <v>551</v>
      </c>
      <c r="J31" s="121">
        <f>J19*J28*100*J$8/365</f>
        <v>560.4176219178083</v>
      </c>
      <c r="K31" s="89"/>
      <c r="L31" s="89"/>
    </row>
    <row r="32">
      <c r="A32" s="89"/>
      <c r="B32" s="87" t="s">
        <v>63</v>
      </c>
      <c r="C32" s="92" t="s">
        <v>51</v>
      </c>
      <c r="D32" s="92" t="s">
        <v>51</v>
      </c>
      <c r="E32" s="92" t="s">
        <v>51</v>
      </c>
      <c r="F32" s="92" t="s">
        <v>51</v>
      </c>
      <c r="G32" s="92" t="s">
        <v>51</v>
      </c>
      <c r="H32" s="92">
        <f>IF(C31&lt;=0,"n.m.",H31/C31-1)</f>
        <v>0.056310679611650594</v>
      </c>
      <c r="I32" s="92">
        <f>IF(D31&lt;=0,"n.m.",I31/D31-1)</f>
        <v>0.049523809523809526</v>
      </c>
      <c r="J32" s="91">
        <f>IF(E31&lt;=0,"n.m.",J31/E31-1)</f>
        <v>0.07772619599578534</v>
      </c>
      <c r="K32" s="89"/>
      <c r="L32" s="89"/>
    </row>
    <row r="33">
      <c r="A33" s="89"/>
      <c r="B33" s="87" t="s">
        <v>64</v>
      </c>
      <c r="C33" s="92" t="s">
        <v>51</v>
      </c>
      <c r="D33" s="92">
        <f>IF(C31&lt;=0,"n.m.",D31/C31-1)</f>
        <v>0.01941747572815533</v>
      </c>
      <c r="E33" s="92">
        <f>IF(D31&lt;=0,"n.m.",E31/D31-1)</f>
        <v>-0.00952380952380949</v>
      </c>
      <c r="F33" s="92">
        <f>IF(E31&lt;=0,"n.m.",F31/E31-1)</f>
        <v>-0.0038461538461538325</v>
      </c>
      <c r="G33" s="92" t="s">
        <v>51</v>
      </c>
      <c r="H33" s="92">
        <f>IF(F31&lt;=0,"n.m.",H31/F31-1)</f>
        <v>0.05019305019305009</v>
      </c>
      <c r="I33" s="92">
        <f>IF(H31&lt;=0,"n.m.",I31/H31-1)</f>
        <v>0.012867647058823595</v>
      </c>
      <c r="J33" s="91">
        <f>IF(I31&lt;=0,"n.m.",J31/I31-1)</f>
        <v>0.017091872809089637</v>
      </c>
      <c r="K33" s="89"/>
      <c r="L33" s="89"/>
    </row>
    <row r="34">
      <c r="A34" s="89"/>
      <c r="B34" s="87" t="s">
        <v>127</v>
      </c>
      <c r="C34" s="92">
        <f>IF(C122=0,"n.m.",C31/C122)</f>
        <v>0.3032979976442874</v>
      </c>
      <c r="D34" s="92">
        <f>IF(D122=0,"n.m.",D31/D122)</f>
        <v>0.2993158494868871</v>
      </c>
      <c r="E34" s="92">
        <f>IF(E122=0,"n.m.",E31/E122)</f>
        <v>0.2922990444069702</v>
      </c>
      <c r="F34" s="92">
        <f>IF(F122=0,"n.m.",F31/F122)</f>
        <v>0.28492849284928495</v>
      </c>
      <c r="G34" s="92">
        <f>IF(G122=0,"n.m.",G31/G122)</f>
        <v>0.2947935877429423</v>
      </c>
      <c r="H34" s="92">
        <f>IF(H122=0,"n.m.",H31/H122)</f>
        <v>0.28752642706131076</v>
      </c>
      <c r="I34" s="92">
        <f>IF(I122=0,"n.m.",I31/I122)</f>
        <v>0.2796954314720812</v>
      </c>
      <c r="J34" s="91">
        <f>IF(J122=0,"n.m.",J31/J122)</f>
        <v>0.28452579073949885</v>
      </c>
      <c r="K34" s="89"/>
      <c r="L34" s="89"/>
    </row>
    <row r="35">
      <c r="A35" s="89"/>
      <c r="B35" s="87" t="s">
        <v>66</v>
      </c>
      <c r="C35" s="92" t="s">
        <v>67</v>
      </c>
      <c r="D35" s="92" t="s">
        <v>67</v>
      </c>
      <c r="E35" s="92" t="s">
        <v>67</v>
      </c>
      <c r="F35" s="92" t="s">
        <v>67</v>
      </c>
      <c r="G35" s="92" t="s">
        <v>67</v>
      </c>
      <c r="H35" s="92" t="s">
        <v>67</v>
      </c>
      <c r="I35" s="92" t="s">
        <v>67</v>
      </c>
      <c r="J35" s="91" t="s">
        <v>67</v>
      </c>
      <c r="K35" s="89"/>
      <c r="L35" s="94" t="s">
        <v>68</v>
      </c>
    </row>
    <row r="36">
      <c r="A36" s="89"/>
      <c r="B36" s="87" t="s">
        <v>69</v>
      </c>
      <c r="C36" s="92" t="s">
        <v>67</v>
      </c>
      <c r="D36" s="92" t="s">
        <v>67</v>
      </c>
      <c r="E36" s="92" t="s">
        <v>67</v>
      </c>
      <c r="F36" s="92" t="s">
        <v>67</v>
      </c>
      <c r="G36" s="92" t="s">
        <v>67</v>
      </c>
      <c r="H36" s="92" t="s">
        <v>67</v>
      </c>
      <c r="I36" s="92" t="s">
        <v>67</v>
      </c>
      <c r="J36" s="91" t="s">
        <v>67</v>
      </c>
      <c r="K36" s="89"/>
      <c r="L36" s="94" t="s">
        <v>70</v>
      </c>
    </row>
    <row r="37">
      <c r="A37" s="89"/>
      <c r="B37" s="87" t="s">
        <v>71</v>
      </c>
      <c r="C37" s="92" t="s">
        <v>67</v>
      </c>
      <c r="D37" s="92" t="s">
        <v>67</v>
      </c>
      <c r="E37" s="92" t="s">
        <v>67</v>
      </c>
      <c r="F37" s="92" t="s">
        <v>67</v>
      </c>
      <c r="G37" s="92" t="s">
        <v>67</v>
      </c>
      <c r="H37" s="92" t="s">
        <v>67</v>
      </c>
      <c r="I37" s="92" t="s">
        <v>67</v>
      </c>
      <c r="J37" s="91" t="s">
        <v>67</v>
      </c>
      <c r="K37" s="89"/>
      <c r="L37" s="94" t="s">
        <v>72</v>
      </c>
    </row>
    <row r="38">
      <c r="A38" s="89"/>
      <c r="B38" s="89"/>
      <c r="C38" s="89"/>
      <c r="D38" s="89"/>
      <c r="E38" s="89"/>
      <c r="F38" s="89"/>
      <c r="G38" s="89"/>
      <c r="H38" s="89"/>
      <c r="I38" s="89"/>
      <c r="J38" s="97"/>
      <c r="K38" s="89"/>
      <c r="L38" s="89"/>
    </row>
    <row r="39">
      <c r="A39" s="89"/>
      <c r="B39" s="104" t="s">
        <v>189</v>
      </c>
      <c r="C39" s="89"/>
      <c r="D39" s="89"/>
      <c r="E39" s="89"/>
      <c r="F39" s="89"/>
      <c r="G39" s="89"/>
      <c r="H39" s="89"/>
      <c r="I39" s="89"/>
      <c r="J39" s="97"/>
      <c r="K39" s="89"/>
      <c r="L39" s="89"/>
    </row>
    <row r="40" ht="23.25">
      <c r="A40" s="89"/>
      <c r="B40" s="187" t="s">
        <v>190</v>
      </c>
      <c r="C40" s="161">
        <v>244673</v>
      </c>
      <c r="D40" s="161">
        <v>246250</v>
      </c>
      <c r="E40" s="161">
        <v>246286</v>
      </c>
      <c r="F40" s="161">
        <v>258080</v>
      </c>
      <c r="G40" s="103" t="s">
        <v>51</v>
      </c>
      <c r="H40" s="161">
        <v>257960</v>
      </c>
      <c r="I40" s="161">
        <v>260275</v>
      </c>
      <c r="J40" s="160">
        <v>262000</v>
      </c>
      <c r="K40" s="89"/>
      <c r="L40" s="94" t="s">
        <v>191</v>
      </c>
    </row>
    <row r="41">
      <c r="A41" s="89"/>
      <c r="B41" s="87" t="s">
        <v>93</v>
      </c>
      <c r="C41" s="92" t="s">
        <v>51</v>
      </c>
      <c r="D41" s="92" t="s">
        <v>51</v>
      </c>
      <c r="E41" s="92" t="s">
        <v>51</v>
      </c>
      <c r="F41" s="92" t="s">
        <v>51</v>
      </c>
      <c r="G41" s="92" t="s">
        <v>51</v>
      </c>
      <c r="H41" s="92">
        <f>IF(C40&lt;=0,"n.m.",H40/C40-1)</f>
        <v>0.0543051337908147</v>
      </c>
      <c r="I41" s="92">
        <f>IF(D40&lt;=0,"n.m.",I40/D40-1)</f>
        <v>0.05695431472081225</v>
      </c>
      <c r="J41" s="91">
        <f>IF(E40&lt;=0,"n.m.",J40/E40-1)</f>
        <v>0.06380387029713419</v>
      </c>
      <c r="K41" s="89"/>
      <c r="L41" s="89"/>
    </row>
    <row r="42">
      <c r="A42" s="89"/>
      <c r="B42" s="88" t="s">
        <v>94</v>
      </c>
      <c r="C42" s="103" t="s">
        <v>51</v>
      </c>
      <c r="D42" s="103">
        <f>D40-C40</f>
        <v>1577</v>
      </c>
      <c r="E42" s="103">
        <f>E40-D40</f>
        <v>36</v>
      </c>
      <c r="F42" s="103">
        <f>F40-E40</f>
        <v>11794</v>
      </c>
      <c r="G42" s="103" t="s">
        <v>51</v>
      </c>
      <c r="H42" s="103">
        <f>H40-F40</f>
        <v>-120</v>
      </c>
      <c r="I42" s="103">
        <f>I40-H40</f>
        <v>2315</v>
      </c>
      <c r="J42" s="128">
        <f>J40-I40</f>
        <v>1725</v>
      </c>
      <c r="K42" s="89"/>
      <c r="L42" s="89"/>
    </row>
    <row r="43" ht="23.24853515625">
      <c r="A43" s="89"/>
      <c r="B43" s="187" t="s">
        <v>192</v>
      </c>
      <c r="C43" s="152">
        <f>C46/(C40/1000)*365/C$8</f>
        <v>3.464260916043499</v>
      </c>
      <c r="D43" s="152">
        <f>D46/(D40/1000)*365/D$8</f>
        <v>3.404250571763262</v>
      </c>
      <c r="E43" s="152">
        <f>E46/(E40/1000)*365/E$8</f>
        <v>3.447300046005193</v>
      </c>
      <c r="F43" s="152">
        <f>F46/(F40/1000)*365/F$8</f>
        <v>3.259016415536807</v>
      </c>
      <c r="G43" s="152" t="s">
        <v>51</v>
      </c>
      <c r="H43" s="152">
        <f>H46/(H40/1000)*365/H$8</f>
        <v>3.458761909684534</v>
      </c>
      <c r="I43" s="152">
        <f>I46/(I40/1000)*365/I$8</f>
        <v>3.4519701794699396</v>
      </c>
      <c r="J43" s="164">
        <f>I43</f>
        <v>3.4519701794699396</v>
      </c>
      <c r="K43" s="89"/>
      <c r="L43" s="94" t="s">
        <v>193</v>
      </c>
    </row>
    <row r="44">
      <c r="A44" s="89"/>
      <c r="B44" s="87" t="s">
        <v>93</v>
      </c>
      <c r="C44" s="92" t="s">
        <v>51</v>
      </c>
      <c r="D44" s="92" t="s">
        <v>51</v>
      </c>
      <c r="E44" s="92" t="s">
        <v>51</v>
      </c>
      <c r="F44" s="92" t="s">
        <v>51</v>
      </c>
      <c r="G44" s="92" t="s">
        <v>51</v>
      </c>
      <c r="H44" s="92">
        <f>IF(C43&lt;=0,"n.m.",H43/C43-1)</f>
        <v>-0.0015873534044443804</v>
      </c>
      <c r="I44" s="92">
        <f>IF(D43&lt;=0,"n.m.",I43/D43-1)</f>
        <v>0.014017654312079797</v>
      </c>
      <c r="J44" s="91">
        <f>IF(E43&lt;=0,"n.m.",J43/E43-1)</f>
        <v>0.0013547220730492082</v>
      </c>
      <c r="K44" s="89"/>
      <c r="L44" s="89"/>
    </row>
    <row r="45">
      <c r="A45" s="89"/>
      <c r="B45" s="88" t="s">
        <v>94</v>
      </c>
      <c r="C45" s="152" t="s">
        <v>51</v>
      </c>
      <c r="D45" s="152">
        <f>D43-C43</f>
        <v>-0.06001034428023733</v>
      </c>
      <c r="E45" s="152">
        <f>E43-D43</f>
        <v>0.04304947424193095</v>
      </c>
      <c r="F45" s="152">
        <f>F43-E43</f>
        <v>-0.1882836304683857</v>
      </c>
      <c r="G45" s="152" t="s">
        <v>51</v>
      </c>
      <c r="H45" s="152">
        <f>H43-F43</f>
        <v>0.1997454941477268</v>
      </c>
      <c r="I45" s="152">
        <f>I43-H43</f>
        <v>-0.006791730214594338</v>
      </c>
      <c r="J45" s="164">
        <f>J43-I43</f>
        <v>0</v>
      </c>
      <c r="K45" s="89"/>
      <c r="L45" s="89"/>
    </row>
    <row r="46">
      <c r="A46" s="89"/>
      <c r="B46" s="88" t="s">
        <v>194</v>
      </c>
      <c r="C46" s="86">
        <v>209</v>
      </c>
      <c r="D46" s="86">
        <v>209</v>
      </c>
      <c r="E46" s="86">
        <v>214</v>
      </c>
      <c r="F46" s="86">
        <v>212</v>
      </c>
      <c r="G46" s="95">
        <f>SUM(C46:F46)</f>
        <v>844</v>
      </c>
      <c r="H46" s="86">
        <v>220</v>
      </c>
      <c r="I46" s="86">
        <v>224</v>
      </c>
      <c r="J46" s="121">
        <f>J40/1000*J43*J$8/365</f>
        <v>227.9624361806669</v>
      </c>
      <c r="K46" s="89"/>
      <c r="L46" s="89"/>
    </row>
    <row r="47">
      <c r="A47" s="89"/>
      <c r="B47" s="87" t="s">
        <v>63</v>
      </c>
      <c r="C47" s="92" t="s">
        <v>51</v>
      </c>
      <c r="D47" s="92" t="s">
        <v>51</v>
      </c>
      <c r="E47" s="92" t="s">
        <v>51</v>
      </c>
      <c r="F47" s="92" t="s">
        <v>51</v>
      </c>
      <c r="G47" s="92" t="s">
        <v>51</v>
      </c>
      <c r="H47" s="92">
        <f>IF(C46&lt;=0,"n.m.",H46/C46-1)</f>
        <v>0.05263157894736836</v>
      </c>
      <c r="I47" s="92">
        <f>IF(D46&lt;=0,"n.m.",I46/D46-1)</f>
        <v>0.0717703349282297</v>
      </c>
      <c r="J47" s="91">
        <f>IF(E46&lt;=0,"n.m.",J46/E46-1)</f>
        <v>0.06524502888162109</v>
      </c>
      <c r="K47" s="89"/>
      <c r="L47" s="89"/>
    </row>
    <row r="48">
      <c r="A48" s="89"/>
      <c r="B48" s="87" t="s">
        <v>64</v>
      </c>
      <c r="C48" s="92" t="s">
        <v>51</v>
      </c>
      <c r="D48" s="92">
        <f>IF(C46&lt;=0,"n.m.",D46/C46-1)</f>
        <v>0</v>
      </c>
      <c r="E48" s="92">
        <f>IF(D46&lt;=0,"n.m.",E46/D46-1)</f>
        <v>0.02392344497607657</v>
      </c>
      <c r="F48" s="92">
        <f>IF(E46&lt;=0,"n.m.",F46/E46-1)</f>
        <v>-0.009345794392523366</v>
      </c>
      <c r="G48" s="92" t="s">
        <v>51</v>
      </c>
      <c r="H48" s="92">
        <f>IF(F46&lt;=0,"n.m.",H46/F46-1)</f>
        <v>0.037735849056603765</v>
      </c>
      <c r="I48" s="92">
        <f>IF(H46&lt;=0,"n.m.",I46/H46-1)</f>
        <v>0.018181818181818077</v>
      </c>
      <c r="J48" s="91">
        <f>IF(I46&lt;=0,"n.m.",J46/I46-1)</f>
        <v>0.017689447235120115</v>
      </c>
      <c r="K48" s="89"/>
      <c r="L48" s="89"/>
    </row>
    <row r="49">
      <c r="A49" s="89"/>
      <c r="B49" s="87" t="s">
        <v>127</v>
      </c>
      <c r="C49" s="92">
        <f>IF(C122=0,"n.m.",C46/C122)</f>
        <v>0.12308598351001178</v>
      </c>
      <c r="D49" s="92">
        <f>IF(D122=0,"n.m.",D46/D122)</f>
        <v>0.11915621436716077</v>
      </c>
      <c r="E49" s="92">
        <f>IF(E122=0,"n.m.",E46/E122)</f>
        <v>0.12029229904440697</v>
      </c>
      <c r="F49" s="92">
        <f>IF(F122=0,"n.m.",F46/F122)</f>
        <v>0.11661166116611661</v>
      </c>
      <c r="G49" s="92">
        <f>IF(G122=0,"n.m.",G46/G122)</f>
        <v>0.11973329550290822</v>
      </c>
      <c r="H49" s="92">
        <f>IF(H122=0,"n.m.",H46/H122)</f>
        <v>0.11627906976744186</v>
      </c>
      <c r="I49" s="92">
        <f>IF(I122=0,"n.m.",I46/I122)</f>
        <v>0.11370558375634518</v>
      </c>
      <c r="J49" s="91">
        <f>IF(J122=0,"n.m.",J46/J122)</f>
        <v>0.11573724643283867</v>
      </c>
      <c r="K49" s="89"/>
      <c r="L49" s="89"/>
    </row>
    <row r="50">
      <c r="A50" s="89"/>
      <c r="B50" s="87" t="s">
        <v>66</v>
      </c>
      <c r="C50" s="92" t="s">
        <v>67</v>
      </c>
      <c r="D50" s="92" t="s">
        <v>67</v>
      </c>
      <c r="E50" s="92" t="s">
        <v>67</v>
      </c>
      <c r="F50" s="92" t="s">
        <v>67</v>
      </c>
      <c r="G50" s="92" t="s">
        <v>67</v>
      </c>
      <c r="H50" s="92" t="s">
        <v>67</v>
      </c>
      <c r="I50" s="92" t="s">
        <v>67</v>
      </c>
      <c r="J50" s="91" t="s">
        <v>67</v>
      </c>
      <c r="K50" s="89"/>
      <c r="L50" s="94" t="s">
        <v>68</v>
      </c>
    </row>
    <row r="51">
      <c r="A51" s="89"/>
      <c r="B51" s="87" t="s">
        <v>69</v>
      </c>
      <c r="C51" s="92" t="s">
        <v>67</v>
      </c>
      <c r="D51" s="92" t="s">
        <v>67</v>
      </c>
      <c r="E51" s="92" t="s">
        <v>67</v>
      </c>
      <c r="F51" s="92" t="s">
        <v>67</v>
      </c>
      <c r="G51" s="92" t="s">
        <v>67</v>
      </c>
      <c r="H51" s="92" t="s">
        <v>67</v>
      </c>
      <c r="I51" s="92" t="s">
        <v>67</v>
      </c>
      <c r="J51" s="91" t="s">
        <v>67</v>
      </c>
      <c r="K51" s="89"/>
      <c r="L51" s="94" t="s">
        <v>70</v>
      </c>
    </row>
    <row r="52">
      <c r="A52" s="89"/>
      <c r="B52" s="87" t="s">
        <v>71</v>
      </c>
      <c r="C52" s="92" t="s">
        <v>67</v>
      </c>
      <c r="D52" s="92" t="s">
        <v>67</v>
      </c>
      <c r="E52" s="92" t="s">
        <v>67</v>
      </c>
      <c r="F52" s="92" t="s">
        <v>67</v>
      </c>
      <c r="G52" s="92" t="s">
        <v>67</v>
      </c>
      <c r="H52" s="92" t="s">
        <v>67</v>
      </c>
      <c r="I52" s="92" t="s">
        <v>67</v>
      </c>
      <c r="J52" s="91" t="s">
        <v>67</v>
      </c>
      <c r="K52" s="89"/>
      <c r="L52" s="94" t="s">
        <v>72</v>
      </c>
    </row>
    <row r="53">
      <c r="A53" s="89"/>
      <c r="B53" s="89"/>
      <c r="C53" s="89"/>
      <c r="D53" s="89"/>
      <c r="E53" s="89"/>
      <c r="F53" s="89"/>
      <c r="G53" s="89"/>
      <c r="H53" s="89"/>
      <c r="I53" s="89"/>
      <c r="J53" s="97"/>
      <c r="K53" s="89"/>
      <c r="L53" s="89"/>
    </row>
    <row r="54">
      <c r="A54" s="89"/>
      <c r="B54" s="104" t="s">
        <v>195</v>
      </c>
      <c r="C54" s="89"/>
      <c r="D54" s="89"/>
      <c r="E54" s="89"/>
      <c r="F54" s="89"/>
      <c r="G54" s="89"/>
      <c r="H54" s="89"/>
      <c r="I54" s="89"/>
      <c r="J54" s="97"/>
      <c r="K54" s="89"/>
      <c r="L54" s="89"/>
    </row>
    <row r="55" ht="14.624267578125">
      <c r="A55" s="89"/>
      <c r="B55" s="187" t="s">
        <v>196</v>
      </c>
      <c r="C55" s="161">
        <v>6576</v>
      </c>
      <c r="D55" s="161">
        <v>7061</v>
      </c>
      <c r="E55" s="161">
        <v>7275</v>
      </c>
      <c r="F55" s="161">
        <v>7453</v>
      </c>
      <c r="G55" s="103" t="s">
        <v>51</v>
      </c>
      <c r="H55" s="161">
        <v>7783</v>
      </c>
      <c r="I55" s="161">
        <v>8199</v>
      </c>
      <c r="J55" s="160">
        <v>8500</v>
      </c>
      <c r="K55" s="89"/>
      <c r="L55" s="94" t="s">
        <v>197</v>
      </c>
    </row>
    <row r="56">
      <c r="A56" s="89"/>
      <c r="B56" s="87" t="s">
        <v>93</v>
      </c>
      <c r="C56" s="92" t="s">
        <v>51</v>
      </c>
      <c r="D56" s="92" t="s">
        <v>51</v>
      </c>
      <c r="E56" s="92" t="s">
        <v>51</v>
      </c>
      <c r="F56" s="92" t="s">
        <v>51</v>
      </c>
      <c r="G56" s="92" t="s">
        <v>51</v>
      </c>
      <c r="H56" s="92">
        <f>IF(C55&lt;=0,"n.m.",H55/C55-1)</f>
        <v>0.18354622871046233</v>
      </c>
      <c r="I56" s="92">
        <f>IF(D55&lt;=0,"n.m.",I55/D55-1)</f>
        <v>0.1611669735164991</v>
      </c>
      <c r="J56" s="91">
        <f>IF(E55&lt;=0,"n.m.",J55/E55-1)</f>
        <v>0.16838487972508598</v>
      </c>
      <c r="K56" s="89"/>
      <c r="L56" s="89"/>
    </row>
    <row r="57">
      <c r="A57" s="89"/>
      <c r="B57" s="88" t="s">
        <v>94</v>
      </c>
      <c r="C57" s="103" t="s">
        <v>51</v>
      </c>
      <c r="D57" s="103">
        <f>D55-C55</f>
        <v>485</v>
      </c>
      <c r="E57" s="103">
        <f>E55-D55</f>
        <v>214</v>
      </c>
      <c r="F57" s="103">
        <f>F55-E55</f>
        <v>178</v>
      </c>
      <c r="G57" s="103" t="s">
        <v>51</v>
      </c>
      <c r="H57" s="103">
        <f>H55-F55</f>
        <v>330</v>
      </c>
      <c r="I57" s="103">
        <f>I55-H55</f>
        <v>416</v>
      </c>
      <c r="J57" s="128">
        <f>J55-I55</f>
        <v>301</v>
      </c>
      <c r="K57" s="89"/>
      <c r="L57" s="89"/>
    </row>
    <row r="58" ht="23.25">
      <c r="A58" s="89"/>
      <c r="B58" s="187" t="s">
        <v>198</v>
      </c>
      <c r="C58" s="152">
        <f>C61/(C55*1000)*10000*365/C$8</f>
        <v>2.232529061908624</v>
      </c>
      <c r="D58" s="152">
        <f>D61/(D55*1000)*10000*365/D$8</f>
        <v>2.1869859357467347</v>
      </c>
      <c r="E58" s="152">
        <f>E61/(E55*1000)*10000*365/E$8</f>
        <v>2.1704766173614227</v>
      </c>
      <c r="F58" s="152">
        <f>F61/(F55*1000)*10000*365/F$8</f>
        <v>2.219780187727148</v>
      </c>
      <c r="G58" s="152" t="s">
        <v>51</v>
      </c>
      <c r="H58" s="152">
        <f>H61/(H55*1000)*10000*365/H$8</f>
        <v>2.2406384284837326</v>
      </c>
      <c r="I58" s="152">
        <f>I61/(I55*1000)*10000*365/I$8</f>
        <v>2.2160971118161017</v>
      </c>
      <c r="J58" s="171">
        <v>2.2</v>
      </c>
      <c r="K58" s="89"/>
      <c r="L58" s="94" t="s">
        <v>199</v>
      </c>
    </row>
    <row r="59">
      <c r="A59" s="89"/>
      <c r="B59" s="88" t="s">
        <v>108</v>
      </c>
      <c r="C59" s="152" t="s">
        <v>51</v>
      </c>
      <c r="D59" s="152">
        <f>(D58-C58)</f>
        <v>-0.04554312616188927</v>
      </c>
      <c r="E59" s="152">
        <f>(E58-D58)</f>
        <v>-0.016509318385312</v>
      </c>
      <c r="F59" s="152">
        <f>(F58-E58)</f>
        <v>0.04930357036572541</v>
      </c>
      <c r="G59" s="152" t="s">
        <v>51</v>
      </c>
      <c r="H59" s="152">
        <f>(H58-F58)</f>
        <v>0.02085824075658449</v>
      </c>
      <c r="I59" s="152">
        <f>(I58-H58)</f>
        <v>-0.02454131666763093</v>
      </c>
      <c r="J59" s="164">
        <f>(J58-I58)</f>
        <v>-0.016097111816101517</v>
      </c>
      <c r="K59" s="89"/>
      <c r="L59" s="89"/>
    </row>
    <row r="60">
      <c r="A60" s="89"/>
      <c r="B60" s="88" t="s">
        <v>109</v>
      </c>
      <c r="C60" s="152" t="s">
        <v>51</v>
      </c>
      <c r="D60" s="152" t="s">
        <v>51</v>
      </c>
      <c r="E60" s="152" t="s">
        <v>51</v>
      </c>
      <c r="F60" s="152" t="s">
        <v>51</v>
      </c>
      <c r="G60" s="152" t="s">
        <v>51</v>
      </c>
      <c r="H60" s="152">
        <f>(H58-C58)</f>
        <v>0.008109366575108634</v>
      </c>
      <c r="I60" s="152">
        <f>(I58-D58)</f>
        <v>0.029111176069366973</v>
      </c>
      <c r="J60" s="164">
        <f>(J58-E58)</f>
        <v>0.029523382638577456</v>
      </c>
      <c r="K60" s="89"/>
      <c r="L60" s="89"/>
    </row>
    <row r="61" ht="23.25">
      <c r="A61" s="89"/>
      <c r="B61" s="187" t="s">
        <v>200</v>
      </c>
      <c r="C61" s="86">
        <v>362</v>
      </c>
      <c r="D61" s="86">
        <v>385</v>
      </c>
      <c r="E61" s="86">
        <v>398</v>
      </c>
      <c r="F61" s="86">
        <v>417</v>
      </c>
      <c r="G61" s="95">
        <f>SUM(C61:F61)</f>
        <v>1562</v>
      </c>
      <c r="H61" s="86">
        <v>430</v>
      </c>
      <c r="I61" s="86">
        <v>453</v>
      </c>
      <c r="J61" s="121">
        <f>J55*1000*J58/10000*J$8/365</f>
        <v>471.3424657534247</v>
      </c>
      <c r="K61" s="89"/>
      <c r="L61" s="89"/>
    </row>
    <row r="62">
      <c r="A62" s="89"/>
      <c r="B62" s="87" t="s">
        <v>63</v>
      </c>
      <c r="C62" s="92" t="s">
        <v>51</v>
      </c>
      <c r="D62" s="92" t="s">
        <v>51</v>
      </c>
      <c r="E62" s="92" t="s">
        <v>51</v>
      </c>
      <c r="F62" s="92" t="s">
        <v>51</v>
      </c>
      <c r="G62" s="92" t="s">
        <v>51</v>
      </c>
      <c r="H62" s="92">
        <f>IF(C61&lt;=0,"n.m.",H61/C61-1)</f>
        <v>0.18784530386740328</v>
      </c>
      <c r="I62" s="92">
        <f>IF(D61&lt;=0,"n.m.",I61/D61-1)</f>
        <v>0.17662337662337668</v>
      </c>
      <c r="J62" s="91">
        <f>IF(E61&lt;=0,"n.m.",J61/E61-1)</f>
        <v>0.1842775521442832</v>
      </c>
      <c r="K62" s="89"/>
      <c r="L62" s="89"/>
    </row>
    <row r="63">
      <c r="A63" s="89"/>
      <c r="B63" s="87" t="s">
        <v>64</v>
      </c>
      <c r="C63" s="92" t="s">
        <v>51</v>
      </c>
      <c r="D63" s="92">
        <f>IF(C61&lt;=0,"n.m.",D61/C61-1)</f>
        <v>0.06353591160220984</v>
      </c>
      <c r="E63" s="92">
        <f>IF(D61&lt;=0,"n.m.",E61/D61-1)</f>
        <v>0.033766233766233666</v>
      </c>
      <c r="F63" s="92">
        <f>IF(E61&lt;=0,"n.m.",F61/E61-1)</f>
        <v>0.047738693467336724</v>
      </c>
      <c r="G63" s="92" t="s">
        <v>51</v>
      </c>
      <c r="H63" s="92">
        <f>IF(F61&lt;=0,"n.m.",H61/F61-1)</f>
        <v>0.031175059952038398</v>
      </c>
      <c r="I63" s="92">
        <f>IF(H61&lt;=0,"n.m.",I61/H61-1)</f>
        <v>0.05348837209302326</v>
      </c>
      <c r="J63" s="91">
        <f>IF(I61&lt;=0,"n.m.",J61/I61-1)</f>
        <v>0.04049109437842091</v>
      </c>
      <c r="K63" s="89"/>
      <c r="L63" s="89"/>
    </row>
    <row r="64">
      <c r="A64" s="89"/>
      <c r="B64" s="87" t="s">
        <v>127</v>
      </c>
      <c r="C64" s="92">
        <f>IF(C122=0,"n.m.",C61/C122)</f>
        <v>0.21319199057714958</v>
      </c>
      <c r="D64" s="92">
        <f>IF(D122=0,"n.m.",D61/D122)</f>
        <v>0.21949828962371723</v>
      </c>
      <c r="E64" s="92">
        <f>IF(E122=0,"n.m.",E61/E122)</f>
        <v>0.2237211916807195</v>
      </c>
      <c r="F64" s="92">
        <f>IF(F122=0,"n.m.",F61/F122)</f>
        <v>0.22937293729372937</v>
      </c>
      <c r="G64" s="92">
        <f>IF(G122=0,"n.m.",G61/G122)</f>
        <v>0.22159171513689885</v>
      </c>
      <c r="H64" s="92">
        <f>IF(H122=0,"n.m.",H61/H122)</f>
        <v>0.22727272727272727</v>
      </c>
      <c r="I64" s="92">
        <f>IF(I122=0,"n.m.",I61/I122)</f>
        <v>0.22994923857868022</v>
      </c>
      <c r="J64" s="91">
        <f>IF(J122=0,"n.m.",J61/J122)</f>
        <v>0.23930205356259646</v>
      </c>
      <c r="K64" s="89"/>
      <c r="L64" s="89"/>
    </row>
    <row r="65">
      <c r="A65" s="89"/>
      <c r="B65" s="87" t="s">
        <v>66</v>
      </c>
      <c r="C65" s="92" t="s">
        <v>67</v>
      </c>
      <c r="D65" s="92" t="s">
        <v>67</v>
      </c>
      <c r="E65" s="92" t="s">
        <v>67</v>
      </c>
      <c r="F65" s="92" t="s">
        <v>67</v>
      </c>
      <c r="G65" s="92" t="s">
        <v>67</v>
      </c>
      <c r="H65" s="92" t="s">
        <v>67</v>
      </c>
      <c r="I65" s="92" t="s">
        <v>67</v>
      </c>
      <c r="J65" s="91" t="s">
        <v>67</v>
      </c>
      <c r="K65" s="89"/>
      <c r="L65" s="94" t="s">
        <v>68</v>
      </c>
    </row>
    <row r="66">
      <c r="A66" s="89"/>
      <c r="B66" s="87" t="s">
        <v>69</v>
      </c>
      <c r="C66" s="92" t="s">
        <v>67</v>
      </c>
      <c r="D66" s="92" t="s">
        <v>67</v>
      </c>
      <c r="E66" s="92" t="s">
        <v>67</v>
      </c>
      <c r="F66" s="92" t="s">
        <v>67</v>
      </c>
      <c r="G66" s="92" t="s">
        <v>67</v>
      </c>
      <c r="H66" s="92" t="s">
        <v>67</v>
      </c>
      <c r="I66" s="92" t="s">
        <v>67</v>
      </c>
      <c r="J66" s="91" t="s">
        <v>67</v>
      </c>
      <c r="K66" s="89"/>
      <c r="L66" s="94" t="s">
        <v>70</v>
      </c>
    </row>
    <row r="67">
      <c r="A67" s="89"/>
      <c r="B67" s="87" t="s">
        <v>71</v>
      </c>
      <c r="C67" s="92" t="s">
        <v>67</v>
      </c>
      <c r="D67" s="92" t="s">
        <v>67</v>
      </c>
      <c r="E67" s="92" t="s">
        <v>67</v>
      </c>
      <c r="F67" s="92" t="s">
        <v>67</v>
      </c>
      <c r="G67" s="92" t="s">
        <v>67</v>
      </c>
      <c r="H67" s="92" t="s">
        <v>67</v>
      </c>
      <c r="I67" s="92" t="s">
        <v>67</v>
      </c>
      <c r="J67" s="91" t="s">
        <v>67</v>
      </c>
      <c r="K67" s="89"/>
      <c r="L67" s="94" t="s">
        <v>72</v>
      </c>
    </row>
    <row r="68">
      <c r="A68" s="89"/>
      <c r="B68" s="104" t="s">
        <v>138</v>
      </c>
      <c r="C68" s="90">
        <f>C31+C46+C61</f>
        <v>1086</v>
      </c>
      <c r="D68" s="90">
        <f>D31+D46+D61</f>
        <v>1119</v>
      </c>
      <c r="E68" s="90">
        <f>E31+E46+E61</f>
        <v>1132</v>
      </c>
      <c r="F68" s="90">
        <f>F31+F46+F61</f>
        <v>1147</v>
      </c>
      <c r="G68" s="90">
        <f>G31+G46+G61</f>
        <v>4484</v>
      </c>
      <c r="H68" s="90">
        <f>H31+H46+H61</f>
        <v>1194</v>
      </c>
      <c r="I68" s="90">
        <f>I31+I46+I61</f>
        <v>1228</v>
      </c>
      <c r="J68" s="135">
        <f>J31+J46+J61</f>
        <v>1259.7225238519</v>
      </c>
      <c r="K68" s="89"/>
      <c r="L68" s="89"/>
    </row>
    <row r="69">
      <c r="A69" s="89"/>
      <c r="B69" s="87" t="s">
        <v>63</v>
      </c>
      <c r="C69" s="92" t="s">
        <v>51</v>
      </c>
      <c r="D69" s="92" t="s">
        <v>51</v>
      </c>
      <c r="E69" s="92" t="s">
        <v>51</v>
      </c>
      <c r="F69" s="92" t="s">
        <v>51</v>
      </c>
      <c r="G69" s="92" t="s">
        <v>51</v>
      </c>
      <c r="H69" s="92">
        <f>IF(C68&lt;=0,"n.m.",H68/C68-1)</f>
        <v>0.09944751381215466</v>
      </c>
      <c r="I69" s="92">
        <f>IF(D68&lt;=0,"n.m.",I68/D68-1)</f>
        <v>0.09740840035746201</v>
      </c>
      <c r="J69" s="91">
        <f>IF(E68&lt;=0,"n.m.",J68/E68-1)</f>
        <v>0.11282908467482322</v>
      </c>
      <c r="K69" s="89"/>
      <c r="L69" s="89"/>
    </row>
    <row r="70">
      <c r="A70" s="89"/>
      <c r="B70" s="87" t="s">
        <v>64</v>
      </c>
      <c r="C70" s="92" t="s">
        <v>51</v>
      </c>
      <c r="D70" s="92">
        <f>IF(C68&lt;=0,"n.m.",D68/C68-1)</f>
        <v>0.03038674033149169</v>
      </c>
      <c r="E70" s="92">
        <f>IF(D68&lt;=0,"n.m.",E68/D68-1)</f>
        <v>0.011617515638963294</v>
      </c>
      <c r="F70" s="92">
        <f>IF(E68&lt;=0,"n.m.",F68/E68-1)</f>
        <v>0.013250883392226243</v>
      </c>
      <c r="G70" s="92" t="s">
        <v>51</v>
      </c>
      <c r="H70" s="92">
        <f>IF(F68&lt;=0,"n.m.",H68/F68-1)</f>
        <v>0.04097646033129898</v>
      </c>
      <c r="I70" s="92">
        <f>IF(H68&lt;=0,"n.m.",I68/H68-1)</f>
        <v>0.028475711892797406</v>
      </c>
      <c r="J70" s="91">
        <f>IF(I68&lt;=0,"n.m.",J68/I68-1)</f>
        <v>0.025832674146498258</v>
      </c>
      <c r="K70" s="89"/>
      <c r="L70" s="89"/>
    </row>
    <row r="71">
      <c r="A71" s="89"/>
      <c r="B71" s="87" t="s">
        <v>127</v>
      </c>
      <c r="C71" s="92">
        <f>IF(C122=0,"n.m.",C68/C122)</f>
        <v>0.6395759717314488</v>
      </c>
      <c r="D71" s="92">
        <f>IF(D122=0,"n.m.",D68/D122)</f>
        <v>0.6379703534777651</v>
      </c>
      <c r="E71" s="92">
        <f>IF(E122=0,"n.m.",E68/E122)</f>
        <v>0.6363125351320967</v>
      </c>
      <c r="F71" s="92">
        <f>IF(F122=0,"n.m.",F68/F122)</f>
        <v>0.6309130913091309</v>
      </c>
      <c r="G71" s="92">
        <f>IF(G122=0,"n.m.",G68/G122)</f>
        <v>0.6361185983827493</v>
      </c>
      <c r="H71" s="92">
        <f>IF(H122=0,"n.m.",H68/H122)</f>
        <v>0.63107822410148</v>
      </c>
      <c r="I71" s="92">
        <f>IF(I122=0,"n.m.",I68/I122)</f>
        <v>0.6233502538071066</v>
      </c>
      <c r="J71" s="91">
        <f>IF(J122=0,"n.m.",J68/J122)</f>
        <v>0.639565090734934</v>
      </c>
      <c r="K71" s="89"/>
      <c r="L71" s="89"/>
    </row>
    <row r="72">
      <c r="A72" s="89"/>
      <c r="B72" s="87" t="s">
        <v>66</v>
      </c>
      <c r="C72" s="92" t="s">
        <v>67</v>
      </c>
      <c r="D72" s="92" t="s">
        <v>67</v>
      </c>
      <c r="E72" s="92" t="s">
        <v>67</v>
      </c>
      <c r="F72" s="92" t="s">
        <v>67</v>
      </c>
      <c r="G72" s="92" t="s">
        <v>67</v>
      </c>
      <c r="H72" s="92" t="s">
        <v>67</v>
      </c>
      <c r="I72" s="92" t="s">
        <v>67</v>
      </c>
      <c r="J72" s="91" t="s">
        <v>67</v>
      </c>
      <c r="K72" s="89"/>
      <c r="L72" s="94" t="s">
        <v>68</v>
      </c>
    </row>
    <row r="73">
      <c r="A73" s="89"/>
      <c r="B73" s="87" t="s">
        <v>69</v>
      </c>
      <c r="C73" s="92" t="s">
        <v>67</v>
      </c>
      <c r="D73" s="92" t="s">
        <v>67</v>
      </c>
      <c r="E73" s="92" t="s">
        <v>67</v>
      </c>
      <c r="F73" s="92" t="s">
        <v>67</v>
      </c>
      <c r="G73" s="92" t="s">
        <v>67</v>
      </c>
      <c r="H73" s="92" t="s">
        <v>67</v>
      </c>
      <c r="I73" s="92" t="s">
        <v>67</v>
      </c>
      <c r="J73" s="91" t="s">
        <v>67</v>
      </c>
      <c r="K73" s="89"/>
      <c r="L73" s="94" t="s">
        <v>70</v>
      </c>
    </row>
    <row r="74">
      <c r="A74" s="89"/>
      <c r="B74" s="87" t="s">
        <v>71</v>
      </c>
      <c r="C74" s="92" t="s">
        <v>67</v>
      </c>
      <c r="D74" s="92" t="s">
        <v>67</v>
      </c>
      <c r="E74" s="92" t="s">
        <v>67</v>
      </c>
      <c r="F74" s="92" t="s">
        <v>67</v>
      </c>
      <c r="G74" s="92" t="s">
        <v>67</v>
      </c>
      <c r="H74" s="92" t="s">
        <v>67</v>
      </c>
      <c r="I74" s="92" t="s">
        <v>67</v>
      </c>
      <c r="J74" s="91" t="s">
        <v>67</v>
      </c>
      <c r="K74" s="89"/>
      <c r="L74" s="94" t="s">
        <v>72</v>
      </c>
    </row>
    <row r="75">
      <c r="A75" s="89"/>
      <c r="B75" s="89"/>
      <c r="C75" s="89"/>
      <c r="D75" s="89"/>
      <c r="E75" s="89"/>
      <c r="F75" s="89"/>
      <c r="G75" s="89"/>
      <c r="H75" s="89"/>
      <c r="I75" s="89"/>
      <c r="J75" s="97"/>
      <c r="K75" s="89"/>
      <c r="L75" s="89"/>
    </row>
    <row r="76">
      <c r="A76" s="89"/>
      <c r="B76" s="104" t="s">
        <v>139</v>
      </c>
      <c r="C76" s="89"/>
      <c r="D76" s="89"/>
      <c r="E76" s="89"/>
      <c r="F76" s="89"/>
      <c r="G76" s="89"/>
      <c r="H76" s="89"/>
      <c r="I76" s="89"/>
      <c r="J76" s="97"/>
      <c r="K76" s="89"/>
      <c r="L76" s="89"/>
    </row>
    <row r="77">
      <c r="A77" s="89"/>
      <c r="B77" s="88" t="s">
        <v>142</v>
      </c>
      <c r="C77" s="86">
        <v>29</v>
      </c>
      <c r="D77" s="86">
        <v>30</v>
      </c>
      <c r="E77" s="86">
        <v>31</v>
      </c>
      <c r="F77" s="86">
        <v>28</v>
      </c>
      <c r="G77" s="95">
        <f>SUM(C77:F77)</f>
        <v>118</v>
      </c>
      <c r="H77" s="86">
        <v>36</v>
      </c>
      <c r="I77" s="86">
        <v>34</v>
      </c>
      <c r="J77" s="136">
        <v>32</v>
      </c>
      <c r="K77" s="89"/>
      <c r="L77" s="89"/>
    </row>
    <row r="78">
      <c r="A78" s="89"/>
      <c r="B78" s="87" t="s">
        <v>63</v>
      </c>
      <c r="C78" s="92" t="s">
        <v>51</v>
      </c>
      <c r="D78" s="92" t="s">
        <v>51</v>
      </c>
      <c r="E78" s="92" t="s">
        <v>51</v>
      </c>
      <c r="F78" s="92" t="s">
        <v>51</v>
      </c>
      <c r="G78" s="92" t="s">
        <v>51</v>
      </c>
      <c r="H78" s="92">
        <f>IF(C77&lt;=0,"n.m.",H77/C77-1)</f>
        <v>0.24137931034482762</v>
      </c>
      <c r="I78" s="92">
        <f>IF(D77&lt;=0,"n.m.",I77/D77-1)</f>
        <v>0.1333333333333333</v>
      </c>
      <c r="J78" s="91">
        <f>IF(E77&lt;=0,"n.m.",J77/E77-1)</f>
        <v>0.032258064516129004</v>
      </c>
      <c r="K78" s="89"/>
      <c r="L78" s="89"/>
    </row>
    <row r="79">
      <c r="A79" s="89"/>
      <c r="B79" s="87" t="s">
        <v>64</v>
      </c>
      <c r="C79" s="92" t="s">
        <v>51</v>
      </c>
      <c r="D79" s="92">
        <f>IF(C77&lt;=0,"n.m.",D77/C77-1)</f>
        <v>0.034482758620689724</v>
      </c>
      <c r="E79" s="92">
        <f>IF(D77&lt;=0,"n.m.",E77/D77-1)</f>
        <v>0.03333333333333344</v>
      </c>
      <c r="F79" s="92">
        <f>IF(E77&lt;=0,"n.m.",F77/E77-1)</f>
        <v>-0.09677419354838712</v>
      </c>
      <c r="G79" s="92" t="s">
        <v>51</v>
      </c>
      <c r="H79" s="92">
        <f>IF(F77&lt;=0,"n.m.",H77/F77-1)</f>
        <v>0.2857142857142858</v>
      </c>
      <c r="I79" s="92">
        <f>IF(H77&lt;=0,"n.m.",I77/H77-1)</f>
        <v>-0.05555555555555558</v>
      </c>
      <c r="J79" s="91">
        <f>IF(I77&lt;=0,"n.m.",J77/I77-1)</f>
        <v>-0.05882352941176472</v>
      </c>
      <c r="K79" s="89"/>
      <c r="L79" s="89"/>
    </row>
    <row r="80">
      <c r="A80" s="89"/>
      <c r="B80" s="87" t="s">
        <v>127</v>
      </c>
      <c r="C80" s="92">
        <f>IF(C122=0,"n.m.",C77/C122)</f>
        <v>0.01707891637220259</v>
      </c>
      <c r="D80" s="92">
        <f>IF(D122=0,"n.m.",D77/D122)</f>
        <v>0.01710376282782212</v>
      </c>
      <c r="E80" s="92">
        <f>IF(E122=0,"n.m.",E77/E122)</f>
        <v>0.017425519955030916</v>
      </c>
      <c r="F80" s="92">
        <f>IF(F122=0,"n.m.",F77/F122)</f>
        <v>0.015401540154015401</v>
      </c>
      <c r="G80" s="92">
        <f>IF(G122=0,"n.m.",G77/G122)</f>
        <v>0.01673996311533551</v>
      </c>
      <c r="H80" s="92">
        <f>IF(H122=0,"n.m.",H77/H122)</f>
        <v>0.019027484143763214</v>
      </c>
      <c r="I80" s="92">
        <f>IF(I122=0,"n.m.",I77/I122)</f>
        <v>0.017258883248730966</v>
      </c>
      <c r="J80" s="91">
        <f>IF(J122=0,"n.m.",J77/J122)</f>
        <v>0.016246500730127452</v>
      </c>
      <c r="K80" s="89"/>
      <c r="L80" s="89"/>
    </row>
    <row r="81">
      <c r="A81" s="89"/>
      <c r="B81" s="87" t="s">
        <v>66</v>
      </c>
      <c r="C81" s="92" t="s">
        <v>67</v>
      </c>
      <c r="D81" s="92" t="s">
        <v>67</v>
      </c>
      <c r="E81" s="92" t="s">
        <v>67</v>
      </c>
      <c r="F81" s="92" t="s">
        <v>67</v>
      </c>
      <c r="G81" s="92" t="s">
        <v>67</v>
      </c>
      <c r="H81" s="92" t="s">
        <v>67</v>
      </c>
      <c r="I81" s="92" t="s">
        <v>67</v>
      </c>
      <c r="J81" s="91" t="s">
        <v>67</v>
      </c>
      <c r="K81" s="89"/>
      <c r="L81" s="94" t="s">
        <v>68</v>
      </c>
    </row>
    <row r="82">
      <c r="A82" s="89"/>
      <c r="B82" s="87" t="s">
        <v>69</v>
      </c>
      <c r="C82" s="92" t="s">
        <v>67</v>
      </c>
      <c r="D82" s="92" t="s">
        <v>67</v>
      </c>
      <c r="E82" s="92" t="s">
        <v>67</v>
      </c>
      <c r="F82" s="92" t="s">
        <v>67</v>
      </c>
      <c r="G82" s="92" t="s">
        <v>67</v>
      </c>
      <c r="H82" s="92" t="s">
        <v>67</v>
      </c>
      <c r="I82" s="92" t="s">
        <v>67</v>
      </c>
      <c r="J82" s="91" t="s">
        <v>67</v>
      </c>
      <c r="K82" s="89"/>
      <c r="L82" s="94" t="s">
        <v>70</v>
      </c>
    </row>
    <row r="83">
      <c r="A83" s="89"/>
      <c r="B83" s="87" t="s">
        <v>71</v>
      </c>
      <c r="C83" s="92" t="s">
        <v>67</v>
      </c>
      <c r="D83" s="92" t="s">
        <v>67</v>
      </c>
      <c r="E83" s="92" t="s">
        <v>67</v>
      </c>
      <c r="F83" s="92" t="s">
        <v>67</v>
      </c>
      <c r="G83" s="92" t="s">
        <v>67</v>
      </c>
      <c r="H83" s="92" t="s">
        <v>67</v>
      </c>
      <c r="I83" s="92" t="s">
        <v>67</v>
      </c>
      <c r="J83" s="91" t="s">
        <v>67</v>
      </c>
      <c r="K83" s="89"/>
      <c r="L83" s="94" t="s">
        <v>72</v>
      </c>
    </row>
    <row r="84" ht="14.624267578125">
      <c r="A84" s="89"/>
      <c r="B84" s="187" t="s">
        <v>143</v>
      </c>
      <c r="C84" s="86">
        <v>65</v>
      </c>
      <c r="D84" s="86">
        <v>63</v>
      </c>
      <c r="E84" s="86">
        <v>70</v>
      </c>
      <c r="F84" s="86">
        <v>65</v>
      </c>
      <c r="G84" s="95">
        <f>SUM(C84:F84)</f>
        <v>263</v>
      </c>
      <c r="H84" s="86">
        <v>70</v>
      </c>
      <c r="I84" s="86">
        <v>71</v>
      </c>
      <c r="J84" s="136">
        <v>70</v>
      </c>
      <c r="K84" s="89"/>
      <c r="L84" s="89"/>
    </row>
    <row r="85">
      <c r="A85" s="89"/>
      <c r="B85" s="87" t="s">
        <v>63</v>
      </c>
      <c r="C85" s="92" t="s">
        <v>51</v>
      </c>
      <c r="D85" s="92" t="s">
        <v>51</v>
      </c>
      <c r="E85" s="92" t="s">
        <v>51</v>
      </c>
      <c r="F85" s="92" t="s">
        <v>51</v>
      </c>
      <c r="G85" s="92" t="s">
        <v>51</v>
      </c>
      <c r="H85" s="92">
        <f>IF(C84&lt;=0,"n.m.",H84/C84-1)</f>
        <v>0.07692307692307687</v>
      </c>
      <c r="I85" s="92">
        <f>IF(D84&lt;=0,"n.m.",I84/D84-1)</f>
        <v>0.12698412698412698</v>
      </c>
      <c r="J85" s="91">
        <f>IF(E84&lt;=0,"n.m.",J84/E84-1)</f>
        <v>0</v>
      </c>
      <c r="K85" s="89"/>
      <c r="L85" s="89"/>
    </row>
    <row r="86">
      <c r="A86" s="89"/>
      <c r="B86" s="87" t="s">
        <v>64</v>
      </c>
      <c r="C86" s="92" t="s">
        <v>51</v>
      </c>
      <c r="D86" s="92">
        <f>IF(C84&lt;=0,"n.m.",D84/C84-1)</f>
        <v>-0.03076923076923077</v>
      </c>
      <c r="E86" s="92">
        <f>IF(D84&lt;=0,"n.m.",E84/D84-1)</f>
        <v>0.11111111111111116</v>
      </c>
      <c r="F86" s="92">
        <f>IF(E84&lt;=0,"n.m.",F84/E84-1)</f>
        <v>-0.0714285714285714</v>
      </c>
      <c r="G86" s="92" t="s">
        <v>51</v>
      </c>
      <c r="H86" s="92">
        <f>IF(F84&lt;=0,"n.m.",H84/F84-1)</f>
        <v>0.07692307692307687</v>
      </c>
      <c r="I86" s="92">
        <f>IF(H84&lt;=0,"n.m.",I84/H84-1)</f>
        <v>0.014285714285714235</v>
      </c>
      <c r="J86" s="91">
        <f>IF(I84&lt;=0,"n.m.",J84/I84-1)</f>
        <v>-0.014084507042253502</v>
      </c>
      <c r="K86" s="89"/>
      <c r="L86" s="89"/>
    </row>
    <row r="87">
      <c r="A87" s="89"/>
      <c r="B87" s="87" t="s">
        <v>127</v>
      </c>
      <c r="C87" s="92">
        <f>IF(C122=0,"n.m.",C84/C122)</f>
        <v>0.03828032979976443</v>
      </c>
      <c r="D87" s="92">
        <f>IF(D122=0,"n.m.",D84/D122)</f>
        <v>0.03591790193842646</v>
      </c>
      <c r="E87" s="92">
        <f>IF(E122=0,"n.m.",E84/E122)</f>
        <v>0.03934794828555368</v>
      </c>
      <c r="F87" s="92">
        <f>IF(F122=0,"n.m.",F84/F122)</f>
        <v>0.035753575357535754</v>
      </c>
      <c r="G87" s="92">
        <f>IF(G122=0,"n.m.",G84/G122)</f>
        <v>0.037310256774010495</v>
      </c>
      <c r="H87" s="92">
        <f>IF(H122=0,"n.m.",H84/H122)</f>
        <v>0.03699788583509514</v>
      </c>
      <c r="I87" s="92">
        <f>IF(I122=0,"n.m.",I84/I122)</f>
        <v>0.03604060913705584</v>
      </c>
      <c r="J87" s="91">
        <f>IF(J122=0,"n.m.",J84/J122)</f>
        <v>0.0355392203471538</v>
      </c>
      <c r="K87" s="89"/>
      <c r="L87" s="89"/>
    </row>
    <row r="88">
      <c r="A88" s="89"/>
      <c r="B88" s="87" t="s">
        <v>66</v>
      </c>
      <c r="C88" s="92" t="s">
        <v>67</v>
      </c>
      <c r="D88" s="92" t="s">
        <v>67</v>
      </c>
      <c r="E88" s="92" t="s">
        <v>67</v>
      </c>
      <c r="F88" s="92" t="s">
        <v>67</v>
      </c>
      <c r="G88" s="92" t="s">
        <v>67</v>
      </c>
      <c r="H88" s="92" t="s">
        <v>67</v>
      </c>
      <c r="I88" s="92" t="s">
        <v>67</v>
      </c>
      <c r="J88" s="91" t="s">
        <v>67</v>
      </c>
      <c r="K88" s="89"/>
      <c r="L88" s="94" t="s">
        <v>68</v>
      </c>
    </row>
    <row r="89">
      <c r="A89" s="89"/>
      <c r="B89" s="87" t="s">
        <v>69</v>
      </c>
      <c r="C89" s="92" t="s">
        <v>67</v>
      </c>
      <c r="D89" s="92" t="s">
        <v>67</v>
      </c>
      <c r="E89" s="92" t="s">
        <v>67</v>
      </c>
      <c r="F89" s="92" t="s">
        <v>67</v>
      </c>
      <c r="G89" s="92" t="s">
        <v>67</v>
      </c>
      <c r="H89" s="92" t="s">
        <v>67</v>
      </c>
      <c r="I89" s="92" t="s">
        <v>67</v>
      </c>
      <c r="J89" s="91" t="s">
        <v>67</v>
      </c>
      <c r="K89" s="89"/>
      <c r="L89" s="94" t="s">
        <v>70</v>
      </c>
    </row>
    <row r="90">
      <c r="A90" s="89"/>
      <c r="B90" s="87" t="s">
        <v>71</v>
      </c>
      <c r="C90" s="92" t="s">
        <v>67</v>
      </c>
      <c r="D90" s="92" t="s">
        <v>67</v>
      </c>
      <c r="E90" s="92" t="s">
        <v>67</v>
      </c>
      <c r="F90" s="92" t="s">
        <v>67</v>
      </c>
      <c r="G90" s="92" t="s">
        <v>67</v>
      </c>
      <c r="H90" s="92" t="s">
        <v>67</v>
      </c>
      <c r="I90" s="92" t="s">
        <v>67</v>
      </c>
      <c r="J90" s="91" t="s">
        <v>67</v>
      </c>
      <c r="K90" s="89"/>
      <c r="L90" s="94" t="s">
        <v>72</v>
      </c>
    </row>
    <row r="91">
      <c r="A91" s="89"/>
      <c r="B91" s="104" t="s">
        <v>145</v>
      </c>
      <c r="C91" s="90">
        <f>C68+C77+C84</f>
        <v>1180</v>
      </c>
      <c r="D91" s="90">
        <f>D68+D77+D84</f>
        <v>1212</v>
      </c>
      <c r="E91" s="90">
        <f>E68+E77+E84</f>
        <v>1233</v>
      </c>
      <c r="F91" s="90">
        <f>F68+F77+F84</f>
        <v>1240</v>
      </c>
      <c r="G91" s="90">
        <f>G68+G77+G84</f>
        <v>4865</v>
      </c>
      <c r="H91" s="90">
        <f>H68+H77+H84</f>
        <v>1300</v>
      </c>
      <c r="I91" s="90">
        <f>I68+I77+I84</f>
        <v>1333</v>
      </c>
      <c r="J91" s="135">
        <f>J68+J77+J84</f>
        <v>1361.7225238519</v>
      </c>
      <c r="K91" s="89"/>
      <c r="L91" s="89"/>
    </row>
    <row r="92">
      <c r="A92" s="89"/>
      <c r="B92" s="87" t="s">
        <v>63</v>
      </c>
      <c r="C92" s="92" t="s">
        <v>51</v>
      </c>
      <c r="D92" s="92" t="s">
        <v>51</v>
      </c>
      <c r="E92" s="92" t="s">
        <v>51</v>
      </c>
      <c r="F92" s="92" t="s">
        <v>51</v>
      </c>
      <c r="G92" s="92" t="s">
        <v>51</v>
      </c>
      <c r="H92" s="92">
        <f>IF(C91&lt;=0,"n.m.",H91/C91-1)</f>
        <v>0.10169491525423724</v>
      </c>
      <c r="I92" s="92">
        <f>IF(D91&lt;=0,"n.m.",I91/D91-1)</f>
        <v>0.09983498349834985</v>
      </c>
      <c r="J92" s="91">
        <f>IF(E91&lt;=0,"n.m.",J91/E91-1)</f>
        <v>0.10439782956358479</v>
      </c>
      <c r="K92" s="89"/>
      <c r="L92" s="89"/>
    </row>
    <row r="93">
      <c r="A93" s="89"/>
      <c r="B93" s="87" t="s">
        <v>64</v>
      </c>
      <c r="C93" s="92" t="s">
        <v>51</v>
      </c>
      <c r="D93" s="92">
        <f>IF(C91&lt;=0,"n.m.",D91/C91-1)</f>
        <v>0.027118644067796627</v>
      </c>
      <c r="E93" s="92">
        <f>IF(D91&lt;=0,"n.m.",E91/D91-1)</f>
        <v>0.017326732673267342</v>
      </c>
      <c r="F93" s="92">
        <f>IF(E91&lt;=0,"n.m.",F91/E91-1)</f>
        <v>0.005677210056772131</v>
      </c>
      <c r="G93" s="92" t="s">
        <v>51</v>
      </c>
      <c r="H93" s="92">
        <f>IF(F91&lt;=0,"n.m.",H91/F91-1)</f>
        <v>0.048387096774193505</v>
      </c>
      <c r="I93" s="92">
        <f>IF(H91&lt;=0,"n.m.",I91/H91-1)</f>
        <v>0.02538461538461534</v>
      </c>
      <c r="J93" s="91">
        <f>IF(I91&lt;=0,"n.m.",J91/I91-1)</f>
        <v>0.021547279708852285</v>
      </c>
      <c r="K93" s="89"/>
      <c r="L93" s="89"/>
    </row>
    <row r="94">
      <c r="A94" s="89"/>
      <c r="B94" s="87" t="s">
        <v>127</v>
      </c>
      <c r="C94" s="92">
        <f>IF(C122=0,"n.m.",C91/C122)</f>
        <v>0.6949352179034158</v>
      </c>
      <c r="D94" s="92">
        <f>IF(D122=0,"n.m.",D91/D122)</f>
        <v>0.6909920182440137</v>
      </c>
      <c r="E94" s="92">
        <f>IF(E122=0,"n.m.",E91/E122)</f>
        <v>0.6930860033726813</v>
      </c>
      <c r="F94" s="92">
        <f>IF(F122=0,"n.m.",F91/F122)</f>
        <v>0.682068206820682</v>
      </c>
      <c r="G94" s="92">
        <f>IF(G122=0,"n.m.",G91/G122)</f>
        <v>0.6901688182720953</v>
      </c>
      <c r="H94" s="92">
        <f>IF(H122=0,"n.m.",H91/H122)</f>
        <v>0.6871035940803383</v>
      </c>
      <c r="I94" s="92">
        <f>IF(I122=0,"n.m.",I91/I122)</f>
        <v>0.6766497461928934</v>
      </c>
      <c r="J94" s="91">
        <f>IF(J122=0,"n.m.",J91/J122)</f>
        <v>0.6913508118122152</v>
      </c>
      <c r="K94" s="89"/>
      <c r="L94" s="89"/>
    </row>
    <row r="95">
      <c r="A95" s="89"/>
      <c r="B95" s="87" t="s">
        <v>66</v>
      </c>
      <c r="C95" s="92" t="s">
        <v>67</v>
      </c>
      <c r="D95" s="92" t="s">
        <v>67</v>
      </c>
      <c r="E95" s="92" t="s">
        <v>67</v>
      </c>
      <c r="F95" s="92" t="s">
        <v>67</v>
      </c>
      <c r="G95" s="92" t="s">
        <v>67</v>
      </c>
      <c r="H95" s="92" t="s">
        <v>67</v>
      </c>
      <c r="I95" s="92" t="s">
        <v>67</v>
      </c>
      <c r="J95" s="91" t="s">
        <v>67</v>
      </c>
      <c r="K95" s="89"/>
      <c r="L95" s="94" t="s">
        <v>68</v>
      </c>
    </row>
    <row r="96">
      <c r="A96" s="89"/>
      <c r="B96" s="87" t="s">
        <v>69</v>
      </c>
      <c r="C96" s="92" t="s">
        <v>67</v>
      </c>
      <c r="D96" s="92" t="s">
        <v>67</v>
      </c>
      <c r="E96" s="92" t="s">
        <v>67</v>
      </c>
      <c r="F96" s="92" t="s">
        <v>67</v>
      </c>
      <c r="G96" s="92" t="s">
        <v>67</v>
      </c>
      <c r="H96" s="92" t="s">
        <v>67</v>
      </c>
      <c r="I96" s="92" t="s">
        <v>67</v>
      </c>
      <c r="J96" s="91" t="s">
        <v>67</v>
      </c>
      <c r="K96" s="89"/>
      <c r="L96" s="94" t="s">
        <v>70</v>
      </c>
    </row>
    <row r="97">
      <c r="A97" s="89"/>
      <c r="B97" s="87" t="s">
        <v>71</v>
      </c>
      <c r="C97" s="92" t="s">
        <v>67</v>
      </c>
      <c r="D97" s="92" t="s">
        <v>67</v>
      </c>
      <c r="E97" s="92" t="s">
        <v>67</v>
      </c>
      <c r="F97" s="92" t="s">
        <v>67</v>
      </c>
      <c r="G97" s="92" t="s">
        <v>67</v>
      </c>
      <c r="H97" s="92" t="s">
        <v>67</v>
      </c>
      <c r="I97" s="92" t="s">
        <v>67</v>
      </c>
      <c r="J97" s="91" t="s">
        <v>67</v>
      </c>
      <c r="K97" s="89"/>
      <c r="L97" s="94" t="s">
        <v>72</v>
      </c>
    </row>
    <row r="98">
      <c r="A98" s="89"/>
      <c r="B98" s="88" t="s">
        <v>85</v>
      </c>
      <c r="C98" s="86">
        <v>21</v>
      </c>
      <c r="D98" s="86">
        <v>36</v>
      </c>
      <c r="E98" s="86">
        <v>22</v>
      </c>
      <c r="F98" s="86">
        <v>9</v>
      </c>
      <c r="G98" s="95">
        <f>SUM(C98:F98)</f>
        <v>88</v>
      </c>
      <c r="H98" s="86">
        <v>21</v>
      </c>
      <c r="I98" s="86">
        <v>26</v>
      </c>
      <c r="J98" s="136">
        <v>22</v>
      </c>
      <c r="K98" s="89"/>
      <c r="L98" s="89"/>
    </row>
    <row r="99">
      <c r="A99" s="89"/>
      <c r="B99" s="87" t="s">
        <v>63</v>
      </c>
      <c r="C99" s="92" t="s">
        <v>51</v>
      </c>
      <c r="D99" s="92" t="s">
        <v>51</v>
      </c>
      <c r="E99" s="92" t="s">
        <v>51</v>
      </c>
      <c r="F99" s="92" t="s">
        <v>51</v>
      </c>
      <c r="G99" s="92" t="s">
        <v>51</v>
      </c>
      <c r="H99" s="92">
        <f>IF(C98&lt;=0,"n.m.",H98/C98-1)</f>
        <v>0</v>
      </c>
      <c r="I99" s="92">
        <f>IF(D98&lt;=0,"n.m.",I98/D98-1)</f>
        <v>-0.2777777777777778</v>
      </c>
      <c r="J99" s="91">
        <f>IF(E98&lt;=0,"n.m.",J98/E98-1)</f>
        <v>0</v>
      </c>
      <c r="K99" s="89"/>
      <c r="L99" s="89"/>
    </row>
    <row r="100">
      <c r="A100" s="89"/>
      <c r="B100" s="87" t="s">
        <v>64</v>
      </c>
      <c r="C100" s="92" t="s">
        <v>51</v>
      </c>
      <c r="D100" s="92">
        <f>IF(C98&lt;=0,"n.m.",D98/C98-1)</f>
        <v>0.7142857142857142</v>
      </c>
      <c r="E100" s="92">
        <f>IF(D98&lt;=0,"n.m.",E98/D98-1)</f>
        <v>-0.38888888888888884</v>
      </c>
      <c r="F100" s="92">
        <f>IF(E98&lt;=0,"n.m.",F98/E98-1)</f>
        <v>-0.5909090909090908</v>
      </c>
      <c r="G100" s="92" t="s">
        <v>51</v>
      </c>
      <c r="H100" s="92">
        <f>IF(F98&lt;=0,"n.m.",H98/F98-1)</f>
        <v>1.3333333333333335</v>
      </c>
      <c r="I100" s="92">
        <f>IF(H98&lt;=0,"n.m.",I98/H98-1)</f>
        <v>0.23809523809523814</v>
      </c>
      <c r="J100" s="91">
        <f>IF(I98&lt;=0,"n.m.",J98/I98-1)</f>
        <v>-0.15384615384615385</v>
      </c>
      <c r="K100" s="89"/>
      <c r="L100" s="89"/>
    </row>
    <row r="101">
      <c r="A101" s="89"/>
      <c r="B101" s="87" t="s">
        <v>127</v>
      </c>
      <c r="C101" s="92">
        <f>IF(C122=0,"n.m.",C98/C122)</f>
        <v>0.012367491166077738</v>
      </c>
      <c r="D101" s="92">
        <f>IF(D122=0,"n.m.",D98/D122)</f>
        <v>0.020524515393386546</v>
      </c>
      <c r="E101" s="92">
        <f>IF(E122=0,"n.m.",E98/E122)</f>
        <v>0.012366498032602586</v>
      </c>
      <c r="F101" s="92">
        <f>IF(F122=0,"n.m.",F98/F122)</f>
        <v>0.0049504950495049506</v>
      </c>
      <c r="G101" s="92">
        <f>IF(G122=0,"n.m.",G98/G122)</f>
        <v>0.012484040289402752</v>
      </c>
      <c r="H101" s="92">
        <f>IF(H122=0,"n.m.",H98/H122)</f>
        <v>0.011099365750528542</v>
      </c>
      <c r="I101" s="92">
        <f>IF(I122=0,"n.m.",I98/I122)</f>
        <v>0.013197969543147208</v>
      </c>
      <c r="J101" s="91">
        <f>IF(J122=0,"n.m.",J98/J122)</f>
        <v>0.011169469251962622</v>
      </c>
      <c r="K101" s="89"/>
      <c r="L101" s="89"/>
    </row>
    <row r="102">
      <c r="A102" s="89"/>
      <c r="B102" s="87" t="s">
        <v>66</v>
      </c>
      <c r="C102" s="92" t="s">
        <v>67</v>
      </c>
      <c r="D102" s="92" t="s">
        <v>67</v>
      </c>
      <c r="E102" s="92" t="s">
        <v>67</v>
      </c>
      <c r="F102" s="92" t="s">
        <v>67</v>
      </c>
      <c r="G102" s="92" t="s">
        <v>67</v>
      </c>
      <c r="H102" s="92" t="s">
        <v>67</v>
      </c>
      <c r="I102" s="92" t="s">
        <v>67</v>
      </c>
      <c r="J102" s="91" t="s">
        <v>67</v>
      </c>
      <c r="K102" s="89"/>
      <c r="L102" s="94" t="s">
        <v>68</v>
      </c>
    </row>
    <row r="103">
      <c r="A103" s="89"/>
      <c r="B103" s="87" t="s">
        <v>69</v>
      </c>
      <c r="C103" s="92" t="s">
        <v>67</v>
      </c>
      <c r="D103" s="92" t="s">
        <v>67</v>
      </c>
      <c r="E103" s="92" t="s">
        <v>67</v>
      </c>
      <c r="F103" s="92" t="s">
        <v>67</v>
      </c>
      <c r="G103" s="92" t="s">
        <v>67</v>
      </c>
      <c r="H103" s="92" t="s">
        <v>67</v>
      </c>
      <c r="I103" s="92" t="s">
        <v>67</v>
      </c>
      <c r="J103" s="91" t="s">
        <v>67</v>
      </c>
      <c r="K103" s="89"/>
      <c r="L103" s="94" t="s">
        <v>70</v>
      </c>
    </row>
    <row r="104">
      <c r="A104" s="89"/>
      <c r="B104" s="87" t="s">
        <v>71</v>
      </c>
      <c r="C104" s="92" t="s">
        <v>67</v>
      </c>
      <c r="D104" s="92" t="s">
        <v>67</v>
      </c>
      <c r="E104" s="92" t="s">
        <v>67</v>
      </c>
      <c r="F104" s="92" t="s">
        <v>67</v>
      </c>
      <c r="G104" s="92" t="s">
        <v>67</v>
      </c>
      <c r="H104" s="92" t="s">
        <v>67</v>
      </c>
      <c r="I104" s="92" t="s">
        <v>67</v>
      </c>
      <c r="J104" s="91" t="s">
        <v>67</v>
      </c>
      <c r="K104" s="89"/>
      <c r="L104" s="94" t="s">
        <v>72</v>
      </c>
    </row>
    <row r="105">
      <c r="A105" s="89"/>
      <c r="B105" s="104" t="s">
        <v>147</v>
      </c>
      <c r="C105" s="90">
        <f>C91+C98</f>
        <v>1201</v>
      </c>
      <c r="D105" s="90">
        <f>D91+D98</f>
        <v>1248</v>
      </c>
      <c r="E105" s="90">
        <f>E91+E98</f>
        <v>1255</v>
      </c>
      <c r="F105" s="90">
        <f>F91+F98</f>
        <v>1249</v>
      </c>
      <c r="G105" s="90">
        <f>G91+G98</f>
        <v>4953</v>
      </c>
      <c r="H105" s="90">
        <f>H91+H98</f>
        <v>1321</v>
      </c>
      <c r="I105" s="90">
        <f>I91+I98</f>
        <v>1359</v>
      </c>
      <c r="J105" s="135">
        <f>J91+J98</f>
        <v>1383.7225238519</v>
      </c>
      <c r="K105" s="89"/>
      <c r="L105" s="89"/>
    </row>
    <row r="106">
      <c r="A106" s="89"/>
      <c r="B106" s="87" t="s">
        <v>63</v>
      </c>
      <c r="C106" s="92" t="s">
        <v>51</v>
      </c>
      <c r="D106" s="92" t="s">
        <v>51</v>
      </c>
      <c r="E106" s="92" t="s">
        <v>51</v>
      </c>
      <c r="F106" s="92" t="s">
        <v>51</v>
      </c>
      <c r="G106" s="92" t="s">
        <v>51</v>
      </c>
      <c r="H106" s="92">
        <f>IF(C105&lt;=0,"n.m.",H105/C105-1)</f>
        <v>0.09991673605328888</v>
      </c>
      <c r="I106" s="92">
        <f>IF(D105&lt;=0,"n.m.",I105/D105-1)</f>
        <v>0.08894230769230771</v>
      </c>
      <c r="J106" s="91">
        <f>IF(E105&lt;=0,"n.m.",J105/E105-1)</f>
        <v>0.10256774808916336</v>
      </c>
      <c r="K106" s="89"/>
      <c r="L106" s="89"/>
    </row>
    <row r="107">
      <c r="A107" s="89"/>
      <c r="B107" s="87" t="s">
        <v>64</v>
      </c>
      <c r="C107" s="92" t="s">
        <v>51</v>
      </c>
      <c r="D107" s="92">
        <f>IF(C105&lt;=0,"n.m.",D105/C105-1)</f>
        <v>0.039134054954204744</v>
      </c>
      <c r="E107" s="92">
        <f>IF(D105&lt;=0,"n.m.",E105/D105-1)</f>
        <v>0.00560897435897445</v>
      </c>
      <c r="F107" s="92">
        <f>IF(E105&lt;=0,"n.m.",F105/E105-1)</f>
        <v>-0.004780876494023922</v>
      </c>
      <c r="G107" s="92" t="s">
        <v>51</v>
      </c>
      <c r="H107" s="92">
        <f>IF(F105&lt;=0,"n.m.",H105/F105-1)</f>
        <v>0.05764611689351473</v>
      </c>
      <c r="I107" s="92">
        <f>IF(H105&lt;=0,"n.m.",I105/H105-1)</f>
        <v>0.02876608629825883</v>
      </c>
      <c r="J107" s="91">
        <f>IF(I105&lt;=0,"n.m.",J105/I105-1)</f>
        <v>0.018191702613612915</v>
      </c>
      <c r="K107" s="89"/>
      <c r="L107" s="89"/>
    </row>
    <row r="108">
      <c r="A108" s="89"/>
      <c r="B108" s="87" t="s">
        <v>127</v>
      </c>
      <c r="C108" s="92">
        <f>IF(C122=0,"n.m.",C105/C122)</f>
        <v>0.7073027090694936</v>
      </c>
      <c r="D108" s="92">
        <f>IF(D122=0,"n.m.",D105/D122)</f>
        <v>0.7115165336374002</v>
      </c>
      <c r="E108" s="92">
        <f>IF(E122=0,"n.m.",E105/E122)</f>
        <v>0.7054525014052838</v>
      </c>
      <c r="F108" s="92">
        <f>IF(F122=0,"n.m.",F105/F122)</f>
        <v>0.687018701870187</v>
      </c>
      <c r="G108" s="92">
        <f>IF(G122=0,"n.m.",G105/G122)</f>
        <v>0.7026528585614981</v>
      </c>
      <c r="H108" s="92">
        <f>IF(H122=0,"n.m.",H105/H122)</f>
        <v>0.6982029598308668</v>
      </c>
      <c r="I108" s="92">
        <f>IF(I122=0,"n.m.",I105/I122)</f>
        <v>0.6898477157360406</v>
      </c>
      <c r="J108" s="91">
        <f>IF(J122=0,"n.m.",J105/J122)</f>
        <v>0.7025202810641779</v>
      </c>
      <c r="K108" s="89"/>
      <c r="L108" s="89"/>
    </row>
    <row r="109">
      <c r="A109" s="89"/>
      <c r="B109" s="87" t="s">
        <v>66</v>
      </c>
      <c r="C109" s="92" t="s">
        <v>67</v>
      </c>
      <c r="D109" s="92" t="s">
        <v>67</v>
      </c>
      <c r="E109" s="92" t="s">
        <v>67</v>
      </c>
      <c r="F109" s="92" t="s">
        <v>67</v>
      </c>
      <c r="G109" s="92" t="s">
        <v>67</v>
      </c>
      <c r="H109" s="92" t="s">
        <v>67</v>
      </c>
      <c r="I109" s="92" t="s">
        <v>67</v>
      </c>
      <c r="J109" s="91" t="s">
        <v>67</v>
      </c>
      <c r="K109" s="89"/>
      <c r="L109" s="94" t="s">
        <v>68</v>
      </c>
    </row>
    <row r="110">
      <c r="A110" s="89"/>
      <c r="B110" s="87" t="s">
        <v>69</v>
      </c>
      <c r="C110" s="92" t="s">
        <v>67</v>
      </c>
      <c r="D110" s="92" t="s">
        <v>67</v>
      </c>
      <c r="E110" s="92" t="s">
        <v>67</v>
      </c>
      <c r="F110" s="92" t="s">
        <v>67</v>
      </c>
      <c r="G110" s="92" t="s">
        <v>67</v>
      </c>
      <c r="H110" s="92" t="s">
        <v>67</v>
      </c>
      <c r="I110" s="92" t="s">
        <v>67</v>
      </c>
      <c r="J110" s="91" t="s">
        <v>67</v>
      </c>
      <c r="K110" s="89"/>
      <c r="L110" s="94" t="s">
        <v>70</v>
      </c>
    </row>
    <row r="111">
      <c r="A111" s="89"/>
      <c r="B111" s="87" t="s">
        <v>71</v>
      </c>
      <c r="C111" s="92" t="s">
        <v>67</v>
      </c>
      <c r="D111" s="92" t="s">
        <v>67</v>
      </c>
      <c r="E111" s="92" t="s">
        <v>67</v>
      </c>
      <c r="F111" s="92" t="s">
        <v>67</v>
      </c>
      <c r="G111" s="92" t="s">
        <v>67</v>
      </c>
      <c r="H111" s="92" t="s">
        <v>67</v>
      </c>
      <c r="I111" s="92" t="s">
        <v>67</v>
      </c>
      <c r="J111" s="91" t="s">
        <v>67</v>
      </c>
      <c r="K111" s="89"/>
      <c r="L111" s="94" t="s">
        <v>72</v>
      </c>
    </row>
    <row r="112" ht="23.25">
      <c r="A112" s="89"/>
      <c r="B112" s="190" t="s">
        <v>148</v>
      </c>
      <c r="C112" s="147">
        <f>C115/'Revenue summary'!C120</f>
        <v>0.4288179465056083</v>
      </c>
      <c r="D112" s="147">
        <f>D115/'Revenue summary'!D120</f>
        <v>0.42061512884455526</v>
      </c>
      <c r="E112" s="147">
        <f>E115/'Revenue summary'!E120</f>
        <v>0.42394822006472493</v>
      </c>
      <c r="F112" s="147">
        <f>F115/'Revenue summary'!F120</f>
        <v>0.4227340267459138</v>
      </c>
      <c r="G112" s="147">
        <f>G115/'Revenue summary'!G120</f>
        <v>0.42394822006472493</v>
      </c>
      <c r="H112" s="147">
        <f>H115/'Revenue summary'!H120</f>
        <v>0.4167883211678832</v>
      </c>
      <c r="I112" s="147">
        <f>I115/'Revenue summary'!I120</f>
        <v>0.42254495159059474</v>
      </c>
      <c r="J112" s="148">
        <v>0.421</v>
      </c>
      <c r="K112" s="89"/>
      <c r="L112" s="94" t="s">
        <v>201</v>
      </c>
    </row>
    <row r="113">
      <c r="A113" s="89"/>
      <c r="B113" s="88" t="s">
        <v>108</v>
      </c>
      <c r="C113" s="103" t="s">
        <v>51</v>
      </c>
      <c r="D113" s="103">
        <f>(D112-C112)*10000</f>
        <v>-82.0281766105302</v>
      </c>
      <c r="E113" s="103">
        <f>(E112-D112)*10000</f>
        <v>33.330912201696705</v>
      </c>
      <c r="F113" s="103">
        <f>(F112-E112)*10000</f>
        <v>-12.141933188111187</v>
      </c>
      <c r="G113" s="103" t="s">
        <v>51</v>
      </c>
      <c r="H113" s="103">
        <f>(H112-F112)*10000</f>
        <v>-59.457055780305915</v>
      </c>
      <c r="I113" s="103">
        <f>(I112-H112)*10000</f>
        <v>57.566304227115175</v>
      </c>
      <c r="J113" s="128">
        <f>(J112-I112)*10000</f>
        <v>-15.449515905947564</v>
      </c>
      <c r="K113" s="89"/>
      <c r="L113" s="89"/>
    </row>
    <row r="114">
      <c r="A114" s="89"/>
      <c r="B114" s="88" t="s">
        <v>109</v>
      </c>
      <c r="C114" s="103" t="s">
        <v>51</v>
      </c>
      <c r="D114" s="103" t="s">
        <v>51</v>
      </c>
      <c r="E114" s="103" t="s">
        <v>51</v>
      </c>
      <c r="F114" s="103" t="s">
        <v>51</v>
      </c>
      <c r="G114" s="103" t="s">
        <v>51</v>
      </c>
      <c r="H114" s="103">
        <f>(H112-C112)*10000</f>
        <v>-120.29625337725058</v>
      </c>
      <c r="I114" s="103">
        <f>(I112-D112)*10000</f>
        <v>19.298227460394777</v>
      </c>
      <c r="J114" s="128">
        <f>(J112-E112)*10000</f>
        <v>-29.482200647249492</v>
      </c>
      <c r="K114" s="89"/>
      <c r="L114" s="89"/>
    </row>
    <row r="115">
      <c r="A115" s="89"/>
      <c r="B115" s="88" t="s">
        <v>86</v>
      </c>
      <c r="C115" s="86">
        <v>497</v>
      </c>
      <c r="D115" s="86">
        <v>506</v>
      </c>
      <c r="E115" s="86">
        <v>524</v>
      </c>
      <c r="F115" s="86">
        <v>569</v>
      </c>
      <c r="G115" s="95">
        <f>SUM(C115:F115)</f>
        <v>2096</v>
      </c>
      <c r="H115" s="86">
        <v>571</v>
      </c>
      <c r="I115" s="86">
        <v>611</v>
      </c>
      <c r="J115" s="117">
        <f>J112*'Revenue summary'!J120</f>
        <v>585.9323902465753</v>
      </c>
      <c r="K115" s="89"/>
      <c r="L115" s="89"/>
    </row>
    <row r="116">
      <c r="A116" s="89"/>
      <c r="B116" s="87" t="s">
        <v>63</v>
      </c>
      <c r="C116" s="92" t="s">
        <v>51</v>
      </c>
      <c r="D116" s="92" t="s">
        <v>51</v>
      </c>
      <c r="E116" s="92" t="s">
        <v>51</v>
      </c>
      <c r="F116" s="92" t="s">
        <v>51</v>
      </c>
      <c r="G116" s="92" t="s">
        <v>51</v>
      </c>
      <c r="H116" s="92">
        <f>IF(C115&lt;=0,"n.m.",H115/C115-1)</f>
        <v>0.14889336016096588</v>
      </c>
      <c r="I116" s="92">
        <f>IF(D115&lt;=0,"n.m.",I115/D115-1)</f>
        <v>0.2075098814229248</v>
      </c>
      <c r="J116" s="91">
        <f>IF(E115&lt;=0,"n.m.",J115/E115-1)</f>
        <v>0.1181915844400292</v>
      </c>
      <c r="K116" s="89"/>
      <c r="L116" s="89"/>
    </row>
    <row r="117">
      <c r="A117" s="89"/>
      <c r="B117" s="87" t="s">
        <v>64</v>
      </c>
      <c r="C117" s="92" t="s">
        <v>51</v>
      </c>
      <c r="D117" s="92">
        <f>IF(C115&lt;=0,"n.m.",D115/C115-1)</f>
        <v>0.01810865191146882</v>
      </c>
      <c r="E117" s="92">
        <f>IF(D115&lt;=0,"n.m.",E115/D115-1)</f>
        <v>0.035573122529644285</v>
      </c>
      <c r="F117" s="92">
        <f>IF(E115&lt;=0,"n.m.",F115/E115-1)</f>
        <v>0.08587786259541974</v>
      </c>
      <c r="G117" s="92" t="s">
        <v>51</v>
      </c>
      <c r="H117" s="92">
        <f>IF(F115&lt;=0,"n.m.",H115/F115-1)</f>
        <v>0.0035149384885764245</v>
      </c>
      <c r="I117" s="92">
        <f>IF(H115&lt;=0,"n.m.",I115/H115-1)</f>
        <v>0.07005253940455347</v>
      </c>
      <c r="J117" s="91">
        <f>IF(I115&lt;=0,"n.m.",J115/I115-1)</f>
        <v>-0.04102718453915655</v>
      </c>
      <c r="K117" s="89"/>
      <c r="L117" s="89"/>
    </row>
    <row r="118">
      <c r="A118" s="89"/>
      <c r="B118" s="87" t="s">
        <v>127</v>
      </c>
      <c r="C118" s="92">
        <f>IF(C122=0,"n.m.",C115/C122)</f>
        <v>0.2926972909305065</v>
      </c>
      <c r="D118" s="92">
        <f>IF(D122=0,"n.m.",D115/D122)</f>
        <v>0.28848346636259975</v>
      </c>
      <c r="E118" s="92">
        <f>IF(E122=0,"n.m.",E115/E122)</f>
        <v>0.29454749859471613</v>
      </c>
      <c r="F118" s="92">
        <f>IF(F122=0,"n.m.",F115/F122)</f>
        <v>0.31298129812981296</v>
      </c>
      <c r="G118" s="92">
        <f>IF(G122=0,"n.m.",G115/G122)</f>
        <v>0.29734714143850194</v>
      </c>
      <c r="H118" s="92">
        <f>IF(H122=0,"n.m.",H115/H122)</f>
        <v>0.30179704016913317</v>
      </c>
      <c r="I118" s="92">
        <f>IF(I122=0,"n.m.",I115/I122)</f>
        <v>0.3101522842639594</v>
      </c>
      <c r="J118" s="91">
        <f>IF(J122=0,"n.m.",J115/J122)</f>
        <v>0.29747971893582215</v>
      </c>
      <c r="K118" s="89"/>
      <c r="L118" s="89"/>
    </row>
    <row r="119">
      <c r="A119" s="89"/>
      <c r="B119" s="87" t="s">
        <v>66</v>
      </c>
      <c r="C119" s="92" t="s">
        <v>67</v>
      </c>
      <c r="D119" s="92" t="s">
        <v>67</v>
      </c>
      <c r="E119" s="92" t="s">
        <v>67</v>
      </c>
      <c r="F119" s="92" t="s">
        <v>67</v>
      </c>
      <c r="G119" s="92" t="s">
        <v>67</v>
      </c>
      <c r="H119" s="92" t="s">
        <v>67</v>
      </c>
      <c r="I119" s="92" t="s">
        <v>67</v>
      </c>
      <c r="J119" s="91" t="s">
        <v>67</v>
      </c>
      <c r="K119" s="89"/>
      <c r="L119" s="94" t="s">
        <v>68</v>
      </c>
    </row>
    <row r="120">
      <c r="A120" s="89"/>
      <c r="B120" s="87" t="s">
        <v>69</v>
      </c>
      <c r="C120" s="92" t="s">
        <v>67</v>
      </c>
      <c r="D120" s="92" t="s">
        <v>67</v>
      </c>
      <c r="E120" s="92" t="s">
        <v>67</v>
      </c>
      <c r="F120" s="92" t="s">
        <v>67</v>
      </c>
      <c r="G120" s="92" t="s">
        <v>67</v>
      </c>
      <c r="H120" s="92" t="s">
        <v>67</v>
      </c>
      <c r="I120" s="92" t="s">
        <v>67</v>
      </c>
      <c r="J120" s="91" t="s">
        <v>67</v>
      </c>
      <c r="K120" s="89"/>
      <c r="L120" s="94" t="s">
        <v>70</v>
      </c>
    </row>
    <row r="121">
      <c r="A121" s="89"/>
      <c r="B121" s="87" t="s">
        <v>71</v>
      </c>
      <c r="C121" s="92" t="s">
        <v>67</v>
      </c>
      <c r="D121" s="92" t="s">
        <v>67</v>
      </c>
      <c r="E121" s="92" t="s">
        <v>67</v>
      </c>
      <c r="F121" s="92" t="s">
        <v>67</v>
      </c>
      <c r="G121" s="92" t="s">
        <v>67</v>
      </c>
      <c r="H121" s="92" t="s">
        <v>67</v>
      </c>
      <c r="I121" s="92" t="s">
        <v>67</v>
      </c>
      <c r="J121" s="91" t="s">
        <v>67</v>
      </c>
      <c r="K121" s="89"/>
      <c r="L121" s="94" t="s">
        <v>72</v>
      </c>
    </row>
    <row r="122" ht="23.25">
      <c r="A122" s="89"/>
      <c r="B122" s="186" t="s">
        <v>202</v>
      </c>
      <c r="C122" s="90">
        <f>C105+C115</f>
        <v>1698</v>
      </c>
      <c r="D122" s="90">
        <f>D105+D115</f>
        <v>1754</v>
      </c>
      <c r="E122" s="90">
        <f>E105+E115</f>
        <v>1779</v>
      </c>
      <c r="F122" s="90">
        <f>F105+F115</f>
        <v>1818</v>
      </c>
      <c r="G122" s="90">
        <f>G105+G115</f>
        <v>7049</v>
      </c>
      <c r="H122" s="90">
        <f>H105+H115</f>
        <v>1892</v>
      </c>
      <c r="I122" s="90">
        <f>I105+I115</f>
        <v>1970</v>
      </c>
      <c r="J122" s="135">
        <f>J105+J115</f>
        <v>1969.6549140984753</v>
      </c>
      <c r="K122" s="89"/>
      <c r="L122" s="89"/>
    </row>
    <row r="123">
      <c r="A123" s="89"/>
      <c r="B123" s="87" t="s">
        <v>63</v>
      </c>
      <c r="C123" s="92" t="s">
        <v>51</v>
      </c>
      <c r="D123" s="92" t="s">
        <v>51</v>
      </c>
      <c r="E123" s="92" t="s">
        <v>51</v>
      </c>
      <c r="F123" s="92" t="s">
        <v>51</v>
      </c>
      <c r="G123" s="92" t="s">
        <v>51</v>
      </c>
      <c r="H123" s="92">
        <f>IF(C122&lt;=0,"n.m.",H122/C122-1)</f>
        <v>0.1142520612485276</v>
      </c>
      <c r="I123" s="92">
        <f>IF(D122&lt;=0,"n.m.",I122/D122-1)</f>
        <v>0.12314709236031929</v>
      </c>
      <c r="J123" s="91">
        <f>IF(E122&lt;=0,"n.m.",J122/E122-1)</f>
        <v>0.10716971000476416</v>
      </c>
      <c r="K123" s="89"/>
      <c r="L123" s="89"/>
    </row>
    <row r="124">
      <c r="A124" s="89"/>
      <c r="B124" s="87" t="s">
        <v>64</v>
      </c>
      <c r="C124" s="92" t="s">
        <v>51</v>
      </c>
      <c r="D124" s="92">
        <f>IF(C122&lt;=0,"n.m.",D122/C122-1)</f>
        <v>0.03297997644287398</v>
      </c>
      <c r="E124" s="92">
        <f>IF(D122&lt;=0,"n.m.",E122/D122-1)</f>
        <v>0.01425313568985187</v>
      </c>
      <c r="F124" s="92">
        <f>IF(E122&lt;=0,"n.m.",F122/E122-1)</f>
        <v>0.021922428330522825</v>
      </c>
      <c r="G124" s="92" t="s">
        <v>51</v>
      </c>
      <c r="H124" s="92">
        <f>IF(F122&lt;=0,"n.m.",H122/F122-1)</f>
        <v>0.040704070407040716</v>
      </c>
      <c r="I124" s="92">
        <f>IF(H122&lt;=0,"n.m.",I122/H122-1)</f>
        <v>0.04122621564482021</v>
      </c>
      <c r="J124" s="91">
        <f>IF(I122&lt;=0,"n.m.",J122/I122-1)</f>
        <v>-0.00017517050838822268</v>
      </c>
      <c r="K124" s="89"/>
      <c r="L124" s="89"/>
    </row>
    <row r="125">
      <c r="A125" s="89"/>
      <c r="B125" s="87" t="s">
        <v>66</v>
      </c>
      <c r="C125" s="92" t="s">
        <v>67</v>
      </c>
      <c r="D125" s="92" t="s">
        <v>67</v>
      </c>
      <c r="E125" s="92" t="s">
        <v>67</v>
      </c>
      <c r="F125" s="92" t="s">
        <v>67</v>
      </c>
      <c r="G125" s="92" t="s">
        <v>67</v>
      </c>
      <c r="H125" s="92" t="s">
        <v>67</v>
      </c>
      <c r="I125" s="92" t="s">
        <v>67</v>
      </c>
      <c r="J125" s="91" t="s">
        <v>67</v>
      </c>
      <c r="K125" s="89"/>
      <c r="L125" s="94" t="s">
        <v>68</v>
      </c>
    </row>
    <row r="126">
      <c r="A126" s="89"/>
      <c r="B126" s="87" t="s">
        <v>69</v>
      </c>
      <c r="C126" s="92" t="s">
        <v>67</v>
      </c>
      <c r="D126" s="92" t="s">
        <v>67</v>
      </c>
      <c r="E126" s="92" t="s">
        <v>67</v>
      </c>
      <c r="F126" s="92" t="s">
        <v>67</v>
      </c>
      <c r="G126" s="92" t="s">
        <v>67</v>
      </c>
      <c r="H126" s="92" t="s">
        <v>67</v>
      </c>
      <c r="I126" s="92" t="s">
        <v>67</v>
      </c>
      <c r="J126" s="91" t="s">
        <v>67</v>
      </c>
      <c r="K126" s="89"/>
      <c r="L126" s="94" t="s">
        <v>70</v>
      </c>
    </row>
    <row r="127">
      <c r="A127" s="89"/>
      <c r="B127" s="87" t="s">
        <v>71</v>
      </c>
      <c r="C127" s="92" t="s">
        <v>67</v>
      </c>
      <c r="D127" s="92" t="s">
        <v>67</v>
      </c>
      <c r="E127" s="92" t="s">
        <v>67</v>
      </c>
      <c r="F127" s="92" t="s">
        <v>67</v>
      </c>
      <c r="G127" s="92" t="s">
        <v>67</v>
      </c>
      <c r="H127" s="92" t="s">
        <v>67</v>
      </c>
      <c r="I127" s="92" t="s">
        <v>67</v>
      </c>
      <c r="J127" s="91" t="s">
        <v>67</v>
      </c>
      <c r="K127" s="89"/>
      <c r="L127" s="94" t="s">
        <v>72</v>
      </c>
    </row>
    <row r="128">
      <c r="A128" s="89"/>
      <c r="B128" s="88" t="s">
        <v>151</v>
      </c>
      <c r="C128" s="86">
        <v>1698</v>
      </c>
      <c r="D128" s="86">
        <v>1754</v>
      </c>
      <c r="E128" s="86">
        <v>1779</v>
      </c>
      <c r="F128" s="86">
        <v>1818</v>
      </c>
      <c r="G128" s="95">
        <f>SUM(C128:F128)</f>
        <v>7049</v>
      </c>
      <c r="H128" s="86">
        <v>1892</v>
      </c>
      <c r="I128" s="86">
        <v>1970</v>
      </c>
      <c r="J128" s="121" t="s">
        <v>51</v>
      </c>
      <c r="K128" s="89"/>
      <c r="L128" s="89"/>
    </row>
    <row r="129" ht="23.25">
      <c r="A129" s="89"/>
      <c r="B129" s="187" t="s">
        <v>152</v>
      </c>
      <c r="C129" s="99" t="b">
        <f>ABS(C122-C128)&lt;0.5</f>
        <v>1</v>
      </c>
      <c r="D129" s="99" t="b">
        <f>ABS(D122-D128)&lt;0.5</f>
        <v>1</v>
      </c>
      <c r="E129" s="99" t="b">
        <f>ABS(E122-E128)&lt;0.5</f>
        <v>1</v>
      </c>
      <c r="F129" s="99" t="b">
        <f>ABS(F122-F128)&lt;0.5</f>
        <v>1</v>
      </c>
      <c r="G129" s="99" t="b">
        <f>ABS(G122-G128)&lt;0.5</f>
        <v>1</v>
      </c>
      <c r="H129" s="99" t="b">
        <f>ABS(H122-H128)&lt;0.5</f>
        <v>1</v>
      </c>
      <c r="I129" s="99" t="b">
        <f>ABS(I122-I128)&lt;0.5</f>
        <v>1</v>
      </c>
      <c r="J129" s="97"/>
      <c r="K129" s="89"/>
      <c r="L129" s="89"/>
    </row>
    <row r="130">
      <c r="A130" s="89"/>
      <c r="B130" s="89"/>
      <c r="C130" s="89"/>
      <c r="D130" s="89"/>
      <c r="E130" s="89"/>
      <c r="F130" s="89"/>
      <c r="G130" s="89"/>
      <c r="H130" s="89"/>
      <c r="I130" s="89"/>
      <c r="J130" s="97"/>
      <c r="K130" s="89"/>
      <c r="L130" s="89"/>
    </row>
    <row r="131">
      <c r="A131" s="89"/>
      <c r="B131" s="104" t="s">
        <v>153</v>
      </c>
      <c r="C131" s="89"/>
      <c r="D131" s="89"/>
      <c r="E131" s="89"/>
      <c r="F131" s="89"/>
      <c r="G131" s="89"/>
      <c r="H131" s="89"/>
      <c r="I131" s="89"/>
      <c r="J131" s="97"/>
      <c r="K131" s="89"/>
      <c r="L131" s="89"/>
    </row>
    <row r="132" ht="23.25">
      <c r="A132" s="89"/>
      <c r="B132" s="187" t="s">
        <v>203</v>
      </c>
      <c r="C132" s="95">
        <f>C139-C31</f>
        <v>216</v>
      </c>
      <c r="D132" s="95">
        <f>D139-D31</f>
        <v>226</v>
      </c>
      <c r="E132" s="95">
        <f>E139-E31</f>
        <v>221</v>
      </c>
      <c r="F132" s="95">
        <f>F139-F31</f>
        <v>236</v>
      </c>
      <c r="G132" s="95">
        <f>G139-G31</f>
        <v>899</v>
      </c>
      <c r="H132" s="95">
        <f>H139-H31</f>
        <v>239</v>
      </c>
      <c r="I132" s="95">
        <f>I139-I31</f>
        <v>255</v>
      </c>
      <c r="J132" s="136">
        <v>250</v>
      </c>
      <c r="K132" s="89"/>
      <c r="L132" s="94" t="s">
        <v>204</v>
      </c>
    </row>
    <row r="133">
      <c r="A133" s="89"/>
      <c r="B133" s="87" t="s">
        <v>63</v>
      </c>
      <c r="C133" s="92" t="s">
        <v>51</v>
      </c>
      <c r="D133" s="92" t="s">
        <v>51</v>
      </c>
      <c r="E133" s="92" t="s">
        <v>51</v>
      </c>
      <c r="F133" s="92" t="s">
        <v>51</v>
      </c>
      <c r="G133" s="92" t="s">
        <v>51</v>
      </c>
      <c r="H133" s="92">
        <f>IF(C132&lt;=0,"n.m.",H132/C132-1)</f>
        <v>0.1064814814814814</v>
      </c>
      <c r="I133" s="92">
        <f>IF(D132&lt;=0,"n.m.",I132/D132-1)</f>
        <v>0.12831858407079655</v>
      </c>
      <c r="J133" s="91">
        <f>IF(E132&lt;=0,"n.m.",J132/E132-1)</f>
        <v>0.13122171945701355</v>
      </c>
      <c r="K133" s="89"/>
      <c r="L133" s="89"/>
    </row>
    <row r="134">
      <c r="A134" s="89"/>
      <c r="B134" s="87" t="s">
        <v>64</v>
      </c>
      <c r="C134" s="92" t="s">
        <v>51</v>
      </c>
      <c r="D134" s="92">
        <f>IF(C132&lt;=0,"n.m.",D132/C132-1)</f>
        <v>0.04629629629629628</v>
      </c>
      <c r="E134" s="92">
        <f>IF(D132&lt;=0,"n.m.",E132/D132-1)</f>
        <v>-0.02212389380530977</v>
      </c>
      <c r="F134" s="92">
        <f>IF(E132&lt;=0,"n.m.",F132/E132-1)</f>
        <v>0.0678733031674208</v>
      </c>
      <c r="G134" s="92" t="s">
        <v>51</v>
      </c>
      <c r="H134" s="92">
        <f>IF(F132&lt;=0,"n.m.",H132/F132-1)</f>
        <v>0.012711864406779627</v>
      </c>
      <c r="I134" s="92">
        <f>IF(H132&lt;=0,"n.m.",I132/H132-1)</f>
        <v>0.06694560669456062</v>
      </c>
      <c r="J134" s="91">
        <f>IF(I132&lt;=0,"n.m.",J132/I132-1)</f>
        <v>-0.019607843137254943</v>
      </c>
      <c r="K134" s="89"/>
      <c r="L134" s="89"/>
    </row>
    <row r="135">
      <c r="A135" s="89"/>
      <c r="B135" s="87" t="s">
        <v>127</v>
      </c>
      <c r="C135" s="92">
        <f>IF(C122=0,"n.m.",C132/C122)</f>
        <v>0.127208480565371</v>
      </c>
      <c r="D135" s="92">
        <f>IF(D122=0,"n.m.",D132/D122)</f>
        <v>0.12884834663625996</v>
      </c>
      <c r="E135" s="92">
        <f>IF(E122=0,"n.m.",E132/E122)</f>
        <v>0.12422709387296234</v>
      </c>
      <c r="F135" s="92">
        <f>IF(F122=0,"n.m.",F132/F122)</f>
        <v>0.12981298129812982</v>
      </c>
      <c r="G135" s="92">
        <f>IF(G122=0,"n.m.",G132/G122)</f>
        <v>0.12753582068378494</v>
      </c>
      <c r="H135" s="92">
        <f>IF(H122=0,"n.m.",H132/H122)</f>
        <v>0.1263213530655391</v>
      </c>
      <c r="I135" s="92">
        <f>IF(I122=0,"n.m.",I132/I122)</f>
        <v>0.12944162436548223</v>
      </c>
      <c r="J135" s="91">
        <f>IF(J122=0,"n.m.",J132/J122)</f>
        <v>0.1269257869541207</v>
      </c>
      <c r="K135" s="89"/>
      <c r="L135" s="89"/>
    </row>
    <row r="136">
      <c r="A136" s="89"/>
      <c r="B136" s="87" t="s">
        <v>66</v>
      </c>
      <c r="C136" s="92" t="s">
        <v>67</v>
      </c>
      <c r="D136" s="92" t="s">
        <v>67</v>
      </c>
      <c r="E136" s="92" t="s">
        <v>67</v>
      </c>
      <c r="F136" s="92" t="s">
        <v>67</v>
      </c>
      <c r="G136" s="92" t="s">
        <v>67</v>
      </c>
      <c r="H136" s="92" t="s">
        <v>67</v>
      </c>
      <c r="I136" s="92" t="s">
        <v>67</v>
      </c>
      <c r="J136" s="91" t="s">
        <v>67</v>
      </c>
      <c r="K136" s="89"/>
      <c r="L136" s="94" t="s">
        <v>68</v>
      </c>
    </row>
    <row r="137">
      <c r="A137" s="89"/>
      <c r="B137" s="87" t="s">
        <v>69</v>
      </c>
      <c r="C137" s="92" t="s">
        <v>67</v>
      </c>
      <c r="D137" s="92" t="s">
        <v>67</v>
      </c>
      <c r="E137" s="92" t="s">
        <v>67</v>
      </c>
      <c r="F137" s="92" t="s">
        <v>67</v>
      </c>
      <c r="G137" s="92" t="s">
        <v>67</v>
      </c>
      <c r="H137" s="92" t="s">
        <v>67</v>
      </c>
      <c r="I137" s="92" t="s">
        <v>67</v>
      </c>
      <c r="J137" s="91" t="s">
        <v>67</v>
      </c>
      <c r="K137" s="89"/>
      <c r="L137" s="94" t="s">
        <v>70</v>
      </c>
    </row>
    <row r="138">
      <c r="A138" s="89"/>
      <c r="B138" s="87" t="s">
        <v>71</v>
      </c>
      <c r="C138" s="92" t="s">
        <v>67</v>
      </c>
      <c r="D138" s="92" t="s">
        <v>67</v>
      </c>
      <c r="E138" s="92" t="s">
        <v>67</v>
      </c>
      <c r="F138" s="92" t="s">
        <v>67</v>
      </c>
      <c r="G138" s="92" t="s">
        <v>67</v>
      </c>
      <c r="H138" s="92" t="s">
        <v>67</v>
      </c>
      <c r="I138" s="92" t="s">
        <v>67</v>
      </c>
      <c r="J138" s="91" t="s">
        <v>67</v>
      </c>
      <c r="K138" s="89"/>
      <c r="L138" s="94" t="s">
        <v>72</v>
      </c>
    </row>
    <row r="139">
      <c r="A139" s="89"/>
      <c r="B139" s="88" t="s">
        <v>205</v>
      </c>
      <c r="C139" s="86">
        <v>731</v>
      </c>
      <c r="D139" s="86">
        <v>751</v>
      </c>
      <c r="E139" s="86">
        <v>741</v>
      </c>
      <c r="F139" s="86">
        <v>754</v>
      </c>
      <c r="G139" s="95">
        <f>SUM(C139:F139)</f>
        <v>2977</v>
      </c>
      <c r="H139" s="86">
        <v>783</v>
      </c>
      <c r="I139" s="86">
        <v>806</v>
      </c>
      <c r="J139" s="121">
        <f>J31+J132</f>
        <v>810.4176219178083</v>
      </c>
      <c r="K139" s="89"/>
      <c r="L139" s="89"/>
    </row>
    <row r="140">
      <c r="A140" s="89"/>
      <c r="B140" s="87" t="s">
        <v>63</v>
      </c>
      <c r="C140" s="92" t="s">
        <v>51</v>
      </c>
      <c r="D140" s="92" t="s">
        <v>51</v>
      </c>
      <c r="E140" s="92" t="s">
        <v>51</v>
      </c>
      <c r="F140" s="92" t="s">
        <v>51</v>
      </c>
      <c r="G140" s="92" t="s">
        <v>51</v>
      </c>
      <c r="H140" s="92">
        <f>IF(C139&lt;=0,"n.m.",H139/C139-1)</f>
        <v>0.07113543091655261</v>
      </c>
      <c r="I140" s="92">
        <f>IF(D139&lt;=0,"n.m.",I139/D139-1)</f>
        <v>0.07323568575233019</v>
      </c>
      <c r="J140" s="91">
        <f>IF(E139&lt;=0,"n.m.",J139/E139-1)</f>
        <v>0.09368100123860779</v>
      </c>
      <c r="K140" s="89"/>
      <c r="L140" s="89"/>
    </row>
    <row r="141">
      <c r="A141" s="89"/>
      <c r="B141" s="87" t="s">
        <v>64</v>
      </c>
      <c r="C141" s="92" t="s">
        <v>51</v>
      </c>
      <c r="D141" s="92">
        <f>IF(C139&lt;=0,"n.m.",D139/C139-1)</f>
        <v>0.02735978112175097</v>
      </c>
      <c r="E141" s="92">
        <f>IF(D139&lt;=0,"n.m.",E139/D139-1)</f>
        <v>-0.013315579227696439</v>
      </c>
      <c r="F141" s="92">
        <f>IF(E139&lt;=0,"n.m.",F139/E139-1)</f>
        <v>0.01754385964912286</v>
      </c>
      <c r="G141" s="92" t="s">
        <v>51</v>
      </c>
      <c r="H141" s="92">
        <f>IF(F139&lt;=0,"n.m.",H139/F139-1)</f>
        <v>0.03846153846153855</v>
      </c>
      <c r="I141" s="92">
        <f>IF(H139&lt;=0,"n.m.",I139/H139-1)</f>
        <v>0.02937420178799499</v>
      </c>
      <c r="J141" s="91">
        <f>IF(I139&lt;=0,"n.m.",J139/I139-1)</f>
        <v>0.005480920493558639</v>
      </c>
      <c r="K141" s="89"/>
      <c r="L141" s="89"/>
    </row>
    <row r="142">
      <c r="A142" s="89"/>
      <c r="B142" s="87" t="s">
        <v>127</v>
      </c>
      <c r="C142" s="92">
        <f>IF(C122=0,"n.m.",C139/C122)</f>
        <v>0.4305064782096584</v>
      </c>
      <c r="D142" s="92">
        <f>IF(D122=0,"n.m.",D139/D122)</f>
        <v>0.4281641961231471</v>
      </c>
      <c r="E142" s="92">
        <f>IF(E122=0,"n.m.",E139/E122)</f>
        <v>0.41652613827993257</v>
      </c>
      <c r="F142" s="92">
        <f>IF(F122=0,"n.m.",F139/F122)</f>
        <v>0.41474147414741475</v>
      </c>
      <c r="G142" s="92">
        <f>IF(G122=0,"n.m.",G139/G122)</f>
        <v>0.42232940842672717</v>
      </c>
      <c r="H142" s="92">
        <f>IF(H122=0,"n.m.",H139/H122)</f>
        <v>0.4138477801268499</v>
      </c>
      <c r="I142" s="92">
        <f>IF(I122=0,"n.m.",I139/I122)</f>
        <v>0.40913705583756343</v>
      </c>
      <c r="J142" s="91">
        <f>IF(J122=0,"n.m.",J139/J122)</f>
        <v>0.41145157769361956</v>
      </c>
      <c r="K142" s="89"/>
      <c r="L142" s="89"/>
    </row>
    <row r="143">
      <c r="A143" s="89"/>
      <c r="B143" s="87" t="s">
        <v>66</v>
      </c>
      <c r="C143" s="92" t="s">
        <v>67</v>
      </c>
      <c r="D143" s="92" t="s">
        <v>67</v>
      </c>
      <c r="E143" s="92" t="s">
        <v>67</v>
      </c>
      <c r="F143" s="92" t="s">
        <v>67</v>
      </c>
      <c r="G143" s="92" t="s">
        <v>67</v>
      </c>
      <c r="H143" s="92" t="s">
        <v>67</v>
      </c>
      <c r="I143" s="92" t="s">
        <v>67</v>
      </c>
      <c r="J143" s="91" t="s">
        <v>67</v>
      </c>
      <c r="K143" s="89"/>
      <c r="L143" s="94" t="s">
        <v>68</v>
      </c>
    </row>
    <row r="144">
      <c r="A144" s="89"/>
      <c r="B144" s="87" t="s">
        <v>69</v>
      </c>
      <c r="C144" s="92" t="s">
        <v>67</v>
      </c>
      <c r="D144" s="92" t="s">
        <v>67</v>
      </c>
      <c r="E144" s="92" t="s">
        <v>67</v>
      </c>
      <c r="F144" s="92" t="s">
        <v>67</v>
      </c>
      <c r="G144" s="92" t="s">
        <v>67</v>
      </c>
      <c r="H144" s="92" t="s">
        <v>67</v>
      </c>
      <c r="I144" s="92" t="s">
        <v>67</v>
      </c>
      <c r="J144" s="91" t="s">
        <v>67</v>
      </c>
      <c r="K144" s="89"/>
      <c r="L144" s="94" t="s">
        <v>70</v>
      </c>
    </row>
    <row r="145">
      <c r="A145" s="89"/>
      <c r="B145" s="87" t="s">
        <v>71</v>
      </c>
      <c r="C145" s="92" t="s">
        <v>67</v>
      </c>
      <c r="D145" s="92" t="s">
        <v>67</v>
      </c>
      <c r="E145" s="92" t="s">
        <v>67</v>
      </c>
      <c r="F145" s="92" t="s">
        <v>67</v>
      </c>
      <c r="G145" s="92" t="s">
        <v>67</v>
      </c>
      <c r="H145" s="92" t="s">
        <v>67</v>
      </c>
      <c r="I145" s="92" t="s">
        <v>67</v>
      </c>
      <c r="J145" s="91" t="s">
        <v>67</v>
      </c>
      <c r="K145" s="89"/>
      <c r="L145" s="94" t="s">
        <v>72</v>
      </c>
    </row>
    <row r="146" ht="23.25">
      <c r="A146" s="89"/>
      <c r="B146" s="187" t="s">
        <v>206</v>
      </c>
      <c r="C146" s="95">
        <f>C153-C46</f>
        <v>268</v>
      </c>
      <c r="D146" s="95">
        <f>D153-D46</f>
        <v>281</v>
      </c>
      <c r="E146" s="95">
        <f>E153-E46</f>
        <v>296</v>
      </c>
      <c r="F146" s="95">
        <f>F153-F46</f>
        <v>312</v>
      </c>
      <c r="G146" s="95">
        <f>G153-G46</f>
        <v>1157</v>
      </c>
      <c r="H146" s="95">
        <f>H153-H46</f>
        <v>325</v>
      </c>
      <c r="I146" s="95">
        <f>I153-I46</f>
        <v>347</v>
      </c>
      <c r="J146" s="136">
        <v>340</v>
      </c>
      <c r="K146" s="89"/>
      <c r="L146" s="94" t="s">
        <v>207</v>
      </c>
    </row>
    <row r="147">
      <c r="A147" s="89"/>
      <c r="B147" s="87" t="s">
        <v>63</v>
      </c>
      <c r="C147" s="92" t="s">
        <v>51</v>
      </c>
      <c r="D147" s="92" t="s">
        <v>51</v>
      </c>
      <c r="E147" s="92" t="s">
        <v>51</v>
      </c>
      <c r="F147" s="92" t="s">
        <v>51</v>
      </c>
      <c r="G147" s="92" t="s">
        <v>51</v>
      </c>
      <c r="H147" s="92">
        <f>IF(C146&lt;=0,"n.m.",H146/C146-1)</f>
        <v>0.2126865671641791</v>
      </c>
      <c r="I147" s="92">
        <f>IF(D146&lt;=0,"n.m.",I146/D146-1)</f>
        <v>0.23487544483985756</v>
      </c>
      <c r="J147" s="91">
        <f>IF(E146&lt;=0,"n.m.",J146/E146-1)</f>
        <v>0.14864864864864868</v>
      </c>
      <c r="K147" s="89"/>
      <c r="L147" s="89"/>
    </row>
    <row r="148">
      <c r="A148" s="89"/>
      <c r="B148" s="87" t="s">
        <v>64</v>
      </c>
      <c r="C148" s="92" t="s">
        <v>51</v>
      </c>
      <c r="D148" s="92">
        <f>IF(C146&lt;=0,"n.m.",D146/C146-1)</f>
        <v>0.04850746268656714</v>
      </c>
      <c r="E148" s="92">
        <f>IF(D146&lt;=0,"n.m.",E146/D146-1)</f>
        <v>0.053380782918149405</v>
      </c>
      <c r="F148" s="92">
        <f>IF(E146&lt;=0,"n.m.",F146/E146-1)</f>
        <v>0.054054054054053946</v>
      </c>
      <c r="G148" s="92" t="s">
        <v>51</v>
      </c>
      <c r="H148" s="92">
        <f>IF(F146&lt;=0,"n.m.",H146/F146-1)</f>
        <v>0.04166666666666674</v>
      </c>
      <c r="I148" s="92">
        <f>IF(H146&lt;=0,"n.m.",I146/H146-1)</f>
        <v>0.06769230769230772</v>
      </c>
      <c r="J148" s="91">
        <f>IF(I146&lt;=0,"n.m.",J146/I146-1)</f>
        <v>-0.02017291066282423</v>
      </c>
      <c r="K148" s="89"/>
      <c r="L148" s="89"/>
    </row>
    <row r="149">
      <c r="A149" s="89"/>
      <c r="B149" s="87" t="s">
        <v>127</v>
      </c>
      <c r="C149" s="92">
        <f>IF(C122=0,"n.m.",C146/C122)</f>
        <v>0.15783274440518258</v>
      </c>
      <c r="D149" s="92">
        <f>IF(D122=0,"n.m.",D146/D122)</f>
        <v>0.16020524515393386</v>
      </c>
      <c r="E149" s="92">
        <f>IF(E122=0,"n.m.",E146/E122)</f>
        <v>0.16638560989319842</v>
      </c>
      <c r="F149" s="92">
        <f>IF(F122=0,"n.m.",F146/F122)</f>
        <v>0.1716171617161716</v>
      </c>
      <c r="G149" s="92">
        <f>IF(G122=0,"n.m.",G146/G122)</f>
        <v>0.16413675698680663</v>
      </c>
      <c r="H149" s="92">
        <f>IF(H122=0,"n.m.",H146/H122)</f>
        <v>0.17177589852008457</v>
      </c>
      <c r="I149" s="92">
        <f>IF(I122=0,"n.m.",I146/I122)</f>
        <v>0.17614213197969544</v>
      </c>
      <c r="J149" s="91">
        <f>IF(J122=0,"n.m.",J146/J122)</f>
        <v>0.17261907025760417</v>
      </c>
      <c r="K149" s="89"/>
      <c r="L149" s="89"/>
    </row>
    <row r="150">
      <c r="A150" s="89"/>
      <c r="B150" s="87" t="s">
        <v>66</v>
      </c>
      <c r="C150" s="92" t="s">
        <v>67</v>
      </c>
      <c r="D150" s="92" t="s">
        <v>67</v>
      </c>
      <c r="E150" s="92" t="s">
        <v>67</v>
      </c>
      <c r="F150" s="92" t="s">
        <v>67</v>
      </c>
      <c r="G150" s="92" t="s">
        <v>67</v>
      </c>
      <c r="H150" s="92" t="s">
        <v>67</v>
      </c>
      <c r="I150" s="92" t="s">
        <v>67</v>
      </c>
      <c r="J150" s="91" t="s">
        <v>67</v>
      </c>
      <c r="K150" s="89"/>
      <c r="L150" s="94" t="s">
        <v>68</v>
      </c>
    </row>
    <row r="151">
      <c r="A151" s="89"/>
      <c r="B151" s="87" t="s">
        <v>69</v>
      </c>
      <c r="C151" s="92" t="s">
        <v>67</v>
      </c>
      <c r="D151" s="92" t="s">
        <v>67</v>
      </c>
      <c r="E151" s="92" t="s">
        <v>67</v>
      </c>
      <c r="F151" s="92" t="s">
        <v>67</v>
      </c>
      <c r="G151" s="92" t="s">
        <v>67</v>
      </c>
      <c r="H151" s="92" t="s">
        <v>67</v>
      </c>
      <c r="I151" s="92" t="s">
        <v>67</v>
      </c>
      <c r="J151" s="91" t="s">
        <v>67</v>
      </c>
      <c r="K151" s="89"/>
      <c r="L151" s="94" t="s">
        <v>70</v>
      </c>
    </row>
    <row r="152">
      <c r="A152" s="89"/>
      <c r="B152" s="87" t="s">
        <v>71</v>
      </c>
      <c r="C152" s="92" t="s">
        <v>67</v>
      </c>
      <c r="D152" s="92" t="s">
        <v>67</v>
      </c>
      <c r="E152" s="92" t="s">
        <v>67</v>
      </c>
      <c r="F152" s="92" t="s">
        <v>67</v>
      </c>
      <c r="G152" s="92" t="s">
        <v>67</v>
      </c>
      <c r="H152" s="92" t="s">
        <v>67</v>
      </c>
      <c r="I152" s="92" t="s">
        <v>67</v>
      </c>
      <c r="J152" s="91" t="s">
        <v>67</v>
      </c>
      <c r="K152" s="89"/>
      <c r="L152" s="94" t="s">
        <v>72</v>
      </c>
    </row>
    <row r="153">
      <c r="A153" s="89"/>
      <c r="B153" s="88" t="s">
        <v>208</v>
      </c>
      <c r="C153" s="86">
        <v>477</v>
      </c>
      <c r="D153" s="86">
        <v>490</v>
      </c>
      <c r="E153" s="86">
        <v>510</v>
      </c>
      <c r="F153" s="86">
        <v>524</v>
      </c>
      <c r="G153" s="95">
        <f>SUM(C153:F153)</f>
        <v>2001</v>
      </c>
      <c r="H153" s="86">
        <v>545</v>
      </c>
      <c r="I153" s="86">
        <v>571</v>
      </c>
      <c r="J153" s="121">
        <f>J46+J146</f>
        <v>567.9624361806669</v>
      </c>
      <c r="K153" s="89"/>
      <c r="L153" s="89"/>
    </row>
    <row r="154">
      <c r="A154" s="89"/>
      <c r="B154" s="87" t="s">
        <v>63</v>
      </c>
      <c r="C154" s="92" t="s">
        <v>51</v>
      </c>
      <c r="D154" s="92" t="s">
        <v>51</v>
      </c>
      <c r="E154" s="92" t="s">
        <v>51</v>
      </c>
      <c r="F154" s="92" t="s">
        <v>51</v>
      </c>
      <c r="G154" s="92" t="s">
        <v>51</v>
      </c>
      <c r="H154" s="92">
        <f>IF(C153&lt;=0,"n.m.",H153/C153-1)</f>
        <v>0.1425576519916143</v>
      </c>
      <c r="I154" s="92">
        <f>IF(D153&lt;=0,"n.m.",I153/D153-1)</f>
        <v>0.16530612244897958</v>
      </c>
      <c r="J154" s="91">
        <f>IF(E153&lt;=0,"n.m.",J153/E153-1)</f>
        <v>0.11365183564836645</v>
      </c>
      <c r="K154" s="89"/>
      <c r="L154" s="89"/>
    </row>
    <row r="155">
      <c r="A155" s="89"/>
      <c r="B155" s="87" t="s">
        <v>64</v>
      </c>
      <c r="C155" s="92" t="s">
        <v>51</v>
      </c>
      <c r="D155" s="92">
        <f>IF(C153&lt;=0,"n.m.",D153/C153-1)</f>
        <v>0.027253668763102645</v>
      </c>
      <c r="E155" s="92">
        <f>IF(D153&lt;=0,"n.m.",E153/D153-1)</f>
        <v>0.04081632653061229</v>
      </c>
      <c r="F155" s="92">
        <f>IF(E153&lt;=0,"n.m.",F153/E153-1)</f>
        <v>0.027450980392156765</v>
      </c>
      <c r="G155" s="92" t="s">
        <v>51</v>
      </c>
      <c r="H155" s="92">
        <f>IF(F153&lt;=0,"n.m.",H153/F153-1)</f>
        <v>0.040076335877862634</v>
      </c>
      <c r="I155" s="92">
        <f>IF(H153&lt;=0,"n.m.",I153/H153-1)</f>
        <v>0.047706422018348515</v>
      </c>
      <c r="J155" s="91">
        <f>IF(I153&lt;=0,"n.m.",J153/I153-1)</f>
        <v>-0.005319726478691833</v>
      </c>
      <c r="K155" s="89"/>
      <c r="L155" s="89"/>
    </row>
    <row r="156">
      <c r="A156" s="89"/>
      <c r="B156" s="87" t="s">
        <v>127</v>
      </c>
      <c r="C156" s="92">
        <f>IF(C122=0,"n.m.",C153/C122)</f>
        <v>0.28091872791519434</v>
      </c>
      <c r="D156" s="92">
        <f>IF(D122=0,"n.m.",D153/D122)</f>
        <v>0.27936145952109465</v>
      </c>
      <c r="E156" s="92">
        <f>IF(E122=0,"n.m.",E153/E122)</f>
        <v>0.2866779089376054</v>
      </c>
      <c r="F156" s="92">
        <f>IF(F122=0,"n.m.",F153/F122)</f>
        <v>0.28822882288228824</v>
      </c>
      <c r="G156" s="92">
        <f>IF(G122=0,"n.m.",G153/G122)</f>
        <v>0.28387005248971486</v>
      </c>
      <c r="H156" s="92">
        <f>IF(H122=0,"n.m.",H153/H122)</f>
        <v>0.2880549682875264</v>
      </c>
      <c r="I156" s="92">
        <f>IF(I122=0,"n.m.",I153/I122)</f>
        <v>0.2898477157360406</v>
      </c>
      <c r="J156" s="91">
        <f>IF(J122=0,"n.m.",J153/J122)</f>
        <v>0.28835631669044287</v>
      </c>
      <c r="K156" s="89"/>
      <c r="L156" s="89"/>
    </row>
    <row r="157">
      <c r="A157" s="89"/>
      <c r="B157" s="87" t="s">
        <v>66</v>
      </c>
      <c r="C157" s="92" t="s">
        <v>67</v>
      </c>
      <c r="D157" s="92" t="s">
        <v>67</v>
      </c>
      <c r="E157" s="92" t="s">
        <v>67</v>
      </c>
      <c r="F157" s="92" t="s">
        <v>67</v>
      </c>
      <c r="G157" s="92" t="s">
        <v>67</v>
      </c>
      <c r="H157" s="92" t="s">
        <v>67</v>
      </c>
      <c r="I157" s="92" t="s">
        <v>67</v>
      </c>
      <c r="J157" s="91" t="s">
        <v>67</v>
      </c>
      <c r="K157" s="89"/>
      <c r="L157" s="94" t="s">
        <v>68</v>
      </c>
    </row>
    <row r="158">
      <c r="A158" s="89"/>
      <c r="B158" s="87" t="s">
        <v>69</v>
      </c>
      <c r="C158" s="92" t="s">
        <v>67</v>
      </c>
      <c r="D158" s="92" t="s">
        <v>67</v>
      </c>
      <c r="E158" s="92" t="s">
        <v>67</v>
      </c>
      <c r="F158" s="92" t="s">
        <v>67</v>
      </c>
      <c r="G158" s="92" t="s">
        <v>67</v>
      </c>
      <c r="H158" s="92" t="s">
        <v>67</v>
      </c>
      <c r="I158" s="92" t="s">
        <v>67</v>
      </c>
      <c r="J158" s="91" t="s">
        <v>67</v>
      </c>
      <c r="K158" s="89"/>
      <c r="L158" s="94" t="s">
        <v>70</v>
      </c>
    </row>
    <row r="159">
      <c r="A159" s="89"/>
      <c r="B159" s="87" t="s">
        <v>71</v>
      </c>
      <c r="C159" s="92" t="s">
        <v>67</v>
      </c>
      <c r="D159" s="92" t="s">
        <v>67</v>
      </c>
      <c r="E159" s="92" t="s">
        <v>67</v>
      </c>
      <c r="F159" s="92" t="s">
        <v>67</v>
      </c>
      <c r="G159" s="92" t="s">
        <v>67</v>
      </c>
      <c r="H159" s="92" t="s">
        <v>67</v>
      </c>
      <c r="I159" s="92" t="s">
        <v>67</v>
      </c>
      <c r="J159" s="91" t="s">
        <v>67</v>
      </c>
      <c r="K159" s="89"/>
      <c r="L159" s="94" t="s">
        <v>72</v>
      </c>
    </row>
    <row r="160" ht="23.25">
      <c r="A160" s="89"/>
      <c r="B160" s="187" t="s">
        <v>209</v>
      </c>
      <c r="C160" s="86">
        <v>490</v>
      </c>
      <c r="D160" s="86">
        <v>513</v>
      </c>
      <c r="E160" s="86">
        <v>528</v>
      </c>
      <c r="F160" s="86">
        <v>540</v>
      </c>
      <c r="G160" s="95">
        <f>SUM(C160:F160)</f>
        <v>2071</v>
      </c>
      <c r="H160" s="86">
        <v>564</v>
      </c>
      <c r="I160" s="86">
        <v>593</v>
      </c>
      <c r="J160" s="121">
        <f>J122-J139-J153</f>
        <v>591.2748559999999</v>
      </c>
      <c r="K160" s="89"/>
      <c r="L160" s="89"/>
    </row>
    <row r="161">
      <c r="A161" s="89"/>
      <c r="B161" s="87" t="s">
        <v>63</v>
      </c>
      <c r="C161" s="92" t="s">
        <v>51</v>
      </c>
      <c r="D161" s="92" t="s">
        <v>51</v>
      </c>
      <c r="E161" s="92" t="s">
        <v>51</v>
      </c>
      <c r="F161" s="92" t="s">
        <v>51</v>
      </c>
      <c r="G161" s="92" t="s">
        <v>51</v>
      </c>
      <c r="H161" s="92">
        <f>IF(C160&lt;=0,"n.m.",H160/C160-1)</f>
        <v>0.15102040816326534</v>
      </c>
      <c r="I161" s="92">
        <f>IF(D160&lt;=0,"n.m.",I160/D160-1)</f>
        <v>0.15594541910331383</v>
      </c>
      <c r="J161" s="91">
        <f>IF(E160&lt;=0,"n.m.",J160/E160-1)</f>
        <v>0.1198387424242422</v>
      </c>
      <c r="K161" s="89"/>
      <c r="L161" s="89"/>
    </row>
    <row r="162">
      <c r="A162" s="89"/>
      <c r="B162" s="87" t="s">
        <v>64</v>
      </c>
      <c r="C162" s="92" t="s">
        <v>51</v>
      </c>
      <c r="D162" s="92">
        <f>IF(C160&lt;=0,"n.m.",D160/C160-1)</f>
        <v>0.04693877551020398</v>
      </c>
      <c r="E162" s="92">
        <f>IF(D160&lt;=0,"n.m.",E160/D160-1)</f>
        <v>0.029239766081871288</v>
      </c>
      <c r="F162" s="92">
        <f>IF(E160&lt;=0,"n.m.",F160/E160-1)</f>
        <v>0.022727272727272707</v>
      </c>
      <c r="G162" s="92" t="s">
        <v>51</v>
      </c>
      <c r="H162" s="92">
        <f>IF(F160&lt;=0,"n.m.",H160/F160-1)</f>
        <v>0.04444444444444451</v>
      </c>
      <c r="I162" s="92">
        <f>IF(H160&lt;=0,"n.m.",I160/H160-1)</f>
        <v>0.05141843971631199</v>
      </c>
      <c r="J162" s="91">
        <f>IF(I160&lt;=0,"n.m.",J160/I160-1)</f>
        <v>-0.0029091804384487885</v>
      </c>
      <c r="K162" s="89"/>
      <c r="L162" s="89"/>
    </row>
    <row r="163">
      <c r="A163" s="89"/>
      <c r="B163" s="87" t="s">
        <v>127</v>
      </c>
      <c r="C163" s="92">
        <f>IF(C122=0,"n.m.",C160/C122)</f>
        <v>0.28857479387514723</v>
      </c>
      <c r="D163" s="92">
        <f>IF(D122=0,"n.m.",D160/D122)</f>
        <v>0.29247434435575825</v>
      </c>
      <c r="E163" s="92">
        <f>IF(E122=0,"n.m.",E160/E122)</f>
        <v>0.29679595278246207</v>
      </c>
      <c r="F163" s="92">
        <f>IF(F122=0,"n.m.",F160/F122)</f>
        <v>0.297029702970297</v>
      </c>
      <c r="G163" s="92">
        <f>IF(G122=0,"n.m.",G160/G122)</f>
        <v>0.29380053908355797</v>
      </c>
      <c r="H163" s="92">
        <f>IF(H122=0,"n.m.",H160/H122)</f>
        <v>0.29809725158562367</v>
      </c>
      <c r="I163" s="92">
        <f>IF(I122=0,"n.m.",I160/I122)</f>
        <v>0.30101522842639594</v>
      </c>
      <c r="J163" s="91">
        <f>IF(J122=0,"n.m.",J160/J122)</f>
        <v>0.30019210561593757</v>
      </c>
      <c r="K163" s="89"/>
      <c r="L163" s="89"/>
    </row>
    <row r="164">
      <c r="A164" s="89"/>
      <c r="B164" s="87" t="s">
        <v>66</v>
      </c>
      <c r="C164" s="92" t="s">
        <v>67</v>
      </c>
      <c r="D164" s="92" t="s">
        <v>67</v>
      </c>
      <c r="E164" s="92" t="s">
        <v>67</v>
      </c>
      <c r="F164" s="92" t="s">
        <v>67</v>
      </c>
      <c r="G164" s="92" t="s">
        <v>67</v>
      </c>
      <c r="H164" s="92" t="s">
        <v>67</v>
      </c>
      <c r="I164" s="92" t="s">
        <v>67</v>
      </c>
      <c r="J164" s="91" t="s">
        <v>67</v>
      </c>
      <c r="K164" s="89"/>
      <c r="L164" s="94" t="s">
        <v>68</v>
      </c>
    </row>
    <row r="165">
      <c r="A165" s="89"/>
      <c r="B165" s="87" t="s">
        <v>69</v>
      </c>
      <c r="C165" s="92" t="s">
        <v>67</v>
      </c>
      <c r="D165" s="92" t="s">
        <v>67</v>
      </c>
      <c r="E165" s="92" t="s">
        <v>67</v>
      </c>
      <c r="F165" s="92" t="s">
        <v>67</v>
      </c>
      <c r="G165" s="92" t="s">
        <v>67</v>
      </c>
      <c r="H165" s="92" t="s">
        <v>67</v>
      </c>
      <c r="I165" s="92" t="s">
        <v>67</v>
      </c>
      <c r="J165" s="91" t="s">
        <v>67</v>
      </c>
      <c r="K165" s="89"/>
      <c r="L165" s="94" t="s">
        <v>70</v>
      </c>
    </row>
    <row r="166">
      <c r="A166" s="89"/>
      <c r="B166" s="87" t="s">
        <v>71</v>
      </c>
      <c r="C166" s="92" t="s">
        <v>67</v>
      </c>
      <c r="D166" s="92" t="s">
        <v>67</v>
      </c>
      <c r="E166" s="92" t="s">
        <v>67</v>
      </c>
      <c r="F166" s="92" t="s">
        <v>67</v>
      </c>
      <c r="G166" s="92" t="s">
        <v>67</v>
      </c>
      <c r="H166" s="92" t="s">
        <v>67</v>
      </c>
      <c r="I166" s="92" t="s">
        <v>67</v>
      </c>
      <c r="J166" s="91" t="s">
        <v>67</v>
      </c>
      <c r="K166" s="89"/>
      <c r="L166" s="94" t="s">
        <v>72</v>
      </c>
    </row>
    <row r="167">
      <c r="A167" s="89"/>
      <c r="B167" s="104" t="s">
        <v>158</v>
      </c>
      <c r="C167" s="90">
        <f>C139+C153+C160</f>
        <v>1698</v>
      </c>
      <c r="D167" s="90">
        <f>D139+D153+D160</f>
        <v>1754</v>
      </c>
      <c r="E167" s="90">
        <f>E139+E153+E160</f>
        <v>1779</v>
      </c>
      <c r="F167" s="90">
        <f>F139+F153+F160</f>
        <v>1818</v>
      </c>
      <c r="G167" s="90">
        <f>G139+G153+G160</f>
        <v>7049</v>
      </c>
      <c r="H167" s="90">
        <f>H139+H153+H160</f>
        <v>1892</v>
      </c>
      <c r="I167" s="90">
        <f>I139+I153+I160</f>
        <v>1970</v>
      </c>
      <c r="J167" s="135">
        <f>J139+J153+J160</f>
        <v>1969.6549140984753</v>
      </c>
      <c r="K167" s="89"/>
      <c r="L167" s="89"/>
    </row>
    <row r="168" ht="23.25">
      <c r="A168" s="89"/>
      <c r="B168" s="187" t="s">
        <v>159</v>
      </c>
      <c r="C168" s="99" t="b">
        <f>ABS(C167-C122)&lt;0.5</f>
        <v>1</v>
      </c>
      <c r="D168" s="99" t="b">
        <f>ABS(D167-D122)&lt;0.5</f>
        <v>1</v>
      </c>
      <c r="E168" s="99" t="b">
        <f>ABS(E167-E122)&lt;0.5</f>
        <v>1</v>
      </c>
      <c r="F168" s="99" t="b">
        <f>ABS(F167-F122)&lt;0.5</f>
        <v>1</v>
      </c>
      <c r="G168" s="99" t="b">
        <f>ABS(G167-G122)&lt;0.5</f>
        <v>1</v>
      </c>
      <c r="H168" s="99" t="b">
        <f>ABS(H167-H122)&lt;0.5</f>
        <v>1</v>
      </c>
      <c r="I168" s="99" t="b">
        <f>ABS(I167-I122)&lt;0.5</f>
        <v>1</v>
      </c>
      <c r="J168" s="139" t="b">
        <f>ABS(J167-J122)&lt;0.5</f>
        <v>1</v>
      </c>
      <c r="K168" s="89"/>
      <c r="L168" s="181" t="s">
        <v>210</v>
      </c>
    </row>
    <row r="169">
      <c r="A169" s="89"/>
      <c r="B169" s="89"/>
      <c r="C169" s="89"/>
      <c r="D169" s="89"/>
      <c r="E169" s="89"/>
      <c r="F169" s="89"/>
      <c r="G169" s="89"/>
      <c r="H169" s="89"/>
      <c r="I169" s="89"/>
      <c r="J169" s="97"/>
      <c r="K169" s="89"/>
      <c r="L169" s="89"/>
    </row>
    <row r="170">
      <c r="A170" s="89"/>
      <c r="B170" s="104" t="s">
        <v>161</v>
      </c>
      <c r="C170" s="89"/>
      <c r="D170" s="89"/>
      <c r="E170" s="89"/>
      <c r="F170" s="89"/>
      <c r="G170" s="89"/>
      <c r="H170" s="89"/>
      <c r="I170" s="89"/>
      <c r="J170" s="97"/>
      <c r="K170" s="89"/>
      <c r="L170" s="89"/>
    </row>
    <row r="171">
      <c r="A171" s="89"/>
      <c r="B171" s="88" t="s">
        <v>162</v>
      </c>
      <c r="C171" s="86">
        <v>4</v>
      </c>
      <c r="D171" s="86">
        <v>-6</v>
      </c>
      <c r="E171" s="86">
        <v>-3</v>
      </c>
      <c r="F171" s="86">
        <v>-7</v>
      </c>
      <c r="G171" s="95">
        <f>SUM(C171:F171)</f>
        <v>-12</v>
      </c>
      <c r="H171" s="86">
        <v>-6</v>
      </c>
      <c r="I171" s="86">
        <v>-2</v>
      </c>
      <c r="J171" s="136">
        <v>-2</v>
      </c>
      <c r="K171" s="89"/>
      <c r="L171" s="89"/>
    </row>
    <row r="172">
      <c r="A172" s="89"/>
      <c r="B172" s="88" t="s">
        <v>163</v>
      </c>
      <c r="C172" s="86">
        <v>881</v>
      </c>
      <c r="D172" s="86">
        <v>912</v>
      </c>
      <c r="E172" s="86">
        <v>912</v>
      </c>
      <c r="F172" s="86">
        <v>951</v>
      </c>
      <c r="G172" s="95">
        <f>SUM(C172:F172)</f>
        <v>3656</v>
      </c>
      <c r="H172" s="86">
        <v>937</v>
      </c>
      <c r="I172" s="86">
        <v>948</v>
      </c>
      <c r="J172" s="136">
        <v>960</v>
      </c>
      <c r="K172" s="89"/>
      <c r="L172" s="89"/>
    </row>
    <row r="173">
      <c r="A173" s="89"/>
      <c r="B173" s="87" t="s">
        <v>93</v>
      </c>
      <c r="C173" s="92" t="s">
        <v>51</v>
      </c>
      <c r="D173" s="92" t="s">
        <v>51</v>
      </c>
      <c r="E173" s="92" t="s">
        <v>51</v>
      </c>
      <c r="F173" s="92" t="s">
        <v>51</v>
      </c>
      <c r="G173" s="92" t="s">
        <v>51</v>
      </c>
      <c r="H173" s="92">
        <f>IF(C172&lt;=0,"n.m.",H172/C172-1)</f>
        <v>0.06356413166855845</v>
      </c>
      <c r="I173" s="92">
        <f>IF(D172&lt;=0,"n.m.",I172/D172-1)</f>
        <v>0.03947368421052633</v>
      </c>
      <c r="J173" s="91">
        <f>IF(E172&lt;=0,"n.m.",J172/E172-1)</f>
        <v>0.05263157894736836</v>
      </c>
      <c r="K173" s="89"/>
      <c r="L173" s="89"/>
    </row>
    <row r="174">
      <c r="A174" s="89"/>
      <c r="B174" s="87" t="s">
        <v>64</v>
      </c>
      <c r="C174" s="92" t="s">
        <v>51</v>
      </c>
      <c r="D174" s="92">
        <f>IF(C172&lt;=0,"n.m.",D172/C172-1)</f>
        <v>0.03518728717366626</v>
      </c>
      <c r="E174" s="92">
        <f>IF(D172&lt;=0,"n.m.",E172/D172-1)</f>
        <v>0</v>
      </c>
      <c r="F174" s="92">
        <f>IF(E172&lt;=0,"n.m.",F172/E172-1)</f>
        <v>0.04276315789473695</v>
      </c>
      <c r="G174" s="92" t="s">
        <v>51</v>
      </c>
      <c r="H174" s="92">
        <f>IF(F172&lt;=0,"n.m.",H172/F172-1)</f>
        <v>-0.014721345951629883</v>
      </c>
      <c r="I174" s="92">
        <f>IF(H172&lt;=0,"n.m.",I172/H172-1)</f>
        <v>0.011739594450373536</v>
      </c>
      <c r="J174" s="91">
        <f>IF(I172&lt;=0,"n.m.",J172/I172-1)</f>
        <v>0.012658227848101333</v>
      </c>
      <c r="K174" s="89"/>
      <c r="L174" s="89"/>
    </row>
    <row r="175">
      <c r="A175" s="89"/>
      <c r="B175" s="104" t="s">
        <v>165</v>
      </c>
      <c r="C175" s="90">
        <f>C122-C171-C172</f>
        <v>813</v>
      </c>
      <c r="D175" s="90">
        <f>D122-D171-D172</f>
        <v>848</v>
      </c>
      <c r="E175" s="90">
        <f>E122-E171-E172</f>
        <v>870</v>
      </c>
      <c r="F175" s="90">
        <f>F122-F171-F172</f>
        <v>874</v>
      </c>
      <c r="G175" s="90">
        <f>G122-G171-G172</f>
        <v>3405</v>
      </c>
      <c r="H175" s="90">
        <f>H122-H171-H172</f>
        <v>961</v>
      </c>
      <c r="I175" s="90">
        <f>I122-I171-I172</f>
        <v>1024</v>
      </c>
      <c r="J175" s="135">
        <f>J122-J171-J172</f>
        <v>1011.6549140984753</v>
      </c>
      <c r="K175" s="89"/>
      <c r="L175" s="89"/>
    </row>
    <row r="176">
      <c r="A176" s="89"/>
      <c r="B176" s="87" t="s">
        <v>93</v>
      </c>
      <c r="C176" s="92" t="s">
        <v>51</v>
      </c>
      <c r="D176" s="92" t="s">
        <v>51</v>
      </c>
      <c r="E176" s="92" t="s">
        <v>51</v>
      </c>
      <c r="F176" s="92" t="s">
        <v>51</v>
      </c>
      <c r="G176" s="92" t="s">
        <v>51</v>
      </c>
      <c r="H176" s="92">
        <f>IF(C175&lt;=0,"n.m.",H175/C175-1)</f>
        <v>0.18204182041820416</v>
      </c>
      <c r="I176" s="92">
        <f>IF(D175&lt;=0,"n.m.",I175/D175-1)</f>
        <v>0.2075471698113207</v>
      </c>
      <c r="J176" s="91">
        <f>IF(E175&lt;=0,"n.m.",J175/E175-1)</f>
        <v>0.16282174034307495</v>
      </c>
      <c r="K176" s="89"/>
      <c r="L176" s="89"/>
    </row>
    <row r="177">
      <c r="A177" s="89"/>
      <c r="B177" s="87" t="s">
        <v>166</v>
      </c>
      <c r="C177" s="92">
        <f>C175/C122</f>
        <v>0.4787985865724382</v>
      </c>
      <c r="D177" s="92">
        <f>D175/D122</f>
        <v>0.48346636259977194</v>
      </c>
      <c r="E177" s="92">
        <f>E175/E122</f>
        <v>0.48903878583473864</v>
      </c>
      <c r="F177" s="92">
        <f>F175/F122</f>
        <v>0.4807480748074808</v>
      </c>
      <c r="G177" s="92">
        <f>G175/G122</f>
        <v>0.48304724074336786</v>
      </c>
      <c r="H177" s="92">
        <f>H175/H122</f>
        <v>0.5079281183932347</v>
      </c>
      <c r="I177" s="92">
        <f>I175/I122</f>
        <v>0.5197969543147208</v>
      </c>
      <c r="J177" s="91">
        <f>J175/J122</f>
        <v>0.5136203843918095</v>
      </c>
      <c r="K177" s="89"/>
      <c r="L177" s="89"/>
    </row>
    <row r="178">
      <c r="A178" s="89"/>
      <c r="B178" s="88" t="s">
        <v>108</v>
      </c>
      <c r="C178" s="103" t="s">
        <v>51</v>
      </c>
      <c r="D178" s="103">
        <f>(D177-C177)*10000</f>
        <v>46.67776027333759</v>
      </c>
      <c r="E178" s="103">
        <f>(E177-D177)*10000</f>
        <v>55.724232349667055</v>
      </c>
      <c r="F178" s="103">
        <f>(F177-E177)*10000</f>
        <v>-82.90711027257869</v>
      </c>
      <c r="G178" s="103" t="s">
        <v>51</v>
      </c>
      <c r="H178" s="103">
        <f>(H177-F177)*10000</f>
        <v>271.8004358575393</v>
      </c>
      <c r="I178" s="103">
        <f>(I177-H177)*10000</f>
        <v>118.68835921486132</v>
      </c>
      <c r="J178" s="128">
        <f>(J177-I177)*10000</f>
        <v>-61.76569922911379</v>
      </c>
      <c r="K178" s="89"/>
      <c r="L178" s="89"/>
    </row>
    <row r="179">
      <c r="A179" s="89"/>
      <c r="B179" s="88" t="s">
        <v>109</v>
      </c>
      <c r="C179" s="103" t="s">
        <v>51</v>
      </c>
      <c r="D179" s="103" t="s">
        <v>51</v>
      </c>
      <c r="E179" s="103" t="s">
        <v>51</v>
      </c>
      <c r="F179" s="103" t="s">
        <v>51</v>
      </c>
      <c r="G179" s="103" t="s">
        <v>51</v>
      </c>
      <c r="H179" s="103">
        <f>(H177-C177)*10000</f>
        <v>291.2953182079653</v>
      </c>
      <c r="I179" s="103">
        <f>(I177-D177)*10000</f>
        <v>363.305917149489</v>
      </c>
      <c r="J179" s="128">
        <f>(J177-E177)*10000</f>
        <v>245.81598557070816</v>
      </c>
      <c r="K179" s="89"/>
      <c r="L179" s="89"/>
    </row>
    <row r="180">
      <c r="A180" s="89"/>
      <c r="B180" s="89"/>
      <c r="C180" s="89"/>
      <c r="D180" s="89"/>
      <c r="E180" s="89"/>
      <c r="F180" s="89"/>
      <c r="G180" s="89"/>
      <c r="H180" s="89"/>
      <c r="I180" s="89"/>
      <c r="J180" s="97"/>
      <c r="K180" s="89"/>
      <c r="L180" s="89"/>
    </row>
    <row r="181">
      <c r="A181" s="89"/>
      <c r="B181" s="104" t="s">
        <v>211</v>
      </c>
      <c r="C181" s="89"/>
      <c r="D181" s="89"/>
      <c r="E181" s="89"/>
      <c r="F181" s="89"/>
      <c r="G181" s="89"/>
      <c r="H181" s="89"/>
      <c r="I181" s="89"/>
      <c r="J181" s="97"/>
      <c r="K181" s="89"/>
      <c r="L181" s="89"/>
    </row>
    <row r="182">
      <c r="A182" s="89"/>
      <c r="B182" s="88" t="s">
        <v>168</v>
      </c>
      <c r="C182" s="86">
        <v>42986</v>
      </c>
      <c r="D182" s="86">
        <v>44262</v>
      </c>
      <c r="E182" s="86">
        <v>46278</v>
      </c>
      <c r="F182" s="86">
        <v>49613</v>
      </c>
      <c r="G182" s="95" t="s">
        <v>51</v>
      </c>
      <c r="H182" s="86">
        <v>52921</v>
      </c>
      <c r="I182" s="86">
        <v>56258</v>
      </c>
      <c r="J182" s="136">
        <v>57500</v>
      </c>
      <c r="K182" s="89"/>
      <c r="L182" s="188" t="s">
        <v>169</v>
      </c>
    </row>
    <row r="183">
      <c r="A183" s="89"/>
      <c r="B183" s="87" t="s">
        <v>93</v>
      </c>
      <c r="C183" s="92" t="s">
        <v>51</v>
      </c>
      <c r="D183" s="92" t="s">
        <v>51</v>
      </c>
      <c r="E183" s="92" t="s">
        <v>51</v>
      </c>
      <c r="F183" s="92" t="s">
        <v>51</v>
      </c>
      <c r="G183" s="92" t="s">
        <v>51</v>
      </c>
      <c r="H183" s="92">
        <f>IF(C182&lt;=0,"n.m.",H182/C182-1)</f>
        <v>0.23112176057320988</v>
      </c>
      <c r="I183" s="92">
        <f>IF(D182&lt;=0,"n.m.",I182/D182-1)</f>
        <v>0.27102254755772437</v>
      </c>
      <c r="J183" s="91">
        <f>IF(E182&lt;=0,"n.m.",J182/E182-1)</f>
        <v>0.24249103245602655</v>
      </c>
      <c r="K183" s="89"/>
      <c r="L183" s="89"/>
    </row>
    <row r="184">
      <c r="A184" s="89"/>
      <c r="B184" s="88" t="s">
        <v>94</v>
      </c>
      <c r="C184" s="95" t="s">
        <v>51</v>
      </c>
      <c r="D184" s="95">
        <f>D182-C182</f>
        <v>1276</v>
      </c>
      <c r="E184" s="95">
        <f>E182-D182</f>
        <v>2016</v>
      </c>
      <c r="F184" s="95">
        <f>F182-E182</f>
        <v>3335</v>
      </c>
      <c r="G184" s="95" t="s">
        <v>51</v>
      </c>
      <c r="H184" s="95">
        <f>H182-F182</f>
        <v>3308</v>
      </c>
      <c r="I184" s="95">
        <f>I182-H182</f>
        <v>3337</v>
      </c>
      <c r="J184" s="121">
        <f>J182-I182</f>
        <v>1242</v>
      </c>
      <c r="K184" s="89"/>
      <c r="L184" s="89"/>
    </row>
    <row r="185">
      <c r="A185" s="89"/>
      <c r="B185" s="88" t="s">
        <v>170</v>
      </c>
      <c r="C185" s="86">
        <v>91906</v>
      </c>
      <c r="D185" s="86">
        <v>96574</v>
      </c>
      <c r="E185" s="86">
        <v>97508</v>
      </c>
      <c r="F185" s="86">
        <v>101776</v>
      </c>
      <c r="G185" s="95" t="s">
        <v>51</v>
      </c>
      <c r="H185" s="86">
        <v>103043</v>
      </c>
      <c r="I185" s="86">
        <v>102606</v>
      </c>
      <c r="J185" s="136">
        <v>99000</v>
      </c>
      <c r="K185" s="89"/>
      <c r="L185" s="89"/>
    </row>
    <row r="186">
      <c r="A186" s="89"/>
      <c r="B186" s="87" t="s">
        <v>93</v>
      </c>
      <c r="C186" s="92" t="s">
        <v>51</v>
      </c>
      <c r="D186" s="92" t="s">
        <v>51</v>
      </c>
      <c r="E186" s="92" t="s">
        <v>51</v>
      </c>
      <c r="F186" s="92" t="s">
        <v>51</v>
      </c>
      <c r="G186" s="92" t="s">
        <v>51</v>
      </c>
      <c r="H186" s="92">
        <f>IF(C185&lt;=0,"n.m.",H185/C185-1)</f>
        <v>0.12117816029421369</v>
      </c>
      <c r="I186" s="92">
        <f>IF(D185&lt;=0,"n.m.",I185/D185-1)</f>
        <v>0.062459875328763514</v>
      </c>
      <c r="J186" s="91">
        <f>IF(E185&lt;=0,"n.m.",J185/E185-1)</f>
        <v>0.015301308610575548</v>
      </c>
      <c r="K186" s="89"/>
      <c r="L186" s="89"/>
    </row>
    <row r="187">
      <c r="A187" s="89"/>
      <c r="B187" s="88" t="s">
        <v>94</v>
      </c>
      <c r="C187" s="95" t="s">
        <v>51</v>
      </c>
      <c r="D187" s="95">
        <f>D185-C185</f>
        <v>4668</v>
      </c>
      <c r="E187" s="95">
        <f>E185-D185</f>
        <v>934</v>
      </c>
      <c r="F187" s="95">
        <f>F185-E185</f>
        <v>4268</v>
      </c>
      <c r="G187" s="95" t="s">
        <v>51</v>
      </c>
      <c r="H187" s="95">
        <f>H185-F185</f>
        <v>1267</v>
      </c>
      <c r="I187" s="95">
        <f>I185-H185</f>
        <v>-437</v>
      </c>
      <c r="J187" s="121">
        <f>J185-I185</f>
        <v>-3606</v>
      </c>
      <c r="K187" s="89"/>
      <c r="L187" s="89"/>
    </row>
    <row r="188">
      <c r="A188" s="89"/>
      <c r="B188" s="88" t="s">
        <v>171</v>
      </c>
      <c r="C188" s="86">
        <v>129727</v>
      </c>
      <c r="D188" s="86">
        <v>135607</v>
      </c>
      <c r="E188" s="86">
        <v>137592</v>
      </c>
      <c r="F188" s="86">
        <v>145105</v>
      </c>
      <c r="G188" s="95" t="s">
        <v>51</v>
      </c>
      <c r="H188" s="86">
        <v>147689</v>
      </c>
      <c r="I188" s="86">
        <v>148791</v>
      </c>
      <c r="J188" s="136">
        <v>146000</v>
      </c>
      <c r="K188" s="89"/>
      <c r="L188" s="89"/>
    </row>
    <row r="189">
      <c r="A189" s="89"/>
      <c r="B189" s="87" t="s">
        <v>93</v>
      </c>
      <c r="C189" s="92" t="s">
        <v>51</v>
      </c>
      <c r="D189" s="92" t="s">
        <v>51</v>
      </c>
      <c r="E189" s="92" t="s">
        <v>51</v>
      </c>
      <c r="F189" s="92" t="s">
        <v>51</v>
      </c>
      <c r="G189" s="92" t="s">
        <v>51</v>
      </c>
      <c r="H189" s="92">
        <f>IF(C188&lt;=0,"n.m.",H188/C188-1)</f>
        <v>0.13845999676243181</v>
      </c>
      <c r="I189" s="92">
        <f>IF(D188&lt;=0,"n.m.",I188/D188-1)</f>
        <v>0.09722211980207507</v>
      </c>
      <c r="J189" s="91">
        <f>IF(E188&lt;=0,"n.m.",J188/E188-1)</f>
        <v>0.061108203965346775</v>
      </c>
      <c r="K189" s="89"/>
      <c r="L189" s="89"/>
    </row>
    <row r="190">
      <c r="A190" s="89"/>
      <c r="B190" s="88" t="s">
        <v>94</v>
      </c>
      <c r="C190" s="95" t="s">
        <v>51</v>
      </c>
      <c r="D190" s="95">
        <f>D188-C188</f>
        <v>5880</v>
      </c>
      <c r="E190" s="95">
        <f>E188-D188</f>
        <v>1985</v>
      </c>
      <c r="F190" s="95">
        <f>F188-E188</f>
        <v>7513</v>
      </c>
      <c r="G190" s="95" t="s">
        <v>51</v>
      </c>
      <c r="H190" s="95">
        <f>H188-F188</f>
        <v>2584</v>
      </c>
      <c r="I190" s="95">
        <f>I188-H188</f>
        <v>1102</v>
      </c>
      <c r="J190" s="121">
        <f>J188-I188</f>
        <v>-2791</v>
      </c>
      <c r="K190" s="89"/>
      <c r="L190" s="89"/>
    </row>
    <row r="191" ht="23.25">
      <c r="A191" s="89"/>
      <c r="B191" s="187" t="s">
        <v>212</v>
      </c>
      <c r="C191" s="86">
        <v>14.9</v>
      </c>
      <c r="D191" s="86">
        <v>15.6</v>
      </c>
      <c r="E191" s="86">
        <v>16</v>
      </c>
      <c r="F191" s="86">
        <v>16.2</v>
      </c>
      <c r="G191" s="95">
        <f>F191</f>
        <v>16.2</v>
      </c>
      <c r="H191" s="86">
        <v>16.5</v>
      </c>
      <c r="I191" s="86">
        <v>16.9</v>
      </c>
      <c r="J191" s="136">
        <v>17</v>
      </c>
      <c r="K191" s="89"/>
      <c r="L191" s="89"/>
    </row>
    <row r="192">
      <c r="A192" s="89"/>
      <c r="B192" s="87" t="s">
        <v>93</v>
      </c>
      <c r="C192" s="92" t="s">
        <v>51</v>
      </c>
      <c r="D192" s="92" t="s">
        <v>51</v>
      </c>
      <c r="E192" s="92" t="s">
        <v>51</v>
      </c>
      <c r="F192" s="92" t="s">
        <v>51</v>
      </c>
      <c r="G192" s="92" t="s">
        <v>51</v>
      </c>
      <c r="H192" s="92">
        <f>IF(C191&lt;=0,"n.m.",H191/C191-1)</f>
        <v>0.10738255033557054</v>
      </c>
      <c r="I192" s="92">
        <f>IF(D191&lt;=0,"n.m.",I191/D191-1)</f>
        <v>0.08333333333333326</v>
      </c>
      <c r="J192" s="91">
        <f>IF(E191&lt;=0,"n.m.",J191/E191-1)</f>
        <v>0.0625</v>
      </c>
      <c r="K192" s="89"/>
      <c r="L192" s="89"/>
    </row>
    <row r="193">
      <c r="A193" s="89"/>
      <c r="B193" s="88" t="s">
        <v>94</v>
      </c>
      <c r="C193" s="95" t="s">
        <v>51</v>
      </c>
      <c r="D193" s="95">
        <f>D191-C191</f>
        <v>0.6999999999999993</v>
      </c>
      <c r="E193" s="95">
        <f>E191-D191</f>
        <v>0.40000000000000036</v>
      </c>
      <c r="F193" s="95">
        <f>F191-E191</f>
        <v>0.1999999999999993</v>
      </c>
      <c r="G193" s="95" t="s">
        <v>51</v>
      </c>
      <c r="H193" s="95">
        <f>H191-F191</f>
        <v>0.3000000000000007</v>
      </c>
      <c r="I193" s="95">
        <f>I191-H191</f>
        <v>0.3999999999999986</v>
      </c>
      <c r="J193" s="121">
        <f>J191-I191</f>
        <v>0.10000000000000142</v>
      </c>
      <c r="K193" s="89"/>
      <c r="L193" s="89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8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213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214</v>
      </c>
      <c r="C10" s="89"/>
      <c r="D10" s="89"/>
      <c r="E10" s="89"/>
      <c r="F10" s="89"/>
      <c r="G10" s="89"/>
      <c r="H10" s="89"/>
      <c r="I10" s="89"/>
      <c r="J10" s="97"/>
      <c r="K10" s="89"/>
      <c r="L10" s="89"/>
    </row>
    <row r="11">
      <c r="A11" s="89"/>
      <c r="B11" s="88" t="s">
        <v>215</v>
      </c>
      <c r="C11" s="161">
        <v>2029</v>
      </c>
      <c r="D11" s="103">
        <f>C39</f>
        <v>2008</v>
      </c>
      <c r="E11" s="103">
        <f>D39</f>
        <v>2106</v>
      </c>
      <c r="F11" s="103">
        <f>E39</f>
        <v>2142</v>
      </c>
      <c r="G11" s="103">
        <f>C11</f>
        <v>2029</v>
      </c>
      <c r="H11" s="103">
        <f>F39</f>
        <v>2178</v>
      </c>
      <c r="I11" s="103">
        <f>H39</f>
        <v>2126</v>
      </c>
      <c r="J11" s="128">
        <f>I39</f>
        <v>2226</v>
      </c>
      <c r="K11" s="89"/>
      <c r="L11" s="89"/>
    </row>
    <row r="12" ht="14.624267578125">
      <c r="A12" s="89"/>
      <c r="B12" s="187" t="s">
        <v>216</v>
      </c>
      <c r="C12" s="161">
        <v>-3</v>
      </c>
      <c r="D12" s="161">
        <v>-3</v>
      </c>
      <c r="E12" s="161">
        <v>-8</v>
      </c>
      <c r="F12" s="161">
        <v>-4</v>
      </c>
      <c r="G12" s="103">
        <f>SUM(C12:F12)</f>
        <v>-18</v>
      </c>
      <c r="H12" s="161">
        <v>-4</v>
      </c>
      <c r="I12" s="161">
        <v>-6</v>
      </c>
      <c r="J12" s="160">
        <v>-5</v>
      </c>
      <c r="K12" s="89"/>
      <c r="L12" s="89"/>
    </row>
    <row r="13">
      <c r="A13" s="89"/>
      <c r="B13" s="88" t="s">
        <v>178</v>
      </c>
      <c r="C13" s="103" t="s">
        <v>51</v>
      </c>
      <c r="D13" s="103" t="s">
        <v>51</v>
      </c>
      <c r="E13" s="103" t="s">
        <v>51</v>
      </c>
      <c r="F13" s="103" t="s">
        <v>51</v>
      </c>
      <c r="G13" s="103" t="s">
        <v>51</v>
      </c>
      <c r="H13" s="103">
        <f>H12-C12</f>
        <v>-1</v>
      </c>
      <c r="I13" s="103">
        <f>I12-D12</f>
        <v>-3</v>
      </c>
      <c r="J13" s="128">
        <f>J12-E12</f>
        <v>3</v>
      </c>
      <c r="K13" s="89"/>
      <c r="L13" s="89"/>
    </row>
    <row r="14">
      <c r="A14" s="89"/>
      <c r="B14" s="88" t="s">
        <v>94</v>
      </c>
      <c r="C14" s="103" t="s">
        <v>51</v>
      </c>
      <c r="D14" s="103">
        <f>D12-C12</f>
        <v>0</v>
      </c>
      <c r="E14" s="103">
        <f>E12-D12</f>
        <v>-5</v>
      </c>
      <c r="F14" s="103">
        <f>F12-E12</f>
        <v>4</v>
      </c>
      <c r="G14" s="103" t="s">
        <v>51</v>
      </c>
      <c r="H14" s="103">
        <f>H12-F12</f>
        <v>0</v>
      </c>
      <c r="I14" s="103">
        <f>I12-H12</f>
        <v>-2</v>
      </c>
      <c r="J14" s="128">
        <f>J12-I12</f>
        <v>1</v>
      </c>
      <c r="K14" s="89"/>
      <c r="L14" s="89"/>
    </row>
    <row r="15" ht="23.25">
      <c r="A15" s="89"/>
      <c r="B15" s="187" t="s">
        <v>217</v>
      </c>
      <c r="C15" s="161">
        <v>2</v>
      </c>
      <c r="D15" s="161">
        <v>5</v>
      </c>
      <c r="E15" s="161">
        <v>7</v>
      </c>
      <c r="F15" s="161">
        <v>5</v>
      </c>
      <c r="G15" s="103">
        <f>SUM(C15:F15)</f>
        <v>19</v>
      </c>
      <c r="H15" s="161">
        <v>3</v>
      </c>
      <c r="I15" s="161">
        <v>9</v>
      </c>
      <c r="J15" s="160">
        <v>5</v>
      </c>
      <c r="K15" s="89"/>
      <c r="L15" s="89"/>
    </row>
    <row r="16">
      <c r="A16" s="89"/>
      <c r="B16" s="88" t="s">
        <v>178</v>
      </c>
      <c r="C16" s="103" t="s">
        <v>51</v>
      </c>
      <c r="D16" s="103" t="s">
        <v>51</v>
      </c>
      <c r="E16" s="103" t="s">
        <v>51</v>
      </c>
      <c r="F16" s="103" t="s">
        <v>51</v>
      </c>
      <c r="G16" s="103" t="s">
        <v>51</v>
      </c>
      <c r="H16" s="103">
        <f>H15-C15</f>
        <v>1</v>
      </c>
      <c r="I16" s="103">
        <f>I15-D15</f>
        <v>4</v>
      </c>
      <c r="J16" s="128">
        <f>J15-E15</f>
        <v>-2</v>
      </c>
      <c r="K16" s="89"/>
      <c r="L16" s="89"/>
    </row>
    <row r="17">
      <c r="A17" s="89"/>
      <c r="B17" s="88" t="s">
        <v>94</v>
      </c>
      <c r="C17" s="103" t="s">
        <v>51</v>
      </c>
      <c r="D17" s="103">
        <f>D15-C15</f>
        <v>3</v>
      </c>
      <c r="E17" s="103">
        <f>E15-D15</f>
        <v>2</v>
      </c>
      <c r="F17" s="103">
        <f>F15-E15</f>
        <v>-2</v>
      </c>
      <c r="G17" s="103" t="s">
        <v>51</v>
      </c>
      <c r="H17" s="103">
        <f>H15-F15</f>
        <v>-2</v>
      </c>
      <c r="I17" s="103">
        <f>I15-H15</f>
        <v>6</v>
      </c>
      <c r="J17" s="128">
        <f>J15-I15</f>
        <v>-4</v>
      </c>
      <c r="K17" s="89"/>
      <c r="L17" s="89"/>
    </row>
    <row r="18" ht="14.624267578125">
      <c r="A18" s="89"/>
      <c r="B18" s="187" t="s">
        <v>218</v>
      </c>
      <c r="C18" s="161">
        <v>1</v>
      </c>
      <c r="D18" s="161">
        <v>0</v>
      </c>
      <c r="E18" s="161">
        <v>-23</v>
      </c>
      <c r="F18" s="161">
        <v>-15</v>
      </c>
      <c r="G18" s="103">
        <f>SUM(C18:F18)</f>
        <v>-37</v>
      </c>
      <c r="H18" s="161">
        <v>1</v>
      </c>
      <c r="I18" s="161">
        <v>-14</v>
      </c>
      <c r="J18" s="160">
        <v>-5</v>
      </c>
      <c r="K18" s="89"/>
      <c r="L18" s="89"/>
    </row>
    <row r="19">
      <c r="A19" s="89"/>
      <c r="B19" s="88" t="s">
        <v>178</v>
      </c>
      <c r="C19" s="103" t="s">
        <v>51</v>
      </c>
      <c r="D19" s="103" t="s">
        <v>51</v>
      </c>
      <c r="E19" s="103" t="s">
        <v>51</v>
      </c>
      <c r="F19" s="103" t="s">
        <v>51</v>
      </c>
      <c r="G19" s="103" t="s">
        <v>51</v>
      </c>
      <c r="H19" s="103">
        <f>H18-C18</f>
        <v>0</v>
      </c>
      <c r="I19" s="103">
        <f>I18-D18</f>
        <v>-14</v>
      </c>
      <c r="J19" s="128">
        <f>J18-E18</f>
        <v>18</v>
      </c>
      <c r="K19" s="89"/>
      <c r="L19" s="89"/>
    </row>
    <row r="20">
      <c r="A20" s="89"/>
      <c r="B20" s="88" t="s">
        <v>94</v>
      </c>
      <c r="C20" s="103" t="s">
        <v>51</v>
      </c>
      <c r="D20" s="103">
        <f>D18-C18</f>
        <v>-1</v>
      </c>
      <c r="E20" s="103">
        <f>E18-D18</f>
        <v>-23</v>
      </c>
      <c r="F20" s="103">
        <f>F18-E18</f>
        <v>8</v>
      </c>
      <c r="G20" s="103" t="s">
        <v>51</v>
      </c>
      <c r="H20" s="103">
        <f>H18-F18</f>
        <v>16</v>
      </c>
      <c r="I20" s="103">
        <f>I18-H18</f>
        <v>-15</v>
      </c>
      <c r="J20" s="128">
        <f>J18-I18</f>
        <v>9</v>
      </c>
      <c r="K20" s="89"/>
      <c r="L20" s="89"/>
    </row>
    <row r="21" ht="14.624267578125">
      <c r="A21" s="89"/>
      <c r="B21" s="187" t="s">
        <v>219</v>
      </c>
      <c r="C21" s="161">
        <v>-2</v>
      </c>
      <c r="D21" s="161">
        <v>-4</v>
      </c>
      <c r="E21" s="161">
        <v>-1</v>
      </c>
      <c r="F21" s="161">
        <v>-1</v>
      </c>
      <c r="G21" s="103">
        <f>SUM(C21:F21)</f>
        <v>-8</v>
      </c>
      <c r="H21" s="161">
        <v>0</v>
      </c>
      <c r="I21" s="161">
        <v>-1</v>
      </c>
      <c r="J21" s="160">
        <v>0</v>
      </c>
      <c r="K21" s="89"/>
      <c r="L21" s="89"/>
    </row>
    <row r="22">
      <c r="A22" s="89"/>
      <c r="B22" s="88" t="s">
        <v>178</v>
      </c>
      <c r="C22" s="103" t="s">
        <v>51</v>
      </c>
      <c r="D22" s="103" t="s">
        <v>51</v>
      </c>
      <c r="E22" s="103" t="s">
        <v>51</v>
      </c>
      <c r="F22" s="103" t="s">
        <v>51</v>
      </c>
      <c r="G22" s="103" t="s">
        <v>51</v>
      </c>
      <c r="H22" s="103">
        <f>H21-C21</f>
        <v>2</v>
      </c>
      <c r="I22" s="103">
        <f>I21-D21</f>
        <v>3</v>
      </c>
      <c r="J22" s="128">
        <f>J21-E21</f>
        <v>1</v>
      </c>
      <c r="K22" s="89"/>
      <c r="L22" s="89"/>
    </row>
    <row r="23">
      <c r="A23" s="89"/>
      <c r="B23" s="88" t="s">
        <v>94</v>
      </c>
      <c r="C23" s="103" t="s">
        <v>51</v>
      </c>
      <c r="D23" s="103">
        <f>D21-C21</f>
        <v>-2</v>
      </c>
      <c r="E23" s="103">
        <f>E21-D21</f>
        <v>3</v>
      </c>
      <c r="F23" s="103">
        <f>F21-E21</f>
        <v>0</v>
      </c>
      <c r="G23" s="103" t="s">
        <v>51</v>
      </c>
      <c r="H23" s="103">
        <f>H21-F21</f>
        <v>1</v>
      </c>
      <c r="I23" s="103">
        <f>I21-H21</f>
        <v>-1</v>
      </c>
      <c r="J23" s="128">
        <f>J21-I21</f>
        <v>1</v>
      </c>
      <c r="K23" s="89"/>
      <c r="L23" s="89"/>
    </row>
    <row r="24" ht="23.25">
      <c r="A24" s="89"/>
      <c r="B24" s="186" t="s">
        <v>220</v>
      </c>
      <c r="C24" s="172">
        <f>C12+C15+C18+C21</f>
        <v>-2</v>
      </c>
      <c r="D24" s="172">
        <f>D12+D15+D18+D21</f>
        <v>-2</v>
      </c>
      <c r="E24" s="172">
        <f>E12+E15+E18+E21</f>
        <v>-25</v>
      </c>
      <c r="F24" s="172">
        <f>F12+F15+F18+F21</f>
        <v>-15</v>
      </c>
      <c r="G24" s="172">
        <f>G12+G15+G18+G21</f>
        <v>-44</v>
      </c>
      <c r="H24" s="172">
        <f>H12+H15+H18+H21</f>
        <v>0</v>
      </c>
      <c r="I24" s="172">
        <f>I12+I15+I18+I21</f>
        <v>-12</v>
      </c>
      <c r="J24" s="173">
        <f>J12+J15+J18+J21</f>
        <v>-5</v>
      </c>
      <c r="K24" s="89"/>
      <c r="L24" s="89"/>
    </row>
    <row r="25">
      <c r="A25" s="89"/>
      <c r="B25" s="88" t="s">
        <v>221</v>
      </c>
      <c r="C25" s="161">
        <v>-11</v>
      </c>
      <c r="D25" s="161">
        <v>-22</v>
      </c>
      <c r="E25" s="161">
        <v>-8</v>
      </c>
      <c r="F25" s="161">
        <v>-8</v>
      </c>
      <c r="G25" s="103">
        <f>SUM(C25:F25)</f>
        <v>-49</v>
      </c>
      <c r="H25" s="161">
        <v>-7</v>
      </c>
      <c r="I25" s="161">
        <v>-9</v>
      </c>
      <c r="J25" s="160">
        <v>-5</v>
      </c>
      <c r="K25" s="89"/>
      <c r="L25" s="89"/>
    </row>
    <row r="26">
      <c r="A26" s="89"/>
      <c r="B26" s="88" t="s">
        <v>178</v>
      </c>
      <c r="C26" s="103" t="s">
        <v>51</v>
      </c>
      <c r="D26" s="103" t="s">
        <v>51</v>
      </c>
      <c r="E26" s="103" t="s">
        <v>51</v>
      </c>
      <c r="F26" s="103" t="s">
        <v>51</v>
      </c>
      <c r="G26" s="103" t="s">
        <v>51</v>
      </c>
      <c r="H26" s="103">
        <f>H25-C25</f>
        <v>4</v>
      </c>
      <c r="I26" s="103">
        <f>I25-D25</f>
        <v>13</v>
      </c>
      <c r="J26" s="128">
        <f>J25-E25</f>
        <v>3</v>
      </c>
      <c r="K26" s="89"/>
      <c r="L26" s="89"/>
    </row>
    <row r="27">
      <c r="A27" s="89"/>
      <c r="B27" s="88" t="s">
        <v>94</v>
      </c>
      <c r="C27" s="103" t="s">
        <v>51</v>
      </c>
      <c r="D27" s="103">
        <f>D25-C25</f>
        <v>-11</v>
      </c>
      <c r="E27" s="103">
        <f>E25-D25</f>
        <v>14</v>
      </c>
      <c r="F27" s="103">
        <f>F25-E25</f>
        <v>0</v>
      </c>
      <c r="G27" s="103" t="s">
        <v>51</v>
      </c>
      <c r="H27" s="103">
        <f>H25-F25</f>
        <v>1</v>
      </c>
      <c r="I27" s="103">
        <f>I25-H25</f>
        <v>-2</v>
      </c>
      <c r="J27" s="128">
        <f>J25-I25</f>
        <v>4</v>
      </c>
      <c r="K27" s="89"/>
      <c r="L27" s="89"/>
    </row>
    <row r="28">
      <c r="A28" s="89"/>
      <c r="B28" s="88" t="s">
        <v>222</v>
      </c>
      <c r="C28" s="161">
        <v>-5</v>
      </c>
      <c r="D28" s="161">
        <v>7</v>
      </c>
      <c r="E28" s="161">
        <v>34</v>
      </c>
      <c r="F28" s="161">
        <v>20</v>
      </c>
      <c r="G28" s="103">
        <f>SUM(C28:F28)</f>
        <v>56</v>
      </c>
      <c r="H28" s="161">
        <v>-10</v>
      </c>
      <c r="I28" s="161">
        <v>24</v>
      </c>
      <c r="J28" s="160">
        <v>10</v>
      </c>
      <c r="K28" s="89"/>
      <c r="L28" s="94" t="s">
        <v>223</v>
      </c>
    </row>
    <row r="29">
      <c r="A29" s="89"/>
      <c r="B29" s="88" t="s">
        <v>178</v>
      </c>
      <c r="C29" s="103" t="s">
        <v>51</v>
      </c>
      <c r="D29" s="103" t="s">
        <v>51</v>
      </c>
      <c r="E29" s="103" t="s">
        <v>51</v>
      </c>
      <c r="F29" s="103" t="s">
        <v>51</v>
      </c>
      <c r="G29" s="103" t="s">
        <v>51</v>
      </c>
      <c r="H29" s="103">
        <f>H28-C28</f>
        <v>-5</v>
      </c>
      <c r="I29" s="103">
        <f>I28-D28</f>
        <v>17</v>
      </c>
      <c r="J29" s="128">
        <f>J28-E28</f>
        <v>-24</v>
      </c>
      <c r="K29" s="89"/>
      <c r="L29" s="89"/>
    </row>
    <row r="30">
      <c r="A30" s="89"/>
      <c r="B30" s="88" t="s">
        <v>94</v>
      </c>
      <c r="C30" s="103" t="s">
        <v>51</v>
      </c>
      <c r="D30" s="103">
        <f>D28-C28</f>
        <v>12</v>
      </c>
      <c r="E30" s="103">
        <f>E28-D28</f>
        <v>27</v>
      </c>
      <c r="F30" s="103">
        <f>F28-E28</f>
        <v>-14</v>
      </c>
      <c r="G30" s="103" t="s">
        <v>51</v>
      </c>
      <c r="H30" s="103">
        <f>H28-F28</f>
        <v>-30</v>
      </c>
      <c r="I30" s="103">
        <f>I28-H28</f>
        <v>34</v>
      </c>
      <c r="J30" s="128">
        <f>J28-I28</f>
        <v>-14</v>
      </c>
      <c r="K30" s="89"/>
      <c r="L30" s="89"/>
    </row>
    <row r="31">
      <c r="A31" s="89"/>
      <c r="B31" s="104" t="s">
        <v>224</v>
      </c>
      <c r="C31" s="172">
        <f>C24+C25+C28</f>
        <v>-18</v>
      </c>
      <c r="D31" s="172">
        <f>D24+D25+D28</f>
        <v>-17</v>
      </c>
      <c r="E31" s="172">
        <f>E24+E25+E28</f>
        <v>1</v>
      </c>
      <c r="F31" s="172">
        <f>F24+F25+F28</f>
        <v>-3</v>
      </c>
      <c r="G31" s="172">
        <f>G24+G25+G28</f>
        <v>-37</v>
      </c>
      <c r="H31" s="172">
        <f>H24+H25+H28</f>
        <v>-17</v>
      </c>
      <c r="I31" s="172">
        <f>I24+I25+I28</f>
        <v>3</v>
      </c>
      <c r="J31" s="173">
        <f>J24+J25+J28</f>
        <v>0</v>
      </c>
      <c r="K31" s="89"/>
      <c r="L31" s="89"/>
    </row>
    <row r="32">
      <c r="A32" s="89"/>
      <c r="B32" s="88" t="s">
        <v>225</v>
      </c>
      <c r="C32" s="161">
        <v>-25</v>
      </c>
      <c r="D32" s="161">
        <v>70</v>
      </c>
      <c r="E32" s="161">
        <v>30</v>
      </c>
      <c r="F32" s="161">
        <v>40</v>
      </c>
      <c r="G32" s="103">
        <f>SUM(C32:F32)</f>
        <v>115</v>
      </c>
      <c r="H32" s="161">
        <v>-23</v>
      </c>
      <c r="I32" s="161">
        <v>94</v>
      </c>
      <c r="J32" s="160">
        <v>-8</v>
      </c>
      <c r="K32" s="89"/>
      <c r="L32" s="94" t="s">
        <v>226</v>
      </c>
    </row>
    <row r="33">
      <c r="A33" s="89"/>
      <c r="B33" s="88" t="s">
        <v>178</v>
      </c>
      <c r="C33" s="103" t="s">
        <v>51</v>
      </c>
      <c r="D33" s="103" t="s">
        <v>51</v>
      </c>
      <c r="E33" s="103" t="s">
        <v>51</v>
      </c>
      <c r="F33" s="103" t="s">
        <v>51</v>
      </c>
      <c r="G33" s="103" t="s">
        <v>51</v>
      </c>
      <c r="H33" s="103">
        <f>H32-C32</f>
        <v>2</v>
      </c>
      <c r="I33" s="103">
        <f>I32-D32</f>
        <v>24</v>
      </c>
      <c r="J33" s="128">
        <f>J32-E32</f>
        <v>-38</v>
      </c>
      <c r="K33" s="89"/>
      <c r="L33" s="89"/>
    </row>
    <row r="34">
      <c r="A34" s="89"/>
      <c r="B34" s="88" t="s">
        <v>94</v>
      </c>
      <c r="C34" s="103" t="s">
        <v>51</v>
      </c>
      <c r="D34" s="103">
        <f>D32-C32</f>
        <v>95</v>
      </c>
      <c r="E34" s="103">
        <f>E32-D32</f>
        <v>-40</v>
      </c>
      <c r="F34" s="103">
        <f>F32-E32</f>
        <v>10</v>
      </c>
      <c r="G34" s="103" t="s">
        <v>51</v>
      </c>
      <c r="H34" s="103">
        <f>H32-F32</f>
        <v>-63</v>
      </c>
      <c r="I34" s="103">
        <f>I32-H32</f>
        <v>117</v>
      </c>
      <c r="J34" s="128">
        <f>J32-I32</f>
        <v>-102</v>
      </c>
      <c r="K34" s="89"/>
      <c r="L34" s="89"/>
    </row>
    <row r="35">
      <c r="A35" s="89"/>
      <c r="B35" s="88" t="s">
        <v>227</v>
      </c>
      <c r="C35" s="161">
        <v>22</v>
      </c>
      <c r="D35" s="161">
        <v>45</v>
      </c>
      <c r="E35" s="161">
        <v>-10</v>
      </c>
      <c r="F35" s="161">
        <v>-1</v>
      </c>
      <c r="G35" s="103">
        <f>SUM(C35:F35)</f>
        <v>56</v>
      </c>
      <c r="H35" s="161">
        <v>-12</v>
      </c>
      <c r="I35" s="161">
        <v>3</v>
      </c>
      <c r="J35" s="160">
        <v>-2</v>
      </c>
      <c r="K35" s="89"/>
      <c r="L35" s="89"/>
    </row>
    <row r="36">
      <c r="A36" s="89"/>
      <c r="B36" s="88" t="s">
        <v>178</v>
      </c>
      <c r="C36" s="103" t="s">
        <v>51</v>
      </c>
      <c r="D36" s="103" t="s">
        <v>51</v>
      </c>
      <c r="E36" s="103" t="s">
        <v>51</v>
      </c>
      <c r="F36" s="103" t="s">
        <v>51</v>
      </c>
      <c r="G36" s="103" t="s">
        <v>51</v>
      </c>
      <c r="H36" s="103">
        <f>H35-C35</f>
        <v>-34</v>
      </c>
      <c r="I36" s="103">
        <f>I35-D35</f>
        <v>-42</v>
      </c>
      <c r="J36" s="128">
        <f>J35-E35</f>
        <v>8</v>
      </c>
      <c r="K36" s="89"/>
      <c r="L36" s="89"/>
    </row>
    <row r="37">
      <c r="A37" s="89"/>
      <c r="B37" s="88" t="s">
        <v>94</v>
      </c>
      <c r="C37" s="103" t="s">
        <v>51</v>
      </c>
      <c r="D37" s="103">
        <f>D35-C35</f>
        <v>23</v>
      </c>
      <c r="E37" s="103">
        <f>E35-D35</f>
        <v>-55</v>
      </c>
      <c r="F37" s="103">
        <f>F35-E35</f>
        <v>9</v>
      </c>
      <c r="G37" s="103" t="s">
        <v>51</v>
      </c>
      <c r="H37" s="103">
        <f>H35-F35</f>
        <v>-11</v>
      </c>
      <c r="I37" s="103">
        <f>I35-H35</f>
        <v>15</v>
      </c>
      <c r="J37" s="128">
        <f>J35-I35</f>
        <v>-5</v>
      </c>
      <c r="K37" s="89"/>
      <c r="L37" s="89"/>
    </row>
    <row r="38">
      <c r="A38" s="89"/>
      <c r="B38" s="88" t="s">
        <v>228</v>
      </c>
      <c r="C38" s="161">
        <v>0</v>
      </c>
      <c r="D38" s="161">
        <v>0</v>
      </c>
      <c r="E38" s="161">
        <v>15</v>
      </c>
      <c r="F38" s="161">
        <v>0</v>
      </c>
      <c r="G38" s="103">
        <f>SUM(C38:F38)</f>
        <v>15</v>
      </c>
      <c r="H38" s="161">
        <v>0</v>
      </c>
      <c r="I38" s="161">
        <v>0</v>
      </c>
      <c r="J38" s="160">
        <v>0</v>
      </c>
      <c r="K38" s="89"/>
      <c r="L38" s="89"/>
    </row>
    <row r="39">
      <c r="A39" s="89"/>
      <c r="B39" s="104" t="s">
        <v>229</v>
      </c>
      <c r="C39" s="172">
        <f>C11+C31+C32+C35+C38</f>
        <v>2008</v>
      </c>
      <c r="D39" s="172">
        <f>D11+D31+D32+D35+D38</f>
        <v>2106</v>
      </c>
      <c r="E39" s="172">
        <f>E11+E31+E32+E35+E38</f>
        <v>2142</v>
      </c>
      <c r="F39" s="172">
        <f>F11+F31+F32+F35+F38</f>
        <v>2178</v>
      </c>
      <c r="G39" s="172">
        <f>F39</f>
        <v>2178</v>
      </c>
      <c r="H39" s="172">
        <f>H11+H31+H32+H35+H38</f>
        <v>2126</v>
      </c>
      <c r="I39" s="172">
        <f>I11+I31+I32+I35+I38</f>
        <v>2226</v>
      </c>
      <c r="J39" s="173">
        <f>J11+J31+J32+J35+J38</f>
        <v>2216</v>
      </c>
      <c r="K39" s="89"/>
      <c r="L39" s="89"/>
    </row>
    <row r="40">
      <c r="A40" s="89"/>
      <c r="B40" s="87" t="s">
        <v>93</v>
      </c>
      <c r="C40" s="92" t="s">
        <v>51</v>
      </c>
      <c r="D40" s="92" t="s">
        <v>51</v>
      </c>
      <c r="E40" s="92" t="s">
        <v>51</v>
      </c>
      <c r="F40" s="92" t="s">
        <v>51</v>
      </c>
      <c r="G40" s="92" t="s">
        <v>51</v>
      </c>
      <c r="H40" s="92">
        <f>IF(C39&lt;=0,"n.m.",H39/C39-1)</f>
        <v>0.05876494023904377</v>
      </c>
      <c r="I40" s="92">
        <f>IF(D39&lt;=0,"n.m.",I39/D39-1)</f>
        <v>0.056980056980056926</v>
      </c>
      <c r="J40" s="91">
        <f>IF(E39&lt;=0,"n.m.",J39/E39-1)</f>
        <v>0.03454715219421112</v>
      </c>
      <c r="K40" s="89"/>
      <c r="L40" s="89"/>
    </row>
    <row r="41">
      <c r="A41" s="89"/>
      <c r="B41" s="88" t="s">
        <v>94</v>
      </c>
      <c r="C41" s="103" t="s">
        <v>51</v>
      </c>
      <c r="D41" s="103">
        <f>D39-C39</f>
        <v>98</v>
      </c>
      <c r="E41" s="103">
        <f>E39-D39</f>
        <v>36</v>
      </c>
      <c r="F41" s="103">
        <f>F39-E39</f>
        <v>36</v>
      </c>
      <c r="G41" s="103" t="s">
        <v>51</v>
      </c>
      <c r="H41" s="103">
        <f>H39-F39</f>
        <v>-52</v>
      </c>
      <c r="I41" s="103">
        <f>I39-H39</f>
        <v>100</v>
      </c>
      <c r="J41" s="128">
        <f>J39-I39</f>
        <v>-10</v>
      </c>
      <c r="K41" s="89"/>
      <c r="L41" s="89"/>
    </row>
    <row r="42">
      <c r="A42" s="89"/>
      <c r="B42" s="88" t="s">
        <v>230</v>
      </c>
      <c r="C42" s="103">
        <f>(C11+C39)/2</f>
        <v>2018.5</v>
      </c>
      <c r="D42" s="103">
        <f>(D11+D39)/2</f>
        <v>2057</v>
      </c>
      <c r="E42" s="103">
        <f>(E11+E39)/2</f>
        <v>2124</v>
      </c>
      <c r="F42" s="103">
        <f>(F11+F39)/2</f>
        <v>2160</v>
      </c>
      <c r="G42" s="103" t="s">
        <v>51</v>
      </c>
      <c r="H42" s="103">
        <f>(H11+H39)/2</f>
        <v>2152</v>
      </c>
      <c r="I42" s="103">
        <f>(I11+I39)/2</f>
        <v>2176</v>
      </c>
      <c r="J42" s="128">
        <f>(J11+J39)/2</f>
        <v>2221</v>
      </c>
      <c r="K42" s="89"/>
      <c r="L42" s="89"/>
    </row>
    <row r="43">
      <c r="A43" s="89"/>
      <c r="B43" s="87" t="s">
        <v>93</v>
      </c>
      <c r="C43" s="92" t="s">
        <v>51</v>
      </c>
      <c r="D43" s="92" t="s">
        <v>51</v>
      </c>
      <c r="E43" s="92" t="s">
        <v>51</v>
      </c>
      <c r="F43" s="92" t="s">
        <v>51</v>
      </c>
      <c r="G43" s="92" t="s">
        <v>51</v>
      </c>
      <c r="H43" s="92">
        <f>IF(C42&lt;=0,"n.m.",H42/C42-1)</f>
        <v>0.06613822145157289</v>
      </c>
      <c r="I43" s="92">
        <f>IF(D42&lt;=0,"n.m.",I42/D42-1)</f>
        <v>0.05785123966942152</v>
      </c>
      <c r="J43" s="91">
        <f>IF(E42&lt;=0,"n.m.",J42/E42-1)</f>
        <v>0.04566854990583802</v>
      </c>
      <c r="K43" s="89"/>
      <c r="L43" s="89"/>
    </row>
    <row r="44">
      <c r="A44" s="89"/>
      <c r="B44" s="88" t="s">
        <v>94</v>
      </c>
      <c r="C44" s="103" t="s">
        <v>51</v>
      </c>
      <c r="D44" s="103">
        <f>D42-C42</f>
        <v>38.5</v>
      </c>
      <c r="E44" s="103">
        <f>E42-D42</f>
        <v>67</v>
      </c>
      <c r="F44" s="103">
        <f>F42-E42</f>
        <v>36</v>
      </c>
      <c r="G44" s="103" t="s">
        <v>51</v>
      </c>
      <c r="H44" s="103">
        <f>H42-F42</f>
        <v>-8</v>
      </c>
      <c r="I44" s="103">
        <f>I42-H42</f>
        <v>24</v>
      </c>
      <c r="J44" s="128">
        <f>J42-I42</f>
        <v>45</v>
      </c>
      <c r="K44" s="89"/>
      <c r="L44" s="89"/>
    </row>
    <row r="45" ht="23.25">
      <c r="A45" s="89"/>
      <c r="B45" s="190" t="s">
        <v>231</v>
      </c>
      <c r="C45" s="92">
        <f>C31/C11</f>
        <v>-0.008871365204534253</v>
      </c>
      <c r="D45" s="92">
        <f>D31/D11</f>
        <v>-0.00846613545816733</v>
      </c>
      <c r="E45" s="92">
        <f>E31/E11</f>
        <v>0.0004748338081671415</v>
      </c>
      <c r="F45" s="92">
        <f>F31/F11</f>
        <v>-0.0014005602240896359</v>
      </c>
      <c r="G45" s="92">
        <f>G31/G11</f>
        <v>-0.018235584031542632</v>
      </c>
      <c r="H45" s="92">
        <f>H31/H11</f>
        <v>-0.007805325987144169</v>
      </c>
      <c r="I45" s="92">
        <f>I31/I11</f>
        <v>0.0014111006585136407</v>
      </c>
      <c r="J45" s="91">
        <f>J31/J11</f>
        <v>0</v>
      </c>
      <c r="K45" s="89"/>
      <c r="L45" s="89"/>
    </row>
    <row r="46">
      <c r="A46" s="89"/>
      <c r="B46" s="88" t="s">
        <v>108</v>
      </c>
      <c r="C46" s="103" t="s">
        <v>51</v>
      </c>
      <c r="D46" s="103">
        <f>(D45-C45)*10000</f>
        <v>4.052297463669231</v>
      </c>
      <c r="E46" s="103">
        <f>(E45-D45)*10000</f>
        <v>89.40969266334471</v>
      </c>
      <c r="F46" s="103">
        <f>(F45-E45)*10000</f>
        <v>-18.753940322567775</v>
      </c>
      <c r="G46" s="103" t="s">
        <v>51</v>
      </c>
      <c r="H46" s="103">
        <f>(H45-F45)*10000</f>
        <v>-64.04765763054533</v>
      </c>
      <c r="I46" s="103">
        <f>(I45-H45)*10000</f>
        <v>92.1642664565781</v>
      </c>
      <c r="J46" s="128">
        <f>(J45-I45)*10000</f>
        <v>-14.111006585136407</v>
      </c>
      <c r="K46" s="89"/>
      <c r="L46" s="89"/>
    </row>
    <row r="47">
      <c r="A47" s="89"/>
      <c r="B47" s="88" t="s">
        <v>109</v>
      </c>
      <c r="C47" s="103" t="s">
        <v>51</v>
      </c>
      <c r="D47" s="103" t="s">
        <v>51</v>
      </c>
      <c r="E47" s="103" t="s">
        <v>51</v>
      </c>
      <c r="F47" s="103" t="s">
        <v>51</v>
      </c>
      <c r="G47" s="103" t="s">
        <v>51</v>
      </c>
      <c r="H47" s="103">
        <f>(H45-C45)*10000</f>
        <v>10.660392173900846</v>
      </c>
      <c r="I47" s="103">
        <f>(I45-D45)*10000</f>
        <v>98.77236116680972</v>
      </c>
      <c r="J47" s="128">
        <f>(J45-E45)*10000</f>
        <v>-4.748338081671415</v>
      </c>
      <c r="K47" s="89"/>
      <c r="L47" s="89"/>
    </row>
    <row r="48">
      <c r="A48" s="89"/>
      <c r="B48" s="89"/>
      <c r="C48" s="89"/>
      <c r="D48" s="89"/>
      <c r="E48" s="89"/>
      <c r="F48" s="89"/>
      <c r="G48" s="89"/>
      <c r="H48" s="89"/>
      <c r="I48" s="89"/>
      <c r="J48" s="97"/>
      <c r="K48" s="89"/>
      <c r="L48" s="89"/>
    </row>
    <row r="49">
      <c r="A49" s="89"/>
      <c r="B49" s="104" t="s">
        <v>232</v>
      </c>
      <c r="C49" s="89"/>
      <c r="D49" s="89"/>
      <c r="E49" s="89"/>
      <c r="F49" s="89"/>
      <c r="G49" s="89"/>
      <c r="H49" s="89"/>
      <c r="I49" s="89"/>
      <c r="J49" s="97"/>
      <c r="K49" s="89"/>
      <c r="L49" s="89"/>
    </row>
    <row r="50">
      <c r="A50" s="89"/>
      <c r="B50" s="88" t="s">
        <v>233</v>
      </c>
      <c r="C50" s="161">
        <v>156</v>
      </c>
      <c r="D50" s="161">
        <v>168</v>
      </c>
      <c r="E50" s="161">
        <v>180</v>
      </c>
      <c r="F50" s="161">
        <v>179</v>
      </c>
      <c r="G50" s="103">
        <f>F50</f>
        <v>179</v>
      </c>
      <c r="H50" s="161">
        <v>172</v>
      </c>
      <c r="I50" s="161">
        <v>184</v>
      </c>
      <c r="J50" s="128">
        <f>I50*J39/I39</f>
        <v>183.17340521114107</v>
      </c>
      <c r="K50" s="89"/>
      <c r="L50" s="94" t="s">
        <v>234</v>
      </c>
    </row>
    <row r="51">
      <c r="A51" s="89"/>
      <c r="B51" s="87" t="s">
        <v>93</v>
      </c>
      <c r="C51" s="92" t="s">
        <v>51</v>
      </c>
      <c r="D51" s="92" t="s">
        <v>51</v>
      </c>
      <c r="E51" s="92" t="s">
        <v>51</v>
      </c>
      <c r="F51" s="92" t="s">
        <v>51</v>
      </c>
      <c r="G51" s="92" t="s">
        <v>51</v>
      </c>
      <c r="H51" s="92">
        <f>IF(C50&lt;=0,"n.m.",H50/C50-1)</f>
        <v>0.10256410256410264</v>
      </c>
      <c r="I51" s="92">
        <f>IF(D50&lt;=0,"n.m.",I50/D50-1)</f>
        <v>0.09523809523809534</v>
      </c>
      <c r="J51" s="91">
        <f>IF(E50&lt;=0,"n.m.",J50/E50-1)</f>
        <v>0.017630028950783805</v>
      </c>
      <c r="K51" s="89"/>
      <c r="L51" s="89"/>
    </row>
    <row r="52">
      <c r="A52" s="89"/>
      <c r="B52" s="88" t="s">
        <v>94</v>
      </c>
      <c r="C52" s="103" t="s">
        <v>51</v>
      </c>
      <c r="D52" s="103">
        <f>D50-C50</f>
        <v>12</v>
      </c>
      <c r="E52" s="103">
        <f>E50-D50</f>
        <v>12</v>
      </c>
      <c r="F52" s="103">
        <f>F50-E50</f>
        <v>-1</v>
      </c>
      <c r="G52" s="103" t="s">
        <v>51</v>
      </c>
      <c r="H52" s="103">
        <f>H50-F50</f>
        <v>-7</v>
      </c>
      <c r="I52" s="103">
        <f>I50-H50</f>
        <v>12</v>
      </c>
      <c r="J52" s="128">
        <f>J50-I50</f>
        <v>-0.8265947888589267</v>
      </c>
      <c r="K52" s="89"/>
      <c r="L52" s="89"/>
    </row>
    <row r="53">
      <c r="A53" s="89"/>
      <c r="B53" s="88" t="s">
        <v>235</v>
      </c>
      <c r="C53" s="161">
        <v>234</v>
      </c>
      <c r="D53" s="161">
        <v>248</v>
      </c>
      <c r="E53" s="161">
        <v>257</v>
      </c>
      <c r="F53" s="161">
        <v>262</v>
      </c>
      <c r="G53" s="103">
        <f>F53</f>
        <v>262</v>
      </c>
      <c r="H53" s="161">
        <v>261</v>
      </c>
      <c r="I53" s="161">
        <v>267</v>
      </c>
      <c r="J53" s="128">
        <f>I53*J39/I39</f>
        <v>265.80053908355796</v>
      </c>
      <c r="K53" s="89"/>
      <c r="L53" s="89"/>
    </row>
    <row r="54">
      <c r="A54" s="89"/>
      <c r="B54" s="87" t="s">
        <v>93</v>
      </c>
      <c r="C54" s="92" t="s">
        <v>51</v>
      </c>
      <c r="D54" s="92" t="s">
        <v>51</v>
      </c>
      <c r="E54" s="92" t="s">
        <v>51</v>
      </c>
      <c r="F54" s="92" t="s">
        <v>51</v>
      </c>
      <c r="G54" s="92" t="s">
        <v>51</v>
      </c>
      <c r="H54" s="92">
        <f>IF(C53&lt;=0,"n.m.",H53/C53-1)</f>
        <v>0.11538461538461542</v>
      </c>
      <c r="I54" s="92">
        <f>IF(D53&lt;=0,"n.m.",I53/D53-1)</f>
        <v>0.0766129032258065</v>
      </c>
      <c r="J54" s="91">
        <f>IF(E53&lt;=0,"n.m.",J53/E53-1)</f>
        <v>0.034243342737579674</v>
      </c>
      <c r="K54" s="89"/>
      <c r="L54" s="89"/>
    </row>
    <row r="55">
      <c r="A55" s="89"/>
      <c r="B55" s="88" t="s">
        <v>94</v>
      </c>
      <c r="C55" s="103" t="s">
        <v>51</v>
      </c>
      <c r="D55" s="103">
        <f>D53-C53</f>
        <v>14</v>
      </c>
      <c r="E55" s="103">
        <f>E53-D53</f>
        <v>9</v>
      </c>
      <c r="F55" s="103">
        <f>F53-E53</f>
        <v>5</v>
      </c>
      <c r="G55" s="103" t="s">
        <v>51</v>
      </c>
      <c r="H55" s="103">
        <f>H53-F53</f>
        <v>-1</v>
      </c>
      <c r="I55" s="103">
        <f>I53-H53</f>
        <v>6</v>
      </c>
      <c r="J55" s="128">
        <f>J53-I53</f>
        <v>-1.1994609164420353</v>
      </c>
      <c r="K55" s="89"/>
      <c r="L55" s="89"/>
    </row>
    <row r="56">
      <c r="A56" s="89"/>
      <c r="B56" s="88" t="s">
        <v>236</v>
      </c>
      <c r="C56" s="161">
        <v>470</v>
      </c>
      <c r="D56" s="161">
        <v>488</v>
      </c>
      <c r="E56" s="161">
        <v>512</v>
      </c>
      <c r="F56" s="161">
        <v>517</v>
      </c>
      <c r="G56" s="103">
        <f>F56</f>
        <v>517</v>
      </c>
      <c r="H56" s="161">
        <v>497</v>
      </c>
      <c r="I56" s="161">
        <v>549</v>
      </c>
      <c r="J56" s="128">
        <f>I56*J39/I39</f>
        <v>546.5336927223719</v>
      </c>
      <c r="K56" s="89"/>
      <c r="L56" s="89"/>
    </row>
    <row r="57">
      <c r="A57" s="89"/>
      <c r="B57" s="87" t="s">
        <v>93</v>
      </c>
      <c r="C57" s="92" t="s">
        <v>51</v>
      </c>
      <c r="D57" s="92" t="s">
        <v>51</v>
      </c>
      <c r="E57" s="92" t="s">
        <v>51</v>
      </c>
      <c r="F57" s="92" t="s">
        <v>51</v>
      </c>
      <c r="G57" s="92" t="s">
        <v>51</v>
      </c>
      <c r="H57" s="92">
        <f>IF(C56&lt;=0,"n.m.",H56/C56-1)</f>
        <v>0.057446808510638325</v>
      </c>
      <c r="I57" s="92">
        <f>IF(D56&lt;=0,"n.m.",I56/D56-1)</f>
        <v>0.125</v>
      </c>
      <c r="J57" s="91">
        <f>IF(E56&lt;=0,"n.m.",J56/E56-1)</f>
        <v>0.06744861859838269</v>
      </c>
      <c r="K57" s="89"/>
      <c r="L57" s="89"/>
    </row>
    <row r="58">
      <c r="A58" s="89"/>
      <c r="B58" s="88" t="s">
        <v>94</v>
      </c>
      <c r="C58" s="103" t="s">
        <v>51</v>
      </c>
      <c r="D58" s="103">
        <f>D56-C56</f>
        <v>18</v>
      </c>
      <c r="E58" s="103">
        <f>E56-D56</f>
        <v>24</v>
      </c>
      <c r="F58" s="103">
        <f>F56-E56</f>
        <v>5</v>
      </c>
      <c r="G58" s="103" t="s">
        <v>51</v>
      </c>
      <c r="H58" s="103">
        <f>H56-F56</f>
        <v>-20</v>
      </c>
      <c r="I58" s="103">
        <f>I56-H56</f>
        <v>52</v>
      </c>
      <c r="J58" s="128">
        <f>J56-I56</f>
        <v>-2.4663072776280615</v>
      </c>
      <c r="K58" s="89"/>
      <c r="L58" s="89"/>
    </row>
    <row r="59">
      <c r="A59" s="89"/>
      <c r="B59" s="88" t="s">
        <v>237</v>
      </c>
      <c r="C59" s="161">
        <v>549</v>
      </c>
      <c r="D59" s="161">
        <v>588</v>
      </c>
      <c r="E59" s="161">
        <v>537</v>
      </c>
      <c r="F59" s="161">
        <v>539</v>
      </c>
      <c r="G59" s="103">
        <f>F59</f>
        <v>539</v>
      </c>
      <c r="H59" s="161">
        <v>530</v>
      </c>
      <c r="I59" s="161">
        <v>523</v>
      </c>
      <c r="J59" s="128">
        <f>I59*J39/I39</f>
        <v>520.6504941599281</v>
      </c>
      <c r="K59" s="89"/>
      <c r="L59" s="89"/>
    </row>
    <row r="60">
      <c r="A60" s="89"/>
      <c r="B60" s="87" t="s">
        <v>93</v>
      </c>
      <c r="C60" s="92" t="s">
        <v>51</v>
      </c>
      <c r="D60" s="92" t="s">
        <v>51</v>
      </c>
      <c r="E60" s="92" t="s">
        <v>51</v>
      </c>
      <c r="F60" s="92" t="s">
        <v>51</v>
      </c>
      <c r="G60" s="92" t="s">
        <v>51</v>
      </c>
      <c r="H60" s="92">
        <f>IF(C59&lt;=0,"n.m.",H59/C59-1)</f>
        <v>-0.03460837887067392</v>
      </c>
      <c r="I60" s="92">
        <f>IF(D59&lt;=0,"n.m.",I59/D59-1)</f>
        <v>-0.11054421768707479</v>
      </c>
      <c r="J60" s="91">
        <f>IF(E59&lt;=0,"n.m.",J59/E59-1)</f>
        <v>-0.030446007150971788</v>
      </c>
      <c r="K60" s="89"/>
      <c r="L60" s="89"/>
    </row>
    <row r="61">
      <c r="A61" s="89"/>
      <c r="B61" s="88" t="s">
        <v>94</v>
      </c>
      <c r="C61" s="103" t="s">
        <v>51</v>
      </c>
      <c r="D61" s="103">
        <f>D59-C59</f>
        <v>39</v>
      </c>
      <c r="E61" s="103">
        <f>E59-D59</f>
        <v>-51</v>
      </c>
      <c r="F61" s="103">
        <f>F59-E59</f>
        <v>2</v>
      </c>
      <c r="G61" s="103" t="s">
        <v>51</v>
      </c>
      <c r="H61" s="103">
        <f>H59-F59</f>
        <v>-9</v>
      </c>
      <c r="I61" s="103">
        <f>I59-H59</f>
        <v>-7</v>
      </c>
      <c r="J61" s="128">
        <f>J59-I59</f>
        <v>-2.3495058400718563</v>
      </c>
      <c r="K61" s="89"/>
      <c r="L61" s="89"/>
    </row>
    <row r="62">
      <c r="A62" s="89"/>
      <c r="B62" s="88" t="s">
        <v>238</v>
      </c>
      <c r="C62" s="161">
        <v>167</v>
      </c>
      <c r="D62" s="161">
        <v>173</v>
      </c>
      <c r="E62" s="161">
        <v>181</v>
      </c>
      <c r="F62" s="161">
        <v>186</v>
      </c>
      <c r="G62" s="103">
        <f>F62</f>
        <v>186</v>
      </c>
      <c r="H62" s="161">
        <v>181</v>
      </c>
      <c r="I62" s="161">
        <v>193</v>
      </c>
      <c r="J62" s="128">
        <f>I62*J39/I39</f>
        <v>192.1329739442947</v>
      </c>
      <c r="K62" s="89"/>
      <c r="L62" s="89"/>
    </row>
    <row r="63">
      <c r="A63" s="89"/>
      <c r="B63" s="87" t="s">
        <v>93</v>
      </c>
      <c r="C63" s="92" t="s">
        <v>51</v>
      </c>
      <c r="D63" s="92" t="s">
        <v>51</v>
      </c>
      <c r="E63" s="92" t="s">
        <v>51</v>
      </c>
      <c r="F63" s="92" t="s">
        <v>51</v>
      </c>
      <c r="G63" s="92" t="s">
        <v>51</v>
      </c>
      <c r="H63" s="92">
        <f>IF(C62&lt;=0,"n.m.",H62/C62-1)</f>
        <v>0.08383233532934131</v>
      </c>
      <c r="I63" s="92">
        <f>IF(D62&lt;=0,"n.m.",I62/D62-1)</f>
        <v>0.11560693641618491</v>
      </c>
      <c r="J63" s="91">
        <f>IF(E62&lt;=0,"n.m.",J62/E62-1)</f>
        <v>0.06150814333864463</v>
      </c>
      <c r="K63" s="89"/>
      <c r="L63" s="89"/>
    </row>
    <row r="64">
      <c r="A64" s="89"/>
      <c r="B64" s="88" t="s">
        <v>94</v>
      </c>
      <c r="C64" s="103" t="s">
        <v>51</v>
      </c>
      <c r="D64" s="103">
        <f>D62-C62</f>
        <v>6</v>
      </c>
      <c r="E64" s="103">
        <f>E62-D62</f>
        <v>8</v>
      </c>
      <c r="F64" s="103">
        <f>F62-E62</f>
        <v>5</v>
      </c>
      <c r="G64" s="103" t="s">
        <v>51</v>
      </c>
      <c r="H64" s="103">
        <f>H62-F62</f>
        <v>-5</v>
      </c>
      <c r="I64" s="103">
        <f>I62-H62</f>
        <v>12</v>
      </c>
      <c r="J64" s="128">
        <f>J62-I62</f>
        <v>-0.8670260557053098</v>
      </c>
      <c r="K64" s="89"/>
      <c r="L64" s="89"/>
    </row>
    <row r="65">
      <c r="A65" s="89"/>
      <c r="B65" s="88" t="s">
        <v>239</v>
      </c>
      <c r="C65" s="161">
        <v>432</v>
      </c>
      <c r="D65" s="161">
        <v>441</v>
      </c>
      <c r="E65" s="161">
        <v>475</v>
      </c>
      <c r="F65" s="161">
        <v>495</v>
      </c>
      <c r="G65" s="103">
        <f>F65</f>
        <v>495</v>
      </c>
      <c r="H65" s="161">
        <v>485</v>
      </c>
      <c r="I65" s="161">
        <v>510</v>
      </c>
      <c r="J65" s="128">
        <f>I65*J39/I39</f>
        <v>507.7088948787062</v>
      </c>
      <c r="K65" s="89"/>
      <c r="L65" s="89"/>
    </row>
    <row r="66">
      <c r="A66" s="89"/>
      <c r="B66" s="87" t="s">
        <v>93</v>
      </c>
      <c r="C66" s="92" t="s">
        <v>51</v>
      </c>
      <c r="D66" s="92" t="s">
        <v>51</v>
      </c>
      <c r="E66" s="92" t="s">
        <v>51</v>
      </c>
      <c r="F66" s="92" t="s">
        <v>51</v>
      </c>
      <c r="G66" s="92" t="s">
        <v>51</v>
      </c>
      <c r="H66" s="92">
        <f>IF(C65&lt;=0,"n.m.",H65/C65-1)</f>
        <v>0.12268518518518512</v>
      </c>
      <c r="I66" s="92">
        <f>IF(D65&lt;=0,"n.m.",I65/D65-1)</f>
        <v>0.15646258503401356</v>
      </c>
      <c r="J66" s="91">
        <f>IF(E65&lt;=0,"n.m.",J65/E65-1)</f>
        <v>0.06886083132359189</v>
      </c>
      <c r="K66" s="89"/>
      <c r="L66" s="89"/>
    </row>
    <row r="67">
      <c r="A67" s="89"/>
      <c r="B67" s="88" t="s">
        <v>94</v>
      </c>
      <c r="C67" s="103" t="s">
        <v>51</v>
      </c>
      <c r="D67" s="103">
        <f>D65-C65</f>
        <v>9</v>
      </c>
      <c r="E67" s="103">
        <f>E65-D65</f>
        <v>34</v>
      </c>
      <c r="F67" s="103">
        <f>F65-E65</f>
        <v>20</v>
      </c>
      <c r="G67" s="103" t="s">
        <v>51</v>
      </c>
      <c r="H67" s="103">
        <f>H65-F65</f>
        <v>-10</v>
      </c>
      <c r="I67" s="103">
        <f>I65-H65</f>
        <v>25</v>
      </c>
      <c r="J67" s="128">
        <f>J65-I65</f>
        <v>-2.2911051212938105</v>
      </c>
      <c r="K67" s="89"/>
      <c r="L67" s="89"/>
    </row>
    <row r="68">
      <c r="A68" s="89"/>
      <c r="B68" s="104" t="s">
        <v>240</v>
      </c>
      <c r="C68" s="172">
        <f>C50+C53+C56+C59+C62+C65</f>
        <v>2008</v>
      </c>
      <c r="D68" s="172">
        <f>D50+D53+D56+D59+D62+D65</f>
        <v>2106</v>
      </c>
      <c r="E68" s="172">
        <f>E50+E53+E56+E59+E62+E65</f>
        <v>2142</v>
      </c>
      <c r="F68" s="172">
        <f>F50+F53+F56+F59+F62+F65</f>
        <v>2178</v>
      </c>
      <c r="G68" s="172">
        <f>G50+G53+G56+G59+G62+G65</f>
        <v>2178</v>
      </c>
      <c r="H68" s="172">
        <f>H50+H53+H56+H59+H62+H65</f>
        <v>2126</v>
      </c>
      <c r="I68" s="172">
        <f>I50+I53+I56+I59+I62+I65</f>
        <v>2226</v>
      </c>
      <c r="J68" s="173">
        <f>J50+J53+J56+J59+J62+J65</f>
        <v>2216</v>
      </c>
      <c r="K68" s="89"/>
      <c r="L68" s="89"/>
    </row>
    <row r="69" ht="23.25">
      <c r="A69" s="89"/>
      <c r="B69" s="187" t="s">
        <v>241</v>
      </c>
      <c r="C69" s="99" t="b">
        <f>ABS(C68-C39)&lt;0.5</f>
        <v>1</v>
      </c>
      <c r="D69" s="99" t="b">
        <f>ABS(D68-D39)&lt;0.5</f>
        <v>1</v>
      </c>
      <c r="E69" s="99" t="b">
        <f>ABS(E68-E39)&lt;0.5</f>
        <v>1</v>
      </c>
      <c r="F69" s="99" t="b">
        <f>ABS(F68-F39)&lt;0.5</f>
        <v>1</v>
      </c>
      <c r="G69" s="99" t="b">
        <f>ABS(G68-G39)&lt;0.5</f>
        <v>1</v>
      </c>
      <c r="H69" s="99" t="b">
        <f>ABS(H68-H39)&lt;0.5</f>
        <v>1</v>
      </c>
      <c r="I69" s="99" t="b">
        <f>ABS(I68-I39)&lt;0.5</f>
        <v>1</v>
      </c>
      <c r="J69" s="139" t="b">
        <f>ABS(J68-J39)&lt;0.5</f>
        <v>1</v>
      </c>
      <c r="K69" s="89"/>
      <c r="L69" s="181" t="s">
        <v>242</v>
      </c>
    </row>
    <row r="70" ht="23.25">
      <c r="A70" s="89"/>
      <c r="B70" s="187" t="s">
        <v>243</v>
      </c>
      <c r="C70" s="161">
        <v>327</v>
      </c>
      <c r="D70" s="161">
        <v>339</v>
      </c>
      <c r="E70" s="161">
        <v>348</v>
      </c>
      <c r="F70" s="161">
        <v>350</v>
      </c>
      <c r="G70" s="103">
        <f>F70</f>
        <v>350</v>
      </c>
      <c r="H70" s="161">
        <v>339</v>
      </c>
      <c r="I70" s="161">
        <v>348</v>
      </c>
      <c r="J70" s="160">
        <v>350</v>
      </c>
      <c r="K70" s="89"/>
      <c r="L70" s="89"/>
    </row>
    <row r="71">
      <c r="A71" s="89"/>
      <c r="B71" s="87" t="s">
        <v>93</v>
      </c>
      <c r="C71" s="92" t="s">
        <v>51</v>
      </c>
      <c r="D71" s="92" t="s">
        <v>51</v>
      </c>
      <c r="E71" s="92" t="s">
        <v>51</v>
      </c>
      <c r="F71" s="92" t="s">
        <v>51</v>
      </c>
      <c r="G71" s="92" t="s">
        <v>51</v>
      </c>
      <c r="H71" s="92">
        <f>IF(C70&lt;=0,"n.m.",H70/C70-1)</f>
        <v>0.03669724770642202</v>
      </c>
      <c r="I71" s="92">
        <f>IF(D70&lt;=0,"n.m.",I70/D70-1)</f>
        <v>0.026548672566371723</v>
      </c>
      <c r="J71" s="91">
        <f>IF(E70&lt;=0,"n.m.",J70/E70-1)</f>
        <v>0.005747126436781658</v>
      </c>
      <c r="K71" s="89"/>
      <c r="L71" s="89"/>
    </row>
    <row r="72">
      <c r="A72" s="89"/>
      <c r="B72" s="88" t="s">
        <v>94</v>
      </c>
      <c r="C72" s="103" t="s">
        <v>51</v>
      </c>
      <c r="D72" s="103">
        <f>D70-C70</f>
        <v>12</v>
      </c>
      <c r="E72" s="103">
        <f>E70-D70</f>
        <v>9</v>
      </c>
      <c r="F72" s="103">
        <f>F70-E70</f>
        <v>2</v>
      </c>
      <c r="G72" s="103" t="s">
        <v>51</v>
      </c>
      <c r="H72" s="103">
        <f>H70-F70</f>
        <v>-11</v>
      </c>
      <c r="I72" s="103">
        <f>I70-H70</f>
        <v>9</v>
      </c>
      <c r="J72" s="128">
        <f>J70-I70</f>
        <v>2</v>
      </c>
      <c r="K72" s="89"/>
      <c r="L72" s="89"/>
    </row>
    <row r="73">
      <c r="A73" s="89"/>
      <c r="B73" s="89"/>
      <c r="C73" s="89"/>
      <c r="D73" s="89"/>
      <c r="E73" s="89"/>
      <c r="F73" s="89"/>
      <c r="G73" s="89"/>
      <c r="H73" s="89"/>
      <c r="I73" s="89"/>
      <c r="J73" s="97"/>
      <c r="K73" s="89"/>
      <c r="L73" s="89"/>
    </row>
    <row r="74">
      <c r="A74" s="89"/>
      <c r="B74" s="104" t="s">
        <v>244</v>
      </c>
      <c r="C74" s="89"/>
      <c r="D74" s="89"/>
      <c r="E74" s="89"/>
      <c r="F74" s="89"/>
      <c r="G74" s="89"/>
      <c r="H74" s="89"/>
      <c r="I74" s="89"/>
      <c r="J74" s="97"/>
      <c r="K74" s="89"/>
      <c r="L74" s="89"/>
    </row>
    <row r="75" ht="23.24853515625">
      <c r="A75" s="89"/>
      <c r="B75" s="187" t="s">
        <v>245</v>
      </c>
      <c r="C75" s="152">
        <f>C78/(C42*1000)*10000*365/C$8</f>
        <v>14.767566674923621</v>
      </c>
      <c r="D75" s="152">
        <f>D78/(D42*1000)*10000*365/D$8</f>
        <v>14.585414585414584</v>
      </c>
      <c r="E75" s="152">
        <f>E78/(E42*1000)*10000*365/E$8</f>
        <v>14.494800622287725</v>
      </c>
      <c r="F75" s="152">
        <f>F78/(F42*1000)*10000*365/F$8</f>
        <v>14.565469001610305</v>
      </c>
      <c r="G75" s="152" t="s">
        <v>51</v>
      </c>
      <c r="H75" s="152">
        <f>H78/(H42*1000)*10000*365/H$8</f>
        <v>14.793731928954978</v>
      </c>
      <c r="I75" s="152">
        <f>I78/(I42*1000)*10000*365/I$8</f>
        <v>14.617253151260504</v>
      </c>
      <c r="J75" s="171">
        <v>14.4</v>
      </c>
      <c r="K75" s="89"/>
      <c r="L75" s="94" t="s">
        <v>246</v>
      </c>
    </row>
    <row r="76">
      <c r="A76" s="89"/>
      <c r="B76" s="88" t="s">
        <v>108</v>
      </c>
      <c r="C76" s="152" t="s">
        <v>51</v>
      </c>
      <c r="D76" s="152">
        <f>(D75-C75)</f>
        <v>-0.18215208950903694</v>
      </c>
      <c r="E76" s="152">
        <f>(E75-D75)</f>
        <v>-0.09061396312685943</v>
      </c>
      <c r="F76" s="152">
        <f>(F75-E75)</f>
        <v>0.07066837932257997</v>
      </c>
      <c r="G76" s="152" t="s">
        <v>51</v>
      </c>
      <c r="H76" s="152">
        <f>(H75-F75)</f>
        <v>0.22826292734467302</v>
      </c>
      <c r="I76" s="152">
        <f>(I75-H75)</f>
        <v>-0.17647877769447362</v>
      </c>
      <c r="J76" s="164">
        <f>(J75-I75)</f>
        <v>-0.21725315126050404</v>
      </c>
      <c r="K76" s="89"/>
      <c r="L76" s="89"/>
    </row>
    <row r="77">
      <c r="A77" s="89"/>
      <c r="B77" s="88" t="s">
        <v>109</v>
      </c>
      <c r="C77" s="152" t="s">
        <v>51</v>
      </c>
      <c r="D77" s="152" t="s">
        <v>51</v>
      </c>
      <c r="E77" s="152" t="s">
        <v>51</v>
      </c>
      <c r="F77" s="152" t="s">
        <v>51</v>
      </c>
      <c r="G77" s="152" t="s">
        <v>51</v>
      </c>
      <c r="H77" s="152">
        <f>(H75-C75)</f>
        <v>0.02616525403135661</v>
      </c>
      <c r="I77" s="152">
        <f>(I75-D75)</f>
        <v>0.03183856584591993</v>
      </c>
      <c r="J77" s="164">
        <f>(J75-E75)</f>
        <v>-0.09480062228772468</v>
      </c>
      <c r="K77" s="89"/>
      <c r="L77" s="89"/>
    </row>
    <row r="78">
      <c r="A78" s="89"/>
      <c r="B78" s="88" t="s">
        <v>247</v>
      </c>
      <c r="C78" s="86">
        <v>735</v>
      </c>
      <c r="D78" s="86">
        <v>748</v>
      </c>
      <c r="E78" s="86">
        <v>776</v>
      </c>
      <c r="F78" s="86">
        <v>793</v>
      </c>
      <c r="G78" s="95">
        <f>SUM(C78:F78)</f>
        <v>3052</v>
      </c>
      <c r="H78" s="86">
        <v>785</v>
      </c>
      <c r="I78" s="86">
        <v>793</v>
      </c>
      <c r="J78" s="121">
        <f>J42*1000*J75/10000*J$8/365</f>
        <v>806.1317260273971</v>
      </c>
      <c r="K78" s="89"/>
      <c r="L78" s="89"/>
    </row>
    <row r="79">
      <c r="A79" s="89"/>
      <c r="B79" s="87" t="s">
        <v>63</v>
      </c>
      <c r="C79" s="92" t="s">
        <v>51</v>
      </c>
      <c r="D79" s="92" t="s">
        <v>51</v>
      </c>
      <c r="E79" s="92" t="s">
        <v>51</v>
      </c>
      <c r="F79" s="92" t="s">
        <v>51</v>
      </c>
      <c r="G79" s="92" t="s">
        <v>51</v>
      </c>
      <c r="H79" s="92">
        <f>IF(C78&lt;=0,"n.m.",H78/C78-1)</f>
        <v>0.06802721088435382</v>
      </c>
      <c r="I79" s="92">
        <f>IF(D78&lt;=0,"n.m.",I78/D78-1)</f>
        <v>0.06016042780748654</v>
      </c>
      <c r="J79" s="91">
        <f>IF(E78&lt;=0,"n.m.",J78/E78-1)</f>
        <v>0.03882954384973858</v>
      </c>
      <c r="K79" s="89"/>
      <c r="L79" s="89"/>
    </row>
    <row r="80">
      <c r="A80" s="89"/>
      <c r="B80" s="87" t="s">
        <v>64</v>
      </c>
      <c r="C80" s="92" t="s">
        <v>51</v>
      </c>
      <c r="D80" s="92">
        <f>IF(C78&lt;=0,"n.m.",D78/C78-1)</f>
        <v>0.017687074829932037</v>
      </c>
      <c r="E80" s="92">
        <f>IF(D78&lt;=0,"n.m.",E78/D78-1)</f>
        <v>0.03743315508021383</v>
      </c>
      <c r="F80" s="92">
        <f>IF(E78&lt;=0,"n.m.",F78/E78-1)</f>
        <v>0.021907216494845283</v>
      </c>
      <c r="G80" s="92" t="s">
        <v>51</v>
      </c>
      <c r="H80" s="92">
        <f>IF(F78&lt;=0,"n.m.",H78/F78-1)</f>
        <v>-0.010088272383354302</v>
      </c>
      <c r="I80" s="92">
        <f>IF(H78&lt;=0,"n.m.",I78/H78-1)</f>
        <v>0.010191082802547768</v>
      </c>
      <c r="J80" s="91">
        <f>IF(I78&lt;=0,"n.m.",J78/I78-1)</f>
        <v>0.016559553628495705</v>
      </c>
      <c r="K80" s="89"/>
      <c r="L80" s="89"/>
    </row>
    <row r="81">
      <c r="A81" s="89"/>
      <c r="B81" s="87" t="s">
        <v>127</v>
      </c>
      <c r="C81" s="92">
        <f>IF(C139=0,"n.m.",C78/C139)</f>
        <v>0.9435173299101413</v>
      </c>
      <c r="D81" s="92">
        <f>IF(D139=0,"n.m.",D78/D139)</f>
        <v>0.9338327091136079</v>
      </c>
      <c r="E81" s="92">
        <f>IF(E139=0,"n.m.",E78/E139)</f>
        <v>0.941747572815534</v>
      </c>
      <c r="F81" s="92">
        <f>IF(F139=0,"n.m.",F78/F139)</f>
        <v>0.9285714285714286</v>
      </c>
      <c r="G81" s="92">
        <f>IF(G139=0,"n.m.",G78/G139)</f>
        <v>0.9367710251688153</v>
      </c>
      <c r="H81" s="92">
        <f>IF(H139=0,"n.m.",H78/H139)</f>
        <v>0.9515151515151515</v>
      </c>
      <c r="I81" s="92">
        <f>IF(I139=0,"n.m.",I78/I139)</f>
        <v>0.9188876013904983</v>
      </c>
      <c r="J81" s="91">
        <f>IF(J139=0,"n.m.",J78/J139)</f>
        <v>0.9330025996628065</v>
      </c>
      <c r="K81" s="89"/>
      <c r="L81" s="89"/>
    </row>
    <row r="82">
      <c r="A82" s="89"/>
      <c r="B82" s="87" t="s">
        <v>66</v>
      </c>
      <c r="C82" s="92" t="s">
        <v>67</v>
      </c>
      <c r="D82" s="92" t="s">
        <v>67</v>
      </c>
      <c r="E82" s="92" t="s">
        <v>67</v>
      </c>
      <c r="F82" s="92" t="s">
        <v>67</v>
      </c>
      <c r="G82" s="92" t="s">
        <v>67</v>
      </c>
      <c r="H82" s="92" t="s">
        <v>67</v>
      </c>
      <c r="I82" s="92" t="s">
        <v>67</v>
      </c>
      <c r="J82" s="91" t="s">
        <v>67</v>
      </c>
      <c r="K82" s="89"/>
      <c r="L82" s="94" t="s">
        <v>68</v>
      </c>
    </row>
    <row r="83">
      <c r="A83" s="89"/>
      <c r="B83" s="87" t="s">
        <v>69</v>
      </c>
      <c r="C83" s="92" t="s">
        <v>67</v>
      </c>
      <c r="D83" s="92" t="s">
        <v>67</v>
      </c>
      <c r="E83" s="92" t="s">
        <v>67</v>
      </c>
      <c r="F83" s="92" t="s">
        <v>67</v>
      </c>
      <c r="G83" s="92" t="s">
        <v>67</v>
      </c>
      <c r="H83" s="92" t="s">
        <v>67</v>
      </c>
      <c r="I83" s="92" t="s">
        <v>67</v>
      </c>
      <c r="J83" s="91" t="s">
        <v>67</v>
      </c>
      <c r="K83" s="89"/>
      <c r="L83" s="94" t="s">
        <v>70</v>
      </c>
    </row>
    <row r="84">
      <c r="A84" s="89"/>
      <c r="B84" s="87" t="s">
        <v>71</v>
      </c>
      <c r="C84" s="92" t="s">
        <v>67</v>
      </c>
      <c r="D84" s="92" t="s">
        <v>67</v>
      </c>
      <c r="E84" s="92" t="s">
        <v>67</v>
      </c>
      <c r="F84" s="92" t="s">
        <v>67</v>
      </c>
      <c r="G84" s="92" t="s">
        <v>67</v>
      </c>
      <c r="H84" s="92" t="s">
        <v>67</v>
      </c>
      <c r="I84" s="92" t="s">
        <v>67</v>
      </c>
      <c r="J84" s="91" t="s">
        <v>67</v>
      </c>
      <c r="K84" s="89"/>
      <c r="L84" s="94" t="s">
        <v>72</v>
      </c>
    </row>
    <row r="85">
      <c r="A85" s="89"/>
      <c r="B85" s="88" t="s">
        <v>248</v>
      </c>
      <c r="C85" s="86">
        <v>5</v>
      </c>
      <c r="D85" s="86">
        <v>10</v>
      </c>
      <c r="E85" s="86">
        <v>6</v>
      </c>
      <c r="F85" s="86">
        <v>14</v>
      </c>
      <c r="G85" s="95">
        <f>SUM(C85:F85)</f>
        <v>35</v>
      </c>
      <c r="H85" s="86">
        <v>1</v>
      </c>
      <c r="I85" s="86">
        <v>3</v>
      </c>
      <c r="J85" s="136">
        <v>5</v>
      </c>
      <c r="K85" s="89"/>
      <c r="L85" s="89"/>
    </row>
    <row r="86">
      <c r="A86" s="89"/>
      <c r="B86" s="87" t="s">
        <v>63</v>
      </c>
      <c r="C86" s="92" t="s">
        <v>51</v>
      </c>
      <c r="D86" s="92" t="s">
        <v>51</v>
      </c>
      <c r="E86" s="92" t="s">
        <v>51</v>
      </c>
      <c r="F86" s="92" t="s">
        <v>51</v>
      </c>
      <c r="G86" s="92" t="s">
        <v>51</v>
      </c>
      <c r="H86" s="92">
        <f>IF(C85&lt;=0,"n.m.",H85/C85-1)</f>
        <v>-0.8</v>
      </c>
      <c r="I86" s="92">
        <f>IF(D85&lt;=0,"n.m.",I85/D85-1)</f>
        <v>-0.7</v>
      </c>
      <c r="J86" s="91">
        <f>IF(E85&lt;=0,"n.m.",J85/E85-1)</f>
        <v>-0.16666666666666663</v>
      </c>
      <c r="K86" s="89"/>
      <c r="L86" s="89"/>
    </row>
    <row r="87">
      <c r="A87" s="89"/>
      <c r="B87" s="87" t="s">
        <v>64</v>
      </c>
      <c r="C87" s="92" t="s">
        <v>51</v>
      </c>
      <c r="D87" s="92">
        <f>IF(C85&lt;=0,"n.m.",D85/C85-1)</f>
        <v>1</v>
      </c>
      <c r="E87" s="92">
        <f>IF(D85&lt;=0,"n.m.",E85/D85-1)</f>
        <v>-0.4</v>
      </c>
      <c r="F87" s="92">
        <f>IF(E85&lt;=0,"n.m.",F85/E85-1)</f>
        <v>1.3333333333333335</v>
      </c>
      <c r="G87" s="92" t="s">
        <v>51</v>
      </c>
      <c r="H87" s="92">
        <f>IF(F85&lt;=0,"n.m.",H85/F85-1)</f>
        <v>-0.9285714285714286</v>
      </c>
      <c r="I87" s="92">
        <f>IF(H85&lt;=0,"n.m.",I85/H85-1)</f>
        <v>2</v>
      </c>
      <c r="J87" s="91">
        <f>IF(I85&lt;=0,"n.m.",J85/I85-1)</f>
        <v>0.6666666666666667</v>
      </c>
      <c r="K87" s="89"/>
      <c r="L87" s="202" t="s">
        <v>249</v>
      </c>
    </row>
    <row r="88">
      <c r="A88" s="89"/>
      <c r="B88" s="87" t="s">
        <v>127</v>
      </c>
      <c r="C88" s="92">
        <f>IF(C139=0,"n.m.",C85/C139)</f>
        <v>0.006418485237483954</v>
      </c>
      <c r="D88" s="92">
        <f>IF(D139=0,"n.m.",D85/D139)</f>
        <v>0.012484394506866416</v>
      </c>
      <c r="E88" s="92">
        <f>IF(E139=0,"n.m.",E85/E139)</f>
        <v>0.007281553398058253</v>
      </c>
      <c r="F88" s="92">
        <f>IF(F139=0,"n.m.",F85/F139)</f>
        <v>0.01639344262295082</v>
      </c>
      <c r="G88" s="92">
        <f>IF(G139=0,"n.m.",G85/G139)</f>
        <v>0.010742786985880909</v>
      </c>
      <c r="H88" s="92">
        <f>IF(H139=0,"n.m.",H85/H139)</f>
        <v>0.0012121212121212121</v>
      </c>
      <c r="I88" s="92">
        <f>IF(I139=0,"n.m.",I85/I139)</f>
        <v>0.0034762456546929316</v>
      </c>
      <c r="J88" s="91">
        <f>IF(J139=0,"n.m.",J85/J139)</f>
        <v>0.005786911552660424</v>
      </c>
      <c r="K88" s="89"/>
      <c r="L88" s="89"/>
    </row>
    <row r="89">
      <c r="A89" s="89"/>
      <c r="B89" s="87" t="s">
        <v>66</v>
      </c>
      <c r="C89" s="92" t="s">
        <v>67</v>
      </c>
      <c r="D89" s="92" t="s">
        <v>67</v>
      </c>
      <c r="E89" s="92" t="s">
        <v>67</v>
      </c>
      <c r="F89" s="92" t="s">
        <v>67</v>
      </c>
      <c r="G89" s="92" t="s">
        <v>67</v>
      </c>
      <c r="H89" s="92" t="s">
        <v>67</v>
      </c>
      <c r="I89" s="92" t="s">
        <v>67</v>
      </c>
      <c r="J89" s="91" t="s">
        <v>67</v>
      </c>
      <c r="K89" s="89"/>
      <c r="L89" s="94" t="s">
        <v>68</v>
      </c>
    </row>
    <row r="90">
      <c r="A90" s="89"/>
      <c r="B90" s="87" t="s">
        <v>69</v>
      </c>
      <c r="C90" s="92" t="s">
        <v>67</v>
      </c>
      <c r="D90" s="92" t="s">
        <v>67</v>
      </c>
      <c r="E90" s="92" t="s">
        <v>67</v>
      </c>
      <c r="F90" s="92" t="s">
        <v>67</v>
      </c>
      <c r="G90" s="92" t="s">
        <v>67</v>
      </c>
      <c r="H90" s="92" t="s">
        <v>67</v>
      </c>
      <c r="I90" s="92" t="s">
        <v>67</v>
      </c>
      <c r="J90" s="91" t="s">
        <v>67</v>
      </c>
      <c r="K90" s="89"/>
      <c r="L90" s="94" t="s">
        <v>70</v>
      </c>
    </row>
    <row r="91">
      <c r="A91" s="89"/>
      <c r="B91" s="87" t="s">
        <v>71</v>
      </c>
      <c r="C91" s="92" t="s">
        <v>67</v>
      </c>
      <c r="D91" s="92" t="s">
        <v>67</v>
      </c>
      <c r="E91" s="92" t="s">
        <v>67</v>
      </c>
      <c r="F91" s="92" t="s">
        <v>67</v>
      </c>
      <c r="G91" s="92" t="s">
        <v>67</v>
      </c>
      <c r="H91" s="92" t="s">
        <v>67</v>
      </c>
      <c r="I91" s="92" t="s">
        <v>67</v>
      </c>
      <c r="J91" s="91" t="s">
        <v>67</v>
      </c>
      <c r="K91" s="89"/>
      <c r="L91" s="94" t="s">
        <v>72</v>
      </c>
    </row>
    <row r="92" ht="23.25">
      <c r="A92" s="89"/>
      <c r="B92" s="186" t="s">
        <v>250</v>
      </c>
      <c r="C92" s="90">
        <f>C78+C85</f>
        <v>740</v>
      </c>
      <c r="D92" s="90">
        <f>D78+D85</f>
        <v>758</v>
      </c>
      <c r="E92" s="90">
        <f>E78+E85</f>
        <v>782</v>
      </c>
      <c r="F92" s="90">
        <f>F78+F85</f>
        <v>807</v>
      </c>
      <c r="G92" s="90">
        <f>G78+G85</f>
        <v>3087</v>
      </c>
      <c r="H92" s="90">
        <f>H78+H85</f>
        <v>786</v>
      </c>
      <c r="I92" s="90">
        <f>I78+I85</f>
        <v>796</v>
      </c>
      <c r="J92" s="135">
        <f>J78+J85</f>
        <v>811.1317260273971</v>
      </c>
      <c r="K92" s="89"/>
      <c r="L92" s="89"/>
    </row>
    <row r="93">
      <c r="A93" s="89"/>
      <c r="B93" s="87" t="s">
        <v>63</v>
      </c>
      <c r="C93" s="92" t="s">
        <v>51</v>
      </c>
      <c r="D93" s="92" t="s">
        <v>51</v>
      </c>
      <c r="E93" s="92" t="s">
        <v>51</v>
      </c>
      <c r="F93" s="92" t="s">
        <v>51</v>
      </c>
      <c r="G93" s="92" t="s">
        <v>51</v>
      </c>
      <c r="H93" s="92">
        <f>IF(C92&lt;=0,"n.m.",H92/C92-1)</f>
        <v>0.06216216216216219</v>
      </c>
      <c r="I93" s="92">
        <f>IF(D92&lt;=0,"n.m.",I92/D92-1)</f>
        <v>0.05013192612137196</v>
      </c>
      <c r="J93" s="91">
        <f>IF(E92&lt;=0,"n.m.",J92/E92-1)</f>
        <v>0.037252846582349175</v>
      </c>
      <c r="K93" s="89"/>
      <c r="L93" s="89"/>
    </row>
    <row r="94">
      <c r="A94" s="89"/>
      <c r="B94" s="87" t="s">
        <v>64</v>
      </c>
      <c r="C94" s="92" t="s">
        <v>51</v>
      </c>
      <c r="D94" s="92">
        <f>IF(C92&lt;=0,"n.m.",D92/C92-1)</f>
        <v>0.024324324324324298</v>
      </c>
      <c r="E94" s="92">
        <f>IF(D92&lt;=0,"n.m.",E92/D92-1)</f>
        <v>0.0316622691292876</v>
      </c>
      <c r="F94" s="92">
        <f>IF(E92&lt;=0,"n.m.",F92/E92-1)</f>
        <v>0.03196930946291565</v>
      </c>
      <c r="G94" s="92" t="s">
        <v>51</v>
      </c>
      <c r="H94" s="92">
        <f>IF(F92&lt;=0,"n.m.",H92/F92-1)</f>
        <v>-0.026022304832713727</v>
      </c>
      <c r="I94" s="92">
        <f>IF(H92&lt;=0,"n.m.",I92/H92-1)</f>
        <v>0.012722646310432628</v>
      </c>
      <c r="J94" s="91">
        <f>IF(I92&lt;=0,"n.m.",J92/I92-1)</f>
        <v>0.01900970606456931</v>
      </c>
      <c r="K94" s="89"/>
      <c r="L94" s="89"/>
    </row>
    <row r="95">
      <c r="A95" s="89"/>
      <c r="B95" s="87" t="s">
        <v>127</v>
      </c>
      <c r="C95" s="92">
        <f>IF(C139=0,"n.m.",C92/C139)</f>
        <v>0.9499358151476252</v>
      </c>
      <c r="D95" s="92">
        <f>IF(D139=0,"n.m.",D92/D139)</f>
        <v>0.9463171036204744</v>
      </c>
      <c r="E95" s="92">
        <f>IF(E139=0,"n.m.",E92/E139)</f>
        <v>0.9490291262135923</v>
      </c>
      <c r="F95" s="92">
        <f>IF(F139=0,"n.m.",F92/F139)</f>
        <v>0.9449648711943794</v>
      </c>
      <c r="G95" s="92">
        <f>IF(G139=0,"n.m.",G92/G139)</f>
        <v>0.9475138121546961</v>
      </c>
      <c r="H95" s="92">
        <f>IF(H139=0,"n.m.",H92/H139)</f>
        <v>0.9527272727272728</v>
      </c>
      <c r="I95" s="92">
        <f>IF(I139=0,"n.m.",I92/I139)</f>
        <v>0.9223638470451911</v>
      </c>
      <c r="J95" s="91">
        <f>IF(J139=0,"n.m.",J92/J139)</f>
        <v>0.9387895112154669</v>
      </c>
      <c r="K95" s="89"/>
      <c r="L95" s="89"/>
    </row>
    <row r="96" ht="23.24853515625">
      <c r="A96" s="89"/>
      <c r="B96" s="187" t="s">
        <v>251</v>
      </c>
      <c r="C96" s="95" t="s">
        <v>67</v>
      </c>
      <c r="D96" s="95" t="s">
        <v>67</v>
      </c>
      <c r="E96" s="95" t="s">
        <v>67</v>
      </c>
      <c r="F96" s="95" t="s">
        <v>67</v>
      </c>
      <c r="G96" s="95" t="s">
        <v>67</v>
      </c>
      <c r="H96" s="86">
        <v>753</v>
      </c>
      <c r="I96" s="86">
        <v>759</v>
      </c>
      <c r="J96" s="121" t="s">
        <v>129</v>
      </c>
      <c r="K96" s="89"/>
      <c r="L96" s="94" t="s">
        <v>252</v>
      </c>
    </row>
    <row r="97" ht="23.25">
      <c r="A97" s="89"/>
      <c r="B97" s="190" t="s">
        <v>253</v>
      </c>
      <c r="C97" s="92" t="s">
        <v>67</v>
      </c>
      <c r="D97" s="92" t="s">
        <v>67</v>
      </c>
      <c r="E97" s="92" t="s">
        <v>67</v>
      </c>
      <c r="F97" s="92" t="s">
        <v>67</v>
      </c>
      <c r="G97" s="92" t="s">
        <v>67</v>
      </c>
      <c r="H97" s="92">
        <f>H92/H96-1</f>
        <v>0.043824701195219085</v>
      </c>
      <c r="I97" s="92">
        <f>I92/I96-1</f>
        <v>0.0487483530961792</v>
      </c>
      <c r="J97" s="91" t="s">
        <v>67</v>
      </c>
      <c r="K97" s="89"/>
      <c r="L97" s="89"/>
    </row>
    <row r="98">
      <c r="A98" s="89"/>
      <c r="B98" s="87" t="s">
        <v>66</v>
      </c>
      <c r="C98" s="92" t="s">
        <v>67</v>
      </c>
      <c r="D98" s="92" t="s">
        <v>67</v>
      </c>
      <c r="E98" s="92" t="s">
        <v>67</v>
      </c>
      <c r="F98" s="92" t="s">
        <v>67</v>
      </c>
      <c r="G98" s="92" t="s">
        <v>67</v>
      </c>
      <c r="H98" s="92" t="s">
        <v>67</v>
      </c>
      <c r="I98" s="92" t="s">
        <v>67</v>
      </c>
      <c r="J98" s="91" t="s">
        <v>67</v>
      </c>
      <c r="K98" s="89"/>
      <c r="L98" s="94" t="s">
        <v>254</v>
      </c>
    </row>
    <row r="99">
      <c r="A99" s="89"/>
      <c r="B99" s="87" t="s">
        <v>69</v>
      </c>
      <c r="C99" s="92" t="s">
        <v>67</v>
      </c>
      <c r="D99" s="92" t="s">
        <v>67</v>
      </c>
      <c r="E99" s="92" t="s">
        <v>67</v>
      </c>
      <c r="F99" s="92" t="s">
        <v>67</v>
      </c>
      <c r="G99" s="92" t="s">
        <v>67</v>
      </c>
      <c r="H99" s="92">
        <f>H96/C92-1</f>
        <v>0.0175675675675675</v>
      </c>
      <c r="I99" s="92">
        <f>I96/D92-1</f>
        <v>0.0013192612137202797</v>
      </c>
      <c r="J99" s="91" t="s">
        <v>67</v>
      </c>
      <c r="K99" s="89"/>
      <c r="L99" s="94" t="s">
        <v>255</v>
      </c>
    </row>
    <row r="100">
      <c r="A100" s="89"/>
      <c r="B100" s="87" t="s">
        <v>71</v>
      </c>
      <c r="C100" s="92" t="s">
        <v>67</v>
      </c>
      <c r="D100" s="92" t="s">
        <v>67</v>
      </c>
      <c r="E100" s="92" t="s">
        <v>67</v>
      </c>
      <c r="F100" s="92" t="s">
        <v>67</v>
      </c>
      <c r="G100" s="92" t="s">
        <v>67</v>
      </c>
      <c r="H100" s="92" t="s">
        <v>67</v>
      </c>
      <c r="I100" s="92" t="s">
        <v>67</v>
      </c>
      <c r="J100" s="91" t="s">
        <v>67</v>
      </c>
      <c r="K100" s="89"/>
      <c r="L100" s="94" t="s">
        <v>256</v>
      </c>
    </row>
    <row r="101">
      <c r="A101" s="89"/>
      <c r="B101" s="88" t="s">
        <v>257</v>
      </c>
      <c r="C101" s="86">
        <v>68</v>
      </c>
      <c r="D101" s="86">
        <v>69</v>
      </c>
      <c r="E101" s="86">
        <v>69</v>
      </c>
      <c r="F101" s="86">
        <v>69</v>
      </c>
      <c r="G101" s="95">
        <f>SUM(C101:F101)</f>
        <v>275</v>
      </c>
      <c r="H101" s="86">
        <v>70</v>
      </c>
      <c r="I101" s="86">
        <v>71</v>
      </c>
      <c r="J101" s="136">
        <v>71</v>
      </c>
      <c r="K101" s="89"/>
      <c r="L101" s="89"/>
    </row>
    <row r="102">
      <c r="A102" s="89"/>
      <c r="B102" s="87" t="s">
        <v>63</v>
      </c>
      <c r="C102" s="92" t="s">
        <v>51</v>
      </c>
      <c r="D102" s="92" t="s">
        <v>51</v>
      </c>
      <c r="E102" s="92" t="s">
        <v>51</v>
      </c>
      <c r="F102" s="92" t="s">
        <v>51</v>
      </c>
      <c r="G102" s="92" t="s">
        <v>51</v>
      </c>
      <c r="H102" s="92">
        <f>IF(C101&lt;=0,"n.m.",H101/C101-1)</f>
        <v>0.02941176470588225</v>
      </c>
      <c r="I102" s="92">
        <f>IF(D101&lt;=0,"n.m.",I101/D101-1)</f>
        <v>0.02898550724637672</v>
      </c>
      <c r="J102" s="91">
        <f>IF(E101&lt;=0,"n.m.",J101/E101-1)</f>
        <v>0.02898550724637672</v>
      </c>
      <c r="K102" s="89"/>
      <c r="L102" s="89"/>
    </row>
    <row r="103">
      <c r="A103" s="89"/>
      <c r="B103" s="87" t="s">
        <v>64</v>
      </c>
      <c r="C103" s="92" t="s">
        <v>51</v>
      </c>
      <c r="D103" s="92">
        <f>IF(C101&lt;=0,"n.m.",D101/C101-1)</f>
        <v>0.014705882352941124</v>
      </c>
      <c r="E103" s="92">
        <f>IF(D101&lt;=0,"n.m.",E101/D101-1)</f>
        <v>0</v>
      </c>
      <c r="F103" s="92">
        <f>IF(E101&lt;=0,"n.m.",F101/E101-1)</f>
        <v>0</v>
      </c>
      <c r="G103" s="92" t="s">
        <v>51</v>
      </c>
      <c r="H103" s="92">
        <f>IF(F101&lt;=0,"n.m.",H101/F101-1)</f>
        <v>0.01449275362318847</v>
      </c>
      <c r="I103" s="92">
        <f>IF(H101&lt;=0,"n.m.",I101/H101-1)</f>
        <v>0.014285714285714235</v>
      </c>
      <c r="J103" s="91">
        <f>IF(I101&lt;=0,"n.m.",J101/I101-1)</f>
        <v>0</v>
      </c>
      <c r="K103" s="89"/>
      <c r="L103" s="89"/>
    </row>
    <row r="104">
      <c r="A104" s="89"/>
      <c r="B104" s="87" t="s">
        <v>127</v>
      </c>
      <c r="C104" s="92">
        <f>IF(C139=0,"n.m.",C101/C139)</f>
        <v>0.08729139922978177</v>
      </c>
      <c r="D104" s="92">
        <f>IF(D139=0,"n.m.",D101/D139)</f>
        <v>0.08614232209737828</v>
      </c>
      <c r="E104" s="92">
        <f>IF(E139=0,"n.m.",E101/E139)</f>
        <v>0.08373786407766991</v>
      </c>
      <c r="F104" s="92">
        <f>IF(F139=0,"n.m.",F101/F139)</f>
        <v>0.08079625292740047</v>
      </c>
      <c r="G104" s="92">
        <f>IF(G139=0,"n.m.",G101/G139)</f>
        <v>0.08440761203192143</v>
      </c>
      <c r="H104" s="92">
        <f>IF(H139=0,"n.m.",H101/H139)</f>
        <v>0.08484848484848485</v>
      </c>
      <c r="I104" s="92">
        <f>IF(I139=0,"n.m.",I101/I139)</f>
        <v>0.08227114716106605</v>
      </c>
      <c r="J104" s="91">
        <f>IF(J139=0,"n.m.",J101/J139)</f>
        <v>0.08217414404777802</v>
      </c>
      <c r="K104" s="89"/>
      <c r="L104" s="89"/>
    </row>
    <row r="105">
      <c r="A105" s="89"/>
      <c r="B105" s="87" t="s">
        <v>66</v>
      </c>
      <c r="C105" s="92" t="s">
        <v>67</v>
      </c>
      <c r="D105" s="92" t="s">
        <v>67</v>
      </c>
      <c r="E105" s="92" t="s">
        <v>67</v>
      </c>
      <c r="F105" s="92" t="s">
        <v>67</v>
      </c>
      <c r="G105" s="92" t="s">
        <v>67</v>
      </c>
      <c r="H105" s="92" t="s">
        <v>67</v>
      </c>
      <c r="I105" s="92" t="s">
        <v>67</v>
      </c>
      <c r="J105" s="91" t="s">
        <v>67</v>
      </c>
      <c r="K105" s="89"/>
      <c r="L105" s="94" t="s">
        <v>68</v>
      </c>
    </row>
    <row r="106">
      <c r="A106" s="89"/>
      <c r="B106" s="87" t="s">
        <v>69</v>
      </c>
      <c r="C106" s="92" t="s">
        <v>67</v>
      </c>
      <c r="D106" s="92" t="s">
        <v>67</v>
      </c>
      <c r="E106" s="92" t="s">
        <v>67</v>
      </c>
      <c r="F106" s="92" t="s">
        <v>67</v>
      </c>
      <c r="G106" s="92" t="s">
        <v>67</v>
      </c>
      <c r="H106" s="92" t="s">
        <v>67</v>
      </c>
      <c r="I106" s="92" t="s">
        <v>67</v>
      </c>
      <c r="J106" s="91" t="s">
        <v>67</v>
      </c>
      <c r="K106" s="89"/>
      <c r="L106" s="94" t="s">
        <v>70</v>
      </c>
    </row>
    <row r="107">
      <c r="A107" s="89"/>
      <c r="B107" s="87" t="s">
        <v>71</v>
      </c>
      <c r="C107" s="92" t="s">
        <v>67</v>
      </c>
      <c r="D107" s="92" t="s">
        <v>67</v>
      </c>
      <c r="E107" s="92" t="s">
        <v>67</v>
      </c>
      <c r="F107" s="92" t="s">
        <v>67</v>
      </c>
      <c r="G107" s="92" t="s">
        <v>67</v>
      </c>
      <c r="H107" s="92" t="s">
        <v>67</v>
      </c>
      <c r="I107" s="92" t="s">
        <v>67</v>
      </c>
      <c r="J107" s="91" t="s">
        <v>67</v>
      </c>
      <c r="K107" s="89"/>
      <c r="L107" s="94" t="s">
        <v>72</v>
      </c>
    </row>
    <row r="108" ht="23.25">
      <c r="A108" s="89"/>
      <c r="B108" s="187" t="s">
        <v>258</v>
      </c>
      <c r="C108" s="86">
        <v>-75</v>
      </c>
      <c r="D108" s="86">
        <v>-76</v>
      </c>
      <c r="E108" s="86">
        <v>-78</v>
      </c>
      <c r="F108" s="86">
        <v>-84</v>
      </c>
      <c r="G108" s="95">
        <f>SUM(C108:F108)</f>
        <v>-313</v>
      </c>
      <c r="H108" s="86">
        <v>-83</v>
      </c>
      <c r="I108" s="86">
        <v>-87</v>
      </c>
      <c r="J108" s="136">
        <v>-86</v>
      </c>
      <c r="K108" s="89"/>
      <c r="L108" s="89"/>
    </row>
    <row r="109">
      <c r="A109" s="89"/>
      <c r="B109" s="87" t="s">
        <v>63</v>
      </c>
      <c r="C109" s="92" t="s">
        <v>51</v>
      </c>
      <c r="D109" s="92" t="s">
        <v>51</v>
      </c>
      <c r="E109" s="92" t="s">
        <v>51</v>
      </c>
      <c r="F109" s="92" t="s">
        <v>51</v>
      </c>
      <c r="G109" s="92" t="s">
        <v>51</v>
      </c>
      <c r="H109" s="92" t="str">
        <f>IF(C108&lt;=0,"n.m.",H108/C108-1)</f>
        <v>n.m.</v>
      </c>
      <c r="I109" s="92" t="str">
        <f>IF(D108&lt;=0,"n.m.",I108/D108-1)</f>
        <v>n.m.</v>
      </c>
      <c r="J109" s="91" t="str">
        <f>IF(E108&lt;=0,"n.m.",J108/E108-1)</f>
        <v>n.m.</v>
      </c>
      <c r="K109" s="89"/>
      <c r="L109" s="89"/>
    </row>
    <row r="110">
      <c r="A110" s="89"/>
      <c r="B110" s="87" t="s">
        <v>64</v>
      </c>
      <c r="C110" s="92" t="s">
        <v>51</v>
      </c>
      <c r="D110" s="92" t="str">
        <f>IF(C108&lt;=0,"n.m.",D108/C108-1)</f>
        <v>n.m.</v>
      </c>
      <c r="E110" s="92" t="str">
        <f>IF(D108&lt;=0,"n.m.",E108/D108-1)</f>
        <v>n.m.</v>
      </c>
      <c r="F110" s="92" t="str">
        <f>IF(E108&lt;=0,"n.m.",F108/E108-1)</f>
        <v>n.m.</v>
      </c>
      <c r="G110" s="92" t="s">
        <v>51</v>
      </c>
      <c r="H110" s="92" t="str">
        <f>IF(F108&lt;=0,"n.m.",H108/F108-1)</f>
        <v>n.m.</v>
      </c>
      <c r="I110" s="92" t="str">
        <f>IF(H108&lt;=0,"n.m.",I108/H108-1)</f>
        <v>n.m.</v>
      </c>
      <c r="J110" s="91" t="str">
        <f>IF(I108&lt;=0,"n.m.",J108/I108-1)</f>
        <v>n.m.</v>
      </c>
      <c r="K110" s="89"/>
      <c r="L110" s="89"/>
    </row>
    <row r="111">
      <c r="A111" s="89"/>
      <c r="B111" s="87" t="s">
        <v>127</v>
      </c>
      <c r="C111" s="92">
        <f>IF(C139=0,"n.m.",C108/C139)</f>
        <v>-0.0962772785622593</v>
      </c>
      <c r="D111" s="92">
        <f>IF(D139=0,"n.m.",D108/D139)</f>
        <v>-0.09488139825218476</v>
      </c>
      <c r="E111" s="92">
        <f>IF(E139=0,"n.m.",E108/E139)</f>
        <v>-0.09466019417475728</v>
      </c>
      <c r="F111" s="92">
        <f>IF(F139=0,"n.m.",F108/F139)</f>
        <v>-0.09836065573770492</v>
      </c>
      <c r="G111" s="92">
        <f>IF(G139=0,"n.m.",G108/G139)</f>
        <v>-0.09607120933087784</v>
      </c>
      <c r="H111" s="92">
        <f>IF(H139=0,"n.m.",H108/H139)</f>
        <v>-0.1006060606060606</v>
      </c>
      <c r="I111" s="92">
        <f>IF(I139=0,"n.m.",I108/I139)</f>
        <v>-0.10081112398609501</v>
      </c>
      <c r="J111" s="91">
        <f>IF(J139=0,"n.m.",J108/J139)</f>
        <v>-0.0995348787057593</v>
      </c>
      <c r="K111" s="89"/>
      <c r="L111" s="89"/>
    </row>
    <row r="112">
      <c r="A112" s="89"/>
      <c r="B112" s="87" t="s">
        <v>66</v>
      </c>
      <c r="C112" s="92" t="s">
        <v>67</v>
      </c>
      <c r="D112" s="92" t="s">
        <v>67</v>
      </c>
      <c r="E112" s="92" t="s">
        <v>67</v>
      </c>
      <c r="F112" s="92" t="s">
        <v>67</v>
      </c>
      <c r="G112" s="92" t="s">
        <v>67</v>
      </c>
      <c r="H112" s="92" t="s">
        <v>67</v>
      </c>
      <c r="I112" s="92" t="s">
        <v>67</v>
      </c>
      <c r="J112" s="91" t="s">
        <v>67</v>
      </c>
      <c r="K112" s="89"/>
      <c r="L112" s="94" t="s">
        <v>68</v>
      </c>
    </row>
    <row r="113">
      <c r="A113" s="89"/>
      <c r="B113" s="87" t="s">
        <v>69</v>
      </c>
      <c r="C113" s="92" t="s">
        <v>67</v>
      </c>
      <c r="D113" s="92" t="s">
        <v>67</v>
      </c>
      <c r="E113" s="92" t="s">
        <v>67</v>
      </c>
      <c r="F113" s="92" t="s">
        <v>67</v>
      </c>
      <c r="G113" s="92" t="s">
        <v>67</v>
      </c>
      <c r="H113" s="92" t="s">
        <v>67</v>
      </c>
      <c r="I113" s="92" t="s">
        <v>67</v>
      </c>
      <c r="J113" s="91" t="s">
        <v>67</v>
      </c>
      <c r="K113" s="89"/>
      <c r="L113" s="94" t="s">
        <v>70</v>
      </c>
    </row>
    <row r="114">
      <c r="A114" s="89"/>
      <c r="B114" s="87" t="s">
        <v>71</v>
      </c>
      <c r="C114" s="92" t="s">
        <v>67</v>
      </c>
      <c r="D114" s="92" t="s">
        <v>67</v>
      </c>
      <c r="E114" s="92" t="s">
        <v>67</v>
      </c>
      <c r="F114" s="92" t="s">
        <v>67</v>
      </c>
      <c r="G114" s="92" t="s">
        <v>67</v>
      </c>
      <c r="H114" s="92" t="s">
        <v>67</v>
      </c>
      <c r="I114" s="92" t="s">
        <v>67</v>
      </c>
      <c r="J114" s="91" t="s">
        <v>67</v>
      </c>
      <c r="K114" s="89"/>
      <c r="L114" s="94" t="s">
        <v>72</v>
      </c>
    </row>
    <row r="115">
      <c r="A115" s="89"/>
      <c r="B115" s="104" t="s">
        <v>145</v>
      </c>
      <c r="C115" s="90">
        <f>C92+C101+C108</f>
        <v>733</v>
      </c>
      <c r="D115" s="90">
        <f>D92+D101+D108</f>
        <v>751</v>
      </c>
      <c r="E115" s="90">
        <f>E92+E101+E108</f>
        <v>773</v>
      </c>
      <c r="F115" s="90">
        <f>F92+F101+F108</f>
        <v>792</v>
      </c>
      <c r="G115" s="90">
        <f>G92+G101+G108</f>
        <v>3049</v>
      </c>
      <c r="H115" s="90">
        <f>H92+H101+H108</f>
        <v>773</v>
      </c>
      <c r="I115" s="90">
        <f>I92+I101+I108</f>
        <v>780</v>
      </c>
      <c r="J115" s="135">
        <f>J92+J101+J108</f>
        <v>796.1317260273971</v>
      </c>
      <c r="K115" s="89"/>
      <c r="L115" s="89"/>
    </row>
    <row r="116">
      <c r="A116" s="89"/>
      <c r="B116" s="87" t="s">
        <v>63</v>
      </c>
      <c r="C116" s="92" t="s">
        <v>51</v>
      </c>
      <c r="D116" s="92" t="s">
        <v>51</v>
      </c>
      <c r="E116" s="92" t="s">
        <v>51</v>
      </c>
      <c r="F116" s="92" t="s">
        <v>51</v>
      </c>
      <c r="G116" s="92" t="s">
        <v>51</v>
      </c>
      <c r="H116" s="92">
        <f>IF(C115&lt;=0,"n.m.",H115/C115-1)</f>
        <v>0.05457025920873115</v>
      </c>
      <c r="I116" s="92">
        <f>IF(D115&lt;=0,"n.m.",I115/D115-1)</f>
        <v>0.038615179760319585</v>
      </c>
      <c r="J116" s="91">
        <f>IF(E115&lt;=0,"n.m.",J115/E115-1)</f>
        <v>0.029924613230785324</v>
      </c>
      <c r="K116" s="89"/>
      <c r="L116" s="89"/>
    </row>
    <row r="117">
      <c r="A117" s="89"/>
      <c r="B117" s="87" t="s">
        <v>64</v>
      </c>
      <c r="C117" s="92" t="s">
        <v>51</v>
      </c>
      <c r="D117" s="92">
        <f>IF(C115&lt;=0,"n.m.",D115/C115-1)</f>
        <v>0.024556616643929052</v>
      </c>
      <c r="E117" s="92">
        <f>IF(D115&lt;=0,"n.m.",E115/D115-1)</f>
        <v>0.02929427430093212</v>
      </c>
      <c r="F117" s="92">
        <f>IF(E115&lt;=0,"n.m.",F115/E115-1)</f>
        <v>0.024579560155239433</v>
      </c>
      <c r="G117" s="92" t="s">
        <v>51</v>
      </c>
      <c r="H117" s="92">
        <f>IF(F115&lt;=0,"n.m.",H115/F115-1)</f>
        <v>-0.023989898989899006</v>
      </c>
      <c r="I117" s="92">
        <f>IF(H115&lt;=0,"n.m.",I115/H115-1)</f>
        <v>0.009055627425614388</v>
      </c>
      <c r="J117" s="91">
        <f>IF(I115&lt;=0,"n.m.",J115/I115-1)</f>
        <v>0.020681700035124484</v>
      </c>
      <c r="K117" s="89"/>
      <c r="L117" s="89"/>
    </row>
    <row r="118">
      <c r="A118" s="89"/>
      <c r="B118" s="87" t="s">
        <v>127</v>
      </c>
      <c r="C118" s="92">
        <f>IF(C139=0,"n.m.",C115/C139)</f>
        <v>0.9409499358151476</v>
      </c>
      <c r="D118" s="92">
        <f>IF(D139=0,"n.m.",D115/D139)</f>
        <v>0.9375780274656679</v>
      </c>
      <c r="E118" s="92">
        <f>IF(E139=0,"n.m.",E115/E139)</f>
        <v>0.9381067961165048</v>
      </c>
      <c r="F118" s="92">
        <f>IF(F139=0,"n.m.",F115/F139)</f>
        <v>0.927400468384075</v>
      </c>
      <c r="G118" s="92">
        <f>IF(G139=0,"n.m.",G115/G139)</f>
        <v>0.9358502148557397</v>
      </c>
      <c r="H118" s="92">
        <f>IF(H139=0,"n.m.",H115/H139)</f>
        <v>0.936969696969697</v>
      </c>
      <c r="I118" s="92">
        <f>IF(I139=0,"n.m.",I115/I139)</f>
        <v>0.9038238702201622</v>
      </c>
      <c r="J118" s="91">
        <f>IF(J139=0,"n.m.",J115/J139)</f>
        <v>0.9214287765574857</v>
      </c>
      <c r="K118" s="89"/>
      <c r="L118" s="89"/>
    </row>
    <row r="119">
      <c r="A119" s="89"/>
      <c r="B119" s="87" t="s">
        <v>66</v>
      </c>
      <c r="C119" s="92" t="s">
        <v>67</v>
      </c>
      <c r="D119" s="92" t="s">
        <v>67</v>
      </c>
      <c r="E119" s="92" t="s">
        <v>67</v>
      </c>
      <c r="F119" s="92" t="s">
        <v>67</v>
      </c>
      <c r="G119" s="92" t="s">
        <v>67</v>
      </c>
      <c r="H119" s="92" t="s">
        <v>67</v>
      </c>
      <c r="I119" s="92" t="s">
        <v>67</v>
      </c>
      <c r="J119" s="91" t="s">
        <v>67</v>
      </c>
      <c r="K119" s="89"/>
      <c r="L119" s="94" t="s">
        <v>68</v>
      </c>
    </row>
    <row r="120">
      <c r="A120" s="89"/>
      <c r="B120" s="87" t="s">
        <v>69</v>
      </c>
      <c r="C120" s="92" t="s">
        <v>67</v>
      </c>
      <c r="D120" s="92" t="s">
        <v>67</v>
      </c>
      <c r="E120" s="92" t="s">
        <v>67</v>
      </c>
      <c r="F120" s="92" t="s">
        <v>67</v>
      </c>
      <c r="G120" s="92" t="s">
        <v>67</v>
      </c>
      <c r="H120" s="92" t="s">
        <v>67</v>
      </c>
      <c r="I120" s="92" t="s">
        <v>67</v>
      </c>
      <c r="J120" s="91" t="s">
        <v>67</v>
      </c>
      <c r="K120" s="89"/>
      <c r="L120" s="94" t="s">
        <v>70</v>
      </c>
    </row>
    <row r="121">
      <c r="A121" s="89"/>
      <c r="B121" s="87" t="s">
        <v>71</v>
      </c>
      <c r="C121" s="92" t="s">
        <v>67</v>
      </c>
      <c r="D121" s="92" t="s">
        <v>67</v>
      </c>
      <c r="E121" s="92" t="s">
        <v>67</v>
      </c>
      <c r="F121" s="92" t="s">
        <v>67</v>
      </c>
      <c r="G121" s="92" t="s">
        <v>67</v>
      </c>
      <c r="H121" s="92" t="s">
        <v>67</v>
      </c>
      <c r="I121" s="92" t="s">
        <v>67</v>
      </c>
      <c r="J121" s="91" t="s">
        <v>67</v>
      </c>
      <c r="K121" s="89"/>
      <c r="L121" s="94" t="s">
        <v>72</v>
      </c>
    </row>
    <row r="122" ht="23.25">
      <c r="A122" s="89"/>
      <c r="B122" s="187" t="s">
        <v>259</v>
      </c>
      <c r="C122" s="86">
        <v>5</v>
      </c>
      <c r="D122" s="86">
        <v>9</v>
      </c>
      <c r="E122" s="86">
        <v>10</v>
      </c>
      <c r="F122" s="86">
        <v>11</v>
      </c>
      <c r="G122" s="95">
        <f>SUM(C122:F122)</f>
        <v>35</v>
      </c>
      <c r="H122" s="86">
        <v>-1</v>
      </c>
      <c r="I122" s="86">
        <v>29</v>
      </c>
      <c r="J122" s="136">
        <v>15</v>
      </c>
      <c r="K122" s="89"/>
      <c r="L122" s="94" t="s">
        <v>260</v>
      </c>
    </row>
    <row r="123">
      <c r="A123" s="89"/>
      <c r="B123" s="87" t="s">
        <v>63</v>
      </c>
      <c r="C123" s="92" t="s">
        <v>51</v>
      </c>
      <c r="D123" s="92" t="s">
        <v>51</v>
      </c>
      <c r="E123" s="92" t="s">
        <v>51</v>
      </c>
      <c r="F123" s="92" t="s">
        <v>51</v>
      </c>
      <c r="G123" s="92" t="s">
        <v>51</v>
      </c>
      <c r="H123" s="92" t="str">
        <f>IF(OR(C122&lt;=0,H122&lt;0),"n.m.",H122/C122-1)</f>
        <v>n.m.</v>
      </c>
      <c r="I123" s="92">
        <f>IF(OR(D122&lt;=0,I122&lt;0),"n.m.",I122/D122-1)</f>
        <v>2.2222222222222223</v>
      </c>
      <c r="J123" s="91">
        <f>IF(OR(E122&lt;=0,J122&lt;0),"n.m.",J122/E122-1)</f>
        <v>0.5</v>
      </c>
      <c r="K123" s="89"/>
      <c r="L123" s="202" t="s">
        <v>261</v>
      </c>
    </row>
    <row r="124">
      <c r="A124" s="89"/>
      <c r="B124" s="87" t="s">
        <v>64</v>
      </c>
      <c r="C124" s="92" t="s">
        <v>51</v>
      </c>
      <c r="D124" s="92">
        <f>IF(OR(C122&lt;=0,D122&lt;0),"n.m.",D122/C122-1)</f>
        <v>0.8</v>
      </c>
      <c r="E124" s="92">
        <f>IF(OR(D122&lt;=0,E122&lt;0),"n.m.",E122/D122-1)</f>
        <v>0.11111111111111116</v>
      </c>
      <c r="F124" s="92">
        <f>IF(OR(E122&lt;=0,F122&lt;0),"n.m.",F122/E122-1)</f>
        <v>0.10000000000000009</v>
      </c>
      <c r="G124" s="92" t="s">
        <v>51</v>
      </c>
      <c r="H124" s="92" t="str">
        <f>IF(OR(F122&lt;=0,H122&lt;0),"n.m.",H122/F122-1)</f>
        <v>n.m.</v>
      </c>
      <c r="I124" s="92" t="str">
        <f>IF(OR(H122&lt;=0,I122&lt;0),"n.m.",I122/H122-1)</f>
        <v>n.m.</v>
      </c>
      <c r="J124" s="91">
        <f>IF(OR(I122&lt;=0,J122&lt;0),"n.m.",J122/I122-1)</f>
        <v>-0.48275862068965514</v>
      </c>
      <c r="K124" s="89"/>
      <c r="L124" s="89"/>
    </row>
    <row r="125">
      <c r="A125" s="89"/>
      <c r="B125" s="87" t="s">
        <v>127</v>
      </c>
      <c r="C125" s="92">
        <f>IF(C139=0,"n.m.",C122/C139)</f>
        <v>0.006418485237483954</v>
      </c>
      <c r="D125" s="92">
        <f>IF(D139=0,"n.m.",D122/D139)</f>
        <v>0.011235955056179775</v>
      </c>
      <c r="E125" s="92">
        <f>IF(E139=0,"n.m.",E122/E139)</f>
        <v>0.012135922330097087</v>
      </c>
      <c r="F125" s="92">
        <f>IF(F139=0,"n.m.",F122/F139)</f>
        <v>0.01288056206088993</v>
      </c>
      <c r="G125" s="92">
        <f>IF(G139=0,"n.m.",G122/G139)</f>
        <v>0.010742786985880909</v>
      </c>
      <c r="H125" s="92">
        <f>IF(H139=0,"n.m.",H122/H139)</f>
        <v>-0.0012121212121212121</v>
      </c>
      <c r="I125" s="92">
        <f>IF(I139=0,"n.m.",I122/I139)</f>
        <v>0.03360370799536501</v>
      </c>
      <c r="J125" s="91">
        <f>IF(J139=0,"n.m.",J122/J139)</f>
        <v>0.017360734657981273</v>
      </c>
      <c r="K125" s="89"/>
      <c r="L125" s="89"/>
    </row>
    <row r="126">
      <c r="A126" s="89"/>
      <c r="B126" s="87" t="s">
        <v>66</v>
      </c>
      <c r="C126" s="92" t="s">
        <v>67</v>
      </c>
      <c r="D126" s="92" t="s">
        <v>67</v>
      </c>
      <c r="E126" s="92" t="s">
        <v>67</v>
      </c>
      <c r="F126" s="92" t="s">
        <v>67</v>
      </c>
      <c r="G126" s="92" t="s">
        <v>67</v>
      </c>
      <c r="H126" s="92" t="s">
        <v>67</v>
      </c>
      <c r="I126" s="92" t="s">
        <v>67</v>
      </c>
      <c r="J126" s="91" t="s">
        <v>67</v>
      </c>
      <c r="K126" s="89"/>
      <c r="L126" s="94" t="s">
        <v>68</v>
      </c>
    </row>
    <row r="127">
      <c r="A127" s="89"/>
      <c r="B127" s="87" t="s">
        <v>69</v>
      </c>
      <c r="C127" s="92" t="s">
        <v>67</v>
      </c>
      <c r="D127" s="92" t="s">
        <v>67</v>
      </c>
      <c r="E127" s="92" t="s">
        <v>67</v>
      </c>
      <c r="F127" s="92" t="s">
        <v>67</v>
      </c>
      <c r="G127" s="92" t="s">
        <v>67</v>
      </c>
      <c r="H127" s="92" t="s">
        <v>67</v>
      </c>
      <c r="I127" s="92" t="s">
        <v>67</v>
      </c>
      <c r="J127" s="91" t="s">
        <v>67</v>
      </c>
      <c r="K127" s="89"/>
      <c r="L127" s="94" t="s">
        <v>70</v>
      </c>
    </row>
    <row r="128">
      <c r="A128" s="89"/>
      <c r="B128" s="87" t="s">
        <v>71</v>
      </c>
      <c r="C128" s="92" t="s">
        <v>67</v>
      </c>
      <c r="D128" s="92" t="s">
        <v>67</v>
      </c>
      <c r="E128" s="92" t="s">
        <v>67</v>
      </c>
      <c r="F128" s="92" t="s">
        <v>67</v>
      </c>
      <c r="G128" s="92" t="s">
        <v>67</v>
      </c>
      <c r="H128" s="92" t="s">
        <v>67</v>
      </c>
      <c r="I128" s="92" t="s">
        <v>67</v>
      </c>
      <c r="J128" s="91" t="s">
        <v>67</v>
      </c>
      <c r="K128" s="89"/>
      <c r="L128" s="94" t="s">
        <v>72</v>
      </c>
    </row>
    <row r="129" ht="23.25">
      <c r="A129" s="89"/>
      <c r="B129" s="190" t="s">
        <v>148</v>
      </c>
      <c r="C129" s="147">
        <f>C132/'Revenue summary'!C120</f>
        <v>0.03537532355478861</v>
      </c>
      <c r="D129" s="147">
        <f>D132/'Revenue summary'!D120</f>
        <v>0.03408146300914381</v>
      </c>
      <c r="E129" s="147">
        <f>E132/'Revenue summary'!E120</f>
        <v>0.03317152103559871</v>
      </c>
      <c r="F129" s="147">
        <f>F132/'Revenue summary'!F120</f>
        <v>0.03789004457652303</v>
      </c>
      <c r="G129" s="147">
        <f>G132/'Revenue summary'!G120</f>
        <v>0.03519417475728155</v>
      </c>
      <c r="H129" s="147">
        <f>H132/'Revenue summary'!H120</f>
        <v>0.03868613138686131</v>
      </c>
      <c r="I129" s="147">
        <f>I132/'Revenue summary'!I120</f>
        <v>0.03734439834024896</v>
      </c>
      <c r="J129" s="148">
        <v>0.038</v>
      </c>
      <c r="K129" s="89"/>
      <c r="L129" s="89"/>
    </row>
    <row r="130">
      <c r="A130" s="89"/>
      <c r="B130" s="88" t="s">
        <v>108</v>
      </c>
      <c r="C130" s="103" t="s">
        <v>51</v>
      </c>
      <c r="D130" s="103">
        <f>(D129-C129)*10000</f>
        <v>-12.93860545644801</v>
      </c>
      <c r="E130" s="103">
        <f>(E129-D129)*10000</f>
        <v>-9.099419735451031</v>
      </c>
      <c r="F130" s="103">
        <f>(F129-E129)*10000</f>
        <v>47.18523540924321</v>
      </c>
      <c r="G130" s="103" t="s">
        <v>51</v>
      </c>
      <c r="H130" s="103">
        <f>(H129-F129)*10000</f>
        <v>7.96086810338284</v>
      </c>
      <c r="I130" s="103">
        <f>(I129-H129)*10000</f>
        <v>-13.417330466123506</v>
      </c>
      <c r="J130" s="128">
        <f>(J129-I129)*10000</f>
        <v>6.556016597510372</v>
      </c>
      <c r="K130" s="89"/>
      <c r="L130" s="89"/>
    </row>
    <row r="131">
      <c r="A131" s="89"/>
      <c r="B131" s="88" t="s">
        <v>109</v>
      </c>
      <c r="C131" s="103" t="s">
        <v>51</v>
      </c>
      <c r="D131" s="103" t="s">
        <v>51</v>
      </c>
      <c r="E131" s="103" t="s">
        <v>51</v>
      </c>
      <c r="F131" s="103" t="s">
        <v>51</v>
      </c>
      <c r="G131" s="103" t="s">
        <v>51</v>
      </c>
      <c r="H131" s="103">
        <f>(H129-C129)*10000</f>
        <v>33.10807832072701</v>
      </c>
      <c r="I131" s="103">
        <f>(I129-D129)*10000</f>
        <v>32.62935331105152</v>
      </c>
      <c r="J131" s="128">
        <f>(J129-E129)*10000</f>
        <v>48.28478964401292</v>
      </c>
      <c r="K131" s="89"/>
      <c r="L131" s="89"/>
    </row>
    <row r="132">
      <c r="A132" s="89"/>
      <c r="B132" s="88" t="s">
        <v>86</v>
      </c>
      <c r="C132" s="86">
        <v>41</v>
      </c>
      <c r="D132" s="86">
        <v>41</v>
      </c>
      <c r="E132" s="86">
        <v>41</v>
      </c>
      <c r="F132" s="86">
        <v>51</v>
      </c>
      <c r="G132" s="95">
        <f>SUM(C132:F132)</f>
        <v>174</v>
      </c>
      <c r="H132" s="86">
        <v>53</v>
      </c>
      <c r="I132" s="86">
        <v>54</v>
      </c>
      <c r="J132" s="117">
        <f>J129*'Revenue summary'!J120</f>
        <v>52.887009095890406</v>
      </c>
      <c r="K132" s="89"/>
      <c r="L132" s="89"/>
    </row>
    <row r="133">
      <c r="A133" s="89"/>
      <c r="B133" s="87" t="s">
        <v>63</v>
      </c>
      <c r="C133" s="92" t="s">
        <v>51</v>
      </c>
      <c r="D133" s="92" t="s">
        <v>51</v>
      </c>
      <c r="E133" s="92" t="s">
        <v>51</v>
      </c>
      <c r="F133" s="92" t="s">
        <v>51</v>
      </c>
      <c r="G133" s="92" t="s">
        <v>51</v>
      </c>
      <c r="H133" s="92">
        <f>IF(C132&lt;=0,"n.m.",H132/C132-1)</f>
        <v>0.29268292682926833</v>
      </c>
      <c r="I133" s="92">
        <f>IF(D132&lt;=0,"n.m.",I132/D132-1)</f>
        <v>0.3170731707317074</v>
      </c>
      <c r="J133" s="91">
        <f>IF(E132&lt;=0,"n.m.",J132/E132-1)</f>
        <v>0.2899270511192782</v>
      </c>
      <c r="K133" s="89"/>
      <c r="L133" s="89"/>
    </row>
    <row r="134">
      <c r="A134" s="89"/>
      <c r="B134" s="87" t="s">
        <v>64</v>
      </c>
      <c r="C134" s="92" t="s">
        <v>51</v>
      </c>
      <c r="D134" s="92">
        <f>IF(C132&lt;=0,"n.m.",D132/C132-1)</f>
        <v>0</v>
      </c>
      <c r="E134" s="92">
        <f>IF(D132&lt;=0,"n.m.",E132/D132-1)</f>
        <v>0</v>
      </c>
      <c r="F134" s="92">
        <f>IF(E132&lt;=0,"n.m.",F132/E132-1)</f>
        <v>0.24390243902439024</v>
      </c>
      <c r="G134" s="92" t="s">
        <v>51</v>
      </c>
      <c r="H134" s="92">
        <f>IF(F132&lt;=0,"n.m.",H132/F132-1)</f>
        <v>0.03921568627450989</v>
      </c>
      <c r="I134" s="92">
        <f>IF(H132&lt;=0,"n.m.",I132/H132-1)</f>
        <v>0.018867924528301883</v>
      </c>
      <c r="J134" s="91">
        <f>IF(I132&lt;=0,"n.m.",J132/I132-1)</f>
        <v>-0.02061094266869623</v>
      </c>
      <c r="K134" s="89"/>
      <c r="L134" s="89"/>
    </row>
    <row r="135">
      <c r="A135" s="89"/>
      <c r="B135" s="87" t="s">
        <v>127</v>
      </c>
      <c r="C135" s="92">
        <f>IF(C139=0,"n.m.",C132/C139)</f>
        <v>0.05263157894736842</v>
      </c>
      <c r="D135" s="92">
        <f>IF(D139=0,"n.m.",D132/D139)</f>
        <v>0.05118601747815231</v>
      </c>
      <c r="E135" s="92">
        <f>IF(E139=0,"n.m.",E132/E139)</f>
        <v>0.04975728155339806</v>
      </c>
      <c r="F135" s="92">
        <f>IF(F139=0,"n.m.",F132/F139)</f>
        <v>0.059718969555035126</v>
      </c>
      <c r="G135" s="92">
        <f>IF(G139=0,"n.m.",G132/G139)</f>
        <v>0.053406998158379376</v>
      </c>
      <c r="H135" s="92">
        <f>IF(H139=0,"n.m.",H132/H139)</f>
        <v>0.06424242424242424</v>
      </c>
      <c r="I135" s="92">
        <f>IF(I139=0,"n.m.",I132/I139)</f>
        <v>0.06257242178447277</v>
      </c>
      <c r="J135" s="91">
        <f>IF(J139=0,"n.m.",J132/J139)</f>
        <v>0.06121048878453303</v>
      </c>
      <c r="K135" s="89"/>
      <c r="L135" s="89"/>
    </row>
    <row r="136">
      <c r="A136" s="89"/>
      <c r="B136" s="87" t="s">
        <v>66</v>
      </c>
      <c r="C136" s="92" t="s">
        <v>67</v>
      </c>
      <c r="D136" s="92" t="s">
        <v>67</v>
      </c>
      <c r="E136" s="92" t="s">
        <v>67</v>
      </c>
      <c r="F136" s="92" t="s">
        <v>67</v>
      </c>
      <c r="G136" s="92" t="s">
        <v>67</v>
      </c>
      <c r="H136" s="92" t="s">
        <v>67</v>
      </c>
      <c r="I136" s="92" t="s">
        <v>67</v>
      </c>
      <c r="J136" s="91" t="s">
        <v>67</v>
      </c>
      <c r="K136" s="89"/>
      <c r="L136" s="94" t="s">
        <v>68</v>
      </c>
    </row>
    <row r="137">
      <c r="A137" s="89"/>
      <c r="B137" s="87" t="s">
        <v>69</v>
      </c>
      <c r="C137" s="92" t="s">
        <v>67</v>
      </c>
      <c r="D137" s="92" t="s">
        <v>67</v>
      </c>
      <c r="E137" s="92" t="s">
        <v>67</v>
      </c>
      <c r="F137" s="92" t="s">
        <v>67</v>
      </c>
      <c r="G137" s="92" t="s">
        <v>67</v>
      </c>
      <c r="H137" s="92" t="s">
        <v>67</v>
      </c>
      <c r="I137" s="92" t="s">
        <v>67</v>
      </c>
      <c r="J137" s="91" t="s">
        <v>67</v>
      </c>
      <c r="K137" s="89"/>
      <c r="L137" s="94" t="s">
        <v>70</v>
      </c>
    </row>
    <row r="138">
      <c r="A138" s="89"/>
      <c r="B138" s="87" t="s">
        <v>71</v>
      </c>
      <c r="C138" s="92" t="s">
        <v>67</v>
      </c>
      <c r="D138" s="92" t="s">
        <v>67</v>
      </c>
      <c r="E138" s="92" t="s">
        <v>67</v>
      </c>
      <c r="F138" s="92" t="s">
        <v>67</v>
      </c>
      <c r="G138" s="92" t="s">
        <v>67</v>
      </c>
      <c r="H138" s="92" t="s">
        <v>67</v>
      </c>
      <c r="I138" s="92" t="s">
        <v>67</v>
      </c>
      <c r="J138" s="91" t="s">
        <v>67</v>
      </c>
      <c r="K138" s="89"/>
      <c r="L138" s="94" t="s">
        <v>72</v>
      </c>
    </row>
    <row r="139" ht="23.24853515625">
      <c r="A139" s="89"/>
      <c r="B139" s="186" t="s">
        <v>262</v>
      </c>
      <c r="C139" s="90">
        <f>C115+C122+C132</f>
        <v>779</v>
      </c>
      <c r="D139" s="90">
        <f>D115+D122+D132</f>
        <v>801</v>
      </c>
      <c r="E139" s="90">
        <f>E115+E122+E132</f>
        <v>824</v>
      </c>
      <c r="F139" s="90">
        <f>F115+F122+F132</f>
        <v>854</v>
      </c>
      <c r="G139" s="90">
        <f>G115+G122+G132</f>
        <v>3258</v>
      </c>
      <c r="H139" s="90">
        <f>H115+H122+H132</f>
        <v>825</v>
      </c>
      <c r="I139" s="90">
        <f>I115+I122+I132</f>
        <v>863</v>
      </c>
      <c r="J139" s="135">
        <f>J115+J122+J132</f>
        <v>864.0187351232876</v>
      </c>
      <c r="K139" s="89"/>
      <c r="L139" s="89"/>
    </row>
    <row r="140">
      <c r="A140" s="89"/>
      <c r="B140" s="87" t="s">
        <v>63</v>
      </c>
      <c r="C140" s="92" t="s">
        <v>51</v>
      </c>
      <c r="D140" s="92" t="s">
        <v>51</v>
      </c>
      <c r="E140" s="92" t="s">
        <v>51</v>
      </c>
      <c r="F140" s="92" t="s">
        <v>51</v>
      </c>
      <c r="G140" s="92" t="s">
        <v>51</v>
      </c>
      <c r="H140" s="92">
        <f>IF(C139&lt;=0,"n.m.",H139/C139-1)</f>
        <v>0.05905006418485237</v>
      </c>
      <c r="I140" s="92">
        <f>IF(D139&lt;=0,"n.m.",I139/D139-1)</f>
        <v>0.07740324594257175</v>
      </c>
      <c r="J140" s="91">
        <f>IF(E139&lt;=0,"n.m.",J139/E139-1)</f>
        <v>0.048566426120494555</v>
      </c>
      <c r="K140" s="89"/>
      <c r="L140" s="89"/>
    </row>
    <row r="141">
      <c r="A141" s="89"/>
      <c r="B141" s="87" t="s">
        <v>64</v>
      </c>
      <c r="C141" s="92" t="s">
        <v>51</v>
      </c>
      <c r="D141" s="92">
        <f>IF(C139&lt;=0,"n.m.",D139/C139-1)</f>
        <v>0.028241335044929317</v>
      </c>
      <c r="E141" s="92">
        <f>IF(D139&lt;=0,"n.m.",E139/D139-1)</f>
        <v>0.02871410736579283</v>
      </c>
      <c r="F141" s="92">
        <f>IF(E139&lt;=0,"n.m.",F139/E139-1)</f>
        <v>0.03640776699029136</v>
      </c>
      <c r="G141" s="92" t="s">
        <v>51</v>
      </c>
      <c r="H141" s="92">
        <f>IF(F139&lt;=0,"n.m.",H139/F139-1)</f>
        <v>-0.03395784543325531</v>
      </c>
      <c r="I141" s="92">
        <f>IF(H139&lt;=0,"n.m.",I139/H139-1)</f>
        <v>0.046060606060606135</v>
      </c>
      <c r="J141" s="91">
        <f>IF(I139&lt;=0,"n.m.",J139/I139-1)</f>
        <v>0.001180457848537264</v>
      </c>
      <c r="K141" s="89"/>
      <c r="L141" s="89"/>
    </row>
    <row r="142">
      <c r="A142" s="89"/>
      <c r="B142" s="87" t="s">
        <v>66</v>
      </c>
      <c r="C142" s="92" t="s">
        <v>67</v>
      </c>
      <c r="D142" s="92" t="s">
        <v>67</v>
      </c>
      <c r="E142" s="92" t="s">
        <v>67</v>
      </c>
      <c r="F142" s="92" t="s">
        <v>67</v>
      </c>
      <c r="G142" s="92" t="s">
        <v>67</v>
      </c>
      <c r="H142" s="92" t="s">
        <v>67</v>
      </c>
      <c r="I142" s="92" t="s">
        <v>67</v>
      </c>
      <c r="J142" s="91" t="s">
        <v>67</v>
      </c>
      <c r="K142" s="89"/>
      <c r="L142" s="94" t="s">
        <v>68</v>
      </c>
    </row>
    <row r="143">
      <c r="A143" s="89"/>
      <c r="B143" s="87" t="s">
        <v>69</v>
      </c>
      <c r="C143" s="92" t="s">
        <v>67</v>
      </c>
      <c r="D143" s="92" t="s">
        <v>67</v>
      </c>
      <c r="E143" s="92" t="s">
        <v>67</v>
      </c>
      <c r="F143" s="92" t="s">
        <v>67</v>
      </c>
      <c r="G143" s="92" t="s">
        <v>67</v>
      </c>
      <c r="H143" s="92" t="s">
        <v>67</v>
      </c>
      <c r="I143" s="92" t="s">
        <v>67</v>
      </c>
      <c r="J143" s="91" t="s">
        <v>67</v>
      </c>
      <c r="K143" s="89"/>
      <c r="L143" s="94" t="s">
        <v>70</v>
      </c>
    </row>
    <row r="144">
      <c r="A144" s="89"/>
      <c r="B144" s="87" t="s">
        <v>71</v>
      </c>
      <c r="C144" s="92" t="s">
        <v>67</v>
      </c>
      <c r="D144" s="92" t="s">
        <v>67</v>
      </c>
      <c r="E144" s="92" t="s">
        <v>67</v>
      </c>
      <c r="F144" s="92" t="s">
        <v>67</v>
      </c>
      <c r="G144" s="92" t="s">
        <v>67</v>
      </c>
      <c r="H144" s="92" t="s">
        <v>67</v>
      </c>
      <c r="I144" s="92" t="s">
        <v>67</v>
      </c>
      <c r="J144" s="91" t="s">
        <v>67</v>
      </c>
      <c r="K144" s="89"/>
      <c r="L144" s="94" t="s">
        <v>72</v>
      </c>
    </row>
    <row r="145">
      <c r="A145" s="89"/>
      <c r="B145" s="88" t="s">
        <v>151</v>
      </c>
      <c r="C145" s="86">
        <v>779</v>
      </c>
      <c r="D145" s="86">
        <v>801</v>
      </c>
      <c r="E145" s="86">
        <v>824</v>
      </c>
      <c r="F145" s="86">
        <v>854</v>
      </c>
      <c r="G145" s="95">
        <f>SUM(C145:F145)</f>
        <v>3258</v>
      </c>
      <c r="H145" s="86">
        <v>825</v>
      </c>
      <c r="I145" s="86">
        <v>863</v>
      </c>
      <c r="J145" s="121" t="s">
        <v>51</v>
      </c>
      <c r="K145" s="89"/>
      <c r="L145" s="89"/>
    </row>
    <row r="146" ht="23.25">
      <c r="A146" s="89"/>
      <c r="B146" s="187" t="s">
        <v>152</v>
      </c>
      <c r="C146" s="99" t="b">
        <f>ABS(C139-C145)&lt;0.5</f>
        <v>1</v>
      </c>
      <c r="D146" s="99" t="b">
        <f>ABS(D139-D145)&lt;0.5</f>
        <v>1</v>
      </c>
      <c r="E146" s="99" t="b">
        <f>ABS(E139-E145)&lt;0.5</f>
        <v>1</v>
      </c>
      <c r="F146" s="99" t="b">
        <f>ABS(F139-F145)&lt;0.5</f>
        <v>1</v>
      </c>
      <c r="G146" s="99" t="b">
        <f>ABS(G139-G145)&lt;0.5</f>
        <v>1</v>
      </c>
      <c r="H146" s="99" t="b">
        <f>ABS(H139-H145)&lt;0.5</f>
        <v>1</v>
      </c>
      <c r="I146" s="99" t="b">
        <f>ABS(I139-I145)&lt;0.5</f>
        <v>1</v>
      </c>
      <c r="J146" s="97"/>
      <c r="K146" s="89"/>
      <c r="L146" s="89"/>
    </row>
    <row r="147">
      <c r="A147" s="89"/>
      <c r="B147" s="89"/>
      <c r="C147" s="89"/>
      <c r="D147" s="89"/>
      <c r="E147" s="89"/>
      <c r="F147" s="89"/>
      <c r="G147" s="89"/>
      <c r="H147" s="89"/>
      <c r="I147" s="89"/>
      <c r="J147" s="97"/>
      <c r="K147" s="89"/>
      <c r="L147" s="89"/>
    </row>
    <row r="148">
      <c r="A148" s="89"/>
      <c r="B148" s="104" t="s">
        <v>153</v>
      </c>
      <c r="C148" s="89"/>
      <c r="D148" s="89"/>
      <c r="E148" s="89"/>
      <c r="F148" s="89"/>
      <c r="G148" s="89"/>
      <c r="H148" s="89"/>
      <c r="I148" s="89"/>
      <c r="J148" s="97"/>
      <c r="K148" s="89"/>
      <c r="L148" s="89"/>
    </row>
    <row r="149">
      <c r="A149" s="89"/>
      <c r="B149" s="88" t="s">
        <v>263</v>
      </c>
      <c r="C149" s="86">
        <v>261</v>
      </c>
      <c r="D149" s="86">
        <v>258</v>
      </c>
      <c r="E149" s="86">
        <v>265</v>
      </c>
      <c r="F149" s="86">
        <v>277</v>
      </c>
      <c r="G149" s="95">
        <f>SUM(C149:F149)</f>
        <v>1061</v>
      </c>
      <c r="H149" s="86">
        <v>275</v>
      </c>
      <c r="I149" s="86">
        <v>286</v>
      </c>
      <c r="J149" s="136">
        <v>288</v>
      </c>
      <c r="K149" s="89"/>
      <c r="L149" s="94" t="s">
        <v>264</v>
      </c>
    </row>
    <row r="150">
      <c r="A150" s="89"/>
      <c r="B150" s="87" t="s">
        <v>63</v>
      </c>
      <c r="C150" s="92" t="s">
        <v>51</v>
      </c>
      <c r="D150" s="92" t="s">
        <v>51</v>
      </c>
      <c r="E150" s="92" t="s">
        <v>51</v>
      </c>
      <c r="F150" s="92" t="s">
        <v>51</v>
      </c>
      <c r="G150" s="92" t="s">
        <v>51</v>
      </c>
      <c r="H150" s="92">
        <f>IF(C149&lt;=0,"n.m.",H149/C149-1)</f>
        <v>0.05363984674329503</v>
      </c>
      <c r="I150" s="92">
        <f>IF(D149&lt;=0,"n.m.",I149/D149-1)</f>
        <v>0.10852713178294571</v>
      </c>
      <c r="J150" s="91">
        <f>IF(E149&lt;=0,"n.m.",J149/E149-1)</f>
        <v>0.08679245283018866</v>
      </c>
      <c r="K150" s="89"/>
      <c r="L150" s="89"/>
    </row>
    <row r="151">
      <c r="A151" s="89"/>
      <c r="B151" s="87" t="s">
        <v>64</v>
      </c>
      <c r="C151" s="92" t="s">
        <v>51</v>
      </c>
      <c r="D151" s="92">
        <f>IF(C149&lt;=0,"n.m.",D149/C149-1)</f>
        <v>-0.011494252873563204</v>
      </c>
      <c r="E151" s="92">
        <f>IF(D149&lt;=0,"n.m.",E149/D149-1)</f>
        <v>0.027131782945736482</v>
      </c>
      <c r="F151" s="92">
        <f>IF(E149&lt;=0,"n.m.",F149/E149-1)</f>
        <v>0.04528301886792452</v>
      </c>
      <c r="G151" s="92" t="s">
        <v>51</v>
      </c>
      <c r="H151" s="92">
        <f>IF(F149&lt;=0,"n.m.",H149/F149-1)</f>
        <v>-0.0072202166064981865</v>
      </c>
      <c r="I151" s="92">
        <f>IF(H149&lt;=0,"n.m.",I149/H149-1)</f>
        <v>0.040000000000000036</v>
      </c>
      <c r="J151" s="91">
        <f>IF(I149&lt;=0,"n.m.",J149/I149-1)</f>
        <v>0.006993006993007089</v>
      </c>
      <c r="K151" s="89"/>
      <c r="L151" s="89"/>
    </row>
    <row r="152">
      <c r="A152" s="89"/>
      <c r="B152" s="87" t="s">
        <v>127</v>
      </c>
      <c r="C152" s="92">
        <f>IF(C139=0,"n.m.",C149/C139)</f>
        <v>0.33504492939666236</v>
      </c>
      <c r="D152" s="92">
        <f>IF(D139=0,"n.m.",D149/D139)</f>
        <v>0.32209737827715357</v>
      </c>
      <c r="E152" s="92">
        <f>IF(E139=0,"n.m.",E149/E139)</f>
        <v>0.32160194174757284</v>
      </c>
      <c r="F152" s="92">
        <f>IF(F139=0,"n.m.",F149/F139)</f>
        <v>0.32435597189695553</v>
      </c>
      <c r="G152" s="92">
        <f>IF(G139=0,"n.m.",G149/G139)</f>
        <v>0.3256599140577041</v>
      </c>
      <c r="H152" s="92">
        <f>IF(H139=0,"n.m.",H149/H139)</f>
        <v>0.3333333333333333</v>
      </c>
      <c r="I152" s="92">
        <f>IF(I139=0,"n.m.",I149/I139)</f>
        <v>0.3314020857473928</v>
      </c>
      <c r="J152" s="91">
        <f>IF(J139=0,"n.m.",J149/J139)</f>
        <v>0.3333261054332404</v>
      </c>
      <c r="K152" s="89"/>
      <c r="L152" s="89"/>
    </row>
    <row r="153">
      <c r="A153" s="89"/>
      <c r="B153" s="87" t="s">
        <v>66</v>
      </c>
      <c r="C153" s="92" t="s">
        <v>67</v>
      </c>
      <c r="D153" s="92" t="s">
        <v>67</v>
      </c>
      <c r="E153" s="92" t="s">
        <v>67</v>
      </c>
      <c r="F153" s="92" t="s">
        <v>67</v>
      </c>
      <c r="G153" s="92" t="s">
        <v>67</v>
      </c>
      <c r="H153" s="92" t="s">
        <v>67</v>
      </c>
      <c r="I153" s="92" t="s">
        <v>67</v>
      </c>
      <c r="J153" s="91" t="s">
        <v>67</v>
      </c>
      <c r="K153" s="89"/>
      <c r="L153" s="94" t="s">
        <v>68</v>
      </c>
    </row>
    <row r="154">
      <c r="A154" s="89"/>
      <c r="B154" s="87" t="s">
        <v>69</v>
      </c>
      <c r="C154" s="92" t="s">
        <v>67</v>
      </c>
      <c r="D154" s="92" t="s">
        <v>67</v>
      </c>
      <c r="E154" s="92" t="s">
        <v>67</v>
      </c>
      <c r="F154" s="92" t="s">
        <v>67</v>
      </c>
      <c r="G154" s="92" t="s">
        <v>67</v>
      </c>
      <c r="H154" s="92" t="s">
        <v>67</v>
      </c>
      <c r="I154" s="92" t="s">
        <v>67</v>
      </c>
      <c r="J154" s="91" t="s">
        <v>67</v>
      </c>
      <c r="K154" s="89"/>
      <c r="L154" s="94" t="s">
        <v>70</v>
      </c>
    </row>
    <row r="155">
      <c r="A155" s="89"/>
      <c r="B155" s="87" t="s">
        <v>71</v>
      </c>
      <c r="C155" s="92" t="s">
        <v>67</v>
      </c>
      <c r="D155" s="92" t="s">
        <v>67</v>
      </c>
      <c r="E155" s="92" t="s">
        <v>67</v>
      </c>
      <c r="F155" s="92" t="s">
        <v>67</v>
      </c>
      <c r="G155" s="92" t="s">
        <v>67</v>
      </c>
      <c r="H155" s="92" t="s">
        <v>67</v>
      </c>
      <c r="I155" s="92" t="s">
        <v>67</v>
      </c>
      <c r="J155" s="91" t="s">
        <v>67</v>
      </c>
      <c r="K155" s="89"/>
      <c r="L155" s="94" t="s">
        <v>72</v>
      </c>
    </row>
    <row r="156">
      <c r="A156" s="89"/>
      <c r="B156" s="88" t="s">
        <v>265</v>
      </c>
      <c r="C156" s="86">
        <v>518</v>
      </c>
      <c r="D156" s="86">
        <v>543</v>
      </c>
      <c r="E156" s="86">
        <v>559</v>
      </c>
      <c r="F156" s="86">
        <v>577</v>
      </c>
      <c r="G156" s="95">
        <f>SUM(C156:F156)</f>
        <v>2197</v>
      </c>
      <c r="H156" s="86">
        <v>550</v>
      </c>
      <c r="I156" s="86">
        <v>577</v>
      </c>
      <c r="J156" s="121">
        <f>J139-J149</f>
        <v>576.0187351232876</v>
      </c>
      <c r="K156" s="89"/>
      <c r="L156" s="89"/>
    </row>
    <row r="157">
      <c r="A157" s="89"/>
      <c r="B157" s="87" t="s">
        <v>63</v>
      </c>
      <c r="C157" s="92" t="s">
        <v>51</v>
      </c>
      <c r="D157" s="92" t="s">
        <v>51</v>
      </c>
      <c r="E157" s="92" t="s">
        <v>51</v>
      </c>
      <c r="F157" s="92" t="s">
        <v>51</v>
      </c>
      <c r="G157" s="92" t="s">
        <v>51</v>
      </c>
      <c r="H157" s="92">
        <f>IF(C156&lt;=0,"n.m.",H156/C156-1)</f>
        <v>0.061776061776061875</v>
      </c>
      <c r="I157" s="92">
        <f>IF(D156&lt;=0,"n.m.",I156/D156-1)</f>
        <v>0.0626151012891345</v>
      </c>
      <c r="J157" s="91">
        <f>IF(E156&lt;=0,"n.m.",J156/E156-1)</f>
        <v>0.03044496444237499</v>
      </c>
      <c r="K157" s="89"/>
      <c r="L157" s="89"/>
    </row>
    <row r="158">
      <c r="A158" s="89"/>
      <c r="B158" s="87" t="s">
        <v>64</v>
      </c>
      <c r="C158" s="92" t="s">
        <v>51</v>
      </c>
      <c r="D158" s="92">
        <f>IF(C156&lt;=0,"n.m.",D156/C156-1)</f>
        <v>0.04826254826254828</v>
      </c>
      <c r="E158" s="92">
        <f>IF(D156&lt;=0,"n.m.",E156/D156-1)</f>
        <v>0.02946593001841613</v>
      </c>
      <c r="F158" s="92">
        <f>IF(E156&lt;=0,"n.m.",F156/E156-1)</f>
        <v>0.03220035778175312</v>
      </c>
      <c r="G158" s="92" t="s">
        <v>51</v>
      </c>
      <c r="H158" s="92">
        <f>IF(F156&lt;=0,"n.m.",H156/F156-1)</f>
        <v>-0.04679376083188913</v>
      </c>
      <c r="I158" s="92">
        <f>IF(H156&lt;=0,"n.m.",I156/H156-1)</f>
        <v>0.049090909090909074</v>
      </c>
      <c r="J158" s="91">
        <f>IF(I156&lt;=0,"n.m.",J156/I156-1)</f>
        <v>-0.0017006323686523661</v>
      </c>
      <c r="K158" s="89"/>
      <c r="L158" s="89"/>
    </row>
    <row r="159">
      <c r="A159" s="89"/>
      <c r="B159" s="87" t="s">
        <v>127</v>
      </c>
      <c r="C159" s="92">
        <f>IF(C139=0,"n.m.",C156/C139)</f>
        <v>0.6649550706033376</v>
      </c>
      <c r="D159" s="92">
        <f>IF(D139=0,"n.m.",D156/D139)</f>
        <v>0.6779026217228464</v>
      </c>
      <c r="E159" s="92">
        <f>IF(E139=0,"n.m.",E156/E139)</f>
        <v>0.6783980582524272</v>
      </c>
      <c r="F159" s="92">
        <f>IF(F139=0,"n.m.",F156/F139)</f>
        <v>0.6756440281030445</v>
      </c>
      <c r="G159" s="92">
        <f>IF(G139=0,"n.m.",G156/G139)</f>
        <v>0.6743400859422959</v>
      </c>
      <c r="H159" s="92">
        <f>IF(H139=0,"n.m.",H156/H139)</f>
        <v>0.6666666666666666</v>
      </c>
      <c r="I159" s="92">
        <f>IF(I139=0,"n.m.",I156/I139)</f>
        <v>0.6685979142526072</v>
      </c>
      <c r="J159" s="91">
        <f>IF(J139=0,"n.m.",J156/J139)</f>
        <v>0.6666738945667595</v>
      </c>
      <c r="K159" s="89"/>
      <c r="L159" s="89"/>
    </row>
    <row r="160">
      <c r="A160" s="89"/>
      <c r="B160" s="87" t="s">
        <v>66</v>
      </c>
      <c r="C160" s="92" t="s">
        <v>67</v>
      </c>
      <c r="D160" s="92" t="s">
        <v>67</v>
      </c>
      <c r="E160" s="92" t="s">
        <v>67</v>
      </c>
      <c r="F160" s="92" t="s">
        <v>67</v>
      </c>
      <c r="G160" s="92" t="s">
        <v>67</v>
      </c>
      <c r="H160" s="92" t="s">
        <v>67</v>
      </c>
      <c r="I160" s="92" t="s">
        <v>67</v>
      </c>
      <c r="J160" s="91" t="s">
        <v>67</v>
      </c>
      <c r="K160" s="89"/>
      <c r="L160" s="94" t="s">
        <v>68</v>
      </c>
    </row>
    <row r="161">
      <c r="A161" s="89"/>
      <c r="B161" s="87" t="s">
        <v>69</v>
      </c>
      <c r="C161" s="92" t="s">
        <v>67</v>
      </c>
      <c r="D161" s="92" t="s">
        <v>67</v>
      </c>
      <c r="E161" s="92" t="s">
        <v>67</v>
      </c>
      <c r="F161" s="92" t="s">
        <v>67</v>
      </c>
      <c r="G161" s="92" t="s">
        <v>67</v>
      </c>
      <c r="H161" s="92" t="s">
        <v>67</v>
      </c>
      <c r="I161" s="92" t="s">
        <v>67</v>
      </c>
      <c r="J161" s="91" t="s">
        <v>67</v>
      </c>
      <c r="K161" s="89"/>
      <c r="L161" s="94" t="s">
        <v>70</v>
      </c>
    </row>
    <row r="162">
      <c r="A162" s="89"/>
      <c r="B162" s="87" t="s">
        <v>71</v>
      </c>
      <c r="C162" s="92" t="s">
        <v>67</v>
      </c>
      <c r="D162" s="92" t="s">
        <v>67</v>
      </c>
      <c r="E162" s="92" t="s">
        <v>67</v>
      </c>
      <c r="F162" s="92" t="s">
        <v>67</v>
      </c>
      <c r="G162" s="92" t="s">
        <v>67</v>
      </c>
      <c r="H162" s="92" t="s">
        <v>67</v>
      </c>
      <c r="I162" s="92" t="s">
        <v>67</v>
      </c>
      <c r="J162" s="91" t="s">
        <v>67</v>
      </c>
      <c r="K162" s="89"/>
      <c r="L162" s="94" t="s">
        <v>72</v>
      </c>
    </row>
    <row r="163">
      <c r="A163" s="89"/>
      <c r="B163" s="104" t="s">
        <v>158</v>
      </c>
      <c r="C163" s="90">
        <f>C156+C149</f>
        <v>779</v>
      </c>
      <c r="D163" s="90">
        <f>D156+D149</f>
        <v>801</v>
      </c>
      <c r="E163" s="90">
        <f>E156+E149</f>
        <v>824</v>
      </c>
      <c r="F163" s="90">
        <f>F156+F149</f>
        <v>854</v>
      </c>
      <c r="G163" s="90">
        <f>G156+G149</f>
        <v>3258</v>
      </c>
      <c r="H163" s="90">
        <f>H156+H149</f>
        <v>825</v>
      </c>
      <c r="I163" s="90">
        <f>I156+I149</f>
        <v>863</v>
      </c>
      <c r="J163" s="135">
        <f>J156+J149</f>
        <v>864.0187351232876</v>
      </c>
      <c r="K163" s="89"/>
      <c r="L163" s="89"/>
    </row>
    <row r="164" ht="23.25">
      <c r="A164" s="89"/>
      <c r="B164" s="187" t="s">
        <v>159</v>
      </c>
      <c r="C164" s="99" t="b">
        <f>ABS(C163-C139)&lt;0.5</f>
        <v>1</v>
      </c>
      <c r="D164" s="99" t="b">
        <f>ABS(D163-D139)&lt;0.5</f>
        <v>1</v>
      </c>
      <c r="E164" s="99" t="b">
        <f>ABS(E163-E139)&lt;0.5</f>
        <v>1</v>
      </c>
      <c r="F164" s="99" t="b">
        <f>ABS(F163-F139)&lt;0.5</f>
        <v>1</v>
      </c>
      <c r="G164" s="99" t="b">
        <f>ABS(G163-G139)&lt;0.5</f>
        <v>1</v>
      </c>
      <c r="H164" s="99" t="b">
        <f>ABS(H163-H139)&lt;0.5</f>
        <v>1</v>
      </c>
      <c r="I164" s="99" t="b">
        <f>ABS(I163-I139)&lt;0.5</f>
        <v>1</v>
      </c>
      <c r="J164" s="139" t="b">
        <f>ABS(J163-J139)&lt;0.5</f>
        <v>1</v>
      </c>
      <c r="K164" s="89"/>
      <c r="L164" s="181" t="s">
        <v>266</v>
      </c>
    </row>
    <row r="165">
      <c r="A165" s="89"/>
      <c r="B165" s="89"/>
      <c r="C165" s="89"/>
      <c r="D165" s="89"/>
      <c r="E165" s="89"/>
      <c r="F165" s="89"/>
      <c r="G165" s="89"/>
      <c r="H165" s="89"/>
      <c r="I165" s="89"/>
      <c r="J165" s="97"/>
      <c r="K165" s="89"/>
      <c r="L165" s="89"/>
    </row>
    <row r="166">
      <c r="A166" s="89"/>
      <c r="B166" s="104" t="s">
        <v>161</v>
      </c>
      <c r="C166" s="89"/>
      <c r="D166" s="89"/>
      <c r="E166" s="89"/>
      <c r="F166" s="89"/>
      <c r="G166" s="89"/>
      <c r="H166" s="89"/>
      <c r="I166" s="89"/>
      <c r="J166" s="97"/>
      <c r="K166" s="89"/>
      <c r="L166" s="89"/>
    </row>
    <row r="167">
      <c r="A167" s="89"/>
      <c r="B167" s="88" t="s">
        <v>162</v>
      </c>
      <c r="C167" s="86">
        <v>2</v>
      </c>
      <c r="D167" s="86">
        <v>0</v>
      </c>
      <c r="E167" s="86">
        <v>0</v>
      </c>
      <c r="F167" s="86">
        <v>3</v>
      </c>
      <c r="G167" s="95">
        <f>SUM(C167:F167)</f>
        <v>5</v>
      </c>
      <c r="H167" s="86">
        <v>9</v>
      </c>
      <c r="I167" s="86">
        <v>-5</v>
      </c>
      <c r="J167" s="136">
        <v>0</v>
      </c>
      <c r="K167" s="89"/>
      <c r="L167" s="89"/>
    </row>
    <row r="168">
      <c r="A168" s="89"/>
      <c r="B168" s="88" t="s">
        <v>163</v>
      </c>
      <c r="C168" s="86">
        <v>714</v>
      </c>
      <c r="D168" s="86">
        <v>653</v>
      </c>
      <c r="E168" s="86">
        <v>640</v>
      </c>
      <c r="F168" s="86">
        <v>703</v>
      </c>
      <c r="G168" s="95">
        <f>SUM(C168:F168)</f>
        <v>2710</v>
      </c>
      <c r="H168" s="86">
        <v>726</v>
      </c>
      <c r="I168" s="86">
        <v>686</v>
      </c>
      <c r="J168" s="136">
        <v>690</v>
      </c>
      <c r="K168" s="89"/>
      <c r="L168" s="89"/>
    </row>
    <row r="169">
      <c r="A169" s="89"/>
      <c r="B169" s="87" t="s">
        <v>93</v>
      </c>
      <c r="C169" s="92" t="s">
        <v>51</v>
      </c>
      <c r="D169" s="92" t="s">
        <v>51</v>
      </c>
      <c r="E169" s="92" t="s">
        <v>51</v>
      </c>
      <c r="F169" s="92" t="s">
        <v>51</v>
      </c>
      <c r="G169" s="92" t="s">
        <v>51</v>
      </c>
      <c r="H169" s="92">
        <f>IF(C168&lt;=0,"n.m.",H168/C168-1)</f>
        <v>0.01680672268907557</v>
      </c>
      <c r="I169" s="92">
        <f>IF(D168&lt;=0,"n.m.",I168/D168-1)</f>
        <v>0.050535987748851374</v>
      </c>
      <c r="J169" s="91">
        <f>IF(E168&lt;=0,"n.m.",J168/E168-1)</f>
        <v>0.078125</v>
      </c>
      <c r="K169" s="89"/>
      <c r="L169" s="89"/>
    </row>
    <row r="170">
      <c r="A170" s="89"/>
      <c r="B170" s="87" t="s">
        <v>64</v>
      </c>
      <c r="C170" s="92" t="s">
        <v>51</v>
      </c>
      <c r="D170" s="92">
        <f>IF(C168&lt;=0,"n.m.",D168/C168-1)</f>
        <v>-0.08543417366946782</v>
      </c>
      <c r="E170" s="92">
        <f>IF(D168&lt;=0,"n.m.",E168/D168-1)</f>
        <v>-0.019908116385911168</v>
      </c>
      <c r="F170" s="92">
        <f>IF(E168&lt;=0,"n.m.",F168/E168-1)</f>
        <v>0.09843749999999996</v>
      </c>
      <c r="G170" s="92" t="s">
        <v>51</v>
      </c>
      <c r="H170" s="92">
        <f>IF(F168&lt;=0,"n.m.",H168/F168-1)</f>
        <v>0.03271692745376953</v>
      </c>
      <c r="I170" s="92">
        <f>IF(H168&lt;=0,"n.m.",I168/H168-1)</f>
        <v>-0.05509641873278237</v>
      </c>
      <c r="J170" s="91">
        <f>IF(I168&lt;=0,"n.m.",J168/I168-1)</f>
        <v>0.005830903790087438</v>
      </c>
      <c r="K170" s="89"/>
      <c r="L170" s="89"/>
    </row>
    <row r="171">
      <c r="A171" s="89"/>
      <c r="B171" s="104" t="s">
        <v>165</v>
      </c>
      <c r="C171" s="90">
        <f>C139-C167-C168</f>
        <v>63</v>
      </c>
      <c r="D171" s="90">
        <f>D139-D167-D168</f>
        <v>148</v>
      </c>
      <c r="E171" s="90">
        <f>E139-E167-E168</f>
        <v>184</v>
      </c>
      <c r="F171" s="90">
        <f>F139-F167-F168</f>
        <v>148</v>
      </c>
      <c r="G171" s="90">
        <f>G139-G167-G168</f>
        <v>543</v>
      </c>
      <c r="H171" s="90">
        <f>H139-H167-H168</f>
        <v>90</v>
      </c>
      <c r="I171" s="90">
        <f>I139-I167-I168</f>
        <v>182</v>
      </c>
      <c r="J171" s="135">
        <f>J139-J167-J168</f>
        <v>174.01873512328757</v>
      </c>
      <c r="K171" s="89"/>
      <c r="L171" s="89"/>
    </row>
    <row r="172">
      <c r="A172" s="89"/>
      <c r="B172" s="87" t="s">
        <v>93</v>
      </c>
      <c r="C172" s="92" t="s">
        <v>51</v>
      </c>
      <c r="D172" s="92" t="s">
        <v>51</v>
      </c>
      <c r="E172" s="92" t="s">
        <v>51</v>
      </c>
      <c r="F172" s="92" t="s">
        <v>51</v>
      </c>
      <c r="G172" s="92" t="s">
        <v>51</v>
      </c>
      <c r="H172" s="92">
        <f>IF(C171&lt;=0,"n.m.",H171/C171-1)</f>
        <v>0.4285714285714286</v>
      </c>
      <c r="I172" s="92">
        <f>IF(D171&lt;=0,"n.m.",I171/D171-1)</f>
        <v>0.22972972972972983</v>
      </c>
      <c r="J172" s="91">
        <f>IF(E171&lt;=0,"n.m.",J171/E171-1)</f>
        <v>-0.05424600476474151</v>
      </c>
      <c r="K172" s="89"/>
      <c r="L172" s="89"/>
    </row>
    <row r="173">
      <c r="A173" s="89"/>
      <c r="B173" s="87" t="s">
        <v>166</v>
      </c>
      <c r="C173" s="92">
        <f>C171/C139</f>
        <v>0.08087291399229782</v>
      </c>
      <c r="D173" s="92">
        <f>D171/D139</f>
        <v>0.18476903870162298</v>
      </c>
      <c r="E173" s="92">
        <f>E171/E139</f>
        <v>0.22330097087378642</v>
      </c>
      <c r="F173" s="92">
        <f>F171/F139</f>
        <v>0.17330210772833723</v>
      </c>
      <c r="G173" s="92">
        <f>G171/G139</f>
        <v>0.16666666666666666</v>
      </c>
      <c r="H173" s="92">
        <f>H171/H139</f>
        <v>0.10909090909090909</v>
      </c>
      <c r="I173" s="92">
        <f>I171/I139</f>
        <v>0.21089223638470453</v>
      </c>
      <c r="J173" s="91">
        <f>J171/J139</f>
        <v>0.20140620573286144</v>
      </c>
      <c r="K173" s="89"/>
      <c r="L173" s="89"/>
    </row>
    <row r="174">
      <c r="A174" s="89"/>
      <c r="B174" s="88" t="s">
        <v>108</v>
      </c>
      <c r="C174" s="103" t="s">
        <v>51</v>
      </c>
      <c r="D174" s="103">
        <f>(D173-C173)*10000</f>
        <v>1038.9612470932516</v>
      </c>
      <c r="E174" s="103">
        <f>(E173-D173)*10000</f>
        <v>385.3193217216344</v>
      </c>
      <c r="F174" s="103">
        <f>(F173-E173)*10000</f>
        <v>-499.98863145449184</v>
      </c>
      <c r="G174" s="103" t="s">
        <v>51</v>
      </c>
      <c r="H174" s="103">
        <f>(H173-F173)*10000</f>
        <v>-642.1119863742815</v>
      </c>
      <c r="I174" s="103">
        <f>(I173-H173)*10000</f>
        <v>1018.0132729379544</v>
      </c>
      <c r="J174" s="128">
        <f>(J173-I173)*10000</f>
        <v>-94.86030651843086</v>
      </c>
      <c r="K174" s="89"/>
      <c r="L174" s="89"/>
    </row>
    <row r="175">
      <c r="A175" s="89"/>
      <c r="B175" s="88" t="s">
        <v>109</v>
      </c>
      <c r="C175" s="103" t="s">
        <v>51</v>
      </c>
      <c r="D175" s="103" t="s">
        <v>51</v>
      </c>
      <c r="E175" s="103" t="s">
        <v>51</v>
      </c>
      <c r="F175" s="103" t="s">
        <v>51</v>
      </c>
      <c r="G175" s="103" t="s">
        <v>51</v>
      </c>
      <c r="H175" s="103">
        <f>(H173-C173)*10000</f>
        <v>282.17995098611266</v>
      </c>
      <c r="I175" s="103">
        <f>(I173-D173)*10000</f>
        <v>261.2319768308155</v>
      </c>
      <c r="J175" s="128">
        <f>(J173-E173)*10000</f>
        <v>-218.94765140924977</v>
      </c>
      <c r="K175" s="89"/>
      <c r="L175" s="89"/>
    </row>
    <row r="176">
      <c r="A176" s="89"/>
      <c r="B176" s="89"/>
      <c r="C176" s="89"/>
      <c r="D176" s="89"/>
      <c r="E176" s="89"/>
      <c r="F176" s="89"/>
      <c r="G176" s="89"/>
      <c r="H176" s="89"/>
      <c r="I176" s="89"/>
      <c r="J176" s="97"/>
      <c r="K176" s="89"/>
      <c r="L176" s="89"/>
    </row>
    <row r="177">
      <c r="A177" s="89"/>
      <c r="B177" s="104" t="s">
        <v>167</v>
      </c>
      <c r="C177" s="89"/>
      <c r="D177" s="89"/>
      <c r="E177" s="89"/>
      <c r="F177" s="89"/>
      <c r="G177" s="89"/>
      <c r="H177" s="89"/>
      <c r="I177" s="89"/>
      <c r="J177" s="97"/>
      <c r="K177" s="89"/>
      <c r="L177" s="89"/>
    </row>
    <row r="178">
      <c r="A178" s="89"/>
      <c r="B178" s="88" t="s">
        <v>168</v>
      </c>
      <c r="C178" s="86">
        <v>13537</v>
      </c>
      <c r="D178" s="86">
        <v>13991</v>
      </c>
      <c r="E178" s="86">
        <v>14143</v>
      </c>
      <c r="F178" s="86">
        <v>13931</v>
      </c>
      <c r="G178" s="95" t="s">
        <v>51</v>
      </c>
      <c r="H178" s="86">
        <v>14233</v>
      </c>
      <c r="I178" s="86">
        <v>14410</v>
      </c>
      <c r="J178" s="136">
        <v>14500</v>
      </c>
      <c r="K178" s="89"/>
      <c r="L178" s="188" t="s">
        <v>169</v>
      </c>
    </row>
    <row r="179">
      <c r="A179" s="89"/>
      <c r="B179" s="87" t="s">
        <v>93</v>
      </c>
      <c r="C179" s="92" t="s">
        <v>51</v>
      </c>
      <c r="D179" s="92" t="s">
        <v>51</v>
      </c>
      <c r="E179" s="92" t="s">
        <v>51</v>
      </c>
      <c r="F179" s="92" t="s">
        <v>51</v>
      </c>
      <c r="G179" s="92" t="s">
        <v>51</v>
      </c>
      <c r="H179" s="92">
        <f>IF(C178&lt;=0,"n.m.",H178/C178-1)</f>
        <v>0.05141464135332785</v>
      </c>
      <c r="I179" s="92">
        <f>IF(D178&lt;=0,"n.m.",I178/D178-1)</f>
        <v>0.029947823600886325</v>
      </c>
      <c r="J179" s="91">
        <f>IF(E178&lt;=0,"n.m.",J178/E178-1)</f>
        <v>0.02524216927101741</v>
      </c>
      <c r="K179" s="89"/>
      <c r="L179" s="89"/>
    </row>
    <row r="180">
      <c r="A180" s="89"/>
      <c r="B180" s="88" t="s">
        <v>94</v>
      </c>
      <c r="C180" s="95" t="s">
        <v>51</v>
      </c>
      <c r="D180" s="95">
        <f>D178-C178</f>
        <v>454</v>
      </c>
      <c r="E180" s="95">
        <f>E178-D178</f>
        <v>152</v>
      </c>
      <c r="F180" s="95">
        <f>F178-E178</f>
        <v>-212</v>
      </c>
      <c r="G180" s="95" t="s">
        <v>51</v>
      </c>
      <c r="H180" s="95">
        <f>H178-F178</f>
        <v>302</v>
      </c>
      <c r="I180" s="95">
        <f>I178-H178</f>
        <v>177</v>
      </c>
      <c r="J180" s="121">
        <f>J178-I178</f>
        <v>90</v>
      </c>
      <c r="K180" s="89"/>
      <c r="L180" s="89"/>
    </row>
    <row r="181">
      <c r="A181" s="89"/>
      <c r="B181" s="88" t="s">
        <v>170</v>
      </c>
      <c r="C181" s="86">
        <v>9917</v>
      </c>
      <c r="D181" s="86">
        <v>9216</v>
      </c>
      <c r="E181" s="86">
        <v>9201</v>
      </c>
      <c r="F181" s="86">
        <v>9453</v>
      </c>
      <c r="G181" s="95" t="s">
        <v>51</v>
      </c>
      <c r="H181" s="86">
        <v>9592</v>
      </c>
      <c r="I181" s="86">
        <v>9691</v>
      </c>
      <c r="J181" s="136">
        <v>9700</v>
      </c>
      <c r="K181" s="89"/>
      <c r="L181" s="89"/>
    </row>
    <row r="182">
      <c r="A182" s="89"/>
      <c r="B182" s="87" t="s">
        <v>93</v>
      </c>
      <c r="C182" s="92" t="s">
        <v>51</v>
      </c>
      <c r="D182" s="92" t="s">
        <v>51</v>
      </c>
      <c r="E182" s="92" t="s">
        <v>51</v>
      </c>
      <c r="F182" s="92" t="s">
        <v>51</v>
      </c>
      <c r="G182" s="92" t="s">
        <v>51</v>
      </c>
      <c r="H182" s="92">
        <f>IF(C181&lt;=0,"n.m.",H181/C181-1)</f>
        <v>-0.032772007663607994</v>
      </c>
      <c r="I182" s="92">
        <f>IF(D181&lt;=0,"n.m.",I181/D181-1)</f>
        <v>0.05154079861111116</v>
      </c>
      <c r="J182" s="91">
        <f>IF(E181&lt;=0,"n.m.",J181/E181-1)</f>
        <v>0.05423323551787851</v>
      </c>
      <c r="K182" s="89"/>
      <c r="L182" s="89"/>
    </row>
    <row r="183">
      <c r="A183" s="89"/>
      <c r="B183" s="88" t="s">
        <v>94</v>
      </c>
      <c r="C183" s="95" t="s">
        <v>51</v>
      </c>
      <c r="D183" s="95">
        <f>D181-C181</f>
        <v>-701</v>
      </c>
      <c r="E183" s="95">
        <f>E181-D181</f>
        <v>-15</v>
      </c>
      <c r="F183" s="95">
        <f>F181-E181</f>
        <v>252</v>
      </c>
      <c r="G183" s="95" t="s">
        <v>51</v>
      </c>
      <c r="H183" s="95">
        <f>H181-F181</f>
        <v>139</v>
      </c>
      <c r="I183" s="95">
        <f>I181-H181</f>
        <v>99</v>
      </c>
      <c r="J183" s="121">
        <f>J181-I181</f>
        <v>9</v>
      </c>
      <c r="K183" s="89"/>
      <c r="L183" s="89"/>
    </row>
    <row r="184">
      <c r="A184" s="89"/>
      <c r="B184" s="88" t="s">
        <v>171</v>
      </c>
      <c r="C184" s="86">
        <v>26402</v>
      </c>
      <c r="D184" s="86">
        <v>27114</v>
      </c>
      <c r="E184" s="86">
        <v>27247</v>
      </c>
      <c r="F184" s="86">
        <v>26948</v>
      </c>
      <c r="G184" s="95" t="s">
        <v>51</v>
      </c>
      <c r="H184" s="86">
        <v>27261</v>
      </c>
      <c r="I184" s="86">
        <v>27508</v>
      </c>
      <c r="J184" s="136">
        <v>27600</v>
      </c>
      <c r="K184" s="89"/>
      <c r="L184" s="89"/>
    </row>
    <row r="185">
      <c r="A185" s="89"/>
      <c r="B185" s="87" t="s">
        <v>93</v>
      </c>
      <c r="C185" s="92" t="s">
        <v>51</v>
      </c>
      <c r="D185" s="92" t="s">
        <v>51</v>
      </c>
      <c r="E185" s="92" t="s">
        <v>51</v>
      </c>
      <c r="F185" s="92" t="s">
        <v>51</v>
      </c>
      <c r="G185" s="92" t="s">
        <v>51</v>
      </c>
      <c r="H185" s="92">
        <f>IF(C184&lt;=0,"n.m.",H184/C184-1)</f>
        <v>0.03253541398378901</v>
      </c>
      <c r="I185" s="92">
        <f>IF(D184&lt;=0,"n.m.",I184/D184-1)</f>
        <v>0.014531238474588815</v>
      </c>
      <c r="J185" s="91">
        <f>IF(E184&lt;=0,"n.m.",J184/E184-1)</f>
        <v>0.012955554739971342</v>
      </c>
      <c r="K185" s="89"/>
      <c r="L185" s="89"/>
    </row>
    <row r="186">
      <c r="A186" s="89"/>
      <c r="B186" s="88" t="s">
        <v>94</v>
      </c>
      <c r="C186" s="95" t="s">
        <v>51</v>
      </c>
      <c r="D186" s="95">
        <f>D184-C184</f>
        <v>712</v>
      </c>
      <c r="E186" s="95">
        <f>E184-D184</f>
        <v>133</v>
      </c>
      <c r="F186" s="95">
        <f>F184-E184</f>
        <v>-299</v>
      </c>
      <c r="G186" s="95" t="s">
        <v>51</v>
      </c>
      <c r="H186" s="95">
        <f>H184-F184</f>
        <v>313</v>
      </c>
      <c r="I186" s="95">
        <f>I184-H184</f>
        <v>247</v>
      </c>
      <c r="J186" s="121">
        <f>J184-I184</f>
        <v>92</v>
      </c>
      <c r="K186" s="89"/>
      <c r="L186" s="89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267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268</v>
      </c>
      <c r="C10" s="89"/>
      <c r="D10" s="89"/>
      <c r="E10" s="89"/>
      <c r="F10" s="89"/>
      <c r="G10" s="89"/>
      <c r="H10" s="89"/>
      <c r="I10" s="89"/>
      <c r="J10" s="97"/>
      <c r="K10" s="89"/>
      <c r="L10" s="89"/>
    </row>
    <row r="11">
      <c r="A11" s="89"/>
      <c r="B11" s="88" t="s">
        <v>84</v>
      </c>
      <c r="C11" s="86">
        <v>-28</v>
      </c>
      <c r="D11" s="86">
        <v>-15</v>
      </c>
      <c r="E11" s="86">
        <v>-27</v>
      </c>
      <c r="F11" s="86">
        <v>-21</v>
      </c>
      <c r="G11" s="95">
        <f>SUM(C11:F11)</f>
        <v>-91</v>
      </c>
      <c r="H11" s="86">
        <v>-23</v>
      </c>
      <c r="I11" s="86">
        <v>-29</v>
      </c>
      <c r="J11" s="136">
        <v>-25</v>
      </c>
      <c r="K11" s="89"/>
      <c r="L11" s="89"/>
    </row>
    <row r="12">
      <c r="A12" s="89"/>
      <c r="B12" s="87" t="s">
        <v>63</v>
      </c>
      <c r="C12" s="92" t="s">
        <v>51</v>
      </c>
      <c r="D12" s="92" t="s">
        <v>51</v>
      </c>
      <c r="E12" s="92" t="s">
        <v>51</v>
      </c>
      <c r="F12" s="92" t="s">
        <v>51</v>
      </c>
      <c r="G12" s="92" t="s">
        <v>51</v>
      </c>
      <c r="H12" s="92" t="str">
        <f>IF(C11&lt;=0,"n.m.",H11/C11-1)</f>
        <v>n.m.</v>
      </c>
      <c r="I12" s="92" t="str">
        <f>IF(D11&lt;=0,"n.m.",I11/D11-1)</f>
        <v>n.m.</v>
      </c>
      <c r="J12" s="91" t="str">
        <f>IF(E11&lt;=0,"n.m.",J11/E11-1)</f>
        <v>n.m.</v>
      </c>
      <c r="K12" s="89"/>
      <c r="L12" s="89"/>
    </row>
    <row r="13">
      <c r="A13" s="89"/>
      <c r="B13" s="87" t="s">
        <v>64</v>
      </c>
      <c r="C13" s="92" t="s">
        <v>51</v>
      </c>
      <c r="D13" s="92" t="str">
        <f>IF(C11&lt;=0,"n.m.",D11/C11-1)</f>
        <v>n.m.</v>
      </c>
      <c r="E13" s="92" t="str">
        <f>IF(D11&lt;=0,"n.m.",E11/D11-1)</f>
        <v>n.m.</v>
      </c>
      <c r="F13" s="92" t="str">
        <f>IF(E11&lt;=0,"n.m.",F11/E11-1)</f>
        <v>n.m.</v>
      </c>
      <c r="G13" s="92" t="s">
        <v>51</v>
      </c>
      <c r="H13" s="92" t="str">
        <f>IF(F11&lt;=0,"n.m.",H11/F11-1)</f>
        <v>n.m.</v>
      </c>
      <c r="I13" s="92" t="str">
        <f>IF(H11&lt;=0,"n.m.",I11/H11-1)</f>
        <v>n.m.</v>
      </c>
      <c r="J13" s="91" t="str">
        <f>IF(I11&lt;=0,"n.m.",J11/I11-1)</f>
        <v>n.m.</v>
      </c>
      <c r="K13" s="89"/>
      <c r="L13" s="89"/>
    </row>
    <row r="14">
      <c r="A14" s="89"/>
      <c r="B14" s="87" t="s">
        <v>66</v>
      </c>
      <c r="C14" s="92" t="s">
        <v>67</v>
      </c>
      <c r="D14" s="92" t="s">
        <v>67</v>
      </c>
      <c r="E14" s="92" t="s">
        <v>67</v>
      </c>
      <c r="F14" s="92" t="s">
        <v>67</v>
      </c>
      <c r="G14" s="92" t="s">
        <v>67</v>
      </c>
      <c r="H14" s="92" t="s">
        <v>67</v>
      </c>
      <c r="I14" s="92" t="s">
        <v>67</v>
      </c>
      <c r="J14" s="91" t="s">
        <v>67</v>
      </c>
      <c r="K14" s="89"/>
      <c r="L14" s="94" t="s">
        <v>68</v>
      </c>
    </row>
    <row r="15">
      <c r="A15" s="89"/>
      <c r="B15" s="87" t="s">
        <v>69</v>
      </c>
      <c r="C15" s="92" t="s">
        <v>67</v>
      </c>
      <c r="D15" s="92" t="s">
        <v>67</v>
      </c>
      <c r="E15" s="92" t="s">
        <v>67</v>
      </c>
      <c r="F15" s="92" t="s">
        <v>67</v>
      </c>
      <c r="G15" s="92" t="s">
        <v>67</v>
      </c>
      <c r="H15" s="92" t="s">
        <v>67</v>
      </c>
      <c r="I15" s="92" t="s">
        <v>67</v>
      </c>
      <c r="J15" s="91" t="s">
        <v>67</v>
      </c>
      <c r="K15" s="89"/>
      <c r="L15" s="94" t="s">
        <v>70</v>
      </c>
    </row>
    <row r="16">
      <c r="A16" s="89"/>
      <c r="B16" s="87" t="s">
        <v>71</v>
      </c>
      <c r="C16" s="92" t="s">
        <v>67</v>
      </c>
      <c r="D16" s="92" t="s">
        <v>67</v>
      </c>
      <c r="E16" s="92" t="s">
        <v>67</v>
      </c>
      <c r="F16" s="92" t="s">
        <v>67</v>
      </c>
      <c r="G16" s="92" t="s">
        <v>67</v>
      </c>
      <c r="H16" s="92" t="s">
        <v>67</v>
      </c>
      <c r="I16" s="92" t="s">
        <v>67</v>
      </c>
      <c r="J16" s="91" t="s">
        <v>67</v>
      </c>
      <c r="K16" s="89"/>
      <c r="L16" s="94" t="s">
        <v>72</v>
      </c>
    </row>
    <row r="17">
      <c r="A17" s="89"/>
      <c r="B17" s="88" t="s">
        <v>85</v>
      </c>
      <c r="C17" s="86">
        <v>62</v>
      </c>
      <c r="D17" s="86">
        <v>33</v>
      </c>
      <c r="E17" s="86">
        <v>45</v>
      </c>
      <c r="F17" s="86">
        <v>45</v>
      </c>
      <c r="G17" s="95">
        <f>SUM(C17:F17)</f>
        <v>185</v>
      </c>
      <c r="H17" s="86">
        <v>50</v>
      </c>
      <c r="I17" s="86">
        <v>36</v>
      </c>
      <c r="J17" s="136">
        <v>45</v>
      </c>
      <c r="K17" s="89"/>
      <c r="L17" s="94" t="s">
        <v>269</v>
      </c>
    </row>
    <row r="18">
      <c r="A18" s="89"/>
      <c r="B18" s="87" t="s">
        <v>63</v>
      </c>
      <c r="C18" s="92" t="s">
        <v>51</v>
      </c>
      <c r="D18" s="92" t="s">
        <v>51</v>
      </c>
      <c r="E18" s="92" t="s">
        <v>51</v>
      </c>
      <c r="F18" s="92" t="s">
        <v>51</v>
      </c>
      <c r="G18" s="92" t="s">
        <v>51</v>
      </c>
      <c r="H18" s="92">
        <f>IF(C17&lt;=0,"n.m.",H17/C17-1)</f>
        <v>-0.19354838709677424</v>
      </c>
      <c r="I18" s="92">
        <f>IF(D17&lt;=0,"n.m.",I17/D17-1)</f>
        <v>0.09090909090909083</v>
      </c>
      <c r="J18" s="91">
        <f>IF(E17&lt;=0,"n.m.",J17/E17-1)</f>
        <v>0</v>
      </c>
      <c r="K18" s="89"/>
      <c r="L18" s="89"/>
    </row>
    <row r="19">
      <c r="A19" s="89"/>
      <c r="B19" s="87" t="s">
        <v>64</v>
      </c>
      <c r="C19" s="92" t="s">
        <v>51</v>
      </c>
      <c r="D19" s="92">
        <f>IF(C17&lt;=0,"n.m.",D17/C17-1)</f>
        <v>-0.467741935483871</v>
      </c>
      <c r="E19" s="92">
        <f>IF(D17&lt;=0,"n.m.",E17/D17-1)</f>
        <v>0.36363636363636354</v>
      </c>
      <c r="F19" s="92">
        <f>IF(E17&lt;=0,"n.m.",F17/E17-1)</f>
        <v>0</v>
      </c>
      <c r="G19" s="92" t="s">
        <v>51</v>
      </c>
      <c r="H19" s="92">
        <f>IF(F17&lt;=0,"n.m.",H17/F17-1)</f>
        <v>0.11111111111111116</v>
      </c>
      <c r="I19" s="92">
        <f>IF(H17&lt;=0,"n.m.",I17/H17-1)</f>
        <v>-0.28</v>
      </c>
      <c r="J19" s="91">
        <f>IF(I17&lt;=0,"n.m.",J17/I17-1)</f>
        <v>0.25</v>
      </c>
      <c r="K19" s="89"/>
      <c r="L19" s="89"/>
    </row>
    <row r="20">
      <c r="A20" s="89"/>
      <c r="B20" s="87" t="s">
        <v>66</v>
      </c>
      <c r="C20" s="92" t="s">
        <v>67</v>
      </c>
      <c r="D20" s="92" t="s">
        <v>67</v>
      </c>
      <c r="E20" s="92" t="s">
        <v>67</v>
      </c>
      <c r="F20" s="92" t="s">
        <v>67</v>
      </c>
      <c r="G20" s="92" t="s">
        <v>67</v>
      </c>
      <c r="H20" s="92" t="s">
        <v>67</v>
      </c>
      <c r="I20" s="92" t="s">
        <v>67</v>
      </c>
      <c r="J20" s="91" t="s">
        <v>67</v>
      </c>
      <c r="K20" s="89"/>
      <c r="L20" s="94" t="s">
        <v>68</v>
      </c>
    </row>
    <row r="21">
      <c r="A21" s="89"/>
      <c r="B21" s="87" t="s">
        <v>69</v>
      </c>
      <c r="C21" s="92" t="s">
        <v>67</v>
      </c>
      <c r="D21" s="92" t="s">
        <v>67</v>
      </c>
      <c r="E21" s="92" t="s">
        <v>67</v>
      </c>
      <c r="F21" s="92" t="s">
        <v>67</v>
      </c>
      <c r="G21" s="92" t="s">
        <v>67</v>
      </c>
      <c r="H21" s="92" t="s">
        <v>67</v>
      </c>
      <c r="I21" s="92" t="s">
        <v>67</v>
      </c>
      <c r="J21" s="91" t="s">
        <v>67</v>
      </c>
      <c r="K21" s="89"/>
      <c r="L21" s="94" t="s">
        <v>70</v>
      </c>
    </row>
    <row r="22">
      <c r="A22" s="89"/>
      <c r="B22" s="87" t="s">
        <v>71</v>
      </c>
      <c r="C22" s="92" t="s">
        <v>67</v>
      </c>
      <c r="D22" s="92" t="s">
        <v>67</v>
      </c>
      <c r="E22" s="92" t="s">
        <v>67</v>
      </c>
      <c r="F22" s="92" t="s">
        <v>67</v>
      </c>
      <c r="G22" s="92" t="s">
        <v>67</v>
      </c>
      <c r="H22" s="92" t="s">
        <v>67</v>
      </c>
      <c r="I22" s="92" t="s">
        <v>67</v>
      </c>
      <c r="J22" s="91" t="s">
        <v>67</v>
      </c>
      <c r="K22" s="89"/>
      <c r="L22" s="94" t="s">
        <v>72</v>
      </c>
    </row>
    <row r="23">
      <c r="A23" s="89"/>
      <c r="B23" s="104" t="s">
        <v>147</v>
      </c>
      <c r="C23" s="90">
        <f>C11+C17</f>
        <v>34</v>
      </c>
      <c r="D23" s="90">
        <f>D11+D17</f>
        <v>18</v>
      </c>
      <c r="E23" s="90">
        <f>E11+E17</f>
        <v>18</v>
      </c>
      <c r="F23" s="90">
        <f>F11+F17</f>
        <v>24</v>
      </c>
      <c r="G23" s="90">
        <f>G11+G17</f>
        <v>94</v>
      </c>
      <c r="H23" s="90">
        <f>H11+H17</f>
        <v>27</v>
      </c>
      <c r="I23" s="90">
        <f>I11+I17</f>
        <v>7</v>
      </c>
      <c r="J23" s="135">
        <f>J11+J17</f>
        <v>20</v>
      </c>
      <c r="K23" s="89"/>
      <c r="L23" s="89"/>
    </row>
    <row r="24">
      <c r="A24" s="89"/>
      <c r="B24" s="88" t="s">
        <v>270</v>
      </c>
      <c r="C24" s="86">
        <v>-9</v>
      </c>
      <c r="D24" s="86">
        <v>-19</v>
      </c>
      <c r="E24" s="86">
        <v>1</v>
      </c>
      <c r="F24" s="86">
        <v>-9</v>
      </c>
      <c r="G24" s="95">
        <f>SUM(C24:F24)</f>
        <v>-36</v>
      </c>
      <c r="H24" s="86">
        <v>-11</v>
      </c>
      <c r="I24" s="86">
        <v>-1</v>
      </c>
      <c r="J24" s="117">
        <f>'Revenue summary'!J120-'Segment - Securities Services'!J104-'Segment - Market &amp; Wealth Svcs'!J115-'Segment - Inv &amp; Wealth Mgmt'!J132</f>
        <v>0.27527270512898383</v>
      </c>
      <c r="K24" s="89"/>
      <c r="L24" s="184" t="s">
        <v>271</v>
      </c>
    </row>
    <row r="25">
      <c r="A25" s="89"/>
      <c r="B25" s="87" t="s">
        <v>63</v>
      </c>
      <c r="C25" s="92" t="s">
        <v>51</v>
      </c>
      <c r="D25" s="92" t="s">
        <v>51</v>
      </c>
      <c r="E25" s="92" t="s">
        <v>51</v>
      </c>
      <c r="F25" s="92" t="s">
        <v>51</v>
      </c>
      <c r="G25" s="92" t="s">
        <v>51</v>
      </c>
      <c r="H25" s="92" t="str">
        <f>IF(C24&lt;=0,"n.m.",H24/C24-1)</f>
        <v>n.m.</v>
      </c>
      <c r="I25" s="92" t="str">
        <f>IF(D24&lt;=0,"n.m.",I24/D24-1)</f>
        <v>n.m.</v>
      </c>
      <c r="J25" s="91">
        <f>IF(E24&lt;=0,"n.m.",J24/E24-1)</f>
        <v>-0.7247272948710162</v>
      </c>
      <c r="K25" s="89"/>
      <c r="L25" s="89"/>
    </row>
    <row r="26">
      <c r="A26" s="89"/>
      <c r="B26" s="87" t="s">
        <v>64</v>
      </c>
      <c r="C26" s="92" t="s">
        <v>51</v>
      </c>
      <c r="D26" s="92" t="str">
        <f>IF(OR(C24&lt;=0,D24&lt;0),"n.m.",D24/C24-1)</f>
        <v>n.m.</v>
      </c>
      <c r="E26" s="92" t="str">
        <f>IF(OR(D24&lt;=0,E24&lt;0),"n.m.",E24/D24-1)</f>
        <v>n.m.</v>
      </c>
      <c r="F26" s="92" t="str">
        <f>IF(OR(E24&lt;=0,F24&lt;0),"n.m.",F24/E24-1)</f>
        <v>n.m.</v>
      </c>
      <c r="G26" s="92" t="s">
        <v>51</v>
      </c>
      <c r="H26" s="92" t="str">
        <f>IF(OR(F24&lt;=0,H24&lt;0),"n.m.",H24/F24-1)</f>
        <v>n.m.</v>
      </c>
      <c r="I26" s="92" t="str">
        <f>IF(OR(H24&lt;=0,I24&lt;0),"n.m.",I24/H24-1)</f>
        <v>n.m.</v>
      </c>
      <c r="J26" s="91" t="str">
        <f>IF(OR(I24&lt;=0,J24&lt;0),"n.m.",J24/I24-1)</f>
        <v>n.m.</v>
      </c>
      <c r="K26" s="89"/>
      <c r="L26" s="89"/>
    </row>
    <row r="27">
      <c r="A27" s="89"/>
      <c r="B27" s="87" t="s">
        <v>66</v>
      </c>
      <c r="C27" s="92" t="s">
        <v>67</v>
      </c>
      <c r="D27" s="92" t="s">
        <v>67</v>
      </c>
      <c r="E27" s="92" t="s">
        <v>67</v>
      </c>
      <c r="F27" s="92" t="s">
        <v>67</v>
      </c>
      <c r="G27" s="92" t="s">
        <v>67</v>
      </c>
      <c r="H27" s="92" t="s">
        <v>67</v>
      </c>
      <c r="I27" s="92" t="s">
        <v>67</v>
      </c>
      <c r="J27" s="91" t="s">
        <v>67</v>
      </c>
      <c r="K27" s="89"/>
      <c r="L27" s="94" t="s">
        <v>68</v>
      </c>
    </row>
    <row r="28">
      <c r="A28" s="89"/>
      <c r="B28" s="87" t="s">
        <v>69</v>
      </c>
      <c r="C28" s="92" t="s">
        <v>67</v>
      </c>
      <c r="D28" s="92" t="s">
        <v>67</v>
      </c>
      <c r="E28" s="92" t="s">
        <v>67</v>
      </c>
      <c r="F28" s="92" t="s">
        <v>67</v>
      </c>
      <c r="G28" s="92" t="s">
        <v>67</v>
      </c>
      <c r="H28" s="92" t="s">
        <v>67</v>
      </c>
      <c r="I28" s="92" t="s">
        <v>67</v>
      </c>
      <c r="J28" s="91" t="s">
        <v>67</v>
      </c>
      <c r="K28" s="89"/>
      <c r="L28" s="94" t="s">
        <v>70</v>
      </c>
    </row>
    <row r="29">
      <c r="A29" s="89"/>
      <c r="B29" s="87" t="s">
        <v>71</v>
      </c>
      <c r="C29" s="92" t="s">
        <v>67</v>
      </c>
      <c r="D29" s="92" t="s">
        <v>67</v>
      </c>
      <c r="E29" s="92" t="s">
        <v>67</v>
      </c>
      <c r="F29" s="92" t="s">
        <v>67</v>
      </c>
      <c r="G29" s="92" t="s">
        <v>67</v>
      </c>
      <c r="H29" s="92" t="s">
        <v>67</v>
      </c>
      <c r="I29" s="92" t="s">
        <v>67</v>
      </c>
      <c r="J29" s="91" t="s">
        <v>67</v>
      </c>
      <c r="K29" s="89"/>
      <c r="L29" s="94" t="s">
        <v>72</v>
      </c>
    </row>
    <row r="30">
      <c r="A30" s="89"/>
      <c r="B30" s="104" t="s">
        <v>272</v>
      </c>
      <c r="C30" s="90">
        <f>C23+C24</f>
        <v>25</v>
      </c>
      <c r="D30" s="90">
        <f>D23+D24</f>
        <v>-1</v>
      </c>
      <c r="E30" s="90">
        <f>E23+E24</f>
        <v>19</v>
      </c>
      <c r="F30" s="90">
        <f>F23+F24</f>
        <v>15</v>
      </c>
      <c r="G30" s="90">
        <f>G23+G24</f>
        <v>58</v>
      </c>
      <c r="H30" s="90">
        <f>H23+H24</f>
        <v>16</v>
      </c>
      <c r="I30" s="90">
        <f>I23+I24</f>
        <v>6</v>
      </c>
      <c r="J30" s="135">
        <f>J23+J24</f>
        <v>20.275272705128984</v>
      </c>
      <c r="K30" s="89"/>
      <c r="L30" s="89"/>
    </row>
    <row r="31">
      <c r="A31" s="89"/>
      <c r="B31" s="87" t="s">
        <v>63</v>
      </c>
      <c r="C31" s="92" t="s">
        <v>51</v>
      </c>
      <c r="D31" s="92" t="s">
        <v>51</v>
      </c>
      <c r="E31" s="92" t="s">
        <v>51</v>
      </c>
      <c r="F31" s="92" t="s">
        <v>51</v>
      </c>
      <c r="G31" s="92" t="s">
        <v>51</v>
      </c>
      <c r="H31" s="92">
        <f>IF(C30&lt;=0,"n.m.",H30/C30-1)</f>
        <v>-0.36</v>
      </c>
      <c r="I31" s="92" t="str">
        <f>IF(D30&lt;=0,"n.m.",I30/D30-1)</f>
        <v>n.m.</v>
      </c>
      <c r="J31" s="91">
        <f>IF(E30&lt;=0,"n.m.",J30/E30-1)</f>
        <v>0.0671196160594203</v>
      </c>
      <c r="K31" s="89"/>
      <c r="L31" s="89"/>
    </row>
    <row r="32">
      <c r="A32" s="89"/>
      <c r="B32" s="87" t="s">
        <v>64</v>
      </c>
      <c r="C32" s="92" t="s">
        <v>51</v>
      </c>
      <c r="D32" s="92" t="str">
        <f>IF(OR(C30&lt;=0,D30&lt;0),"n.m.",D30/C30-1)</f>
        <v>n.m.</v>
      </c>
      <c r="E32" s="92" t="str">
        <f>IF(OR(D30&lt;=0,E30&lt;0),"n.m.",E30/D30-1)</f>
        <v>n.m.</v>
      </c>
      <c r="F32" s="92">
        <f>IF(OR(E30&lt;=0,F30&lt;0),"n.m.",F30/E30-1)</f>
        <v>-0.21052631578947367</v>
      </c>
      <c r="G32" s="92" t="s">
        <v>51</v>
      </c>
      <c r="H32" s="92">
        <f>IF(OR(F30&lt;=0,H30&lt;0),"n.m.",H30/F30-1)</f>
        <v>0.06666666666666665</v>
      </c>
      <c r="I32" s="92">
        <f>IF(OR(H30&lt;=0,I30&lt;0),"n.m.",I30/H30-1)</f>
        <v>-0.625</v>
      </c>
      <c r="J32" s="91">
        <f>IF(OR(I30&lt;=0,J30&lt;0),"n.m.",J30/I30-1)</f>
        <v>2.3792121175214973</v>
      </c>
      <c r="K32" s="89"/>
      <c r="L32" s="89"/>
    </row>
    <row r="33">
      <c r="A33" s="89"/>
      <c r="B33" s="87" t="s">
        <v>66</v>
      </c>
      <c r="C33" s="92" t="s">
        <v>67</v>
      </c>
      <c r="D33" s="92" t="s">
        <v>67</v>
      </c>
      <c r="E33" s="92" t="s">
        <v>67</v>
      </c>
      <c r="F33" s="92" t="s">
        <v>67</v>
      </c>
      <c r="G33" s="92" t="s">
        <v>67</v>
      </c>
      <c r="H33" s="92" t="s">
        <v>67</v>
      </c>
      <c r="I33" s="92" t="s">
        <v>67</v>
      </c>
      <c r="J33" s="91" t="s">
        <v>67</v>
      </c>
      <c r="K33" s="89"/>
      <c r="L33" s="94" t="s">
        <v>68</v>
      </c>
    </row>
    <row r="34">
      <c r="A34" s="89"/>
      <c r="B34" s="87" t="s">
        <v>69</v>
      </c>
      <c r="C34" s="92" t="s">
        <v>67</v>
      </c>
      <c r="D34" s="92" t="s">
        <v>67</v>
      </c>
      <c r="E34" s="92" t="s">
        <v>67</v>
      </c>
      <c r="F34" s="92" t="s">
        <v>67</v>
      </c>
      <c r="G34" s="92" t="s">
        <v>67</v>
      </c>
      <c r="H34" s="92" t="s">
        <v>67</v>
      </c>
      <c r="I34" s="92" t="s">
        <v>67</v>
      </c>
      <c r="J34" s="91" t="s">
        <v>67</v>
      </c>
      <c r="K34" s="89"/>
      <c r="L34" s="94" t="s">
        <v>70</v>
      </c>
    </row>
    <row r="35">
      <c r="A35" s="89"/>
      <c r="B35" s="87" t="s">
        <v>71</v>
      </c>
      <c r="C35" s="92" t="s">
        <v>67</v>
      </c>
      <c r="D35" s="92" t="s">
        <v>67</v>
      </c>
      <c r="E35" s="92" t="s">
        <v>67</v>
      </c>
      <c r="F35" s="92" t="s">
        <v>67</v>
      </c>
      <c r="G35" s="92" t="s">
        <v>67</v>
      </c>
      <c r="H35" s="92" t="s">
        <v>67</v>
      </c>
      <c r="I35" s="92" t="s">
        <v>67</v>
      </c>
      <c r="J35" s="91" t="s">
        <v>67</v>
      </c>
      <c r="K35" s="89"/>
      <c r="L35" s="94" t="s">
        <v>72</v>
      </c>
    </row>
    <row r="36">
      <c r="A36" s="89"/>
      <c r="B36" s="88" t="s">
        <v>151</v>
      </c>
      <c r="C36" s="86">
        <v>25</v>
      </c>
      <c r="D36" s="86">
        <v>-1</v>
      </c>
      <c r="E36" s="86">
        <v>19</v>
      </c>
      <c r="F36" s="86">
        <v>15</v>
      </c>
      <c r="G36" s="95">
        <f>SUM(C36:F36)</f>
        <v>58</v>
      </c>
      <c r="H36" s="86">
        <v>16</v>
      </c>
      <c r="I36" s="86">
        <v>6</v>
      </c>
      <c r="J36" s="121" t="s">
        <v>51</v>
      </c>
      <c r="K36" s="89"/>
      <c r="L36" s="89"/>
    </row>
    <row r="37" ht="23.25">
      <c r="A37" s="89"/>
      <c r="B37" s="187" t="s">
        <v>152</v>
      </c>
      <c r="C37" s="99" t="b">
        <f>ABS(C30-C36)&lt;0.5</f>
        <v>1</v>
      </c>
      <c r="D37" s="99" t="b">
        <f>ABS(D30-D36)&lt;0.5</f>
        <v>1</v>
      </c>
      <c r="E37" s="99" t="b">
        <f>ABS(E30-E36)&lt;0.5</f>
        <v>1</v>
      </c>
      <c r="F37" s="99" t="b">
        <f>ABS(F30-F36)&lt;0.5</f>
        <v>1</v>
      </c>
      <c r="G37" s="99" t="b">
        <f>ABS(G30-G36)&lt;0.5</f>
        <v>1</v>
      </c>
      <c r="H37" s="99" t="b">
        <f>ABS(H30-H36)&lt;0.5</f>
        <v>1</v>
      </c>
      <c r="I37" s="99" t="b">
        <f>ABS(I30-I36)&lt;0.5</f>
        <v>1</v>
      </c>
      <c r="J37" s="97"/>
      <c r="K37" s="89"/>
      <c r="L37" s="89"/>
    </row>
    <row r="38">
      <c r="A38" s="89"/>
      <c r="B38" s="88" t="s">
        <v>162</v>
      </c>
      <c r="C38" s="86">
        <v>4</v>
      </c>
      <c r="D38" s="86">
        <v>2</v>
      </c>
      <c r="E38" s="86">
        <v>-1</v>
      </c>
      <c r="F38" s="86">
        <v>-9</v>
      </c>
      <c r="G38" s="95">
        <f>SUM(C38:F38)</f>
        <v>-4</v>
      </c>
      <c r="H38" s="86">
        <v>1</v>
      </c>
      <c r="I38" s="86">
        <v>4</v>
      </c>
      <c r="J38" s="117">
        <f>'Income Statement'!J176-'Segment - Securities Services'!J146-'Segment - Market &amp; Wealth Svcs'!J171-'Segment - Inv &amp; Wealth Mgmt'!J167</f>
        <v>0</v>
      </c>
      <c r="K38" s="89"/>
      <c r="L38" s="181" t="s">
        <v>273</v>
      </c>
    </row>
    <row r="39">
      <c r="A39" s="89"/>
      <c r="B39" s="88" t="s">
        <v>163</v>
      </c>
      <c r="C39" s="86">
        <v>88</v>
      </c>
      <c r="D39" s="86">
        <v>36</v>
      </c>
      <c r="E39" s="86">
        <v>45</v>
      </c>
      <c r="F39" s="86">
        <v>55</v>
      </c>
      <c r="G39" s="95">
        <f>SUM(C39:F39)</f>
        <v>224</v>
      </c>
      <c r="H39" s="86">
        <v>89</v>
      </c>
      <c r="I39" s="86">
        <v>83</v>
      </c>
      <c r="J39" s="117">
        <f>'Income Statement'!J209-'Segment - Securities Services'!J147-'Segment - Market &amp; Wealth Svcs'!J172-'Segment - Inv &amp; Wealth Mgmt'!J168</f>
        <v>75</v>
      </c>
      <c r="K39" s="89"/>
      <c r="L39" s="184" t="s">
        <v>274</v>
      </c>
    </row>
    <row r="40">
      <c r="A40" s="89"/>
      <c r="B40" s="87" t="s">
        <v>93</v>
      </c>
      <c r="C40" s="92" t="s">
        <v>51</v>
      </c>
      <c r="D40" s="92" t="s">
        <v>51</v>
      </c>
      <c r="E40" s="92" t="s">
        <v>51</v>
      </c>
      <c r="F40" s="92" t="s">
        <v>51</v>
      </c>
      <c r="G40" s="92" t="s">
        <v>51</v>
      </c>
      <c r="H40" s="92">
        <f>IF(C39&lt;=0,"n.m.",H39/C39-1)</f>
        <v>0.011363636363636465</v>
      </c>
      <c r="I40" s="92">
        <f>IF(D39&lt;=0,"n.m.",I39/D39-1)</f>
        <v>1.3055555555555554</v>
      </c>
      <c r="J40" s="91">
        <f>IF(E39&lt;=0,"n.m.",J39/E39-1)</f>
        <v>0.6666666666666667</v>
      </c>
      <c r="K40" s="89"/>
      <c r="L40" s="89"/>
    </row>
    <row r="41">
      <c r="A41" s="89"/>
      <c r="B41" s="87" t="s">
        <v>64</v>
      </c>
      <c r="C41" s="92" t="s">
        <v>51</v>
      </c>
      <c r="D41" s="92">
        <f>IF(C39&lt;=0,"n.m.",D39/C39-1)</f>
        <v>-0.5909090909090908</v>
      </c>
      <c r="E41" s="92">
        <f>IF(D39&lt;=0,"n.m.",E39/D39-1)</f>
        <v>0.25</v>
      </c>
      <c r="F41" s="92">
        <f>IF(E39&lt;=0,"n.m.",F39/E39-1)</f>
        <v>0.22222222222222232</v>
      </c>
      <c r="G41" s="92" t="s">
        <v>51</v>
      </c>
      <c r="H41" s="92">
        <f>IF(F39&lt;=0,"n.m.",H39/F39-1)</f>
        <v>0.6181818181818182</v>
      </c>
      <c r="I41" s="92">
        <f>IF(H39&lt;=0,"n.m.",I39/H39-1)</f>
        <v>-0.0674157303370787</v>
      </c>
      <c r="J41" s="91">
        <f>IF(I39&lt;=0,"n.m.",J39/I39-1)</f>
        <v>-0.09638554216867468</v>
      </c>
      <c r="K41" s="89"/>
      <c r="L41" s="89"/>
    </row>
    <row r="42">
      <c r="A42" s="89"/>
      <c r="B42" s="104" t="s">
        <v>275</v>
      </c>
      <c r="C42" s="90">
        <f>C30-C38-C39</f>
        <v>-67</v>
      </c>
      <c r="D42" s="90">
        <f>D30-D38-D39</f>
        <v>-39</v>
      </c>
      <c r="E42" s="90">
        <f>E30-E38-E39</f>
        <v>-25</v>
      </c>
      <c r="F42" s="90">
        <f>F30-F38-F39</f>
        <v>-31</v>
      </c>
      <c r="G42" s="90">
        <f>G30-G38-G39</f>
        <v>-162</v>
      </c>
      <c r="H42" s="90">
        <f>H30-H38-H39</f>
        <v>-74</v>
      </c>
      <c r="I42" s="90">
        <f>I30-I38-I39</f>
        <v>-81</v>
      </c>
      <c r="J42" s="135">
        <f>J30-J38-J39</f>
        <v>-54.724727294871016</v>
      </c>
      <c r="K42" s="89"/>
      <c r="L42" s="89"/>
    </row>
    <row r="43">
      <c r="A43" s="89"/>
      <c r="B43" s="88" t="s">
        <v>276</v>
      </c>
      <c r="C43" s="86">
        <v>1800</v>
      </c>
      <c r="D43" s="86">
        <v>1685</v>
      </c>
      <c r="E43" s="86">
        <v>1565</v>
      </c>
      <c r="F43" s="86">
        <v>1695</v>
      </c>
      <c r="G43" s="95" t="s">
        <v>51</v>
      </c>
      <c r="H43" s="86">
        <v>1639</v>
      </c>
      <c r="I43" s="86">
        <v>1739</v>
      </c>
      <c r="J43" s="136">
        <v>1700</v>
      </c>
      <c r="K43" s="89"/>
      <c r="L43" s="181" t="s">
        <v>277</v>
      </c>
    </row>
    <row r="44">
      <c r="A44" s="89"/>
      <c r="B44" s="87" t="s">
        <v>93</v>
      </c>
      <c r="C44" s="92" t="s">
        <v>51</v>
      </c>
      <c r="D44" s="92" t="s">
        <v>51</v>
      </c>
      <c r="E44" s="92" t="s">
        <v>51</v>
      </c>
      <c r="F44" s="92" t="s">
        <v>51</v>
      </c>
      <c r="G44" s="92" t="s">
        <v>51</v>
      </c>
      <c r="H44" s="92">
        <f>IF(C43&lt;=0,"n.m.",H43/C43-1)</f>
        <v>-0.08944444444444444</v>
      </c>
      <c r="I44" s="92">
        <f>IF(D43&lt;=0,"n.m.",I43/D43-1)</f>
        <v>0.03204747774480721</v>
      </c>
      <c r="J44" s="91">
        <f>IF(E43&lt;=0,"n.m.",J43/E43-1)</f>
        <v>0.08626198083067083</v>
      </c>
      <c r="K44" s="89"/>
      <c r="L44" s="89"/>
    </row>
    <row r="45">
      <c r="A45" s="89"/>
      <c r="B45" s="88" t="s">
        <v>94</v>
      </c>
      <c r="C45" s="95" t="s">
        <v>51</v>
      </c>
      <c r="D45" s="95">
        <f>D43-C43</f>
        <v>-115</v>
      </c>
      <c r="E45" s="95">
        <f>E43-D43</f>
        <v>-120</v>
      </c>
      <c r="F45" s="95">
        <f>F43-E43</f>
        <v>130</v>
      </c>
      <c r="G45" s="95" t="s">
        <v>51</v>
      </c>
      <c r="H45" s="95">
        <f>H43-F43</f>
        <v>-56</v>
      </c>
      <c r="I45" s="95">
        <f>I43-H43</f>
        <v>100</v>
      </c>
      <c r="J45" s="121">
        <f>J43-I43</f>
        <v>-39</v>
      </c>
      <c r="K45" s="89"/>
      <c r="L45" s="89"/>
    </row>
    <row r="46">
      <c r="A46" s="89"/>
      <c r="B46" s="88" t="s">
        <v>171</v>
      </c>
      <c r="C46" s="86">
        <v>65297</v>
      </c>
      <c r="D46" s="86">
        <v>69823</v>
      </c>
      <c r="E46" s="86">
        <v>70687</v>
      </c>
      <c r="F46" s="86">
        <v>67432</v>
      </c>
      <c r="G46" s="95" t="s">
        <v>51</v>
      </c>
      <c r="H46" s="86">
        <v>68478</v>
      </c>
      <c r="I46" s="86">
        <v>73677</v>
      </c>
      <c r="J46" s="136">
        <v>70000</v>
      </c>
      <c r="K46" s="89"/>
      <c r="L46" s="89"/>
    </row>
    <row r="47">
      <c r="A47" s="89"/>
      <c r="B47" s="87" t="s">
        <v>93</v>
      </c>
      <c r="C47" s="92" t="s">
        <v>51</v>
      </c>
      <c r="D47" s="92" t="s">
        <v>51</v>
      </c>
      <c r="E47" s="92" t="s">
        <v>51</v>
      </c>
      <c r="F47" s="92" t="s">
        <v>51</v>
      </c>
      <c r="G47" s="92" t="s">
        <v>51</v>
      </c>
      <c r="H47" s="92">
        <f>IF(C46&lt;=0,"n.m.",H46/C46-1)</f>
        <v>0.04871586749774104</v>
      </c>
      <c r="I47" s="92">
        <f>IF(D46&lt;=0,"n.m.",I46/D46-1)</f>
        <v>0.05519671168526141</v>
      </c>
      <c r="J47" s="91">
        <f>IF(E46&lt;=0,"n.m.",J46/E46-1)</f>
        <v>-0.009718901636793231</v>
      </c>
      <c r="K47" s="89"/>
      <c r="L47" s="89"/>
    </row>
    <row r="48">
      <c r="A48" s="89"/>
      <c r="B48" s="88" t="s">
        <v>94</v>
      </c>
      <c r="C48" s="95" t="s">
        <v>51</v>
      </c>
      <c r="D48" s="95">
        <f>D46-C46</f>
        <v>4526</v>
      </c>
      <c r="E48" s="95">
        <f>E46-D46</f>
        <v>864</v>
      </c>
      <c r="F48" s="95">
        <f>F46-E46</f>
        <v>-3255</v>
      </c>
      <c r="G48" s="95" t="s">
        <v>51</v>
      </c>
      <c r="H48" s="95">
        <f>H46-F46</f>
        <v>1046</v>
      </c>
      <c r="I48" s="95">
        <f>I46-H46</f>
        <v>5199</v>
      </c>
      <c r="J48" s="121">
        <f>J46-I46</f>
        <v>-3677</v>
      </c>
      <c r="K48" s="89"/>
      <c r="L48" s="89"/>
    </row>
    <row r="49">
      <c r="A49" s="89"/>
      <c r="B49" s="194" t="s">
        <v>278</v>
      </c>
      <c r="C49" s="89"/>
      <c r="D49" s="89"/>
      <c r="E49" s="89"/>
      <c r="F49" s="89"/>
      <c r="G49" s="89"/>
      <c r="H49" s="89"/>
      <c r="I49" s="89"/>
      <c r="J49" s="97"/>
      <c r="K49" s="89"/>
      <c r="L49" s="89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9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279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244</v>
      </c>
      <c r="C10" s="89"/>
      <c r="D10" s="89"/>
      <c r="E10" s="89"/>
      <c r="F10" s="89"/>
      <c r="G10" s="89"/>
      <c r="H10" s="89"/>
      <c r="I10" s="89"/>
      <c r="J10" s="97"/>
      <c r="K10" s="89"/>
      <c r="L10" s="89"/>
    </row>
    <row r="11">
      <c r="A11" s="89"/>
      <c r="B11" s="88" t="s">
        <v>280</v>
      </c>
      <c r="C11" s="86">
        <v>2411</v>
      </c>
      <c r="D11" s="86">
        <v>2583</v>
      </c>
      <c r="E11" s="86">
        <v>2585</v>
      </c>
      <c r="F11" s="86">
        <v>2632</v>
      </c>
      <c r="G11" s="95">
        <f>SUM(C11:F11)</f>
        <v>10211</v>
      </c>
      <c r="H11" s="86">
        <v>2652</v>
      </c>
      <c r="I11" s="86">
        <v>2909</v>
      </c>
      <c r="J11" s="117">
        <f>'Segment - Securities Services'!J54+'Segment - Market &amp; Wealth Svcs'!J68+J12</f>
        <v>2881.7086989203926</v>
      </c>
      <c r="K11" s="89"/>
      <c r="L11" s="89"/>
    </row>
    <row r="12" ht="23.25">
      <c r="A12" s="89"/>
      <c r="B12" s="187" t="s">
        <v>281</v>
      </c>
      <c r="C12" s="101">
        <f>C11-'Segment - Securities Services'!C54-'Segment - Market &amp; Wealth Svcs'!C68</f>
        <v>8</v>
      </c>
      <c r="D12" s="101">
        <f>D11-'Segment - Securities Services'!D54-'Segment - Market &amp; Wealth Svcs'!D68</f>
        <v>6</v>
      </c>
      <c r="E12" s="101">
        <f>E11-'Segment - Securities Services'!E54-'Segment - Market &amp; Wealth Svcs'!E68</f>
        <v>11</v>
      </c>
      <c r="F12" s="101">
        <f>F11-'Segment - Securities Services'!F54-'Segment - Market &amp; Wealth Svcs'!F68</f>
        <v>8</v>
      </c>
      <c r="G12" s="101">
        <f>G11-'Segment - Securities Services'!G54-'Segment - Market &amp; Wealth Svcs'!G68</f>
        <v>33</v>
      </c>
      <c r="H12" s="101">
        <f>H11-'Segment - Securities Services'!H54-'Segment - Market &amp; Wealth Svcs'!H68</f>
        <v>10</v>
      </c>
      <c r="I12" s="101">
        <f>I11-'Segment - Securities Services'!I54-'Segment - Market &amp; Wealth Svcs'!I68</f>
        <v>9</v>
      </c>
      <c r="J12" s="136">
        <v>9</v>
      </c>
      <c r="K12" s="89"/>
      <c r="L12" s="94" t="s">
        <v>282</v>
      </c>
    </row>
    <row r="13">
      <c r="A13" s="89"/>
      <c r="B13" s="87" t="s">
        <v>63</v>
      </c>
      <c r="C13" s="92" t="s">
        <v>51</v>
      </c>
      <c r="D13" s="92" t="s">
        <v>51</v>
      </c>
      <c r="E13" s="92" t="s">
        <v>51</v>
      </c>
      <c r="F13" s="92" t="s">
        <v>51</v>
      </c>
      <c r="G13" s="92" t="s">
        <v>51</v>
      </c>
      <c r="H13" s="92">
        <f>IF(C11&lt;=0,"n.m.",H11/C11-1)</f>
        <v>0.0999585234342597</v>
      </c>
      <c r="I13" s="92">
        <f>IF(D11&lt;=0,"n.m.",I11/D11-1)</f>
        <v>0.12620983352690662</v>
      </c>
      <c r="J13" s="91">
        <f>IF(E11&lt;=0,"n.m.",J11/E11-1)</f>
        <v>0.11478092801562578</v>
      </c>
      <c r="K13" s="89"/>
      <c r="L13" s="89"/>
    </row>
    <row r="14">
      <c r="A14" s="89"/>
      <c r="B14" s="87" t="s">
        <v>64</v>
      </c>
      <c r="C14" s="92" t="s">
        <v>51</v>
      </c>
      <c r="D14" s="92">
        <f>IF(C11&lt;=0,"n.m.",D11/C11-1)</f>
        <v>0.07133969307341359</v>
      </c>
      <c r="E14" s="92">
        <f>IF(D11&lt;=0,"n.m.",E11/D11-1)</f>
        <v>0.0007742934572203541</v>
      </c>
      <c r="F14" s="92">
        <f>IF(E11&lt;=0,"n.m.",F11/E11-1)</f>
        <v>0.018181818181818077</v>
      </c>
      <c r="G14" s="92" t="s">
        <v>51</v>
      </c>
      <c r="H14" s="92">
        <f>IF(F11&lt;=0,"n.m.",H11/F11-1)</f>
        <v>0.0075987841945288626</v>
      </c>
      <c r="I14" s="92">
        <f>IF(H11&lt;=0,"n.m.",I11/H11-1)</f>
        <v>0.0969079939668176</v>
      </c>
      <c r="J14" s="91">
        <f>IF(I11&lt;=0,"n.m.",J11/I11-1)</f>
        <v>-0.009381677923550158</v>
      </c>
      <c r="K14" s="89"/>
      <c r="L14" s="89"/>
    </row>
    <row r="15">
      <c r="A15" s="89"/>
      <c r="B15" s="87" t="s">
        <v>65</v>
      </c>
      <c r="C15" s="92">
        <f>IF(C163=0,"n.m.",C11/C163)</f>
        <v>0.5031302170283807</v>
      </c>
      <c r="D15" s="92">
        <f>IF(D163=0,"n.m.",D11/D163)</f>
        <v>0.5137231503579952</v>
      </c>
      <c r="E15" s="92">
        <f>IF(E163=0,"n.m.",E11/E163)</f>
        <v>0.508758118480614</v>
      </c>
      <c r="F15" s="92">
        <f>IF(F163=0,"n.m.",F11/F163)</f>
        <v>0.5082062174164896</v>
      </c>
      <c r="G15" s="92">
        <f>IF(G163=0,"n.m.",G11/G163)</f>
        <v>0.50851593625498</v>
      </c>
      <c r="H15" s="92">
        <f>IF(H163=0,"n.m.",H11/H163)</f>
        <v>0.49029395452024405</v>
      </c>
      <c r="I15" s="92">
        <f>IF(I163=0,"n.m.",I11/I163)</f>
        <v>0.5105300105300106</v>
      </c>
      <c r="J15" s="91">
        <f>IF(J163=0,"n.m.",J11/J163)</f>
        <v>0.5167451380691467</v>
      </c>
      <c r="K15" s="89"/>
      <c r="L15" s="89"/>
    </row>
    <row r="16">
      <c r="A16" s="89"/>
      <c r="B16" s="87" t="s">
        <v>66</v>
      </c>
      <c r="C16" s="92" t="s">
        <v>67</v>
      </c>
      <c r="D16" s="92" t="s">
        <v>67</v>
      </c>
      <c r="E16" s="92" t="s">
        <v>67</v>
      </c>
      <c r="F16" s="92" t="s">
        <v>67</v>
      </c>
      <c r="G16" s="92" t="s">
        <v>67</v>
      </c>
      <c r="H16" s="92" t="s">
        <v>67</v>
      </c>
      <c r="I16" s="92" t="s">
        <v>67</v>
      </c>
      <c r="J16" s="91" t="s">
        <v>67</v>
      </c>
      <c r="K16" s="89"/>
      <c r="L16" s="94" t="s">
        <v>68</v>
      </c>
    </row>
    <row r="17">
      <c r="A17" s="89"/>
      <c r="B17" s="87" t="s">
        <v>69</v>
      </c>
      <c r="C17" s="92" t="s">
        <v>67</v>
      </c>
      <c r="D17" s="92" t="s">
        <v>67</v>
      </c>
      <c r="E17" s="92" t="s">
        <v>67</v>
      </c>
      <c r="F17" s="92" t="s">
        <v>67</v>
      </c>
      <c r="G17" s="92" t="s">
        <v>67</v>
      </c>
      <c r="H17" s="92" t="s">
        <v>67</v>
      </c>
      <c r="I17" s="92" t="s">
        <v>67</v>
      </c>
      <c r="J17" s="91" t="s">
        <v>67</v>
      </c>
      <c r="K17" s="89"/>
      <c r="L17" s="94" t="s">
        <v>70</v>
      </c>
    </row>
    <row r="18">
      <c r="A18" s="89"/>
      <c r="B18" s="87" t="s">
        <v>71</v>
      </c>
      <c r="C18" s="92" t="s">
        <v>67</v>
      </c>
      <c r="D18" s="92" t="s">
        <v>67</v>
      </c>
      <c r="E18" s="92" t="s">
        <v>67</v>
      </c>
      <c r="F18" s="92" t="s">
        <v>67</v>
      </c>
      <c r="G18" s="92" t="s">
        <v>67</v>
      </c>
      <c r="H18" s="92" t="s">
        <v>67</v>
      </c>
      <c r="I18" s="92" t="s">
        <v>67</v>
      </c>
      <c r="J18" s="91" t="s">
        <v>67</v>
      </c>
      <c r="K18" s="89"/>
      <c r="L18" s="94" t="s">
        <v>72</v>
      </c>
    </row>
    <row r="19">
      <c r="A19" s="89"/>
      <c r="B19" s="88" t="s">
        <v>247</v>
      </c>
      <c r="C19" s="86">
        <v>734</v>
      </c>
      <c r="D19" s="86">
        <v>748</v>
      </c>
      <c r="E19" s="86">
        <v>776</v>
      </c>
      <c r="F19" s="86">
        <v>792</v>
      </c>
      <c r="G19" s="95">
        <f>SUM(C19:F19)</f>
        <v>3050</v>
      </c>
      <c r="H19" s="86">
        <v>784</v>
      </c>
      <c r="I19" s="86">
        <v>793</v>
      </c>
      <c r="J19" s="117">
        <f>'Segment - Inv &amp; Wealth Mgmt'!J78</f>
        <v>806.1317260273971</v>
      </c>
      <c r="K19" s="89"/>
      <c r="L19" s="89"/>
    </row>
    <row r="20">
      <c r="A20" s="89"/>
      <c r="B20" s="87" t="s">
        <v>63</v>
      </c>
      <c r="C20" s="92" t="s">
        <v>51</v>
      </c>
      <c r="D20" s="92" t="s">
        <v>51</v>
      </c>
      <c r="E20" s="92" t="s">
        <v>51</v>
      </c>
      <c r="F20" s="92" t="s">
        <v>51</v>
      </c>
      <c r="G20" s="92" t="s">
        <v>51</v>
      </c>
      <c r="H20" s="92">
        <f>IF(C19&lt;=0,"n.m.",H19/C19-1)</f>
        <v>0.0681198910081744</v>
      </c>
      <c r="I20" s="92">
        <f>IF(D19&lt;=0,"n.m.",I19/D19-1)</f>
        <v>0.06016042780748654</v>
      </c>
      <c r="J20" s="91">
        <f>IF(E19&lt;=0,"n.m.",J19/E19-1)</f>
        <v>0.03882954384973858</v>
      </c>
      <c r="K20" s="89"/>
      <c r="L20" s="89"/>
    </row>
    <row r="21">
      <c r="A21" s="89"/>
      <c r="B21" s="87" t="s">
        <v>64</v>
      </c>
      <c r="C21" s="92" t="s">
        <v>51</v>
      </c>
      <c r="D21" s="92">
        <f>IF(C19&lt;=0,"n.m.",D19/C19-1)</f>
        <v>0.019073569482288777</v>
      </c>
      <c r="E21" s="92">
        <f>IF(D19&lt;=0,"n.m.",E19/D19-1)</f>
        <v>0.03743315508021383</v>
      </c>
      <c r="F21" s="92">
        <f>IF(E19&lt;=0,"n.m.",F19/E19-1)</f>
        <v>0.020618556701030855</v>
      </c>
      <c r="G21" s="92" t="s">
        <v>51</v>
      </c>
      <c r="H21" s="92">
        <f>IF(F19&lt;=0,"n.m.",H19/F19-1)</f>
        <v>-0.010101010101010055</v>
      </c>
      <c r="I21" s="92">
        <f>IF(H19&lt;=0,"n.m.",I19/H19-1)</f>
        <v>0.011479591836734748</v>
      </c>
      <c r="J21" s="91">
        <f>IF(I19&lt;=0,"n.m.",J19/I19-1)</f>
        <v>0.016559553628495705</v>
      </c>
      <c r="K21" s="89"/>
      <c r="L21" s="89"/>
    </row>
    <row r="22">
      <c r="A22" s="89"/>
      <c r="B22" s="87" t="s">
        <v>65</v>
      </c>
      <c r="C22" s="92">
        <f>IF(C163=0,"n.m.",C19/C163)</f>
        <v>0.1531719532554257</v>
      </c>
      <c r="D22" s="92">
        <f>IF(D163=0,"n.m.",D19/D163)</f>
        <v>0.14876690533015116</v>
      </c>
      <c r="E22" s="92">
        <f>IF(E163=0,"n.m.",E19/E163)</f>
        <v>0.1527258413698091</v>
      </c>
      <c r="F22" s="92">
        <f>IF(F163=0,"n.m.",F19/F163)</f>
        <v>0.1529252751496428</v>
      </c>
      <c r="G22" s="92">
        <f>IF(G163=0,"n.m.",G19/G163)</f>
        <v>0.15189243027888447</v>
      </c>
      <c r="H22" s="92">
        <f>IF(H163=0,"n.m.",H19/H163)</f>
        <v>0.14494361249768903</v>
      </c>
      <c r="I22" s="92">
        <f>IF(I163=0,"n.m.",I19/I163)</f>
        <v>0.13917163917163916</v>
      </c>
      <c r="J22" s="91">
        <f>IF(J163=0,"n.m.",J19/J163)</f>
        <v>0.14455473942387348</v>
      </c>
      <c r="K22" s="89"/>
      <c r="L22" s="89"/>
    </row>
    <row r="23">
      <c r="A23" s="89"/>
      <c r="B23" s="87" t="s">
        <v>66</v>
      </c>
      <c r="C23" s="92" t="s">
        <v>67</v>
      </c>
      <c r="D23" s="92" t="s">
        <v>67</v>
      </c>
      <c r="E23" s="92" t="s">
        <v>67</v>
      </c>
      <c r="F23" s="92" t="s">
        <v>67</v>
      </c>
      <c r="G23" s="92" t="s">
        <v>67</v>
      </c>
      <c r="H23" s="92" t="s">
        <v>67</v>
      </c>
      <c r="I23" s="92" t="s">
        <v>67</v>
      </c>
      <c r="J23" s="91" t="s">
        <v>67</v>
      </c>
      <c r="K23" s="89"/>
      <c r="L23" s="94" t="s">
        <v>68</v>
      </c>
    </row>
    <row r="24">
      <c r="A24" s="89"/>
      <c r="B24" s="87" t="s">
        <v>69</v>
      </c>
      <c r="C24" s="92" t="s">
        <v>67</v>
      </c>
      <c r="D24" s="92" t="s">
        <v>67</v>
      </c>
      <c r="E24" s="92" t="s">
        <v>67</v>
      </c>
      <c r="F24" s="92" t="s">
        <v>67</v>
      </c>
      <c r="G24" s="92" t="s">
        <v>67</v>
      </c>
      <c r="H24" s="92" t="s">
        <v>67</v>
      </c>
      <c r="I24" s="92" t="s">
        <v>67</v>
      </c>
      <c r="J24" s="91" t="s">
        <v>67</v>
      </c>
      <c r="K24" s="89"/>
      <c r="L24" s="94" t="s">
        <v>70</v>
      </c>
    </row>
    <row r="25">
      <c r="A25" s="89"/>
      <c r="B25" s="87" t="s">
        <v>71</v>
      </c>
      <c r="C25" s="92" t="s">
        <v>67</v>
      </c>
      <c r="D25" s="92" t="s">
        <v>67</v>
      </c>
      <c r="E25" s="92" t="s">
        <v>67</v>
      </c>
      <c r="F25" s="92" t="s">
        <v>67</v>
      </c>
      <c r="G25" s="92" t="s">
        <v>67</v>
      </c>
      <c r="H25" s="92" t="s">
        <v>67</v>
      </c>
      <c r="I25" s="92" t="s">
        <v>67</v>
      </c>
      <c r="J25" s="91" t="s">
        <v>67</v>
      </c>
      <c r="K25" s="89"/>
      <c r="L25" s="94" t="s">
        <v>72</v>
      </c>
    </row>
    <row r="26">
      <c r="A26" s="89"/>
      <c r="B26" s="88" t="s">
        <v>248</v>
      </c>
      <c r="C26" s="86">
        <v>5</v>
      </c>
      <c r="D26" s="86">
        <v>10</v>
      </c>
      <c r="E26" s="86">
        <v>6</v>
      </c>
      <c r="F26" s="86">
        <v>14</v>
      </c>
      <c r="G26" s="95">
        <f>SUM(C26:F26)</f>
        <v>35</v>
      </c>
      <c r="H26" s="86">
        <v>1</v>
      </c>
      <c r="I26" s="86">
        <v>3</v>
      </c>
      <c r="J26" s="117">
        <f>'Segment - Inv &amp; Wealth Mgmt'!J85</f>
        <v>5</v>
      </c>
      <c r="K26" s="89"/>
      <c r="L26" s="89"/>
    </row>
    <row r="27">
      <c r="A27" s="89"/>
      <c r="B27" s="87" t="s">
        <v>63</v>
      </c>
      <c r="C27" s="92" t="s">
        <v>51</v>
      </c>
      <c r="D27" s="92" t="s">
        <v>51</v>
      </c>
      <c r="E27" s="92" t="s">
        <v>51</v>
      </c>
      <c r="F27" s="92" t="s">
        <v>51</v>
      </c>
      <c r="G27" s="92" t="s">
        <v>51</v>
      </c>
      <c r="H27" s="92">
        <f>IF(C26&lt;=0,"n.m.",H26/C26-1)</f>
        <v>-0.8</v>
      </c>
      <c r="I27" s="92">
        <f>IF(D26&lt;=0,"n.m.",I26/D26-1)</f>
        <v>-0.7</v>
      </c>
      <c r="J27" s="91">
        <f>IF(E26&lt;=0,"n.m.",J26/E26-1)</f>
        <v>-0.16666666666666663</v>
      </c>
      <c r="K27" s="89"/>
      <c r="L27" s="89"/>
    </row>
    <row r="28">
      <c r="A28" s="89"/>
      <c r="B28" s="87" t="s">
        <v>64</v>
      </c>
      <c r="C28" s="92" t="s">
        <v>51</v>
      </c>
      <c r="D28" s="92">
        <f>IF(C26&lt;=0,"n.m.",D26/C26-1)</f>
        <v>1</v>
      </c>
      <c r="E28" s="92">
        <f>IF(D26&lt;=0,"n.m.",E26/D26-1)</f>
        <v>-0.4</v>
      </c>
      <c r="F28" s="92">
        <f>IF(E26&lt;=0,"n.m.",F26/E26-1)</f>
        <v>1.3333333333333335</v>
      </c>
      <c r="G28" s="92" t="s">
        <v>51</v>
      </c>
      <c r="H28" s="92">
        <f>IF(F26&lt;=0,"n.m.",H26/F26-1)</f>
        <v>-0.9285714285714286</v>
      </c>
      <c r="I28" s="92">
        <f>IF(H26&lt;=0,"n.m.",I26/H26-1)</f>
        <v>2</v>
      </c>
      <c r="J28" s="91">
        <f>IF(I26&lt;=0,"n.m.",J26/I26-1)</f>
        <v>0.6666666666666667</v>
      </c>
      <c r="K28" s="89"/>
      <c r="L28" s="89"/>
    </row>
    <row r="29">
      <c r="A29" s="89"/>
      <c r="B29" s="87" t="s">
        <v>65</v>
      </c>
      <c r="C29" s="92">
        <f>IF(C163=0,"n.m.",C26/C163)</f>
        <v>0.001043405676126878</v>
      </c>
      <c r="D29" s="92">
        <f>IF(D163=0,"n.m.",D26/D163)</f>
        <v>0.001988862370723946</v>
      </c>
      <c r="E29" s="92">
        <f>IF(E163=0,"n.m.",E26/E163)</f>
        <v>0.001180869907498524</v>
      </c>
      <c r="F29" s="92">
        <f>IF(F163=0,"n.m.",F26/F163)</f>
        <v>0.0027032245607260088</v>
      </c>
      <c r="G29" s="92">
        <f>IF(G163=0,"n.m.",G26/G163)</f>
        <v>0.0017430278884462151</v>
      </c>
      <c r="H29" s="92">
        <f>IF(H163=0,"n.m.",H26/H163)</f>
        <v>0.00018487705675725643</v>
      </c>
      <c r="I29" s="92">
        <f>IF(I163=0,"n.m.",I26/I163)</f>
        <v>0.0005265005265005265</v>
      </c>
      <c r="J29" s="91">
        <f>IF(J163=0,"n.m.",J26/J163)</f>
        <v>0.0008965950275660076</v>
      </c>
      <c r="K29" s="89"/>
      <c r="L29" s="89"/>
    </row>
    <row r="30">
      <c r="A30" s="89"/>
      <c r="B30" s="87" t="s">
        <v>66</v>
      </c>
      <c r="C30" s="92" t="s">
        <v>67</v>
      </c>
      <c r="D30" s="92" t="s">
        <v>67</v>
      </c>
      <c r="E30" s="92" t="s">
        <v>67</v>
      </c>
      <c r="F30" s="92" t="s">
        <v>67</v>
      </c>
      <c r="G30" s="92" t="s">
        <v>67</v>
      </c>
      <c r="H30" s="92" t="s">
        <v>67</v>
      </c>
      <c r="I30" s="92" t="s">
        <v>67</v>
      </c>
      <c r="J30" s="91" t="s">
        <v>67</v>
      </c>
      <c r="K30" s="89"/>
      <c r="L30" s="94" t="s">
        <v>68</v>
      </c>
    </row>
    <row r="31">
      <c r="A31" s="89"/>
      <c r="B31" s="87" t="s">
        <v>69</v>
      </c>
      <c r="C31" s="92" t="s">
        <v>67</v>
      </c>
      <c r="D31" s="92" t="s">
        <v>67</v>
      </c>
      <c r="E31" s="92" t="s">
        <v>67</v>
      </c>
      <c r="F31" s="92" t="s">
        <v>67</v>
      </c>
      <c r="G31" s="92" t="s">
        <v>67</v>
      </c>
      <c r="H31" s="92" t="s">
        <v>67</v>
      </c>
      <c r="I31" s="92" t="s">
        <v>67</v>
      </c>
      <c r="J31" s="91" t="s">
        <v>67</v>
      </c>
      <c r="K31" s="89"/>
      <c r="L31" s="94" t="s">
        <v>70</v>
      </c>
    </row>
    <row r="32">
      <c r="A32" s="89"/>
      <c r="B32" s="87" t="s">
        <v>71</v>
      </c>
      <c r="C32" s="92" t="s">
        <v>67</v>
      </c>
      <c r="D32" s="92" t="s">
        <v>67</v>
      </c>
      <c r="E32" s="92" t="s">
        <v>67</v>
      </c>
      <c r="F32" s="92" t="s">
        <v>67</v>
      </c>
      <c r="G32" s="92" t="s">
        <v>67</v>
      </c>
      <c r="H32" s="92" t="s">
        <v>67</v>
      </c>
      <c r="I32" s="92" t="s">
        <v>67</v>
      </c>
      <c r="J32" s="91" t="s">
        <v>67</v>
      </c>
      <c r="K32" s="89"/>
      <c r="L32" s="94" t="s">
        <v>72</v>
      </c>
    </row>
    <row r="33" ht="23.25">
      <c r="A33" s="89"/>
      <c r="B33" s="186" t="s">
        <v>250</v>
      </c>
      <c r="C33" s="90">
        <f>C19+C26</f>
        <v>739</v>
      </c>
      <c r="D33" s="90">
        <f>D19+D26</f>
        <v>758</v>
      </c>
      <c r="E33" s="90">
        <f>E19+E26</f>
        <v>782</v>
      </c>
      <c r="F33" s="90">
        <f>F19+F26</f>
        <v>806</v>
      </c>
      <c r="G33" s="90">
        <f>G19+G26</f>
        <v>3085</v>
      </c>
      <c r="H33" s="90">
        <f>H19+H26</f>
        <v>785</v>
      </c>
      <c r="I33" s="90">
        <f>I19+I26</f>
        <v>796</v>
      </c>
      <c r="J33" s="135">
        <f>J19+J26</f>
        <v>811.1317260273971</v>
      </c>
      <c r="K33" s="89"/>
      <c r="L33" s="89"/>
    </row>
    <row r="34">
      <c r="A34" s="89"/>
      <c r="B34" s="87" t="s">
        <v>63</v>
      </c>
      <c r="C34" s="92" t="s">
        <v>51</v>
      </c>
      <c r="D34" s="92" t="s">
        <v>51</v>
      </c>
      <c r="E34" s="92" t="s">
        <v>51</v>
      </c>
      <c r="F34" s="92" t="s">
        <v>51</v>
      </c>
      <c r="G34" s="92" t="s">
        <v>51</v>
      </c>
      <c r="H34" s="92">
        <f>IF(C33&lt;=0,"n.m.",H33/C33-1)</f>
        <v>0.06224627875507438</v>
      </c>
      <c r="I34" s="92">
        <f>IF(D33&lt;=0,"n.m.",I33/D33-1)</f>
        <v>0.05013192612137196</v>
      </c>
      <c r="J34" s="91">
        <f>IF(E33&lt;=0,"n.m.",J33/E33-1)</f>
        <v>0.037252846582349175</v>
      </c>
      <c r="K34" s="89"/>
      <c r="L34" s="89"/>
    </row>
    <row r="35">
      <c r="A35" s="89"/>
      <c r="B35" s="87" t="s">
        <v>64</v>
      </c>
      <c r="C35" s="92" t="s">
        <v>51</v>
      </c>
      <c r="D35" s="92">
        <f>IF(C33&lt;=0,"n.m.",D33/C33-1)</f>
        <v>0.025710419485791558</v>
      </c>
      <c r="E35" s="92">
        <f>IF(D33&lt;=0,"n.m.",E33/D33-1)</f>
        <v>0.0316622691292876</v>
      </c>
      <c r="F35" s="92">
        <f>IF(E33&lt;=0,"n.m.",F33/E33-1)</f>
        <v>0.03069053708439906</v>
      </c>
      <c r="G35" s="92" t="s">
        <v>51</v>
      </c>
      <c r="H35" s="92">
        <f>IF(F33&lt;=0,"n.m.",H33/F33-1)</f>
        <v>-0.02605459057071957</v>
      </c>
      <c r="I35" s="92">
        <f>IF(H33&lt;=0,"n.m.",I33/H33-1)</f>
        <v>0.014012738853503182</v>
      </c>
      <c r="J35" s="91">
        <f>IF(I33&lt;=0,"n.m.",J33/I33-1)</f>
        <v>0.01900970606456931</v>
      </c>
      <c r="K35" s="89"/>
      <c r="L35" s="89"/>
    </row>
    <row r="36">
      <c r="A36" s="89"/>
      <c r="B36" s="87" t="s">
        <v>65</v>
      </c>
      <c r="C36" s="92">
        <f>IF(C163=0,"n.m.",C33/C163)</f>
        <v>0.15421535893155258</v>
      </c>
      <c r="D36" s="92">
        <f>IF(D163=0,"n.m.",D33/D163)</f>
        <v>0.1507557677008751</v>
      </c>
      <c r="E36" s="92">
        <f>IF(E163=0,"n.m.",E33/E163)</f>
        <v>0.15390671127730762</v>
      </c>
      <c r="F36" s="92">
        <f>IF(F163=0,"n.m.",F33/F163)</f>
        <v>0.1556284997103688</v>
      </c>
      <c r="G36" s="92">
        <f>IF(G163=0,"n.m.",G33/G163)</f>
        <v>0.15363545816733068</v>
      </c>
      <c r="H36" s="92">
        <f>IF(H163=0,"n.m.",H33/H163)</f>
        <v>0.1451284895544463</v>
      </c>
      <c r="I36" s="92">
        <f>IF(I163=0,"n.m.",I33/I163)</f>
        <v>0.1396981396981397</v>
      </c>
      <c r="J36" s="91">
        <f>IF(J163=0,"n.m.",J33/J163)</f>
        <v>0.14545133445143948</v>
      </c>
      <c r="K36" s="89"/>
      <c r="L36" s="89"/>
    </row>
    <row r="37" ht="23.25">
      <c r="A37" s="89"/>
      <c r="B37" s="196" t="s">
        <v>253</v>
      </c>
      <c r="C37" s="147" t="str">
        <f>'Segment - Inv &amp; Wealth Mgmt'!C97</f>
        <v>n.d.</v>
      </c>
      <c r="D37" s="147" t="str">
        <f>'Segment - Inv &amp; Wealth Mgmt'!D97</f>
        <v>n.d.</v>
      </c>
      <c r="E37" s="147" t="str">
        <f>'Segment - Inv &amp; Wealth Mgmt'!E97</f>
        <v>n.d.</v>
      </c>
      <c r="F37" s="147" t="str">
        <f>'Segment - Inv &amp; Wealth Mgmt'!F97</f>
        <v>n.d.</v>
      </c>
      <c r="G37" s="147" t="str">
        <f>'Segment - Inv &amp; Wealth Mgmt'!G97</f>
        <v>n.d.</v>
      </c>
      <c r="H37" s="147">
        <f>'Segment - Inv &amp; Wealth Mgmt'!H97</f>
        <v>0.043824701195219085</v>
      </c>
      <c r="I37" s="147">
        <f>'Segment - Inv &amp; Wealth Mgmt'!I97</f>
        <v>0.0487483530961792</v>
      </c>
      <c r="J37" s="179" t="str">
        <f>'Segment - Inv &amp; Wealth Mgmt'!J97</f>
        <v>n.d.</v>
      </c>
      <c r="K37" s="89"/>
      <c r="L37" s="193" t="s">
        <v>283</v>
      </c>
    </row>
    <row r="38">
      <c r="A38" s="89"/>
      <c r="B38" s="87" t="s">
        <v>66</v>
      </c>
      <c r="C38" s="92" t="s">
        <v>67</v>
      </c>
      <c r="D38" s="92" t="s">
        <v>67</v>
      </c>
      <c r="E38" s="92" t="s">
        <v>67</v>
      </c>
      <c r="F38" s="92" t="s">
        <v>67</v>
      </c>
      <c r="G38" s="92" t="s">
        <v>67</v>
      </c>
      <c r="H38" s="92" t="s">
        <v>67</v>
      </c>
      <c r="I38" s="92" t="s">
        <v>67</v>
      </c>
      <c r="J38" s="91" t="s">
        <v>67</v>
      </c>
      <c r="K38" s="89"/>
      <c r="L38" s="94" t="s">
        <v>254</v>
      </c>
    </row>
    <row r="39">
      <c r="A39" s="89"/>
      <c r="B39" s="194" t="s">
        <v>69</v>
      </c>
      <c r="C39" s="147" t="str">
        <f>'Segment - Inv &amp; Wealth Mgmt'!C99</f>
        <v>n.d.</v>
      </c>
      <c r="D39" s="147" t="str">
        <f>'Segment - Inv &amp; Wealth Mgmt'!D99</f>
        <v>n.d.</v>
      </c>
      <c r="E39" s="147" t="str">
        <f>'Segment - Inv &amp; Wealth Mgmt'!E99</f>
        <v>n.d.</v>
      </c>
      <c r="F39" s="147" t="str">
        <f>'Segment - Inv &amp; Wealth Mgmt'!F99</f>
        <v>n.d.</v>
      </c>
      <c r="G39" s="147" t="str">
        <f>'Segment - Inv &amp; Wealth Mgmt'!G99</f>
        <v>n.d.</v>
      </c>
      <c r="H39" s="147">
        <f>'Segment - Inv &amp; Wealth Mgmt'!H99</f>
        <v>0.0175675675675675</v>
      </c>
      <c r="I39" s="147">
        <f>'Segment - Inv &amp; Wealth Mgmt'!I99</f>
        <v>0.0013192612137202797</v>
      </c>
      <c r="J39" s="179" t="str">
        <f>'Segment - Inv &amp; Wealth Mgmt'!J99</f>
        <v>n.d.</v>
      </c>
      <c r="K39" s="89"/>
      <c r="L39" s="193" t="s">
        <v>284</v>
      </c>
    </row>
    <row r="40">
      <c r="A40" s="89"/>
      <c r="B40" s="87" t="s">
        <v>71</v>
      </c>
      <c r="C40" s="92" t="s">
        <v>67</v>
      </c>
      <c r="D40" s="92" t="s">
        <v>67</v>
      </c>
      <c r="E40" s="92" t="s">
        <v>67</v>
      </c>
      <c r="F40" s="92" t="s">
        <v>67</v>
      </c>
      <c r="G40" s="92" t="s">
        <v>67</v>
      </c>
      <c r="H40" s="92" t="s">
        <v>67</v>
      </c>
      <c r="I40" s="92" t="s">
        <v>67</v>
      </c>
      <c r="J40" s="91" t="s">
        <v>67</v>
      </c>
      <c r="K40" s="89"/>
      <c r="L40" s="94" t="s">
        <v>285</v>
      </c>
    </row>
    <row r="41">
      <c r="A41" s="89"/>
      <c r="B41" s="88" t="s">
        <v>142</v>
      </c>
      <c r="C41" s="86">
        <v>156</v>
      </c>
      <c r="D41" s="86">
        <v>213</v>
      </c>
      <c r="E41" s="86">
        <v>166</v>
      </c>
      <c r="F41" s="86">
        <v>171</v>
      </c>
      <c r="G41" s="95">
        <f>SUM(C41:F41)</f>
        <v>706</v>
      </c>
      <c r="H41" s="86">
        <v>232</v>
      </c>
      <c r="I41" s="86">
        <v>229</v>
      </c>
      <c r="J41" s="117">
        <f>'Segment - Securities Services'!J66+'Segment - Market &amp; Wealth Svcs'!J77+J42</f>
        <v>206.04990246575338</v>
      </c>
      <c r="K41" s="89"/>
      <c r="L41" s="89"/>
    </row>
    <row r="42" ht="23.25">
      <c r="A42" s="89"/>
      <c r="B42" s="187" t="s">
        <v>281</v>
      </c>
      <c r="C42" s="101">
        <f>C41-'Segment - Securities Services'!C66-'Segment - Market &amp; Wealth Svcs'!C77</f>
        <v>-9</v>
      </c>
      <c r="D42" s="101">
        <f>D41-'Segment - Securities Services'!D66-'Segment - Market &amp; Wealth Svcs'!D77</f>
        <v>8</v>
      </c>
      <c r="E42" s="101">
        <f>E41-'Segment - Securities Services'!E66-'Segment - Market &amp; Wealth Svcs'!E77</f>
        <v>-8</v>
      </c>
      <c r="F42" s="101">
        <f>F41-'Segment - Securities Services'!F66-'Segment - Market &amp; Wealth Svcs'!F77</f>
        <v>1</v>
      </c>
      <c r="G42" s="101">
        <f>G41-'Segment - Securities Services'!G66-'Segment - Market &amp; Wealth Svcs'!G77</f>
        <v>-8</v>
      </c>
      <c r="H42" s="101">
        <f>H41-'Segment - Securities Services'!H66-'Segment - Market &amp; Wealth Svcs'!H77</f>
        <v>0</v>
      </c>
      <c r="I42" s="101">
        <f>I41-'Segment - Securities Services'!I66-'Segment - Market &amp; Wealth Svcs'!I77</f>
        <v>-8</v>
      </c>
      <c r="J42" s="136">
        <v>-8</v>
      </c>
      <c r="K42" s="89"/>
      <c r="L42" s="94" t="s">
        <v>286</v>
      </c>
    </row>
    <row r="43">
      <c r="A43" s="89"/>
      <c r="B43" s="87" t="s">
        <v>63</v>
      </c>
      <c r="C43" s="92" t="s">
        <v>51</v>
      </c>
      <c r="D43" s="92" t="s">
        <v>51</v>
      </c>
      <c r="E43" s="92" t="s">
        <v>51</v>
      </c>
      <c r="F43" s="92" t="s">
        <v>51</v>
      </c>
      <c r="G43" s="92" t="s">
        <v>51</v>
      </c>
      <c r="H43" s="92">
        <f>IF(C41&lt;=0,"n.m.",H41/C41-1)</f>
        <v>0.4871794871794872</v>
      </c>
      <c r="I43" s="92">
        <f>IF(D41&lt;=0,"n.m.",I41/D41-1)</f>
        <v>0.07511737089201875</v>
      </c>
      <c r="J43" s="91">
        <f>IF(E41&lt;=0,"n.m.",J41/E41-1)</f>
        <v>0.2412644726852613</v>
      </c>
      <c r="K43" s="89"/>
      <c r="L43" s="89"/>
    </row>
    <row r="44">
      <c r="A44" s="89"/>
      <c r="B44" s="87" t="s">
        <v>64</v>
      </c>
      <c r="C44" s="92" t="s">
        <v>51</v>
      </c>
      <c r="D44" s="92">
        <f>IF(C41&lt;=0,"n.m.",D41/C41-1)</f>
        <v>0.3653846153846154</v>
      </c>
      <c r="E44" s="92">
        <f>IF(D41&lt;=0,"n.m.",E41/D41-1)</f>
        <v>-0.22065727699530513</v>
      </c>
      <c r="F44" s="92">
        <f>IF(E41&lt;=0,"n.m.",F41/E41-1)</f>
        <v>0.030120481927710774</v>
      </c>
      <c r="G44" s="92" t="s">
        <v>51</v>
      </c>
      <c r="H44" s="92">
        <f>IF(F41&lt;=0,"n.m.",H41/F41-1)</f>
        <v>0.35672514619883033</v>
      </c>
      <c r="I44" s="92">
        <f>IF(H41&lt;=0,"n.m.",I41/H41-1)</f>
        <v>-0.012931034482758674</v>
      </c>
      <c r="J44" s="91">
        <f>IF(I41&lt;=0,"n.m.",J41/I41-1)</f>
        <v>-0.10021876652509443</v>
      </c>
      <c r="K44" s="89"/>
      <c r="L44" s="89"/>
    </row>
    <row r="45">
      <c r="A45" s="89"/>
      <c r="B45" s="87" t="s">
        <v>65</v>
      </c>
      <c r="C45" s="92">
        <f>IF(C163=0,"n.m.",C41/C163)</f>
        <v>0.0325542570951586</v>
      </c>
      <c r="D45" s="92">
        <f>IF(D163=0,"n.m.",D41/D163)</f>
        <v>0.042362768496420046</v>
      </c>
      <c r="E45" s="92">
        <f>IF(E163=0,"n.m.",E41/E163)</f>
        <v>0.03267073410745916</v>
      </c>
      <c r="F45" s="92">
        <f>IF(F163=0,"n.m.",F41/F163)</f>
        <v>0.033017957134581964</v>
      </c>
      <c r="G45" s="92">
        <f>IF(G163=0,"n.m.",G41/G163)</f>
        <v>0.035159362549800795</v>
      </c>
      <c r="H45" s="92">
        <f>IF(H163=0,"n.m.",H41/H163)</f>
        <v>0.04289147716768349</v>
      </c>
      <c r="I45" s="92">
        <f>IF(I163=0,"n.m.",I41/I163)</f>
        <v>0.04018954018954019</v>
      </c>
      <c r="J45" s="91">
        <f>IF(J163=0,"n.m.",J41/J163)</f>
        <v>0.03694866359625106</v>
      </c>
      <c r="K45" s="89"/>
      <c r="L45" s="89"/>
    </row>
    <row r="46">
      <c r="A46" s="89"/>
      <c r="B46" s="87" t="s">
        <v>66</v>
      </c>
      <c r="C46" s="92" t="s">
        <v>67</v>
      </c>
      <c r="D46" s="92" t="s">
        <v>67</v>
      </c>
      <c r="E46" s="92" t="s">
        <v>67</v>
      </c>
      <c r="F46" s="92" t="s">
        <v>67</v>
      </c>
      <c r="G46" s="92" t="s">
        <v>67</v>
      </c>
      <c r="H46" s="92" t="s">
        <v>67</v>
      </c>
      <c r="I46" s="92" t="s">
        <v>67</v>
      </c>
      <c r="J46" s="91" t="s">
        <v>67</v>
      </c>
      <c r="K46" s="89"/>
      <c r="L46" s="94" t="s">
        <v>68</v>
      </c>
    </row>
    <row r="47">
      <c r="A47" s="89"/>
      <c r="B47" s="87" t="s">
        <v>69</v>
      </c>
      <c r="C47" s="92" t="s">
        <v>67</v>
      </c>
      <c r="D47" s="92" t="s">
        <v>67</v>
      </c>
      <c r="E47" s="92" t="s">
        <v>67</v>
      </c>
      <c r="F47" s="92" t="s">
        <v>67</v>
      </c>
      <c r="G47" s="92" t="s">
        <v>67</v>
      </c>
      <c r="H47" s="92" t="s">
        <v>67</v>
      </c>
      <c r="I47" s="92" t="s">
        <v>67</v>
      </c>
      <c r="J47" s="91" t="s">
        <v>67</v>
      </c>
      <c r="K47" s="89"/>
      <c r="L47" s="94" t="s">
        <v>70</v>
      </c>
    </row>
    <row r="48">
      <c r="A48" s="89"/>
      <c r="B48" s="87" t="s">
        <v>71</v>
      </c>
      <c r="C48" s="92" t="s">
        <v>67</v>
      </c>
      <c r="D48" s="92" t="s">
        <v>67</v>
      </c>
      <c r="E48" s="92" t="s">
        <v>67</v>
      </c>
      <c r="F48" s="92" t="s">
        <v>67</v>
      </c>
      <c r="G48" s="92" t="s">
        <v>67</v>
      </c>
      <c r="H48" s="92" t="s">
        <v>67</v>
      </c>
      <c r="I48" s="92" t="s">
        <v>67</v>
      </c>
      <c r="J48" s="91" t="s">
        <v>67</v>
      </c>
      <c r="K48" s="89"/>
      <c r="L48" s="94" t="s">
        <v>72</v>
      </c>
    </row>
    <row r="49">
      <c r="A49" s="89"/>
      <c r="B49" s="88" t="s">
        <v>287</v>
      </c>
      <c r="C49" s="86">
        <v>60</v>
      </c>
      <c r="D49" s="86">
        <v>51</v>
      </c>
      <c r="E49" s="86">
        <v>67</v>
      </c>
      <c r="F49" s="86">
        <v>53</v>
      </c>
      <c r="G49" s="95">
        <f>SUM(C49:F49)</f>
        <v>231</v>
      </c>
      <c r="H49" s="86">
        <v>62</v>
      </c>
      <c r="I49" s="86">
        <v>64</v>
      </c>
      <c r="J49" s="136">
        <v>63</v>
      </c>
      <c r="K49" s="89"/>
      <c r="L49" s="89"/>
    </row>
    <row r="50">
      <c r="A50" s="89"/>
      <c r="B50" s="87" t="s">
        <v>63</v>
      </c>
      <c r="C50" s="92" t="s">
        <v>51</v>
      </c>
      <c r="D50" s="92" t="s">
        <v>51</v>
      </c>
      <c r="E50" s="92" t="s">
        <v>51</v>
      </c>
      <c r="F50" s="92" t="s">
        <v>51</v>
      </c>
      <c r="G50" s="92" t="s">
        <v>51</v>
      </c>
      <c r="H50" s="92">
        <f>IF(C49&lt;=0,"n.m.",H49/C49-1)</f>
        <v>0.03333333333333344</v>
      </c>
      <c r="I50" s="92">
        <f>IF(D49&lt;=0,"n.m.",I49/D49-1)</f>
        <v>0.2549019607843137</v>
      </c>
      <c r="J50" s="91">
        <f>IF(E49&lt;=0,"n.m.",J49/E49-1)</f>
        <v>-0.05970149253731338</v>
      </c>
      <c r="K50" s="89"/>
      <c r="L50" s="89"/>
    </row>
    <row r="51">
      <c r="A51" s="89"/>
      <c r="B51" s="87" t="s">
        <v>64</v>
      </c>
      <c r="C51" s="92" t="s">
        <v>51</v>
      </c>
      <c r="D51" s="92">
        <f>IF(C49&lt;=0,"n.m.",D49/C49-1)</f>
        <v>-0.15000000000000002</v>
      </c>
      <c r="E51" s="92">
        <f>IF(D49&lt;=0,"n.m.",E49/D49-1)</f>
        <v>0.3137254901960784</v>
      </c>
      <c r="F51" s="92">
        <f>IF(E49&lt;=0,"n.m.",F49/E49-1)</f>
        <v>-0.20895522388059706</v>
      </c>
      <c r="G51" s="92" t="s">
        <v>51</v>
      </c>
      <c r="H51" s="92">
        <f>IF(F49&lt;=0,"n.m.",H49/F49-1)</f>
        <v>0.16981132075471694</v>
      </c>
      <c r="I51" s="92">
        <f>IF(H49&lt;=0,"n.m.",I49/H49-1)</f>
        <v>0.032258064516129004</v>
      </c>
      <c r="J51" s="91">
        <f>IF(I49&lt;=0,"n.m.",J49/I49-1)</f>
        <v>-0.015625</v>
      </c>
      <c r="K51" s="89"/>
      <c r="L51" s="89"/>
    </row>
    <row r="52">
      <c r="A52" s="89"/>
      <c r="B52" s="87" t="s">
        <v>65</v>
      </c>
      <c r="C52" s="92">
        <f>IF(C163=0,"n.m.",C49/C163)</f>
        <v>0.012520868113522538</v>
      </c>
      <c r="D52" s="92">
        <f>IF(D163=0,"n.m.",D49/D163)</f>
        <v>0.010143198090692125</v>
      </c>
      <c r="E52" s="92">
        <f>IF(E163=0,"n.m.",E49/E163)</f>
        <v>0.013186380633733516</v>
      </c>
      <c r="F52" s="92">
        <f>IF(F163=0,"n.m.",F49/F163)</f>
        <v>0.010233635837034176</v>
      </c>
      <c r="G52" s="92">
        <f>IF(G163=0,"n.m.",G49/G163)</f>
        <v>0.01150398406374502</v>
      </c>
      <c r="H52" s="92">
        <f>IF(H163=0,"n.m.",H49/H163)</f>
        <v>0.011462377518949898</v>
      </c>
      <c r="I52" s="92">
        <f>IF(I163=0,"n.m.",I49/I163)</f>
        <v>0.011232011232011231</v>
      </c>
      <c r="J52" s="91">
        <f>IF(J163=0,"n.m.",J49/J163)</f>
        <v>0.011297097347331695</v>
      </c>
      <c r="K52" s="89"/>
      <c r="L52" s="89"/>
    </row>
    <row r="53">
      <c r="A53" s="89"/>
      <c r="B53" s="87" t="s">
        <v>66</v>
      </c>
      <c r="C53" s="92" t="s">
        <v>67</v>
      </c>
      <c r="D53" s="92" t="s">
        <v>67</v>
      </c>
      <c r="E53" s="92" t="s">
        <v>67</v>
      </c>
      <c r="F53" s="92" t="s">
        <v>67</v>
      </c>
      <c r="G53" s="92" t="s">
        <v>67</v>
      </c>
      <c r="H53" s="92" t="s">
        <v>67</v>
      </c>
      <c r="I53" s="92" t="s">
        <v>67</v>
      </c>
      <c r="J53" s="91" t="s">
        <v>67</v>
      </c>
      <c r="K53" s="89"/>
      <c r="L53" s="94" t="s">
        <v>68</v>
      </c>
    </row>
    <row r="54">
      <c r="A54" s="89"/>
      <c r="B54" s="87" t="s">
        <v>69</v>
      </c>
      <c r="C54" s="92" t="s">
        <v>67</v>
      </c>
      <c r="D54" s="92" t="s">
        <v>67</v>
      </c>
      <c r="E54" s="92" t="s">
        <v>67</v>
      </c>
      <c r="F54" s="92" t="s">
        <v>67</v>
      </c>
      <c r="G54" s="92" t="s">
        <v>67</v>
      </c>
      <c r="H54" s="92" t="s">
        <v>67</v>
      </c>
      <c r="I54" s="92" t="s">
        <v>67</v>
      </c>
      <c r="J54" s="91" t="s">
        <v>67</v>
      </c>
      <c r="K54" s="89"/>
      <c r="L54" s="94" t="s">
        <v>70</v>
      </c>
    </row>
    <row r="55">
      <c r="A55" s="89"/>
      <c r="B55" s="87" t="s">
        <v>71</v>
      </c>
      <c r="C55" s="92" t="s">
        <v>67</v>
      </c>
      <c r="D55" s="92" t="s">
        <v>67</v>
      </c>
      <c r="E55" s="92" t="s">
        <v>67</v>
      </c>
      <c r="F55" s="92" t="s">
        <v>67</v>
      </c>
      <c r="G55" s="92" t="s">
        <v>67</v>
      </c>
      <c r="H55" s="92" t="s">
        <v>67</v>
      </c>
      <c r="I55" s="92" t="s">
        <v>67</v>
      </c>
      <c r="J55" s="91" t="s">
        <v>67</v>
      </c>
      <c r="K55" s="89"/>
      <c r="L55" s="94" t="s">
        <v>72</v>
      </c>
    </row>
    <row r="56">
      <c r="A56" s="89"/>
      <c r="B56" s="88" t="s">
        <v>257</v>
      </c>
      <c r="C56" s="86">
        <v>37</v>
      </c>
      <c r="D56" s="86">
        <v>36</v>
      </c>
      <c r="E56" s="86">
        <v>37</v>
      </c>
      <c r="F56" s="86">
        <v>36</v>
      </c>
      <c r="G56" s="95">
        <f>SUM(C56:F56)</f>
        <v>146</v>
      </c>
      <c r="H56" s="86">
        <v>37</v>
      </c>
      <c r="I56" s="86">
        <v>38</v>
      </c>
      <c r="J56" s="121">
        <f>J70-J11-J33-J41-J49</f>
        <v>41.000000000000085</v>
      </c>
      <c r="K56" s="89"/>
      <c r="L56" s="184" t="s">
        <v>288</v>
      </c>
    </row>
    <row r="57">
      <c r="A57" s="89"/>
      <c r="B57" s="87" t="s">
        <v>63</v>
      </c>
      <c r="C57" s="92" t="s">
        <v>51</v>
      </c>
      <c r="D57" s="92" t="s">
        <v>51</v>
      </c>
      <c r="E57" s="92" t="s">
        <v>51</v>
      </c>
      <c r="F57" s="92" t="s">
        <v>51</v>
      </c>
      <c r="G57" s="92" t="s">
        <v>51</v>
      </c>
      <c r="H57" s="92">
        <f>IF(C56&lt;=0,"n.m.",H56/C56-1)</f>
        <v>0</v>
      </c>
      <c r="I57" s="92">
        <f>IF(D56&lt;=0,"n.m.",I56/D56-1)</f>
        <v>0.05555555555555558</v>
      </c>
      <c r="J57" s="91">
        <f>IF(E56&lt;=0,"n.m.",J56/E56-1)</f>
        <v>0.10810810810811033</v>
      </c>
      <c r="K57" s="89"/>
      <c r="L57" s="89"/>
    </row>
    <row r="58">
      <c r="A58" s="89"/>
      <c r="B58" s="87" t="s">
        <v>64</v>
      </c>
      <c r="C58" s="92" t="s">
        <v>51</v>
      </c>
      <c r="D58" s="92">
        <f>IF(C56&lt;=0,"n.m.",D56/C56-1)</f>
        <v>-0.027027027027026973</v>
      </c>
      <c r="E58" s="92">
        <f>IF(D56&lt;=0,"n.m.",E56/D56-1)</f>
        <v>0.02777777777777768</v>
      </c>
      <c r="F58" s="92">
        <f>IF(E56&lt;=0,"n.m.",F56/E56-1)</f>
        <v>-0.027027027027026973</v>
      </c>
      <c r="G58" s="92" t="s">
        <v>51</v>
      </c>
      <c r="H58" s="92">
        <f>IF(F56&lt;=0,"n.m.",H56/F56-1)</f>
        <v>0.02777777777777768</v>
      </c>
      <c r="I58" s="92">
        <f>IF(H56&lt;=0,"n.m.",I56/H56-1)</f>
        <v>0.027027027027026973</v>
      </c>
      <c r="J58" s="91">
        <f>IF(I56&lt;=0,"n.m.",J56/I56-1)</f>
        <v>0.07894736842105488</v>
      </c>
      <c r="K58" s="89"/>
      <c r="L58" s="89"/>
    </row>
    <row r="59">
      <c r="A59" s="89"/>
      <c r="B59" s="87" t="s">
        <v>65</v>
      </c>
      <c r="C59" s="92">
        <f>IF(C163=0,"n.m.",C56/C163)</f>
        <v>0.0077212020033388985</v>
      </c>
      <c r="D59" s="92">
        <f>IF(D163=0,"n.m.",D56/D163)</f>
        <v>0.007159904534606206</v>
      </c>
      <c r="E59" s="92">
        <f>IF(E163=0,"n.m.",E56/E163)</f>
        <v>0.007282031096240898</v>
      </c>
      <c r="F59" s="92">
        <f>IF(F163=0,"n.m.",F56/F163)</f>
        <v>0.006951148870438309</v>
      </c>
      <c r="G59" s="92">
        <f>IF(G163=0,"n.m.",G56/G163)</f>
        <v>0.007270916334661355</v>
      </c>
      <c r="H59" s="92">
        <f>IF(H163=0,"n.m.",H56/H163)</f>
        <v>0.006840451100018487</v>
      </c>
      <c r="I59" s="92">
        <f>IF(I163=0,"n.m.",I56/I163)</f>
        <v>0.006669006669006669</v>
      </c>
      <c r="J59" s="91">
        <f>IF(J163=0,"n.m.",J56/J163)</f>
        <v>0.007352079226041278</v>
      </c>
      <c r="K59" s="89"/>
      <c r="L59" s="89"/>
    </row>
    <row r="60">
      <c r="A60" s="89"/>
      <c r="B60" s="87" t="s">
        <v>66</v>
      </c>
      <c r="C60" s="92" t="s">
        <v>67</v>
      </c>
      <c r="D60" s="92" t="s">
        <v>67</v>
      </c>
      <c r="E60" s="92" t="s">
        <v>67</v>
      </c>
      <c r="F60" s="92" t="s">
        <v>67</v>
      </c>
      <c r="G60" s="92" t="s">
        <v>67</v>
      </c>
      <c r="H60" s="92" t="s">
        <v>67</v>
      </c>
      <c r="I60" s="92" t="s">
        <v>67</v>
      </c>
      <c r="J60" s="91" t="s">
        <v>67</v>
      </c>
      <c r="K60" s="89"/>
      <c r="L60" s="94" t="s">
        <v>68</v>
      </c>
    </row>
    <row r="61">
      <c r="A61" s="89"/>
      <c r="B61" s="87" t="s">
        <v>69</v>
      </c>
      <c r="C61" s="92" t="s">
        <v>67</v>
      </c>
      <c r="D61" s="92" t="s">
        <v>67</v>
      </c>
      <c r="E61" s="92" t="s">
        <v>67</v>
      </c>
      <c r="F61" s="92" t="s">
        <v>67</v>
      </c>
      <c r="G61" s="92" t="s">
        <v>67</v>
      </c>
      <c r="H61" s="92" t="s">
        <v>67</v>
      </c>
      <c r="I61" s="92" t="s">
        <v>67</v>
      </c>
      <c r="J61" s="91" t="s">
        <v>67</v>
      </c>
      <c r="K61" s="89"/>
      <c r="L61" s="94" t="s">
        <v>70</v>
      </c>
    </row>
    <row r="62">
      <c r="A62" s="89"/>
      <c r="B62" s="87" t="s">
        <v>71</v>
      </c>
      <c r="C62" s="92" t="s">
        <v>67</v>
      </c>
      <c r="D62" s="92" t="s">
        <v>67</v>
      </c>
      <c r="E62" s="92" t="s">
        <v>67</v>
      </c>
      <c r="F62" s="92" t="s">
        <v>67</v>
      </c>
      <c r="G62" s="92" t="s">
        <v>67</v>
      </c>
      <c r="H62" s="92" t="s">
        <v>67</v>
      </c>
      <c r="I62" s="92" t="s">
        <v>67</v>
      </c>
      <c r="J62" s="91" t="s">
        <v>67</v>
      </c>
      <c r="K62" s="89"/>
      <c r="L62" s="94" t="s">
        <v>72</v>
      </c>
    </row>
    <row r="63">
      <c r="A63" s="89"/>
      <c r="B63" s="104" t="s">
        <v>145</v>
      </c>
      <c r="C63" s="90">
        <f>C11+C33+C41+C49+C56</f>
        <v>3403</v>
      </c>
      <c r="D63" s="90">
        <f>D11+D33+D41+D49+D56</f>
        <v>3641</v>
      </c>
      <c r="E63" s="90">
        <f>E11+E33+E41+E49+E56</f>
        <v>3637</v>
      </c>
      <c r="F63" s="90">
        <f>F11+F33+F41+F49+F56</f>
        <v>3698</v>
      </c>
      <c r="G63" s="90">
        <f>G11+G33+G41+G49+G56</f>
        <v>14379</v>
      </c>
      <c r="H63" s="90">
        <f>H11+H33+H41+H49+H56</f>
        <v>3768</v>
      </c>
      <c r="I63" s="90">
        <f>I11+I33+I41+I49+I56</f>
        <v>4036</v>
      </c>
      <c r="J63" s="135">
        <f>J11+J33+J41+J49+J56</f>
        <v>4002.890327413543</v>
      </c>
      <c r="K63" s="89"/>
      <c r="L63" s="89"/>
    </row>
    <row r="64">
      <c r="A64" s="89"/>
      <c r="B64" s="87" t="s">
        <v>63</v>
      </c>
      <c r="C64" s="92" t="s">
        <v>51</v>
      </c>
      <c r="D64" s="92" t="s">
        <v>51</v>
      </c>
      <c r="E64" s="92" t="s">
        <v>51</v>
      </c>
      <c r="F64" s="92" t="s">
        <v>51</v>
      </c>
      <c r="G64" s="92" t="s">
        <v>51</v>
      </c>
      <c r="H64" s="92">
        <f>IF(C63&lt;=0,"n.m.",H63/C63-1)</f>
        <v>0.10725830149867766</v>
      </c>
      <c r="I64" s="92">
        <f>IF(D63&lt;=0,"n.m.",I63/D63-1)</f>
        <v>0.10848667948365831</v>
      </c>
      <c r="J64" s="91">
        <f>IF(E63&lt;=0,"n.m.",J63/E63-1)</f>
        <v>0.10060223464766094</v>
      </c>
      <c r="K64" s="89"/>
      <c r="L64" s="89"/>
    </row>
    <row r="65">
      <c r="A65" s="89"/>
      <c r="B65" s="87" t="s">
        <v>64</v>
      </c>
      <c r="C65" s="92" t="s">
        <v>51</v>
      </c>
      <c r="D65" s="92">
        <f>IF(C63&lt;=0,"n.m.",D63/C63-1)</f>
        <v>0.06993828974434324</v>
      </c>
      <c r="E65" s="92">
        <f>IF(D63&lt;=0,"n.m.",E63/D63-1)</f>
        <v>-0.0010985992859104954</v>
      </c>
      <c r="F65" s="92">
        <f>IF(E63&lt;=0,"n.m.",F63/E63-1)</f>
        <v>0.016772064888644467</v>
      </c>
      <c r="G65" s="92" t="s">
        <v>51</v>
      </c>
      <c r="H65" s="92">
        <f>IF(F63&lt;=0,"n.m.",H63/F63-1)</f>
        <v>0.018929150892374347</v>
      </c>
      <c r="I65" s="92">
        <f>IF(H63&lt;=0,"n.m.",I63/H63-1)</f>
        <v>0.07112526539278141</v>
      </c>
      <c r="J65" s="91">
        <f>IF(I63&lt;=0,"n.m.",J63/I63-1)</f>
        <v>-0.008203585873750474</v>
      </c>
      <c r="K65" s="89"/>
      <c r="L65" s="89"/>
    </row>
    <row r="66">
      <c r="A66" s="89"/>
      <c r="B66" s="87" t="s">
        <v>65</v>
      </c>
      <c r="C66" s="92">
        <f>IF(C163=0,"n.m.",C63/C163)</f>
        <v>0.7101419031719532</v>
      </c>
      <c r="D66" s="92">
        <f>IF(D163=0,"n.m.",D63/D163)</f>
        <v>0.7241447891805887</v>
      </c>
      <c r="E66" s="92">
        <f>IF(E163=0,"n.m.",E63/E163)</f>
        <v>0.7158039755953552</v>
      </c>
      <c r="F66" s="92">
        <f>IF(F163=0,"n.m.",F63/F163)</f>
        <v>0.7140374589689129</v>
      </c>
      <c r="G66" s="92">
        <f>IF(G163=0,"n.m.",G63/G163)</f>
        <v>0.7160856573705179</v>
      </c>
      <c r="H66" s="92">
        <f>IF(H163=0,"n.m.",H63/H163)</f>
        <v>0.6966167498613423</v>
      </c>
      <c r="I66" s="92">
        <f>IF(I163=0,"n.m.",I63/I163)</f>
        <v>0.7083187083187084</v>
      </c>
      <c r="J66" s="91">
        <f>IF(J163=0,"n.m.",J63/J163)</f>
        <v>0.7177943126902102</v>
      </c>
      <c r="K66" s="89"/>
      <c r="L66" s="89"/>
    </row>
    <row r="67">
      <c r="A67" s="89"/>
      <c r="B67" s="87" t="s">
        <v>66</v>
      </c>
      <c r="C67" s="92" t="s">
        <v>67</v>
      </c>
      <c r="D67" s="92" t="s">
        <v>67</v>
      </c>
      <c r="E67" s="92" t="s">
        <v>67</v>
      </c>
      <c r="F67" s="92" t="s">
        <v>67</v>
      </c>
      <c r="G67" s="92" t="s">
        <v>67</v>
      </c>
      <c r="H67" s="92" t="s">
        <v>67</v>
      </c>
      <c r="I67" s="92" t="s">
        <v>67</v>
      </c>
      <c r="J67" s="91" t="s">
        <v>67</v>
      </c>
      <c r="K67" s="89"/>
      <c r="L67" s="94" t="s">
        <v>68</v>
      </c>
    </row>
    <row r="68">
      <c r="A68" s="89"/>
      <c r="B68" s="87" t="s">
        <v>69</v>
      </c>
      <c r="C68" s="92" t="s">
        <v>67</v>
      </c>
      <c r="D68" s="92" t="s">
        <v>67</v>
      </c>
      <c r="E68" s="92" t="s">
        <v>67</v>
      </c>
      <c r="F68" s="92" t="s">
        <v>67</v>
      </c>
      <c r="G68" s="92" t="s">
        <v>67</v>
      </c>
      <c r="H68" s="92" t="s">
        <v>67</v>
      </c>
      <c r="I68" s="92" t="s">
        <v>67</v>
      </c>
      <c r="J68" s="91" t="s">
        <v>67</v>
      </c>
      <c r="K68" s="89"/>
      <c r="L68" s="94" t="s">
        <v>70</v>
      </c>
    </row>
    <row r="69">
      <c r="A69" s="89"/>
      <c r="B69" s="87" t="s">
        <v>71</v>
      </c>
      <c r="C69" s="92" t="s">
        <v>67</v>
      </c>
      <c r="D69" s="92" t="s">
        <v>67</v>
      </c>
      <c r="E69" s="92" t="s">
        <v>67</v>
      </c>
      <c r="F69" s="92" t="s">
        <v>67</v>
      </c>
      <c r="G69" s="92" t="s">
        <v>67</v>
      </c>
      <c r="H69" s="92" t="s">
        <v>67</v>
      </c>
      <c r="I69" s="92" t="s">
        <v>67</v>
      </c>
      <c r="J69" s="91" t="s">
        <v>67</v>
      </c>
      <c r="K69" s="89"/>
      <c r="L69" s="94" t="s">
        <v>72</v>
      </c>
    </row>
    <row r="70">
      <c r="A70" s="89"/>
      <c r="B70" s="87" t="s">
        <v>289</v>
      </c>
      <c r="C70" s="177">
        <f>'Segment - Securities Services'!C80+'Segment - Market &amp; Wealth Svcs'!C91+'Segment - Inv &amp; Wealth Mgmt'!C115+'Segment - Other'!C11</f>
        <v>3403</v>
      </c>
      <c r="D70" s="177">
        <f>'Segment - Securities Services'!D80+'Segment - Market &amp; Wealth Svcs'!D91+'Segment - Inv &amp; Wealth Mgmt'!D115+'Segment - Other'!D11</f>
        <v>3641</v>
      </c>
      <c r="E70" s="177">
        <f>'Segment - Securities Services'!E80+'Segment - Market &amp; Wealth Svcs'!E91+'Segment - Inv &amp; Wealth Mgmt'!E115+'Segment - Other'!E11</f>
        <v>3637</v>
      </c>
      <c r="F70" s="177">
        <f>'Segment - Securities Services'!F80+'Segment - Market &amp; Wealth Svcs'!F91+'Segment - Inv &amp; Wealth Mgmt'!F115+'Segment - Other'!F11</f>
        <v>3698</v>
      </c>
      <c r="G70" s="177">
        <f>'Segment - Securities Services'!G80+'Segment - Market &amp; Wealth Svcs'!G91+'Segment - Inv &amp; Wealth Mgmt'!G115+'Segment - Other'!G11</f>
        <v>14379</v>
      </c>
      <c r="H70" s="177">
        <f>'Segment - Securities Services'!H80+'Segment - Market &amp; Wealth Svcs'!H91+'Segment - Inv &amp; Wealth Mgmt'!H115+'Segment - Other'!H11</f>
        <v>3768</v>
      </c>
      <c r="I70" s="177">
        <f>'Segment - Securities Services'!I80+'Segment - Market &amp; Wealth Svcs'!I91+'Segment - Inv &amp; Wealth Mgmt'!I115+'Segment - Other'!I11</f>
        <v>4036</v>
      </c>
      <c r="J70" s="174">
        <f>'Segment - Securities Services'!J80+'Segment - Market &amp; Wealth Svcs'!J91+'Segment - Inv &amp; Wealth Mgmt'!J115+'Segment - Other'!J11</f>
        <v>4002.890327413543</v>
      </c>
      <c r="K70" s="89"/>
      <c r="L70" s="89"/>
    </row>
    <row r="71" ht="23.25">
      <c r="A71" s="89"/>
      <c r="B71" s="187" t="s">
        <v>290</v>
      </c>
      <c r="C71" s="99" t="b">
        <f>ABS(C63-C70)&lt;0.5</f>
        <v>1</v>
      </c>
      <c r="D71" s="99" t="b">
        <f>ABS(D63-D70)&lt;0.5</f>
        <v>1</v>
      </c>
      <c r="E71" s="99" t="b">
        <f>ABS(E63-E70)&lt;0.5</f>
        <v>1</v>
      </c>
      <c r="F71" s="99" t="b">
        <f>ABS(F63-F70)&lt;0.5</f>
        <v>1</v>
      </c>
      <c r="G71" s="99" t="b">
        <f>ABS(G63-G70)&lt;0.5</f>
        <v>1</v>
      </c>
      <c r="H71" s="99" t="b">
        <f>ABS(H63-H70)&lt;0.5</f>
        <v>1</v>
      </c>
      <c r="I71" s="99" t="b">
        <f>ABS(I63-I70)&lt;0.5</f>
        <v>1</v>
      </c>
      <c r="J71" s="139" t="b">
        <f>ABS(J63-J70)&lt;0.5</f>
        <v>1</v>
      </c>
      <c r="K71" s="89"/>
      <c r="L71" s="181" t="s">
        <v>291</v>
      </c>
    </row>
    <row r="72" ht="23.24853515625">
      <c r="A72" s="89"/>
      <c r="B72" s="187" t="s">
        <v>292</v>
      </c>
      <c r="C72" s="86">
        <v>6</v>
      </c>
      <c r="D72" s="86">
        <v>35</v>
      </c>
      <c r="E72" s="86">
        <v>23</v>
      </c>
      <c r="F72" s="86">
        <v>19</v>
      </c>
      <c r="G72" s="95">
        <f>SUM(C72:F72)</f>
        <v>83</v>
      </c>
      <c r="H72" s="86">
        <v>-6</v>
      </c>
      <c r="I72" s="86">
        <v>60</v>
      </c>
      <c r="J72" s="121" t="s">
        <v>129</v>
      </c>
      <c r="K72" s="89"/>
      <c r="L72" s="94" t="s">
        <v>293</v>
      </c>
    </row>
    <row r="73">
      <c r="A73" s="89"/>
      <c r="B73" s="87" t="s">
        <v>63</v>
      </c>
      <c r="C73" s="92" t="s">
        <v>51</v>
      </c>
      <c r="D73" s="92" t="s">
        <v>51</v>
      </c>
      <c r="E73" s="92" t="s">
        <v>51</v>
      </c>
      <c r="F73" s="92" t="s">
        <v>51</v>
      </c>
      <c r="G73" s="92" t="s">
        <v>51</v>
      </c>
      <c r="H73" s="92" t="str">
        <f>IF(OR(C72&lt;=0,H72&lt;0),"n.m.",H72/C72-1)</f>
        <v>n.m.</v>
      </c>
      <c r="I73" s="92">
        <f>IF(OR(D72&lt;=0,I72&lt;0),"n.m.",I72/D72-1)</f>
        <v>0.7142857142857142</v>
      </c>
      <c r="J73" s="91" t="s">
        <v>51</v>
      </c>
      <c r="K73" s="89"/>
      <c r="L73" s="89"/>
    </row>
    <row r="74">
      <c r="A74" s="89"/>
      <c r="B74" s="87" t="s">
        <v>64</v>
      </c>
      <c r="C74" s="92" t="s">
        <v>51</v>
      </c>
      <c r="D74" s="92">
        <f>IF(OR(C72&lt;=0,D72&lt;0),"n.m.",D72/C72-1)</f>
        <v>4.833333333333333</v>
      </c>
      <c r="E74" s="92">
        <f>IF(OR(D72&lt;=0,E72&lt;0),"n.m.",E72/D72-1)</f>
        <v>-0.34285714285714286</v>
      </c>
      <c r="F74" s="92">
        <f>IF(OR(E72&lt;=0,F72&lt;0),"n.m.",F72/E72-1)</f>
        <v>-0.17391304347826086</v>
      </c>
      <c r="G74" s="92" t="s">
        <v>51</v>
      </c>
      <c r="H74" s="92" t="str">
        <f>IF(OR(F72&lt;=0,H72&lt;0),"n.m.",H72/F72-1)</f>
        <v>n.m.</v>
      </c>
      <c r="I74" s="92" t="str">
        <f>IF(OR(H72&lt;=0,I72&lt;0),"n.m.",I72/H72-1)</f>
        <v>n.m.</v>
      </c>
      <c r="J74" s="91" t="s">
        <v>51</v>
      </c>
      <c r="K74" s="89"/>
      <c r="L74" s="202" t="s">
        <v>294</v>
      </c>
    </row>
    <row r="75">
      <c r="A75" s="89"/>
      <c r="B75" s="87" t="s">
        <v>65</v>
      </c>
      <c r="C75" s="92">
        <f>IF(C163=0,"n.m.",C72/C163)</f>
        <v>0.0012520868113522537</v>
      </c>
      <c r="D75" s="92">
        <f>IF(D163=0,"n.m.",D72/D163)</f>
        <v>0.00696101829753381</v>
      </c>
      <c r="E75" s="92">
        <f>IF(E163=0,"n.m.",E72/E163)</f>
        <v>0.0045266679787443415</v>
      </c>
      <c r="F75" s="92">
        <f>IF(F163=0,"n.m.",F72/F163)</f>
        <v>0.0036686619038424407</v>
      </c>
      <c r="G75" s="92">
        <f>IF(G163=0,"n.m.",G72/G163)</f>
        <v>0.004133466135458167</v>
      </c>
      <c r="H75" s="92">
        <f>IF(H163=0,"n.m.",H72/H163)</f>
        <v>-0.0011092623405435386</v>
      </c>
      <c r="I75" s="92">
        <f>IF(I163=0,"n.m.",I72/I163)</f>
        <v>0.01053001053001053</v>
      </c>
      <c r="J75" s="91" t="s">
        <v>51</v>
      </c>
      <c r="K75" s="89"/>
      <c r="L75" s="89"/>
    </row>
    <row r="76">
      <c r="A76" s="89"/>
      <c r="B76" s="87" t="s">
        <v>66</v>
      </c>
      <c r="C76" s="92" t="s">
        <v>67</v>
      </c>
      <c r="D76" s="92" t="s">
        <v>67</v>
      </c>
      <c r="E76" s="92" t="s">
        <v>67</v>
      </c>
      <c r="F76" s="92" t="s">
        <v>67</v>
      </c>
      <c r="G76" s="92" t="s">
        <v>67</v>
      </c>
      <c r="H76" s="92" t="s">
        <v>67</v>
      </c>
      <c r="I76" s="92" t="s">
        <v>67</v>
      </c>
      <c r="J76" s="91" t="s">
        <v>67</v>
      </c>
      <c r="K76" s="89"/>
      <c r="L76" s="94" t="s">
        <v>68</v>
      </c>
    </row>
    <row r="77">
      <c r="A77" s="89"/>
      <c r="B77" s="87" t="s">
        <v>69</v>
      </c>
      <c r="C77" s="92" t="s">
        <v>67</v>
      </c>
      <c r="D77" s="92" t="s">
        <v>67</v>
      </c>
      <c r="E77" s="92" t="s">
        <v>67</v>
      </c>
      <c r="F77" s="92" t="s">
        <v>67</v>
      </c>
      <c r="G77" s="92" t="s">
        <v>67</v>
      </c>
      <c r="H77" s="92" t="s">
        <v>67</v>
      </c>
      <c r="I77" s="92" t="s">
        <v>67</v>
      </c>
      <c r="J77" s="91" t="s">
        <v>67</v>
      </c>
      <c r="K77" s="89"/>
      <c r="L77" s="94" t="s">
        <v>70</v>
      </c>
    </row>
    <row r="78">
      <c r="A78" s="89"/>
      <c r="B78" s="87" t="s">
        <v>71</v>
      </c>
      <c r="C78" s="92" t="s">
        <v>67</v>
      </c>
      <c r="D78" s="92" t="s">
        <v>67</v>
      </c>
      <c r="E78" s="92" t="s">
        <v>67</v>
      </c>
      <c r="F78" s="92" t="s">
        <v>67</v>
      </c>
      <c r="G78" s="92" t="s">
        <v>67</v>
      </c>
      <c r="H78" s="92" t="s">
        <v>67</v>
      </c>
      <c r="I78" s="92" t="s">
        <v>67</v>
      </c>
      <c r="J78" s="91" t="s">
        <v>67</v>
      </c>
      <c r="K78" s="89"/>
      <c r="L78" s="94" t="s">
        <v>72</v>
      </c>
    </row>
    <row r="79">
      <c r="A79" s="89"/>
      <c r="B79" s="88" t="s">
        <v>295</v>
      </c>
      <c r="C79" s="86">
        <v>-6</v>
      </c>
      <c r="D79" s="86">
        <v>8</v>
      </c>
      <c r="E79" s="86">
        <v>8</v>
      </c>
      <c r="F79" s="86">
        <v>4</v>
      </c>
      <c r="G79" s="95">
        <f>SUM(C79:F79)</f>
        <v>14</v>
      </c>
      <c r="H79" s="86">
        <v>-3</v>
      </c>
      <c r="I79" s="86">
        <v>12</v>
      </c>
      <c r="J79" s="121" t="s">
        <v>129</v>
      </c>
      <c r="K79" s="89"/>
      <c r="L79" s="89"/>
    </row>
    <row r="80">
      <c r="A80" s="89"/>
      <c r="B80" s="87" t="s">
        <v>63</v>
      </c>
      <c r="C80" s="92" t="s">
        <v>51</v>
      </c>
      <c r="D80" s="92" t="s">
        <v>51</v>
      </c>
      <c r="E80" s="92" t="s">
        <v>51</v>
      </c>
      <c r="F80" s="92" t="s">
        <v>51</v>
      </c>
      <c r="G80" s="92" t="s">
        <v>51</v>
      </c>
      <c r="H80" s="92" t="str">
        <f>IF(C79&lt;=0,"n.m.",H79/C79-1)</f>
        <v>n.m.</v>
      </c>
      <c r="I80" s="92">
        <f>IF(D79&lt;=0,"n.m.",I79/D79-1)</f>
        <v>0.5</v>
      </c>
      <c r="J80" s="91" t="s">
        <v>51</v>
      </c>
      <c r="K80" s="89"/>
      <c r="L80" s="89"/>
    </row>
    <row r="81">
      <c r="A81" s="89"/>
      <c r="B81" s="87" t="s">
        <v>64</v>
      </c>
      <c r="C81" s="92" t="s">
        <v>51</v>
      </c>
      <c r="D81" s="92" t="str">
        <f>IF(OR(C79&lt;=0,D79&lt;0),"n.m.",D79/C79-1)</f>
        <v>n.m.</v>
      </c>
      <c r="E81" s="92">
        <f>IF(OR(D79&lt;=0,E79&lt;0),"n.m.",E79/D79-1)</f>
        <v>0</v>
      </c>
      <c r="F81" s="92">
        <f>IF(OR(E79&lt;=0,F79&lt;0),"n.m.",F79/E79-1)</f>
        <v>-0.5</v>
      </c>
      <c r="G81" s="92" t="s">
        <v>51</v>
      </c>
      <c r="H81" s="92" t="str">
        <f>IF(OR(F79&lt;=0,H79&lt;0),"n.m.",H79/F79-1)</f>
        <v>n.m.</v>
      </c>
      <c r="I81" s="92" t="str">
        <f>IF(OR(H79&lt;=0,I79&lt;0),"n.m.",I79/H79-1)</f>
        <v>n.m.</v>
      </c>
      <c r="J81" s="91" t="s">
        <v>51</v>
      </c>
      <c r="K81" s="89"/>
      <c r="L81" s="89"/>
    </row>
    <row r="82">
      <c r="A82" s="89"/>
      <c r="B82" s="87" t="s">
        <v>65</v>
      </c>
      <c r="C82" s="92">
        <f>IF(C163=0,"n.m.",C79/C163)</f>
        <v>-0.0012520868113522537</v>
      </c>
      <c r="D82" s="92">
        <f>IF(D163=0,"n.m.",D79/D163)</f>
        <v>0.0015910898965791568</v>
      </c>
      <c r="E82" s="92">
        <f>IF(E163=0,"n.m.",E79/E163)</f>
        <v>0.001574493209998032</v>
      </c>
      <c r="F82" s="92">
        <f>IF(F163=0,"n.m.",F79/F163)</f>
        <v>0.0007723498744931454</v>
      </c>
      <c r="G82" s="92">
        <f>IF(G163=0,"n.m.",G79/G163)</f>
        <v>0.0006972111553784861</v>
      </c>
      <c r="H82" s="92">
        <f>IF(H163=0,"n.m.",H79/H163)</f>
        <v>-0.0005546311702717693</v>
      </c>
      <c r="I82" s="92">
        <f>IF(I163=0,"n.m.",I79/I163)</f>
        <v>0.002106002106002106</v>
      </c>
      <c r="J82" s="91" t="s">
        <v>51</v>
      </c>
      <c r="K82" s="89"/>
      <c r="L82" s="89"/>
    </row>
    <row r="83">
      <c r="A83" s="89"/>
      <c r="B83" s="87" t="s">
        <v>66</v>
      </c>
      <c r="C83" s="92" t="s">
        <v>67</v>
      </c>
      <c r="D83" s="92" t="s">
        <v>67</v>
      </c>
      <c r="E83" s="92" t="s">
        <v>67</v>
      </c>
      <c r="F83" s="92" t="s">
        <v>67</v>
      </c>
      <c r="G83" s="92" t="s">
        <v>67</v>
      </c>
      <c r="H83" s="92" t="s">
        <v>67</v>
      </c>
      <c r="I83" s="92" t="s">
        <v>67</v>
      </c>
      <c r="J83" s="91" t="s">
        <v>67</v>
      </c>
      <c r="K83" s="89"/>
      <c r="L83" s="94" t="s">
        <v>68</v>
      </c>
    </row>
    <row r="84">
      <c r="A84" s="89"/>
      <c r="B84" s="87" t="s">
        <v>69</v>
      </c>
      <c r="C84" s="92" t="s">
        <v>67</v>
      </c>
      <c r="D84" s="92" t="s">
        <v>67</v>
      </c>
      <c r="E84" s="92" t="s">
        <v>67</v>
      </c>
      <c r="F84" s="92" t="s">
        <v>67</v>
      </c>
      <c r="G84" s="92" t="s">
        <v>67</v>
      </c>
      <c r="H84" s="92" t="s">
        <v>67</v>
      </c>
      <c r="I84" s="92" t="s">
        <v>67</v>
      </c>
      <c r="J84" s="91" t="s">
        <v>67</v>
      </c>
      <c r="K84" s="89"/>
      <c r="L84" s="94" t="s">
        <v>70</v>
      </c>
    </row>
    <row r="85">
      <c r="A85" s="89"/>
      <c r="B85" s="87" t="s">
        <v>71</v>
      </c>
      <c r="C85" s="92" t="s">
        <v>67</v>
      </c>
      <c r="D85" s="92" t="s">
        <v>67</v>
      </c>
      <c r="E85" s="92" t="s">
        <v>67</v>
      </c>
      <c r="F85" s="92" t="s">
        <v>67</v>
      </c>
      <c r="G85" s="92" t="s">
        <v>67</v>
      </c>
      <c r="H85" s="92" t="s">
        <v>67</v>
      </c>
      <c r="I85" s="92" t="s">
        <v>67</v>
      </c>
      <c r="J85" s="91" t="s">
        <v>67</v>
      </c>
      <c r="K85" s="89"/>
      <c r="L85" s="94" t="s">
        <v>72</v>
      </c>
    </row>
    <row r="86">
      <c r="A86" s="89"/>
      <c r="B86" s="88" t="s">
        <v>296</v>
      </c>
      <c r="C86" s="86">
        <v>71</v>
      </c>
      <c r="D86" s="86">
        <v>59</v>
      </c>
      <c r="E86" s="86">
        <v>73</v>
      </c>
      <c r="F86" s="86">
        <v>76</v>
      </c>
      <c r="G86" s="95">
        <f>SUM(C86:F86)</f>
        <v>279</v>
      </c>
      <c r="H86" s="86">
        <v>94</v>
      </c>
      <c r="I86" s="86">
        <v>59</v>
      </c>
      <c r="J86" s="121" t="s">
        <v>129</v>
      </c>
      <c r="K86" s="89"/>
      <c r="L86" s="89"/>
    </row>
    <row r="87">
      <c r="A87" s="89"/>
      <c r="B87" s="87" t="s">
        <v>63</v>
      </c>
      <c r="C87" s="92" t="s">
        <v>51</v>
      </c>
      <c r="D87" s="92" t="s">
        <v>51</v>
      </c>
      <c r="E87" s="92" t="s">
        <v>51</v>
      </c>
      <c r="F87" s="92" t="s">
        <v>51</v>
      </c>
      <c r="G87" s="92" t="s">
        <v>51</v>
      </c>
      <c r="H87" s="92">
        <f>IF(C86&lt;=0,"n.m.",H86/C86-1)</f>
        <v>0.323943661971831</v>
      </c>
      <c r="I87" s="92">
        <f>IF(D86&lt;=0,"n.m.",I86/D86-1)</f>
        <v>0</v>
      </c>
      <c r="J87" s="91" t="s">
        <v>51</v>
      </c>
      <c r="K87" s="89"/>
      <c r="L87" s="89"/>
    </row>
    <row r="88">
      <c r="A88" s="89"/>
      <c r="B88" s="87" t="s">
        <v>64</v>
      </c>
      <c r="C88" s="92" t="s">
        <v>51</v>
      </c>
      <c r="D88" s="92">
        <f>IF(C86&lt;=0,"n.m.",D86/C86-1)</f>
        <v>-0.16901408450704225</v>
      </c>
      <c r="E88" s="92">
        <f>IF(D86&lt;=0,"n.m.",E86/D86-1)</f>
        <v>0.23728813559322037</v>
      </c>
      <c r="F88" s="92">
        <f>IF(E86&lt;=0,"n.m.",F86/E86-1)</f>
        <v>0.041095890410958846</v>
      </c>
      <c r="G88" s="92" t="s">
        <v>51</v>
      </c>
      <c r="H88" s="92">
        <f>IF(F86&lt;=0,"n.m.",H86/F86-1)</f>
        <v>0.23684210526315796</v>
      </c>
      <c r="I88" s="92">
        <f>IF(H86&lt;=0,"n.m.",I86/H86-1)</f>
        <v>-0.37234042553191493</v>
      </c>
      <c r="J88" s="91" t="s">
        <v>51</v>
      </c>
      <c r="K88" s="89"/>
      <c r="L88" s="89"/>
    </row>
    <row r="89">
      <c r="A89" s="89"/>
      <c r="B89" s="87" t="s">
        <v>65</v>
      </c>
      <c r="C89" s="92">
        <f>IF(C163=0,"n.m.",C86/C163)</f>
        <v>0.01481636060100167</v>
      </c>
      <c r="D89" s="92">
        <f>IF(D163=0,"n.m.",D86/D163)</f>
        <v>0.011734287987271282</v>
      </c>
      <c r="E89" s="92">
        <f>IF(E163=0,"n.m.",E86/E163)</f>
        <v>0.014367250541232042</v>
      </c>
      <c r="F89" s="92">
        <f>IF(F163=0,"n.m.",F86/F163)</f>
        <v>0.014674647615369763</v>
      </c>
      <c r="G89" s="92">
        <f>IF(G163=0,"n.m.",G86/G163)</f>
        <v>0.013894422310756972</v>
      </c>
      <c r="H89" s="92">
        <f>IF(H163=0,"n.m.",H86/H163)</f>
        <v>0.017378443335182105</v>
      </c>
      <c r="I89" s="92">
        <f>IF(I163=0,"n.m.",I86/I163)</f>
        <v>0.010354510354510354</v>
      </c>
      <c r="J89" s="91" t="s">
        <v>51</v>
      </c>
      <c r="K89" s="89"/>
      <c r="L89" s="89"/>
    </row>
    <row r="90">
      <c r="A90" s="89"/>
      <c r="B90" s="87" t="s">
        <v>66</v>
      </c>
      <c r="C90" s="92" t="s">
        <v>67</v>
      </c>
      <c r="D90" s="92" t="s">
        <v>67</v>
      </c>
      <c r="E90" s="92" t="s">
        <v>67</v>
      </c>
      <c r="F90" s="92" t="s">
        <v>67</v>
      </c>
      <c r="G90" s="92" t="s">
        <v>67</v>
      </c>
      <c r="H90" s="92" t="s">
        <v>67</v>
      </c>
      <c r="I90" s="92" t="s">
        <v>67</v>
      </c>
      <c r="J90" s="91" t="s">
        <v>67</v>
      </c>
      <c r="K90" s="89"/>
      <c r="L90" s="94" t="s">
        <v>68</v>
      </c>
    </row>
    <row r="91">
      <c r="A91" s="89"/>
      <c r="B91" s="87" t="s">
        <v>69</v>
      </c>
      <c r="C91" s="92" t="s">
        <v>67</v>
      </c>
      <c r="D91" s="92" t="s">
        <v>67</v>
      </c>
      <c r="E91" s="92" t="s">
        <v>67</v>
      </c>
      <c r="F91" s="92" t="s">
        <v>67</v>
      </c>
      <c r="G91" s="92" t="s">
        <v>67</v>
      </c>
      <c r="H91" s="92" t="s">
        <v>67</v>
      </c>
      <c r="I91" s="92" t="s">
        <v>67</v>
      </c>
      <c r="J91" s="91" t="s">
        <v>67</v>
      </c>
      <c r="K91" s="89"/>
      <c r="L91" s="94" t="s">
        <v>70</v>
      </c>
    </row>
    <row r="92">
      <c r="A92" s="89"/>
      <c r="B92" s="87" t="s">
        <v>71</v>
      </c>
      <c r="C92" s="92" t="s">
        <v>67</v>
      </c>
      <c r="D92" s="92" t="s">
        <v>67</v>
      </c>
      <c r="E92" s="92" t="s">
        <v>67</v>
      </c>
      <c r="F92" s="92" t="s">
        <v>67</v>
      </c>
      <c r="G92" s="92" t="s">
        <v>67</v>
      </c>
      <c r="H92" s="92" t="s">
        <v>67</v>
      </c>
      <c r="I92" s="92" t="s">
        <v>67</v>
      </c>
      <c r="J92" s="91" t="s">
        <v>67</v>
      </c>
      <c r="K92" s="89"/>
      <c r="L92" s="94" t="s">
        <v>72</v>
      </c>
    </row>
    <row r="93">
      <c r="A93" s="89"/>
      <c r="B93" s="88" t="s">
        <v>297</v>
      </c>
      <c r="C93" s="86">
        <v>15</v>
      </c>
      <c r="D93" s="86">
        <v>15</v>
      </c>
      <c r="E93" s="86">
        <v>19</v>
      </c>
      <c r="F93" s="86">
        <v>6</v>
      </c>
      <c r="G93" s="95">
        <f>SUM(C93:F93)</f>
        <v>55</v>
      </c>
      <c r="H93" s="86">
        <v>44</v>
      </c>
      <c r="I93" s="86">
        <v>11</v>
      </c>
      <c r="J93" s="121" t="s">
        <v>129</v>
      </c>
      <c r="K93" s="89"/>
      <c r="L93" s="89"/>
    </row>
    <row r="94">
      <c r="A94" s="89"/>
      <c r="B94" s="87" t="s">
        <v>63</v>
      </c>
      <c r="C94" s="92" t="s">
        <v>51</v>
      </c>
      <c r="D94" s="92" t="s">
        <v>51</v>
      </c>
      <c r="E94" s="92" t="s">
        <v>51</v>
      </c>
      <c r="F94" s="92" t="s">
        <v>51</v>
      </c>
      <c r="G94" s="92" t="s">
        <v>51</v>
      </c>
      <c r="H94" s="92">
        <f>IF(C93&lt;=0,"n.m.",H93/C93-1)</f>
        <v>1.9333333333333331</v>
      </c>
      <c r="I94" s="92">
        <f>IF(D93&lt;=0,"n.m.",I93/D93-1)</f>
        <v>-0.2666666666666667</v>
      </c>
      <c r="J94" s="91" t="s">
        <v>51</v>
      </c>
      <c r="K94" s="89"/>
      <c r="L94" s="89"/>
    </row>
    <row r="95">
      <c r="A95" s="89"/>
      <c r="B95" s="87" t="s">
        <v>64</v>
      </c>
      <c r="C95" s="92" t="s">
        <v>51</v>
      </c>
      <c r="D95" s="92">
        <f>IF(C93&lt;=0,"n.m.",D93/C93-1)</f>
        <v>0</v>
      </c>
      <c r="E95" s="92">
        <f>IF(D93&lt;=0,"n.m.",E93/D93-1)</f>
        <v>0.2666666666666666</v>
      </c>
      <c r="F95" s="92">
        <f>IF(E93&lt;=0,"n.m.",F93/E93-1)</f>
        <v>-0.6842105263157895</v>
      </c>
      <c r="G95" s="92" t="s">
        <v>51</v>
      </c>
      <c r="H95" s="92">
        <f>IF(F93&lt;=0,"n.m.",H93/F93-1)</f>
        <v>6.333333333333333</v>
      </c>
      <c r="I95" s="92">
        <f>IF(H93&lt;=0,"n.m.",I93/H93-1)</f>
        <v>-0.75</v>
      </c>
      <c r="J95" s="91" t="s">
        <v>51</v>
      </c>
      <c r="K95" s="89"/>
      <c r="L95" s="202" t="s">
        <v>298</v>
      </c>
    </row>
    <row r="96">
      <c r="A96" s="89"/>
      <c r="B96" s="87" t="s">
        <v>65</v>
      </c>
      <c r="C96" s="92">
        <f>IF(C163=0,"n.m.",C93/C163)</f>
        <v>0.0031302170283806345</v>
      </c>
      <c r="D96" s="92">
        <f>IF(D163=0,"n.m.",D93/D163)</f>
        <v>0.0029832935560859188</v>
      </c>
      <c r="E96" s="92">
        <f>IF(E163=0,"n.m.",E93/E163)</f>
        <v>0.0037394213737453256</v>
      </c>
      <c r="F96" s="92">
        <f>IF(F163=0,"n.m.",F93/F163)</f>
        <v>0.0011585248117397182</v>
      </c>
      <c r="G96" s="92">
        <f>IF(G163=0,"n.m.",G93/G163)</f>
        <v>0.0027390438247011954</v>
      </c>
      <c r="H96" s="92">
        <f>IF(H163=0,"n.m.",H93/H163)</f>
        <v>0.008134590497319282</v>
      </c>
      <c r="I96" s="92">
        <f>IF(I163=0,"n.m.",I93/I163)</f>
        <v>0.0019305019305019305</v>
      </c>
      <c r="J96" s="91" t="s">
        <v>51</v>
      </c>
      <c r="K96" s="89"/>
      <c r="L96" s="89"/>
    </row>
    <row r="97">
      <c r="A97" s="89"/>
      <c r="B97" s="87" t="s">
        <v>66</v>
      </c>
      <c r="C97" s="92" t="s">
        <v>67</v>
      </c>
      <c r="D97" s="92" t="s">
        <v>67</v>
      </c>
      <c r="E97" s="92" t="s">
        <v>67</v>
      </c>
      <c r="F97" s="92" t="s">
        <v>67</v>
      </c>
      <c r="G97" s="92" t="s">
        <v>67</v>
      </c>
      <c r="H97" s="92" t="s">
        <v>67</v>
      </c>
      <c r="I97" s="92" t="s">
        <v>67</v>
      </c>
      <c r="J97" s="91" t="s">
        <v>67</v>
      </c>
      <c r="K97" s="89"/>
      <c r="L97" s="94" t="s">
        <v>68</v>
      </c>
    </row>
    <row r="98">
      <c r="A98" s="89"/>
      <c r="B98" s="87" t="s">
        <v>69</v>
      </c>
      <c r="C98" s="92" t="s">
        <v>67</v>
      </c>
      <c r="D98" s="92" t="s">
        <v>67</v>
      </c>
      <c r="E98" s="92" t="s">
        <v>67</v>
      </c>
      <c r="F98" s="92" t="s">
        <v>67</v>
      </c>
      <c r="G98" s="92" t="s">
        <v>67</v>
      </c>
      <c r="H98" s="92" t="s">
        <v>67</v>
      </c>
      <c r="I98" s="92" t="s">
        <v>67</v>
      </c>
      <c r="J98" s="91" t="s">
        <v>67</v>
      </c>
      <c r="K98" s="89"/>
      <c r="L98" s="94" t="s">
        <v>70</v>
      </c>
    </row>
    <row r="99">
      <c r="A99" s="89"/>
      <c r="B99" s="87" t="s">
        <v>71</v>
      </c>
      <c r="C99" s="92" t="s">
        <v>67</v>
      </c>
      <c r="D99" s="92" t="s">
        <v>67</v>
      </c>
      <c r="E99" s="92" t="s">
        <v>67</v>
      </c>
      <c r="F99" s="92" t="s">
        <v>67</v>
      </c>
      <c r="G99" s="92" t="s">
        <v>67</v>
      </c>
      <c r="H99" s="92" t="s">
        <v>67</v>
      </c>
      <c r="I99" s="92" t="s">
        <v>67</v>
      </c>
      <c r="J99" s="91" t="s">
        <v>67</v>
      </c>
      <c r="K99" s="89"/>
      <c r="L99" s="94" t="s">
        <v>72</v>
      </c>
    </row>
    <row r="100">
      <c r="A100" s="89"/>
      <c r="B100" s="88" t="s">
        <v>299</v>
      </c>
      <c r="C100" s="86">
        <v>38</v>
      </c>
      <c r="D100" s="86">
        <v>35</v>
      </c>
      <c r="E100" s="86">
        <v>41</v>
      </c>
      <c r="F100" s="86">
        <v>51</v>
      </c>
      <c r="G100" s="95">
        <f>SUM(C100:F100)</f>
        <v>165</v>
      </c>
      <c r="H100" s="86">
        <v>48</v>
      </c>
      <c r="I100" s="86">
        <v>43</v>
      </c>
      <c r="J100" s="121" t="s">
        <v>129</v>
      </c>
      <c r="K100" s="89"/>
      <c r="L100" s="89"/>
    </row>
    <row r="101">
      <c r="A101" s="89"/>
      <c r="B101" s="87" t="s">
        <v>63</v>
      </c>
      <c r="C101" s="92" t="s">
        <v>51</v>
      </c>
      <c r="D101" s="92" t="s">
        <v>51</v>
      </c>
      <c r="E101" s="92" t="s">
        <v>51</v>
      </c>
      <c r="F101" s="92" t="s">
        <v>51</v>
      </c>
      <c r="G101" s="92" t="s">
        <v>51</v>
      </c>
      <c r="H101" s="92">
        <f>IF(C100&lt;=0,"n.m.",H100/C100-1)</f>
        <v>0.26315789473684204</v>
      </c>
      <c r="I101" s="92">
        <f>IF(D100&lt;=0,"n.m.",I100/D100-1)</f>
        <v>0.22857142857142865</v>
      </c>
      <c r="J101" s="91" t="s">
        <v>51</v>
      </c>
      <c r="K101" s="89"/>
      <c r="L101" s="89"/>
    </row>
    <row r="102">
      <c r="A102" s="89"/>
      <c r="B102" s="87" t="s">
        <v>64</v>
      </c>
      <c r="C102" s="92" t="s">
        <v>51</v>
      </c>
      <c r="D102" s="92">
        <f>IF(C100&lt;=0,"n.m.",D100/C100-1)</f>
        <v>-0.07894736842105265</v>
      </c>
      <c r="E102" s="92">
        <f>IF(D100&lt;=0,"n.m.",E100/D100-1)</f>
        <v>0.17142857142857149</v>
      </c>
      <c r="F102" s="92">
        <f>IF(E100&lt;=0,"n.m.",F100/E100-1)</f>
        <v>0.24390243902439024</v>
      </c>
      <c r="G102" s="92" t="s">
        <v>51</v>
      </c>
      <c r="H102" s="92">
        <f>IF(F100&lt;=0,"n.m.",H100/F100-1)</f>
        <v>-0.05882352941176472</v>
      </c>
      <c r="I102" s="92">
        <f>IF(H100&lt;=0,"n.m.",I100/H100-1)</f>
        <v>-0.10416666666666663</v>
      </c>
      <c r="J102" s="91" t="s">
        <v>51</v>
      </c>
      <c r="K102" s="89"/>
      <c r="L102" s="89"/>
    </row>
    <row r="103">
      <c r="A103" s="89"/>
      <c r="B103" s="87" t="s">
        <v>65</v>
      </c>
      <c r="C103" s="92">
        <f>IF(C163=0,"n.m.",C100/C163)</f>
        <v>0.007929883138564273</v>
      </c>
      <c r="D103" s="92">
        <f>IF(D163=0,"n.m.",D100/D163)</f>
        <v>0.00696101829753381</v>
      </c>
      <c r="E103" s="92">
        <f>IF(E163=0,"n.m.",E100/E163)</f>
        <v>0.008069277701239913</v>
      </c>
      <c r="F103" s="92">
        <f>IF(F163=0,"n.m.",F100/F163)</f>
        <v>0.009847460899787604</v>
      </c>
      <c r="G103" s="92">
        <f>IF(G163=0,"n.m.",G100/G163)</f>
        <v>0.008217131474103585</v>
      </c>
      <c r="H103" s="92">
        <f>IF(H163=0,"n.m.",H100/H163)</f>
        <v>0.00887409872434831</v>
      </c>
      <c r="I103" s="92">
        <f>IF(I163=0,"n.m.",I100/I163)</f>
        <v>0.007546507546507547</v>
      </c>
      <c r="J103" s="91" t="s">
        <v>51</v>
      </c>
      <c r="K103" s="89"/>
      <c r="L103" s="89"/>
    </row>
    <row r="104">
      <c r="A104" s="89"/>
      <c r="B104" s="87" t="s">
        <v>66</v>
      </c>
      <c r="C104" s="92" t="s">
        <v>67</v>
      </c>
      <c r="D104" s="92" t="s">
        <v>67</v>
      </c>
      <c r="E104" s="92" t="s">
        <v>67</v>
      </c>
      <c r="F104" s="92" t="s">
        <v>67</v>
      </c>
      <c r="G104" s="92" t="s">
        <v>67</v>
      </c>
      <c r="H104" s="92" t="s">
        <v>67</v>
      </c>
      <c r="I104" s="92" t="s">
        <v>67</v>
      </c>
      <c r="J104" s="91" t="s">
        <v>67</v>
      </c>
      <c r="K104" s="89"/>
      <c r="L104" s="94" t="s">
        <v>68</v>
      </c>
    </row>
    <row r="105">
      <c r="A105" s="89"/>
      <c r="B105" s="87" t="s">
        <v>69</v>
      </c>
      <c r="C105" s="92" t="s">
        <v>67</v>
      </c>
      <c r="D105" s="92" t="s">
        <v>67</v>
      </c>
      <c r="E105" s="92" t="s">
        <v>67</v>
      </c>
      <c r="F105" s="92" t="s">
        <v>67</v>
      </c>
      <c r="G105" s="92" t="s">
        <v>67</v>
      </c>
      <c r="H105" s="92" t="s">
        <v>67</v>
      </c>
      <c r="I105" s="92" t="s">
        <v>67</v>
      </c>
      <c r="J105" s="91" t="s">
        <v>67</v>
      </c>
      <c r="K105" s="89"/>
      <c r="L105" s="94" t="s">
        <v>70</v>
      </c>
    </row>
    <row r="106">
      <c r="A106" s="89"/>
      <c r="B106" s="87" t="s">
        <v>71</v>
      </c>
      <c r="C106" s="92" t="s">
        <v>67</v>
      </c>
      <c r="D106" s="92" t="s">
        <v>67</v>
      </c>
      <c r="E106" s="92" t="s">
        <v>67</v>
      </c>
      <c r="F106" s="92" t="s">
        <v>67</v>
      </c>
      <c r="G106" s="92" t="s">
        <v>67</v>
      </c>
      <c r="H106" s="92" t="s">
        <v>67</v>
      </c>
      <c r="I106" s="92" t="s">
        <v>67</v>
      </c>
      <c r="J106" s="91" t="s">
        <v>67</v>
      </c>
      <c r="K106" s="89"/>
      <c r="L106" s="94" t="s">
        <v>72</v>
      </c>
    </row>
    <row r="107">
      <c r="A107" s="89"/>
      <c r="B107" s="88" t="s">
        <v>300</v>
      </c>
      <c r="C107" s="86">
        <v>24</v>
      </c>
      <c r="D107" s="86">
        <v>26</v>
      </c>
      <c r="E107" s="86">
        <v>7</v>
      </c>
      <c r="F107" s="86">
        <v>-43</v>
      </c>
      <c r="G107" s="95">
        <f>SUM(C107:F107)</f>
        <v>14</v>
      </c>
      <c r="H107" s="86">
        <v>108</v>
      </c>
      <c r="I107" s="86">
        <v>19</v>
      </c>
      <c r="J107" s="121" t="s">
        <v>129</v>
      </c>
      <c r="K107" s="89"/>
      <c r="L107" s="89"/>
    </row>
    <row r="108">
      <c r="A108" s="89"/>
      <c r="B108" s="87" t="s">
        <v>63</v>
      </c>
      <c r="C108" s="92" t="s">
        <v>51</v>
      </c>
      <c r="D108" s="92" t="s">
        <v>51</v>
      </c>
      <c r="E108" s="92" t="s">
        <v>51</v>
      </c>
      <c r="F108" s="92" t="s">
        <v>51</v>
      </c>
      <c r="G108" s="92" t="s">
        <v>51</v>
      </c>
      <c r="H108" s="92">
        <f>IF(C107&lt;=0,"n.m.",H107/C107-1)</f>
        <v>3.5</v>
      </c>
      <c r="I108" s="92">
        <f>IF(D107&lt;=0,"n.m.",I107/D107-1)</f>
        <v>-0.2692307692307693</v>
      </c>
      <c r="J108" s="91" t="s">
        <v>51</v>
      </c>
      <c r="K108" s="89"/>
      <c r="L108" s="89"/>
    </row>
    <row r="109">
      <c r="A109" s="89"/>
      <c r="B109" s="87" t="s">
        <v>64</v>
      </c>
      <c r="C109" s="92" t="s">
        <v>51</v>
      </c>
      <c r="D109" s="92">
        <f>IF(OR(C107&lt;=0,D107&lt;0),"n.m.",D107/C107-1)</f>
        <v>0.08333333333333326</v>
      </c>
      <c r="E109" s="92">
        <f>IF(OR(D107&lt;=0,E107&lt;0),"n.m.",E107/D107-1)</f>
        <v>-0.7307692307692308</v>
      </c>
      <c r="F109" s="92" t="str">
        <f>IF(OR(E107&lt;=0,F107&lt;0),"n.m.",F107/E107-1)</f>
        <v>n.m.</v>
      </c>
      <c r="G109" s="92" t="s">
        <v>51</v>
      </c>
      <c r="H109" s="92" t="str">
        <f>IF(OR(F107&lt;=0,H107&lt;0),"n.m.",H107/F107-1)</f>
        <v>n.m.</v>
      </c>
      <c r="I109" s="92">
        <f>IF(OR(H107&lt;=0,I107&lt;0),"n.m.",I107/H107-1)</f>
        <v>-0.8240740740740741</v>
      </c>
      <c r="J109" s="91" t="s">
        <v>51</v>
      </c>
      <c r="K109" s="89"/>
      <c r="L109" s="89"/>
    </row>
    <row r="110">
      <c r="A110" s="89"/>
      <c r="B110" s="87" t="s">
        <v>65</v>
      </c>
      <c r="C110" s="92">
        <f>IF(C163=0,"n.m.",C107/C163)</f>
        <v>0.005008347245409015</v>
      </c>
      <c r="D110" s="92">
        <f>IF(D163=0,"n.m.",D107/D163)</f>
        <v>0.005171042163882259</v>
      </c>
      <c r="E110" s="92">
        <f>IF(E163=0,"n.m.",E107/E163)</f>
        <v>0.0013776815587482779</v>
      </c>
      <c r="F110" s="92">
        <f>IF(F163=0,"n.m.",F107/F163)</f>
        <v>-0.008302761150801313</v>
      </c>
      <c r="G110" s="92">
        <f>IF(G163=0,"n.m.",G107/G163)</f>
        <v>0.0006972111553784861</v>
      </c>
      <c r="H110" s="92">
        <f>IF(H163=0,"n.m.",H107/H163)</f>
        <v>0.019966722129783693</v>
      </c>
      <c r="I110" s="92">
        <f>IF(I163=0,"n.m.",I107/I163)</f>
        <v>0.0033345033345033347</v>
      </c>
      <c r="J110" s="91" t="s">
        <v>51</v>
      </c>
      <c r="K110" s="89"/>
      <c r="L110" s="89"/>
    </row>
    <row r="111">
      <c r="A111" s="89"/>
      <c r="B111" s="87" t="s">
        <v>66</v>
      </c>
      <c r="C111" s="92" t="s">
        <v>67</v>
      </c>
      <c r="D111" s="92" t="s">
        <v>67</v>
      </c>
      <c r="E111" s="92" t="s">
        <v>67</v>
      </c>
      <c r="F111" s="92" t="s">
        <v>67</v>
      </c>
      <c r="G111" s="92" t="s">
        <v>67</v>
      </c>
      <c r="H111" s="92" t="s">
        <v>67</v>
      </c>
      <c r="I111" s="92" t="s">
        <v>67</v>
      </c>
      <c r="J111" s="91" t="s">
        <v>67</v>
      </c>
      <c r="K111" s="89"/>
      <c r="L111" s="94" t="s">
        <v>68</v>
      </c>
    </row>
    <row r="112">
      <c r="A112" s="89"/>
      <c r="B112" s="87" t="s">
        <v>69</v>
      </c>
      <c r="C112" s="92" t="s">
        <v>67</v>
      </c>
      <c r="D112" s="92" t="s">
        <v>67</v>
      </c>
      <c r="E112" s="92" t="s">
        <v>67</v>
      </c>
      <c r="F112" s="92" t="s">
        <v>67</v>
      </c>
      <c r="G112" s="92" t="s">
        <v>67</v>
      </c>
      <c r="H112" s="92" t="s">
        <v>67</v>
      </c>
      <c r="I112" s="92" t="s">
        <v>67</v>
      </c>
      <c r="J112" s="91" t="s">
        <v>67</v>
      </c>
      <c r="K112" s="89"/>
      <c r="L112" s="94" t="s">
        <v>70</v>
      </c>
    </row>
    <row r="113">
      <c r="A113" s="89"/>
      <c r="B113" s="87" t="s">
        <v>71</v>
      </c>
      <c r="C113" s="92" t="s">
        <v>67</v>
      </c>
      <c r="D113" s="92" t="s">
        <v>67</v>
      </c>
      <c r="E113" s="92" t="s">
        <v>67</v>
      </c>
      <c r="F113" s="92" t="s">
        <v>67</v>
      </c>
      <c r="G113" s="92" t="s">
        <v>67</v>
      </c>
      <c r="H113" s="92" t="s">
        <v>67</v>
      </c>
      <c r="I113" s="92" t="s">
        <v>67</v>
      </c>
      <c r="J113" s="91" t="s">
        <v>67</v>
      </c>
      <c r="K113" s="89"/>
      <c r="L113" s="94" t="s">
        <v>72</v>
      </c>
    </row>
    <row r="114">
      <c r="A114" s="89"/>
      <c r="B114" s="88" t="s">
        <v>301</v>
      </c>
      <c r="C114" s="86">
        <v>40</v>
      </c>
      <c r="D114" s="86">
        <v>0</v>
      </c>
      <c r="E114" s="86">
        <v>12</v>
      </c>
      <c r="F114" s="86">
        <v>0</v>
      </c>
      <c r="G114" s="95">
        <f>SUM(C114:F114)</f>
        <v>52</v>
      </c>
      <c r="H114" s="86">
        <v>0</v>
      </c>
      <c r="I114" s="86">
        <v>0</v>
      </c>
      <c r="J114" s="121" t="s">
        <v>129</v>
      </c>
      <c r="K114" s="89"/>
      <c r="L114" s="89"/>
    </row>
    <row r="115">
      <c r="A115" s="89"/>
      <c r="B115" s="87" t="s">
        <v>63</v>
      </c>
      <c r="C115" s="92" t="s">
        <v>51</v>
      </c>
      <c r="D115" s="92" t="s">
        <v>51</v>
      </c>
      <c r="E115" s="92" t="s">
        <v>51</v>
      </c>
      <c r="F115" s="92" t="s">
        <v>51</v>
      </c>
      <c r="G115" s="92" t="s">
        <v>51</v>
      </c>
      <c r="H115" s="92">
        <f>IF(C114&lt;=0,"n.m.",H114/C114-1)</f>
        <v>-1</v>
      </c>
      <c r="I115" s="92" t="str">
        <f>IF(D114&lt;=0,"n.m.",I114/D114-1)</f>
        <v>n.m.</v>
      </c>
      <c r="J115" s="91" t="s">
        <v>51</v>
      </c>
      <c r="K115" s="89"/>
      <c r="L115" s="89"/>
    </row>
    <row r="116">
      <c r="A116" s="89"/>
      <c r="B116" s="87" t="s">
        <v>64</v>
      </c>
      <c r="C116" s="92" t="s">
        <v>51</v>
      </c>
      <c r="D116" s="92">
        <f>IF(C114&lt;=0,"n.m.",D114/C114-1)</f>
        <v>-1</v>
      </c>
      <c r="E116" s="92" t="str">
        <f>IF(D114&lt;=0,"n.m.",E114/D114-1)</f>
        <v>n.m.</v>
      </c>
      <c r="F116" s="92">
        <f>IF(E114&lt;=0,"n.m.",F114/E114-1)</f>
        <v>-1</v>
      </c>
      <c r="G116" s="92" t="s">
        <v>51</v>
      </c>
      <c r="H116" s="92" t="str">
        <f>IF(F114&lt;=0,"n.m.",H114/F114-1)</f>
        <v>n.m.</v>
      </c>
      <c r="I116" s="92" t="str">
        <f>IF(H114&lt;=0,"n.m.",I114/H114-1)</f>
        <v>n.m.</v>
      </c>
      <c r="J116" s="91" t="s">
        <v>51</v>
      </c>
      <c r="K116" s="89"/>
      <c r="L116" s="89"/>
    </row>
    <row r="117">
      <c r="A117" s="89"/>
      <c r="B117" s="87" t="s">
        <v>65</v>
      </c>
      <c r="C117" s="92">
        <f>IF(C163=0,"n.m.",C114/C163)</f>
        <v>0.008347245409015025</v>
      </c>
      <c r="D117" s="92">
        <f>IF(D163=0,"n.m.",D114/D163)</f>
        <v>0</v>
      </c>
      <c r="E117" s="92">
        <f>IF(E163=0,"n.m.",E114/E163)</f>
        <v>0.002361739814997048</v>
      </c>
      <c r="F117" s="92">
        <f>IF(F163=0,"n.m.",F114/F163)</f>
        <v>0</v>
      </c>
      <c r="G117" s="92">
        <f>IF(G163=0,"n.m.",G114/G163)</f>
        <v>0.0025896414342629482</v>
      </c>
      <c r="H117" s="92">
        <f>IF(H163=0,"n.m.",H114/H163)</f>
        <v>0</v>
      </c>
      <c r="I117" s="92">
        <f>IF(I163=0,"n.m.",I114/I163)</f>
        <v>0</v>
      </c>
      <c r="J117" s="91" t="s">
        <v>51</v>
      </c>
      <c r="K117" s="89"/>
      <c r="L117" s="89"/>
    </row>
    <row r="118">
      <c r="A118" s="89"/>
      <c r="B118" s="87" t="s">
        <v>66</v>
      </c>
      <c r="C118" s="92" t="s">
        <v>67</v>
      </c>
      <c r="D118" s="92" t="s">
        <v>67</v>
      </c>
      <c r="E118" s="92" t="s">
        <v>67</v>
      </c>
      <c r="F118" s="92" t="s">
        <v>67</v>
      </c>
      <c r="G118" s="92" t="s">
        <v>67</v>
      </c>
      <c r="H118" s="92" t="s">
        <v>67</v>
      </c>
      <c r="I118" s="92" t="s">
        <v>67</v>
      </c>
      <c r="J118" s="91" t="s">
        <v>67</v>
      </c>
      <c r="K118" s="89"/>
      <c r="L118" s="94" t="s">
        <v>68</v>
      </c>
    </row>
    <row r="119">
      <c r="A119" s="89"/>
      <c r="B119" s="87" t="s">
        <v>69</v>
      </c>
      <c r="C119" s="92" t="s">
        <v>67</v>
      </c>
      <c r="D119" s="92" t="s">
        <v>67</v>
      </c>
      <c r="E119" s="92" t="s">
        <v>67</v>
      </c>
      <c r="F119" s="92" t="s">
        <v>67</v>
      </c>
      <c r="G119" s="92" t="s">
        <v>67</v>
      </c>
      <c r="H119" s="92" t="s">
        <v>67</v>
      </c>
      <c r="I119" s="92" t="s">
        <v>67</v>
      </c>
      <c r="J119" s="91" t="s">
        <v>67</v>
      </c>
      <c r="K119" s="89"/>
      <c r="L119" s="94" t="s">
        <v>70</v>
      </c>
    </row>
    <row r="120">
      <c r="A120" s="89"/>
      <c r="B120" s="87" t="s">
        <v>71</v>
      </c>
      <c r="C120" s="92" t="s">
        <v>67</v>
      </c>
      <c r="D120" s="92" t="s">
        <v>67</v>
      </c>
      <c r="E120" s="92" t="s">
        <v>67</v>
      </c>
      <c r="F120" s="92" t="s">
        <v>67</v>
      </c>
      <c r="G120" s="92" t="s">
        <v>67</v>
      </c>
      <c r="H120" s="92" t="s">
        <v>67</v>
      </c>
      <c r="I120" s="92" t="s">
        <v>67</v>
      </c>
      <c r="J120" s="91" t="s">
        <v>67</v>
      </c>
      <c r="K120" s="89"/>
      <c r="L120" s="94" t="s">
        <v>72</v>
      </c>
    </row>
    <row r="121" ht="23.25">
      <c r="A121" s="89"/>
      <c r="B121" s="187" t="s">
        <v>302</v>
      </c>
      <c r="C121" s="86">
        <v>31</v>
      </c>
      <c r="D121" s="86">
        <v>34</v>
      </c>
      <c r="E121" s="86">
        <v>36</v>
      </c>
      <c r="F121" s="86">
        <v>35</v>
      </c>
      <c r="G121" s="95">
        <f>SUM(C121:F121)</f>
        <v>136</v>
      </c>
      <c r="H121" s="86">
        <v>32</v>
      </c>
      <c r="I121" s="86">
        <v>31</v>
      </c>
      <c r="J121" s="121" t="s">
        <v>129</v>
      </c>
      <c r="K121" s="89"/>
      <c r="L121" s="89"/>
    </row>
    <row r="122">
      <c r="A122" s="89"/>
      <c r="B122" s="87" t="s">
        <v>63</v>
      </c>
      <c r="C122" s="92" t="s">
        <v>51</v>
      </c>
      <c r="D122" s="92" t="s">
        <v>51</v>
      </c>
      <c r="E122" s="92" t="s">
        <v>51</v>
      </c>
      <c r="F122" s="92" t="s">
        <v>51</v>
      </c>
      <c r="G122" s="92" t="s">
        <v>51</v>
      </c>
      <c r="H122" s="92">
        <f>IF(C121&lt;=0,"n.m.",H121/C121-1)</f>
        <v>0.032258064516129004</v>
      </c>
      <c r="I122" s="92">
        <f>IF(D121&lt;=0,"n.m.",I121/D121-1)</f>
        <v>-0.08823529411764708</v>
      </c>
      <c r="J122" s="91" t="s">
        <v>51</v>
      </c>
      <c r="K122" s="89"/>
      <c r="L122" s="89"/>
    </row>
    <row r="123">
      <c r="A123" s="89"/>
      <c r="B123" s="87" t="s">
        <v>64</v>
      </c>
      <c r="C123" s="92" t="s">
        <v>51</v>
      </c>
      <c r="D123" s="92">
        <f>IF(C121&lt;=0,"n.m.",D121/C121-1)</f>
        <v>0.09677419354838701</v>
      </c>
      <c r="E123" s="92">
        <f>IF(D121&lt;=0,"n.m.",E121/D121-1)</f>
        <v>0.05882352941176472</v>
      </c>
      <c r="F123" s="92">
        <f>IF(E121&lt;=0,"n.m.",F121/E121-1)</f>
        <v>-0.02777777777777779</v>
      </c>
      <c r="G123" s="92" t="s">
        <v>51</v>
      </c>
      <c r="H123" s="92">
        <f>IF(F121&lt;=0,"n.m.",H121/F121-1)</f>
        <v>-0.08571428571428574</v>
      </c>
      <c r="I123" s="92">
        <f>IF(H121&lt;=0,"n.m.",I121/H121-1)</f>
        <v>-0.03125</v>
      </c>
      <c r="J123" s="91" t="s">
        <v>51</v>
      </c>
      <c r="K123" s="89"/>
      <c r="L123" s="89"/>
    </row>
    <row r="124">
      <c r="A124" s="89"/>
      <c r="B124" s="87" t="s">
        <v>65</v>
      </c>
      <c r="C124" s="92">
        <f>IF(C163=0,"n.m.",C121/C163)</f>
        <v>0.006469115191986645</v>
      </c>
      <c r="D124" s="92">
        <f>IF(D163=0,"n.m.",D121/D163)</f>
        <v>0.006762132060461416</v>
      </c>
      <c r="E124" s="92">
        <f>IF(E163=0,"n.m.",E121/E163)</f>
        <v>0.007085219444991143</v>
      </c>
      <c r="F124" s="92">
        <f>IF(F163=0,"n.m.",F121/F163)</f>
        <v>0.006758061401815022</v>
      </c>
      <c r="G124" s="92">
        <f>IF(G163=0,"n.m.",G121/G163)</f>
        <v>0.006772908366533864</v>
      </c>
      <c r="H124" s="92">
        <f>IF(H163=0,"n.m.",H121/H163)</f>
        <v>0.005916065816232206</v>
      </c>
      <c r="I124" s="92">
        <f>IF(I163=0,"n.m.",I121/I163)</f>
        <v>0.00544050544050544</v>
      </c>
      <c r="J124" s="91" t="s">
        <v>51</v>
      </c>
      <c r="K124" s="89"/>
      <c r="L124" s="89"/>
    </row>
    <row r="125">
      <c r="A125" s="89"/>
      <c r="B125" s="87" t="s">
        <v>66</v>
      </c>
      <c r="C125" s="92" t="s">
        <v>67</v>
      </c>
      <c r="D125" s="92" t="s">
        <v>67</v>
      </c>
      <c r="E125" s="92" t="s">
        <v>67</v>
      </c>
      <c r="F125" s="92" t="s">
        <v>67</v>
      </c>
      <c r="G125" s="92" t="s">
        <v>67</v>
      </c>
      <c r="H125" s="92" t="s">
        <v>67</v>
      </c>
      <c r="I125" s="92" t="s">
        <v>67</v>
      </c>
      <c r="J125" s="91" t="s">
        <v>67</v>
      </c>
      <c r="K125" s="89"/>
      <c r="L125" s="94" t="s">
        <v>68</v>
      </c>
    </row>
    <row r="126">
      <c r="A126" s="89"/>
      <c r="B126" s="87" t="s">
        <v>69</v>
      </c>
      <c r="C126" s="92" t="s">
        <v>67</v>
      </c>
      <c r="D126" s="92" t="s">
        <v>67</v>
      </c>
      <c r="E126" s="92" t="s">
        <v>67</v>
      </c>
      <c r="F126" s="92" t="s">
        <v>67</v>
      </c>
      <c r="G126" s="92" t="s">
        <v>67</v>
      </c>
      <c r="H126" s="92" t="s">
        <v>67</v>
      </c>
      <c r="I126" s="92" t="s">
        <v>67</v>
      </c>
      <c r="J126" s="91" t="s">
        <v>67</v>
      </c>
      <c r="K126" s="89"/>
      <c r="L126" s="94" t="s">
        <v>70</v>
      </c>
    </row>
    <row r="127">
      <c r="A127" s="89"/>
      <c r="B127" s="87" t="s">
        <v>71</v>
      </c>
      <c r="C127" s="92" t="s">
        <v>67</v>
      </c>
      <c r="D127" s="92" t="s">
        <v>67</v>
      </c>
      <c r="E127" s="92" t="s">
        <v>67</v>
      </c>
      <c r="F127" s="92" t="s">
        <v>67</v>
      </c>
      <c r="G127" s="92" t="s">
        <v>67</v>
      </c>
      <c r="H127" s="92" t="s">
        <v>67</v>
      </c>
      <c r="I127" s="92" t="s">
        <v>67</v>
      </c>
      <c r="J127" s="91" t="s">
        <v>67</v>
      </c>
      <c r="K127" s="89"/>
      <c r="L127" s="94" t="s">
        <v>72</v>
      </c>
    </row>
    <row r="128">
      <c r="A128" s="89"/>
      <c r="B128" s="88" t="s">
        <v>303</v>
      </c>
      <c r="C128" s="86">
        <v>11</v>
      </c>
      <c r="D128" s="86">
        <v>7</v>
      </c>
      <c r="E128" s="86">
        <v>19</v>
      </c>
      <c r="F128" s="86">
        <v>2</v>
      </c>
      <c r="G128" s="95">
        <f>SUM(C128:F128)</f>
        <v>39</v>
      </c>
      <c r="H128" s="86">
        <v>4</v>
      </c>
      <c r="I128" s="86">
        <v>6</v>
      </c>
      <c r="J128" s="121" t="s">
        <v>129</v>
      </c>
      <c r="K128" s="89"/>
      <c r="L128" s="89"/>
    </row>
    <row r="129">
      <c r="A129" s="89"/>
      <c r="B129" s="87" t="s">
        <v>63</v>
      </c>
      <c r="C129" s="92" t="s">
        <v>51</v>
      </c>
      <c r="D129" s="92" t="s">
        <v>51</v>
      </c>
      <c r="E129" s="92" t="s">
        <v>51</v>
      </c>
      <c r="F129" s="92" t="s">
        <v>51</v>
      </c>
      <c r="G129" s="92" t="s">
        <v>51</v>
      </c>
      <c r="H129" s="92">
        <f>IF(C128&lt;=0,"n.m.",H128/C128-1)</f>
        <v>-0.6363636363636364</v>
      </c>
      <c r="I129" s="92">
        <f>IF(D128&lt;=0,"n.m.",I128/D128-1)</f>
        <v>-0.1428571428571429</v>
      </c>
      <c r="J129" s="91" t="s">
        <v>51</v>
      </c>
      <c r="K129" s="89"/>
      <c r="L129" s="89"/>
    </row>
    <row r="130">
      <c r="A130" s="89"/>
      <c r="B130" s="87" t="s">
        <v>64</v>
      </c>
      <c r="C130" s="92" t="s">
        <v>51</v>
      </c>
      <c r="D130" s="92">
        <f>IF(C128&lt;=0,"n.m.",D128/C128-1)</f>
        <v>-0.36363636363636365</v>
      </c>
      <c r="E130" s="92">
        <f>IF(D128&lt;=0,"n.m.",E128/D128-1)</f>
        <v>1.7142857142857144</v>
      </c>
      <c r="F130" s="92">
        <f>IF(E128&lt;=0,"n.m.",F128/E128-1)</f>
        <v>-0.8947368421052632</v>
      </c>
      <c r="G130" s="92" t="s">
        <v>51</v>
      </c>
      <c r="H130" s="92">
        <f>IF(F128&lt;=0,"n.m.",H128/F128-1)</f>
        <v>1</v>
      </c>
      <c r="I130" s="92">
        <f>IF(H128&lt;=0,"n.m.",I128/H128-1)</f>
        <v>0.5</v>
      </c>
      <c r="J130" s="91" t="s">
        <v>51</v>
      </c>
      <c r="K130" s="89"/>
      <c r="L130" s="89"/>
    </row>
    <row r="131">
      <c r="A131" s="89"/>
      <c r="B131" s="87" t="s">
        <v>65</v>
      </c>
      <c r="C131" s="92">
        <f>IF(C163=0,"n.m.",C128/C163)</f>
        <v>0.002295492487479132</v>
      </c>
      <c r="D131" s="92">
        <f>IF(D163=0,"n.m.",D128/D163)</f>
        <v>0.0013922036595067622</v>
      </c>
      <c r="E131" s="92">
        <f>IF(E163=0,"n.m.",E128/E163)</f>
        <v>0.0037394213737453256</v>
      </c>
      <c r="F131" s="92">
        <f>IF(F163=0,"n.m.",F128/F163)</f>
        <v>0.0003861749372465727</v>
      </c>
      <c r="G131" s="92">
        <f>IF(G163=0,"n.m.",G128/G163)</f>
        <v>0.001942231075697211</v>
      </c>
      <c r="H131" s="92">
        <f>IF(H163=0,"n.m.",H128/H163)</f>
        <v>0.0007395082270290257</v>
      </c>
      <c r="I131" s="92">
        <f>IF(I163=0,"n.m.",I128/I163)</f>
        <v>0.001053001053001053</v>
      </c>
      <c r="J131" s="91" t="s">
        <v>51</v>
      </c>
      <c r="K131" s="89"/>
      <c r="L131" s="89"/>
    </row>
    <row r="132">
      <c r="A132" s="89"/>
      <c r="B132" s="87" t="s">
        <v>66</v>
      </c>
      <c r="C132" s="92" t="s">
        <v>67</v>
      </c>
      <c r="D132" s="92" t="s">
        <v>67</v>
      </c>
      <c r="E132" s="92" t="s">
        <v>67</v>
      </c>
      <c r="F132" s="92" t="s">
        <v>67</v>
      </c>
      <c r="G132" s="92" t="s">
        <v>67</v>
      </c>
      <c r="H132" s="92" t="s">
        <v>67</v>
      </c>
      <c r="I132" s="92" t="s">
        <v>67</v>
      </c>
      <c r="J132" s="91" t="s">
        <v>67</v>
      </c>
      <c r="K132" s="89"/>
      <c r="L132" s="94" t="s">
        <v>68</v>
      </c>
    </row>
    <row r="133">
      <c r="A133" s="89"/>
      <c r="B133" s="87" t="s">
        <v>69</v>
      </c>
      <c r="C133" s="92" t="s">
        <v>67</v>
      </c>
      <c r="D133" s="92" t="s">
        <v>67</v>
      </c>
      <c r="E133" s="92" t="s">
        <v>67</v>
      </c>
      <c r="F133" s="92" t="s">
        <v>67</v>
      </c>
      <c r="G133" s="92" t="s">
        <v>67</v>
      </c>
      <c r="H133" s="92" t="s">
        <v>67</v>
      </c>
      <c r="I133" s="92" t="s">
        <v>67</v>
      </c>
      <c r="J133" s="91" t="s">
        <v>67</v>
      </c>
      <c r="K133" s="89"/>
      <c r="L133" s="94" t="s">
        <v>70</v>
      </c>
    </row>
    <row r="134">
      <c r="A134" s="89"/>
      <c r="B134" s="87" t="s">
        <v>71</v>
      </c>
      <c r="C134" s="92" t="s">
        <v>67</v>
      </c>
      <c r="D134" s="92" t="s">
        <v>67</v>
      </c>
      <c r="E134" s="92" t="s">
        <v>67</v>
      </c>
      <c r="F134" s="92" t="s">
        <v>67</v>
      </c>
      <c r="G134" s="92" t="s">
        <v>67</v>
      </c>
      <c r="H134" s="92" t="s">
        <v>67</v>
      </c>
      <c r="I134" s="92" t="s">
        <v>67</v>
      </c>
      <c r="J134" s="91" t="s">
        <v>67</v>
      </c>
      <c r="K134" s="89"/>
      <c r="L134" s="94" t="s">
        <v>72</v>
      </c>
    </row>
    <row r="135" ht="14.624267578125">
      <c r="A135" s="89"/>
      <c r="B135" s="187" t="s">
        <v>304</v>
      </c>
      <c r="C135" s="86">
        <v>0</v>
      </c>
      <c r="D135" s="86">
        <v>-35</v>
      </c>
      <c r="E135" s="86">
        <v>-30</v>
      </c>
      <c r="F135" s="86">
        <v>-15</v>
      </c>
      <c r="G135" s="95">
        <f>SUM(C135:F135)</f>
        <v>-80</v>
      </c>
      <c r="H135" s="86">
        <v>-50</v>
      </c>
      <c r="I135" s="86">
        <v>-25</v>
      </c>
      <c r="J135" s="121" t="s">
        <v>129</v>
      </c>
      <c r="K135" s="89"/>
      <c r="L135" s="89"/>
    </row>
    <row r="136">
      <c r="A136" s="89"/>
      <c r="B136" s="87" t="s">
        <v>63</v>
      </c>
      <c r="C136" s="92" t="s">
        <v>51</v>
      </c>
      <c r="D136" s="92" t="s">
        <v>51</v>
      </c>
      <c r="E136" s="92" t="s">
        <v>51</v>
      </c>
      <c r="F136" s="92" t="s">
        <v>51</v>
      </c>
      <c r="G136" s="92" t="s">
        <v>51</v>
      </c>
      <c r="H136" s="92" t="str">
        <f>IF(C135&lt;=0,"n.m.",H135/C135-1)</f>
        <v>n.m.</v>
      </c>
      <c r="I136" s="92" t="str">
        <f>IF(D135&lt;=0,"n.m.",I135/D135-1)</f>
        <v>n.m.</v>
      </c>
      <c r="J136" s="91" t="s">
        <v>51</v>
      </c>
      <c r="K136" s="89"/>
      <c r="L136" s="89"/>
    </row>
    <row r="137">
      <c r="A137" s="89"/>
      <c r="B137" s="87" t="s">
        <v>64</v>
      </c>
      <c r="C137" s="92" t="s">
        <v>51</v>
      </c>
      <c r="D137" s="92" t="str">
        <f>IF(C135&lt;=0,"n.m.",D135/C135-1)</f>
        <v>n.m.</v>
      </c>
      <c r="E137" s="92" t="str">
        <f>IF(D135&lt;=0,"n.m.",E135/D135-1)</f>
        <v>n.m.</v>
      </c>
      <c r="F137" s="92" t="str">
        <f>IF(E135&lt;=0,"n.m.",F135/E135-1)</f>
        <v>n.m.</v>
      </c>
      <c r="G137" s="92" t="s">
        <v>51</v>
      </c>
      <c r="H137" s="92" t="str">
        <f>IF(F135&lt;=0,"n.m.",H135/F135-1)</f>
        <v>n.m.</v>
      </c>
      <c r="I137" s="92" t="str">
        <f>IF(H135&lt;=0,"n.m.",I135/H135-1)</f>
        <v>n.m.</v>
      </c>
      <c r="J137" s="91" t="s">
        <v>51</v>
      </c>
      <c r="K137" s="89"/>
      <c r="L137" s="89"/>
    </row>
    <row r="138">
      <c r="A138" s="89"/>
      <c r="B138" s="87" t="s">
        <v>65</v>
      </c>
      <c r="C138" s="92">
        <f>IF(C163=0,"n.m.",C135/C163)</f>
        <v>0</v>
      </c>
      <c r="D138" s="92">
        <f>IF(D163=0,"n.m.",D135/D163)</f>
        <v>-0.00696101829753381</v>
      </c>
      <c r="E138" s="92">
        <f>IF(E163=0,"n.m.",E135/E163)</f>
        <v>-0.0059043495374926196</v>
      </c>
      <c r="F138" s="92">
        <f>IF(F163=0,"n.m.",F135/F163)</f>
        <v>-0.0028963120293492954</v>
      </c>
      <c r="G138" s="92">
        <f>IF(G163=0,"n.m.",G135/G163)</f>
        <v>-0.00398406374501992</v>
      </c>
      <c r="H138" s="92">
        <f>IF(H163=0,"n.m.",H135/H163)</f>
        <v>-0.009243852837862821</v>
      </c>
      <c r="I138" s="92">
        <f>IF(I163=0,"n.m.",I135/I163)</f>
        <v>-0.0043875043875043875</v>
      </c>
      <c r="J138" s="91" t="s">
        <v>51</v>
      </c>
      <c r="K138" s="89"/>
      <c r="L138" s="89"/>
    </row>
    <row r="139">
      <c r="A139" s="89"/>
      <c r="B139" s="87" t="s">
        <v>66</v>
      </c>
      <c r="C139" s="92" t="s">
        <v>67</v>
      </c>
      <c r="D139" s="92" t="s">
        <v>67</v>
      </c>
      <c r="E139" s="92" t="s">
        <v>67</v>
      </c>
      <c r="F139" s="92" t="s">
        <v>67</v>
      </c>
      <c r="G139" s="92" t="s">
        <v>67</v>
      </c>
      <c r="H139" s="92" t="s">
        <v>67</v>
      </c>
      <c r="I139" s="92" t="s">
        <v>67</v>
      </c>
      <c r="J139" s="91" t="s">
        <v>67</v>
      </c>
      <c r="K139" s="89"/>
      <c r="L139" s="94" t="s">
        <v>68</v>
      </c>
    </row>
    <row r="140">
      <c r="A140" s="89"/>
      <c r="B140" s="87" t="s">
        <v>69</v>
      </c>
      <c r="C140" s="92" t="s">
        <v>67</v>
      </c>
      <c r="D140" s="92" t="s">
        <v>67</v>
      </c>
      <c r="E140" s="92" t="s">
        <v>67</v>
      </c>
      <c r="F140" s="92" t="s">
        <v>67</v>
      </c>
      <c r="G140" s="92" t="s">
        <v>67</v>
      </c>
      <c r="H140" s="92" t="s">
        <v>67</v>
      </c>
      <c r="I140" s="92" t="s">
        <v>67</v>
      </c>
      <c r="J140" s="91" t="s">
        <v>67</v>
      </c>
      <c r="K140" s="89"/>
      <c r="L140" s="94" t="s">
        <v>70</v>
      </c>
    </row>
    <row r="141">
      <c r="A141" s="89"/>
      <c r="B141" s="87" t="s">
        <v>71</v>
      </c>
      <c r="C141" s="92" t="s">
        <v>67</v>
      </c>
      <c r="D141" s="92" t="s">
        <v>67</v>
      </c>
      <c r="E141" s="92" t="s">
        <v>67</v>
      </c>
      <c r="F141" s="92" t="s">
        <v>67</v>
      </c>
      <c r="G141" s="92" t="s">
        <v>67</v>
      </c>
      <c r="H141" s="92" t="s">
        <v>67</v>
      </c>
      <c r="I141" s="92" t="s">
        <v>67</v>
      </c>
      <c r="J141" s="91" t="s">
        <v>67</v>
      </c>
      <c r="K141" s="89"/>
      <c r="L141" s="94" t="s">
        <v>72</v>
      </c>
    </row>
    <row r="142">
      <c r="A142" s="89"/>
      <c r="B142" s="104" t="s">
        <v>305</v>
      </c>
      <c r="C142" s="90">
        <f>C72+C79+C86+C93+C100+C107+C114+C121+C128+C135</f>
        <v>230</v>
      </c>
      <c r="D142" s="90">
        <f>D72+D79+D86+D93+D100+D107+D114+D121+D128+D135</f>
        <v>184</v>
      </c>
      <c r="E142" s="90">
        <f>E72+E79+E86+E93+E100+E107+E114+E121+E128+E135</f>
        <v>208</v>
      </c>
      <c r="F142" s="90">
        <f>F72+F79+F86+F93+F100+F107+F114+F121+F128+F135</f>
        <v>135</v>
      </c>
      <c r="G142" s="90">
        <f>G72+G79+G86+G93+G100+G107+G114+G121+G128+G135</f>
        <v>757</v>
      </c>
      <c r="H142" s="90">
        <f>H72+H79+H86+H93+H100+H107+H114+H121+H128+H135</f>
        <v>271</v>
      </c>
      <c r="I142" s="90">
        <f>I72+I79+I86+I93+I100+I107+I114+I121+I128+I135</f>
        <v>216</v>
      </c>
      <c r="J142" s="134">
        <f>'Segment - Securities Services'!J87+'Segment - Market &amp; Wealth Svcs'!J98+'Segment - Inv &amp; Wealth Mgmt'!J122+'Segment - Other'!J17+'Revenue summary'!J39</f>
        <v>182</v>
      </c>
      <c r="K142" s="89"/>
      <c r="L142" s="188" t="s">
        <v>306</v>
      </c>
    </row>
    <row r="143">
      <c r="A143" s="89"/>
      <c r="B143" s="87" t="s">
        <v>63</v>
      </c>
      <c r="C143" s="92" t="s">
        <v>51</v>
      </c>
      <c r="D143" s="92" t="s">
        <v>51</v>
      </c>
      <c r="E143" s="92" t="s">
        <v>51</v>
      </c>
      <c r="F143" s="92" t="s">
        <v>51</v>
      </c>
      <c r="G143" s="92" t="s">
        <v>51</v>
      </c>
      <c r="H143" s="92">
        <f>IF(C142&lt;=0,"n.m.",H142/C142-1)</f>
        <v>0.17826086956521747</v>
      </c>
      <c r="I143" s="92">
        <f>IF(D142&lt;=0,"n.m.",I142/D142-1)</f>
        <v>0.17391304347826098</v>
      </c>
      <c r="J143" s="91">
        <f>IF(E142&lt;=0,"n.m.",J142/E142-1)</f>
        <v>-0.125</v>
      </c>
      <c r="K143" s="89"/>
      <c r="L143" s="89"/>
    </row>
    <row r="144">
      <c r="A144" s="89"/>
      <c r="B144" s="87" t="s">
        <v>64</v>
      </c>
      <c r="C144" s="92" t="s">
        <v>51</v>
      </c>
      <c r="D144" s="92">
        <f>IF(C142&lt;=0,"n.m.",D142/C142-1)</f>
        <v>-0.19999999999999996</v>
      </c>
      <c r="E144" s="92">
        <f>IF(D142&lt;=0,"n.m.",E142/D142-1)</f>
        <v>0.13043478260869557</v>
      </c>
      <c r="F144" s="92">
        <f>IF(E142&lt;=0,"n.m.",F142/E142-1)</f>
        <v>-0.35096153846153844</v>
      </c>
      <c r="G144" s="92" t="s">
        <v>51</v>
      </c>
      <c r="H144" s="92">
        <f>IF(F142&lt;=0,"n.m.",H142/F142-1)</f>
        <v>1.0074074074074075</v>
      </c>
      <c r="I144" s="92">
        <f>IF(H142&lt;=0,"n.m.",I142/H142-1)</f>
        <v>-0.20295202952029523</v>
      </c>
      <c r="J144" s="91">
        <f>IF(I142&lt;=0,"n.m.",J142/I142-1)</f>
        <v>-0.15740740740740744</v>
      </c>
      <c r="K144" s="89"/>
      <c r="L144" s="89"/>
    </row>
    <row r="145">
      <c r="A145" s="89"/>
      <c r="B145" s="87" t="s">
        <v>65</v>
      </c>
      <c r="C145" s="92">
        <f>IF(C163=0,"n.m.",C142/C163)</f>
        <v>0.047996661101836396</v>
      </c>
      <c r="D145" s="92">
        <f>IF(D163=0,"n.m.",D142/D163)</f>
        <v>0.03659506762132061</v>
      </c>
      <c r="E145" s="92">
        <f>IF(E163=0,"n.m.",E142/E163)</f>
        <v>0.040936823459948826</v>
      </c>
      <c r="F145" s="92">
        <f>IF(F163=0,"n.m.",F142/F163)</f>
        <v>0.02606680826414366</v>
      </c>
      <c r="G145" s="92">
        <f>IF(G163=0,"n.m.",G142/G163)</f>
        <v>0.03769920318725099</v>
      </c>
      <c r="H145" s="92">
        <f>IF(H163=0,"n.m.",H142/H163)</f>
        <v>0.05010168238121649</v>
      </c>
      <c r="I145" s="92">
        <f>IF(I163=0,"n.m.",I142/I163)</f>
        <v>0.03790803790803791</v>
      </c>
      <c r="J145" s="91">
        <f>IF(J163=0,"n.m.",J142/J163)</f>
        <v>0.032636059003402676</v>
      </c>
      <c r="K145" s="89"/>
      <c r="L145" s="89"/>
    </row>
    <row r="146">
      <c r="A146" s="89"/>
      <c r="B146" s="87" t="s">
        <v>66</v>
      </c>
      <c r="C146" s="92" t="s">
        <v>67</v>
      </c>
      <c r="D146" s="92" t="s">
        <v>67</v>
      </c>
      <c r="E146" s="92" t="s">
        <v>67</v>
      </c>
      <c r="F146" s="92" t="s">
        <v>67</v>
      </c>
      <c r="G146" s="92" t="s">
        <v>67</v>
      </c>
      <c r="H146" s="92" t="s">
        <v>67</v>
      </c>
      <c r="I146" s="92" t="s">
        <v>67</v>
      </c>
      <c r="J146" s="91" t="s">
        <v>67</v>
      </c>
      <c r="K146" s="89"/>
      <c r="L146" s="94" t="s">
        <v>68</v>
      </c>
    </row>
    <row r="147">
      <c r="A147" s="89"/>
      <c r="B147" s="87" t="s">
        <v>69</v>
      </c>
      <c r="C147" s="92" t="s">
        <v>67</v>
      </c>
      <c r="D147" s="92" t="s">
        <v>67</v>
      </c>
      <c r="E147" s="92" t="s">
        <v>67</v>
      </c>
      <c r="F147" s="92" t="s">
        <v>67</v>
      </c>
      <c r="G147" s="92" t="s">
        <v>67</v>
      </c>
      <c r="H147" s="92" t="s">
        <v>67</v>
      </c>
      <c r="I147" s="92" t="s">
        <v>67</v>
      </c>
      <c r="J147" s="91" t="s">
        <v>67</v>
      </c>
      <c r="K147" s="89"/>
      <c r="L147" s="94" t="s">
        <v>70</v>
      </c>
    </row>
    <row r="148">
      <c r="A148" s="89"/>
      <c r="B148" s="87" t="s">
        <v>71</v>
      </c>
      <c r="C148" s="92" t="s">
        <v>67</v>
      </c>
      <c r="D148" s="92" t="s">
        <v>67</v>
      </c>
      <c r="E148" s="92" t="s">
        <v>67</v>
      </c>
      <c r="F148" s="92" t="s">
        <v>67</v>
      </c>
      <c r="G148" s="92" t="s">
        <v>67</v>
      </c>
      <c r="H148" s="92" t="s">
        <v>67</v>
      </c>
      <c r="I148" s="92" t="s">
        <v>67</v>
      </c>
      <c r="J148" s="91" t="s">
        <v>67</v>
      </c>
      <c r="K148" s="89"/>
      <c r="L148" s="94" t="s">
        <v>72</v>
      </c>
    </row>
    <row r="149">
      <c r="A149" s="89"/>
      <c r="B149" s="104" t="s">
        <v>147</v>
      </c>
      <c r="C149" s="90">
        <f>C63+C142</f>
        <v>3633</v>
      </c>
      <c r="D149" s="90">
        <f>D63+D142</f>
        <v>3825</v>
      </c>
      <c r="E149" s="90">
        <f>E63+E142</f>
        <v>3845</v>
      </c>
      <c r="F149" s="90">
        <f>F63+F142</f>
        <v>3833</v>
      </c>
      <c r="G149" s="90">
        <f>G63+G142</f>
        <v>15136</v>
      </c>
      <c r="H149" s="90">
        <f>H63+H142</f>
        <v>4039</v>
      </c>
      <c r="I149" s="90">
        <f>I63+I142</f>
        <v>4252</v>
      </c>
      <c r="J149" s="135">
        <f>J63+J142</f>
        <v>4184.890327413543</v>
      </c>
      <c r="K149" s="89"/>
      <c r="L149" s="89"/>
    </row>
    <row r="150">
      <c r="A150" s="89"/>
      <c r="B150" s="87" t="s">
        <v>63</v>
      </c>
      <c r="C150" s="92" t="s">
        <v>51</v>
      </c>
      <c r="D150" s="92" t="s">
        <v>51</v>
      </c>
      <c r="E150" s="92" t="s">
        <v>51</v>
      </c>
      <c r="F150" s="92" t="s">
        <v>51</v>
      </c>
      <c r="G150" s="92" t="s">
        <v>51</v>
      </c>
      <c r="H150" s="92">
        <f>IF(C149&lt;=0,"n.m.",H149/C149-1)</f>
        <v>0.11175337186897871</v>
      </c>
      <c r="I150" s="92">
        <f>IF(D149&lt;=0,"n.m.",I149/D149-1)</f>
        <v>0.11163398692810467</v>
      </c>
      <c r="J150" s="91">
        <f>IF(E149&lt;=0,"n.m.",J149/E149-1)</f>
        <v>0.08839800452887969</v>
      </c>
      <c r="K150" s="89"/>
      <c r="L150" s="89"/>
    </row>
    <row r="151">
      <c r="A151" s="89"/>
      <c r="B151" s="87" t="s">
        <v>64</v>
      </c>
      <c r="C151" s="92" t="s">
        <v>51</v>
      </c>
      <c r="D151" s="92">
        <f>IF(C149&lt;=0,"n.m.",D149/C149-1)</f>
        <v>0.05284888521882736</v>
      </c>
      <c r="E151" s="92">
        <f>IF(D149&lt;=0,"n.m.",E149/D149-1)</f>
        <v>0.005228758169934622</v>
      </c>
      <c r="F151" s="92">
        <f>IF(E149&lt;=0,"n.m.",F149/E149-1)</f>
        <v>-0.003120936280884279</v>
      </c>
      <c r="G151" s="92" t="s">
        <v>51</v>
      </c>
      <c r="H151" s="92">
        <f>IF(F149&lt;=0,"n.m.",H149/F149-1)</f>
        <v>0.05374380380902677</v>
      </c>
      <c r="I151" s="92">
        <f>IF(H149&lt;=0,"n.m.",I149/H149-1)</f>
        <v>0.05273582569943058</v>
      </c>
      <c r="J151" s="91">
        <f>IF(I149&lt;=0,"n.m.",J149/I149-1)</f>
        <v>-0.015783083863230796</v>
      </c>
      <c r="K151" s="89"/>
      <c r="L151" s="89"/>
    </row>
    <row r="152">
      <c r="A152" s="89"/>
      <c r="B152" s="87" t="s">
        <v>65</v>
      </c>
      <c r="C152" s="92">
        <f>IF(C163=0,"n.m.",C149/C163)</f>
        <v>0.7581385642737897</v>
      </c>
      <c r="D152" s="92">
        <f>IF(D163=0,"n.m.",D149/D163)</f>
        <v>0.7607398568019093</v>
      </c>
      <c r="E152" s="92">
        <f>IF(E163=0,"n.m.",E149/E163)</f>
        <v>0.7567407990553041</v>
      </c>
      <c r="F152" s="92">
        <f>IF(F163=0,"n.m.",F149/F163)</f>
        <v>0.7401042672330566</v>
      </c>
      <c r="G152" s="92">
        <f>IF(G163=0,"n.m.",G149/G163)</f>
        <v>0.7537848605577689</v>
      </c>
      <c r="H152" s="92">
        <f>IF(H163=0,"n.m.",H149/H163)</f>
        <v>0.7467184322425587</v>
      </c>
      <c r="I152" s="92">
        <f>IF(I163=0,"n.m.",I149/I163)</f>
        <v>0.7462267462267462</v>
      </c>
      <c r="J152" s="91">
        <f>IF(J163=0,"n.m.",J149/J163)</f>
        <v>0.7504303716936128</v>
      </c>
      <c r="K152" s="89"/>
      <c r="L152" s="89"/>
    </row>
    <row r="153">
      <c r="A153" s="89"/>
      <c r="B153" s="87" t="s">
        <v>66</v>
      </c>
      <c r="C153" s="92" t="s">
        <v>67</v>
      </c>
      <c r="D153" s="92" t="s">
        <v>67</v>
      </c>
      <c r="E153" s="92" t="s">
        <v>67</v>
      </c>
      <c r="F153" s="92" t="s">
        <v>67</v>
      </c>
      <c r="G153" s="92" t="s">
        <v>67</v>
      </c>
      <c r="H153" s="92" t="s">
        <v>67</v>
      </c>
      <c r="I153" s="92" t="s">
        <v>67</v>
      </c>
      <c r="J153" s="91" t="s">
        <v>67</v>
      </c>
      <c r="K153" s="89"/>
      <c r="L153" s="94" t="s">
        <v>68</v>
      </c>
    </row>
    <row r="154">
      <c r="A154" s="89"/>
      <c r="B154" s="87" t="s">
        <v>69</v>
      </c>
      <c r="C154" s="92" t="s">
        <v>67</v>
      </c>
      <c r="D154" s="92" t="s">
        <v>67</v>
      </c>
      <c r="E154" s="92" t="s">
        <v>67</v>
      </c>
      <c r="F154" s="92" t="s">
        <v>67</v>
      </c>
      <c r="G154" s="92" t="s">
        <v>67</v>
      </c>
      <c r="H154" s="92" t="s">
        <v>67</v>
      </c>
      <c r="I154" s="92" t="s">
        <v>67</v>
      </c>
      <c r="J154" s="91" t="s">
        <v>67</v>
      </c>
      <c r="K154" s="89"/>
      <c r="L154" s="94" t="s">
        <v>70</v>
      </c>
    </row>
    <row r="155">
      <c r="A155" s="89"/>
      <c r="B155" s="87" t="s">
        <v>71</v>
      </c>
      <c r="C155" s="92" t="s">
        <v>67</v>
      </c>
      <c r="D155" s="92" t="s">
        <v>67</v>
      </c>
      <c r="E155" s="92" t="s">
        <v>67</v>
      </c>
      <c r="F155" s="92" t="s">
        <v>67</v>
      </c>
      <c r="G155" s="92" t="s">
        <v>67</v>
      </c>
      <c r="H155" s="92" t="s">
        <v>67</v>
      </c>
      <c r="I155" s="92" t="s">
        <v>67</v>
      </c>
      <c r="J155" s="91" t="s">
        <v>67</v>
      </c>
      <c r="K155" s="89"/>
      <c r="L155" s="94" t="s">
        <v>72</v>
      </c>
    </row>
    <row r="156">
      <c r="A156" s="89"/>
      <c r="B156" s="88" t="s">
        <v>86</v>
      </c>
      <c r="C156" s="86">
        <v>1159</v>
      </c>
      <c r="D156" s="86">
        <v>1203</v>
      </c>
      <c r="E156" s="86">
        <v>1236</v>
      </c>
      <c r="F156" s="86">
        <v>1346</v>
      </c>
      <c r="G156" s="95">
        <f>SUM(C156:F156)</f>
        <v>4944</v>
      </c>
      <c r="H156" s="86">
        <v>1370</v>
      </c>
      <c r="I156" s="86">
        <v>1446</v>
      </c>
      <c r="J156" s="117">
        <f>'Revenue summary'!J120</f>
        <v>1391.763397260274</v>
      </c>
      <c r="K156" s="89"/>
      <c r="L156" s="89"/>
    </row>
    <row r="157">
      <c r="A157" s="89"/>
      <c r="B157" s="87" t="s">
        <v>63</v>
      </c>
      <c r="C157" s="92" t="s">
        <v>51</v>
      </c>
      <c r="D157" s="92" t="s">
        <v>51</v>
      </c>
      <c r="E157" s="92" t="s">
        <v>51</v>
      </c>
      <c r="F157" s="92" t="s">
        <v>51</v>
      </c>
      <c r="G157" s="92" t="s">
        <v>51</v>
      </c>
      <c r="H157" s="92">
        <f>IF(C156&lt;=0,"n.m.",H156/C156-1)</f>
        <v>0.18205349439171692</v>
      </c>
      <c r="I157" s="92">
        <f>IF(D156&lt;=0,"n.m.",I156/D156-1)</f>
        <v>0.2019950124688279</v>
      </c>
      <c r="J157" s="91">
        <f>IF(E156&lt;=0,"n.m.",J156/E156-1)</f>
        <v>0.12602216606818284</v>
      </c>
      <c r="K157" s="89"/>
      <c r="L157" s="89"/>
    </row>
    <row r="158">
      <c r="A158" s="89"/>
      <c r="B158" s="87" t="s">
        <v>64</v>
      </c>
      <c r="C158" s="92" t="s">
        <v>51</v>
      </c>
      <c r="D158" s="92">
        <f>IF(C156&lt;=0,"n.m.",D156/C156-1)</f>
        <v>0.03796376186367567</v>
      </c>
      <c r="E158" s="92">
        <f>IF(D156&lt;=0,"n.m.",E156/D156-1)</f>
        <v>0.027431421446383997</v>
      </c>
      <c r="F158" s="92">
        <f>IF(E156&lt;=0,"n.m.",F156/E156-1)</f>
        <v>0.08899676375404542</v>
      </c>
      <c r="G158" s="92" t="s">
        <v>51</v>
      </c>
      <c r="H158" s="92">
        <f>IF(F156&lt;=0,"n.m.",H156/F156-1)</f>
        <v>0.017830609212481363</v>
      </c>
      <c r="I158" s="92">
        <f>IF(H156&lt;=0,"n.m.",I156/H156-1)</f>
        <v>0.05547445255474459</v>
      </c>
      <c r="J158" s="91">
        <f>IF(I156&lt;=0,"n.m.",J156/I156-1)</f>
        <v>-0.037508024024706876</v>
      </c>
      <c r="K158" s="89"/>
      <c r="L158" s="89"/>
    </row>
    <row r="159">
      <c r="A159" s="89"/>
      <c r="B159" s="87" t="s">
        <v>65</v>
      </c>
      <c r="C159" s="92">
        <f>IF(C163=0,"n.m.",C156/C163)</f>
        <v>0.24186143572621036</v>
      </c>
      <c r="D159" s="92">
        <f>IF(D163=0,"n.m.",D156/D163)</f>
        <v>0.2392601431980907</v>
      </c>
      <c r="E159" s="92">
        <f>IF(E163=0,"n.m.",E156/E163)</f>
        <v>0.2432592009446959</v>
      </c>
      <c r="F159" s="92">
        <f>IF(F163=0,"n.m.",F156/F163)</f>
        <v>0.25989573276694344</v>
      </c>
      <c r="G159" s="92">
        <f>IF(G163=0,"n.m.",G156/G163)</f>
        <v>0.24621513944223108</v>
      </c>
      <c r="H159" s="92">
        <f>IF(H163=0,"n.m.",H156/H163)</f>
        <v>0.2532815677574413</v>
      </c>
      <c r="I159" s="92">
        <f>IF(I163=0,"n.m.",I156/I163)</f>
        <v>0.25377325377325377</v>
      </c>
      <c r="J159" s="91">
        <f>IF(J163=0,"n.m.",J156/J163)</f>
        <v>0.24956962830638713</v>
      </c>
      <c r="K159" s="89"/>
      <c r="L159" s="89"/>
    </row>
    <row r="160">
      <c r="A160" s="89"/>
      <c r="B160" s="87" t="s">
        <v>66</v>
      </c>
      <c r="C160" s="92" t="s">
        <v>67</v>
      </c>
      <c r="D160" s="92" t="s">
        <v>67</v>
      </c>
      <c r="E160" s="92" t="s">
        <v>67</v>
      </c>
      <c r="F160" s="92" t="s">
        <v>67</v>
      </c>
      <c r="G160" s="92" t="s">
        <v>67</v>
      </c>
      <c r="H160" s="92" t="s">
        <v>67</v>
      </c>
      <c r="I160" s="92" t="s">
        <v>67</v>
      </c>
      <c r="J160" s="91" t="s">
        <v>67</v>
      </c>
      <c r="K160" s="89"/>
      <c r="L160" s="94" t="s">
        <v>68</v>
      </c>
    </row>
    <row r="161">
      <c r="A161" s="89"/>
      <c r="B161" s="87" t="s">
        <v>69</v>
      </c>
      <c r="C161" s="92" t="s">
        <v>67</v>
      </c>
      <c r="D161" s="92" t="s">
        <v>67</v>
      </c>
      <c r="E161" s="92" t="s">
        <v>67</v>
      </c>
      <c r="F161" s="92" t="s">
        <v>67</v>
      </c>
      <c r="G161" s="92" t="s">
        <v>67</v>
      </c>
      <c r="H161" s="92" t="s">
        <v>67</v>
      </c>
      <c r="I161" s="92" t="s">
        <v>67</v>
      </c>
      <c r="J161" s="91" t="s">
        <v>67</v>
      </c>
      <c r="K161" s="89"/>
      <c r="L161" s="94" t="s">
        <v>70</v>
      </c>
    </row>
    <row r="162">
      <c r="A162" s="89"/>
      <c r="B162" s="87" t="s">
        <v>71</v>
      </c>
      <c r="C162" s="92" t="s">
        <v>67</v>
      </c>
      <c r="D162" s="92" t="s">
        <v>67</v>
      </c>
      <c r="E162" s="92" t="s">
        <v>67</v>
      </c>
      <c r="F162" s="92" t="s">
        <v>67</v>
      </c>
      <c r="G162" s="92" t="s">
        <v>67</v>
      </c>
      <c r="H162" s="92" t="s">
        <v>67</v>
      </c>
      <c r="I162" s="92" t="s">
        <v>67</v>
      </c>
      <c r="J162" s="91" t="s">
        <v>67</v>
      </c>
      <c r="K162" s="89"/>
      <c r="L162" s="94" t="s">
        <v>72</v>
      </c>
    </row>
    <row r="163">
      <c r="A163" s="89"/>
      <c r="B163" s="104" t="s">
        <v>18</v>
      </c>
      <c r="C163" s="90">
        <f>C149+C156</f>
        <v>4792</v>
      </c>
      <c r="D163" s="90">
        <f>D149+D156</f>
        <v>5028</v>
      </c>
      <c r="E163" s="90">
        <f>E149+E156</f>
        <v>5081</v>
      </c>
      <c r="F163" s="90">
        <f>F149+F156</f>
        <v>5179</v>
      </c>
      <c r="G163" s="90">
        <f>G149+G156</f>
        <v>20080</v>
      </c>
      <c r="H163" s="90">
        <f>H149+H156</f>
        <v>5409</v>
      </c>
      <c r="I163" s="90">
        <f>I149+I156</f>
        <v>5698</v>
      </c>
      <c r="J163" s="135">
        <f>J149+J156</f>
        <v>5576.653724673817</v>
      </c>
      <c r="K163" s="89"/>
      <c r="L163" s="89"/>
    </row>
    <row r="164">
      <c r="A164" s="89"/>
      <c r="B164" s="87" t="s">
        <v>63</v>
      </c>
      <c r="C164" s="92" t="s">
        <v>51</v>
      </c>
      <c r="D164" s="92" t="s">
        <v>51</v>
      </c>
      <c r="E164" s="92" t="s">
        <v>51</v>
      </c>
      <c r="F164" s="92" t="s">
        <v>51</v>
      </c>
      <c r="G164" s="92" t="s">
        <v>51</v>
      </c>
      <c r="H164" s="92">
        <f>IF(C163&lt;=0,"n.m.",H163/C163-1)</f>
        <v>0.12875626043405686</v>
      </c>
      <c r="I164" s="92">
        <f>IF(D163&lt;=0,"n.m.",I163/D163-1)</f>
        <v>0.13325377883850442</v>
      </c>
      <c r="J164" s="91">
        <f>IF(E163&lt;=0,"n.m.",J163/E163-1)</f>
        <v>0.09755042800114477</v>
      </c>
      <c r="K164" s="89"/>
      <c r="L164" s="89"/>
    </row>
    <row r="165">
      <c r="A165" s="89"/>
      <c r="B165" s="87" t="s">
        <v>64</v>
      </c>
      <c r="C165" s="92" t="s">
        <v>51</v>
      </c>
      <c r="D165" s="92">
        <f>IF(C163&lt;=0,"n.m.",D163/C163-1)</f>
        <v>0.04924874791318867</v>
      </c>
      <c r="E165" s="92">
        <f>IF(D163&lt;=0,"n.m.",E163/D163-1)</f>
        <v>0.010540970564836938</v>
      </c>
      <c r="F165" s="92">
        <f>IF(E163&lt;=0,"n.m.",F163/E163-1)</f>
        <v>0.01928754182247583</v>
      </c>
      <c r="G165" s="92" t="s">
        <v>51</v>
      </c>
      <c r="H165" s="92">
        <f>IF(F163&lt;=0,"n.m.",H163/F163-1)</f>
        <v>0.044410117783355796</v>
      </c>
      <c r="I165" s="92">
        <f>IF(H163&lt;=0,"n.m.",I163/H163-1)</f>
        <v>0.05342946940284721</v>
      </c>
      <c r="J165" s="91">
        <f>IF(I163&lt;=0,"n.m.",J163/I163-1)</f>
        <v>-0.021296292616037715</v>
      </c>
      <c r="K165" s="89"/>
      <c r="L165" s="89"/>
    </row>
    <row r="166">
      <c r="A166" s="89"/>
      <c r="B166" s="87" t="s">
        <v>66</v>
      </c>
      <c r="C166" s="92" t="s">
        <v>67</v>
      </c>
      <c r="D166" s="92" t="s">
        <v>67</v>
      </c>
      <c r="E166" s="92" t="s">
        <v>67</v>
      </c>
      <c r="F166" s="92" t="s">
        <v>67</v>
      </c>
      <c r="G166" s="92" t="s">
        <v>67</v>
      </c>
      <c r="H166" s="92" t="s">
        <v>67</v>
      </c>
      <c r="I166" s="92" t="s">
        <v>67</v>
      </c>
      <c r="J166" s="91" t="s">
        <v>67</v>
      </c>
      <c r="K166" s="89"/>
      <c r="L166" s="94" t="s">
        <v>68</v>
      </c>
    </row>
    <row r="167">
      <c r="A167" s="89"/>
      <c r="B167" s="87" t="s">
        <v>69</v>
      </c>
      <c r="C167" s="92" t="s">
        <v>67</v>
      </c>
      <c r="D167" s="92" t="s">
        <v>67</v>
      </c>
      <c r="E167" s="92" t="s">
        <v>67</v>
      </c>
      <c r="F167" s="92" t="s">
        <v>67</v>
      </c>
      <c r="G167" s="92" t="s">
        <v>67</v>
      </c>
      <c r="H167" s="92" t="s">
        <v>67</v>
      </c>
      <c r="I167" s="92" t="s">
        <v>67</v>
      </c>
      <c r="J167" s="91" t="s">
        <v>67</v>
      </c>
      <c r="K167" s="89"/>
      <c r="L167" s="94" t="s">
        <v>70</v>
      </c>
    </row>
    <row r="168">
      <c r="A168" s="89"/>
      <c r="B168" s="87" t="s">
        <v>71</v>
      </c>
      <c r="C168" s="92" t="s">
        <v>67</v>
      </c>
      <c r="D168" s="92" t="s">
        <v>67</v>
      </c>
      <c r="E168" s="92" t="s">
        <v>67</v>
      </c>
      <c r="F168" s="92" t="s">
        <v>67</v>
      </c>
      <c r="G168" s="92" t="s">
        <v>67</v>
      </c>
      <c r="H168" s="92" t="s">
        <v>67</v>
      </c>
      <c r="I168" s="92" t="s">
        <v>67</v>
      </c>
      <c r="J168" s="91" t="s">
        <v>67</v>
      </c>
      <c r="K168" s="89"/>
      <c r="L168" s="94" t="s">
        <v>72</v>
      </c>
    </row>
    <row r="169" ht="23.24853515625">
      <c r="A169" s="89"/>
      <c r="B169" s="187" t="s">
        <v>307</v>
      </c>
      <c r="C169" s="150" t="b">
        <f>ABS(C163-'Revenue summary'!C46)&lt;0.5</f>
        <v>1</v>
      </c>
      <c r="D169" s="150" t="b">
        <f>ABS(D163-'Revenue summary'!D46)&lt;0.5</f>
        <v>1</v>
      </c>
      <c r="E169" s="150" t="b">
        <f>ABS(E163-'Revenue summary'!E46)&lt;0.5</f>
        <v>1</v>
      </c>
      <c r="F169" s="150" t="b">
        <f>ABS(F163-'Revenue summary'!F46)&lt;0.5</f>
        <v>1</v>
      </c>
      <c r="G169" s="150" t="b">
        <f>ABS(G163-'Revenue summary'!G46)&lt;0.5</f>
        <v>1</v>
      </c>
      <c r="H169" s="150" t="b">
        <f>ABS(H163-'Revenue summary'!H46)&lt;0.5</f>
        <v>1</v>
      </c>
      <c r="I169" s="150" t="b">
        <f>ABS(I163-'Revenue summary'!I46)&lt;0.5</f>
        <v>1</v>
      </c>
      <c r="J169" s="167" t="b">
        <f>ABS(J163-'Revenue summary'!J46)&lt;0.5</f>
        <v>1</v>
      </c>
      <c r="K169" s="89"/>
      <c r="L169" s="181" t="s">
        <v>308</v>
      </c>
    </row>
    <row r="170" ht="23.25">
      <c r="A170" s="89"/>
      <c r="B170" s="190" t="s">
        <v>309</v>
      </c>
      <c r="C170" s="177">
        <f>Inputs!C104</f>
        <v>4792</v>
      </c>
      <c r="D170" s="177">
        <f>Inputs!D104</f>
        <v>5028</v>
      </c>
      <c r="E170" s="177">
        <f>Inputs!E104</f>
        <v>5081</v>
      </c>
      <c r="F170" s="177">
        <f>Inputs!F104</f>
        <v>5179</v>
      </c>
      <c r="G170" s="146" t="s">
        <v>51</v>
      </c>
      <c r="H170" s="177">
        <f>Inputs!H104</f>
        <v>5409</v>
      </c>
      <c r="I170" s="177">
        <f>Inputs!I104</f>
        <v>5698</v>
      </c>
      <c r="J170" s="151" t="s">
        <v>51</v>
      </c>
      <c r="K170" s="89"/>
      <c r="L170" s="89"/>
    </row>
    <row r="171" ht="23.25">
      <c r="A171" s="89"/>
      <c r="B171" s="187" t="s">
        <v>310</v>
      </c>
      <c r="C171" s="99" t="b">
        <f>ABS(C163-C170)&lt;0.5</f>
        <v>1</v>
      </c>
      <c r="D171" s="99" t="b">
        <f>ABS(D163-D170)&lt;0.5</f>
        <v>1</v>
      </c>
      <c r="E171" s="99" t="b">
        <f>ABS(E163-E170)&lt;0.5</f>
        <v>1</v>
      </c>
      <c r="F171" s="99" t="b">
        <f>ABS(F163-F170)&lt;0.5</f>
        <v>1</v>
      </c>
      <c r="G171" s="89"/>
      <c r="H171" s="99" t="b">
        <f>ABS(H163-H170)&lt;0.5</f>
        <v>1</v>
      </c>
      <c r="I171" s="99" t="b">
        <f>ABS(I163-I170)&lt;0.5</f>
        <v>1</v>
      </c>
      <c r="J171" s="97"/>
      <c r="K171" s="89"/>
      <c r="L171" s="89"/>
    </row>
    <row r="172" ht="23.24853515625">
      <c r="A172" s="89"/>
      <c r="B172" s="190" t="s">
        <v>311</v>
      </c>
      <c r="C172" s="89"/>
      <c r="D172" s="89"/>
      <c r="E172" s="89"/>
      <c r="F172" s="89"/>
      <c r="G172" s="142">
        <v>20080</v>
      </c>
      <c r="H172" s="89"/>
      <c r="I172" s="89"/>
      <c r="J172" s="97"/>
      <c r="K172" s="89"/>
      <c r="L172" s="89"/>
    </row>
    <row r="173" ht="23.25">
      <c r="A173" s="89"/>
      <c r="B173" s="187" t="s">
        <v>312</v>
      </c>
      <c r="C173" s="89"/>
      <c r="D173" s="89"/>
      <c r="E173" s="89"/>
      <c r="F173" s="89"/>
      <c r="G173" s="99" t="b">
        <f>ABS(G163-G172)&lt;0.5</f>
        <v>1</v>
      </c>
      <c r="H173" s="89"/>
      <c r="I173" s="89"/>
      <c r="J173" s="97"/>
      <c r="K173" s="89"/>
      <c r="L173" s="89"/>
    </row>
    <row r="174">
      <c r="A174" s="89"/>
      <c r="B174" s="89"/>
      <c r="C174" s="89"/>
      <c r="D174" s="89"/>
      <c r="E174" s="89"/>
      <c r="F174" s="89"/>
      <c r="G174" s="89"/>
      <c r="H174" s="89"/>
      <c r="I174" s="89"/>
      <c r="J174" s="97"/>
      <c r="K174" s="89"/>
      <c r="L174" s="89"/>
    </row>
    <row r="175">
      <c r="A175" s="89"/>
      <c r="B175" s="104" t="s">
        <v>313</v>
      </c>
      <c r="C175" s="89"/>
      <c r="D175" s="89"/>
      <c r="E175" s="89"/>
      <c r="F175" s="89"/>
      <c r="G175" s="89"/>
      <c r="H175" s="89"/>
      <c r="I175" s="89"/>
      <c r="J175" s="97"/>
      <c r="K175" s="89"/>
      <c r="L175" s="89"/>
    </row>
    <row r="176">
      <c r="A176" s="89"/>
      <c r="B176" s="88" t="s">
        <v>162</v>
      </c>
      <c r="C176" s="86">
        <v>18</v>
      </c>
      <c r="D176" s="86">
        <v>-17</v>
      </c>
      <c r="E176" s="86">
        <v>-7</v>
      </c>
      <c r="F176" s="86">
        <v>-26</v>
      </c>
      <c r="G176" s="95">
        <f>SUM(C176:F176)</f>
        <v>-32</v>
      </c>
      <c r="H176" s="86">
        <v>-7</v>
      </c>
      <c r="I176" s="86">
        <v>-8</v>
      </c>
      <c r="J176" s="136">
        <v>-5</v>
      </c>
      <c r="K176" s="89"/>
      <c r="L176" s="94" t="s">
        <v>314</v>
      </c>
    </row>
    <row r="177">
      <c r="A177" s="89"/>
      <c r="B177" s="88" t="s">
        <v>178</v>
      </c>
      <c r="C177" s="95" t="s">
        <v>51</v>
      </c>
      <c r="D177" s="95" t="s">
        <v>51</v>
      </c>
      <c r="E177" s="95" t="s">
        <v>51</v>
      </c>
      <c r="F177" s="95" t="s">
        <v>51</v>
      </c>
      <c r="G177" s="95" t="s">
        <v>51</v>
      </c>
      <c r="H177" s="95">
        <f>H176-C176</f>
        <v>-25</v>
      </c>
      <c r="I177" s="95">
        <f>I176-D176</f>
        <v>9</v>
      </c>
      <c r="J177" s="121">
        <f>J176-E176</f>
        <v>2</v>
      </c>
      <c r="K177" s="89"/>
      <c r="L177" s="89"/>
    </row>
    <row r="178">
      <c r="A178" s="89"/>
      <c r="B178" s="88" t="s">
        <v>94</v>
      </c>
      <c r="C178" s="95" t="s">
        <v>51</v>
      </c>
      <c r="D178" s="95">
        <f>D176-C176</f>
        <v>-35</v>
      </c>
      <c r="E178" s="95">
        <f>E176-D176</f>
        <v>10</v>
      </c>
      <c r="F178" s="95">
        <f>F176-E176</f>
        <v>-19</v>
      </c>
      <c r="G178" s="95" t="s">
        <v>51</v>
      </c>
      <c r="H178" s="95">
        <f>H176-F176</f>
        <v>19</v>
      </c>
      <c r="I178" s="95">
        <f>I176-H176</f>
        <v>-1</v>
      </c>
      <c r="J178" s="121">
        <f>J176-I176</f>
        <v>3</v>
      </c>
      <c r="K178" s="89"/>
      <c r="L178" s="89"/>
    </row>
    <row r="179">
      <c r="A179" s="89"/>
      <c r="B179" s="88" t="s">
        <v>315</v>
      </c>
      <c r="C179" s="86">
        <v>1834</v>
      </c>
      <c r="D179" s="86">
        <v>1768</v>
      </c>
      <c r="E179" s="86">
        <v>1745</v>
      </c>
      <c r="F179" s="86">
        <v>1812</v>
      </c>
      <c r="G179" s="95">
        <f>SUM(C179:F179)</f>
        <v>7159</v>
      </c>
      <c r="H179" s="86">
        <v>1888</v>
      </c>
      <c r="I179" s="86">
        <v>1785</v>
      </c>
      <c r="J179" s="136">
        <v>1815</v>
      </c>
      <c r="K179" s="89"/>
      <c r="L179" s="94" t="s">
        <v>316</v>
      </c>
    </row>
    <row r="180">
      <c r="A180" s="89"/>
      <c r="B180" s="87" t="s">
        <v>93</v>
      </c>
      <c r="C180" s="92" t="s">
        <v>51</v>
      </c>
      <c r="D180" s="92" t="s">
        <v>51</v>
      </c>
      <c r="E180" s="92" t="s">
        <v>51</v>
      </c>
      <c r="F180" s="92" t="s">
        <v>51</v>
      </c>
      <c r="G180" s="92" t="s">
        <v>51</v>
      </c>
      <c r="H180" s="92">
        <f>IF(C179&lt;=0,"n.m.",H179/C179-1)</f>
        <v>0.029443838604144013</v>
      </c>
      <c r="I180" s="92">
        <f>IF(D179&lt;=0,"n.m.",I179/D179-1)</f>
        <v>0.009615384615384581</v>
      </c>
      <c r="J180" s="91">
        <f>IF(E179&lt;=0,"n.m.",J179/E179-1)</f>
        <v>0.04011461318051568</v>
      </c>
      <c r="K180" s="89"/>
      <c r="L180" s="89"/>
    </row>
    <row r="181">
      <c r="A181" s="89"/>
      <c r="B181" s="87" t="s">
        <v>64</v>
      </c>
      <c r="C181" s="92" t="s">
        <v>51</v>
      </c>
      <c r="D181" s="92">
        <f>IF(C179&lt;=0,"n.m.",D179/C179-1)</f>
        <v>-0.03598691384950925</v>
      </c>
      <c r="E181" s="92">
        <f>IF(D179&lt;=0,"n.m.",E179/D179-1)</f>
        <v>-0.01300904977375561</v>
      </c>
      <c r="F181" s="92">
        <f>IF(E179&lt;=0,"n.m.",F179/E179-1)</f>
        <v>0.03839541547277947</v>
      </c>
      <c r="G181" s="92" t="s">
        <v>51</v>
      </c>
      <c r="H181" s="92">
        <f>IF(F179&lt;=0,"n.m.",H179/F179-1)</f>
        <v>0.04194260485651213</v>
      </c>
      <c r="I181" s="92">
        <f>IF(H179&lt;=0,"n.m.",I179/H179-1)</f>
        <v>-0.05455508474576276</v>
      </c>
      <c r="J181" s="91">
        <f>IF(I179&lt;=0,"n.m.",J179/I179-1)</f>
        <v>0.01680672268907557</v>
      </c>
      <c r="K181" s="89"/>
      <c r="L181" s="89"/>
    </row>
    <row r="182">
      <c r="A182" s="89"/>
      <c r="B182" s="88" t="s">
        <v>317</v>
      </c>
      <c r="C182" s="86">
        <v>513</v>
      </c>
      <c r="D182" s="86">
        <v>527</v>
      </c>
      <c r="E182" s="86">
        <v>542</v>
      </c>
      <c r="F182" s="86">
        <v>565</v>
      </c>
      <c r="G182" s="95">
        <f>SUM(C182:F182)</f>
        <v>2147</v>
      </c>
      <c r="H182" s="86">
        <v>556</v>
      </c>
      <c r="I182" s="86">
        <v>569</v>
      </c>
      <c r="J182" s="136">
        <v>580</v>
      </c>
      <c r="K182" s="89"/>
      <c r="L182" s="94" t="s">
        <v>318</v>
      </c>
    </row>
    <row r="183">
      <c r="A183" s="89"/>
      <c r="B183" s="87" t="s">
        <v>93</v>
      </c>
      <c r="C183" s="92" t="s">
        <v>51</v>
      </c>
      <c r="D183" s="92" t="s">
        <v>51</v>
      </c>
      <c r="E183" s="92" t="s">
        <v>51</v>
      </c>
      <c r="F183" s="92" t="s">
        <v>51</v>
      </c>
      <c r="G183" s="92" t="s">
        <v>51</v>
      </c>
      <c r="H183" s="92">
        <f>IF(C182&lt;=0,"n.m.",H182/C182-1)</f>
        <v>0.08382066276803113</v>
      </c>
      <c r="I183" s="92">
        <f>IF(D182&lt;=0,"n.m.",I182/D182-1)</f>
        <v>0.07969639468690692</v>
      </c>
      <c r="J183" s="91">
        <f>IF(E182&lt;=0,"n.m.",J182/E182-1)</f>
        <v>0.07011070110701101</v>
      </c>
      <c r="K183" s="89"/>
      <c r="L183" s="89"/>
    </row>
    <row r="184">
      <c r="A184" s="89"/>
      <c r="B184" s="87" t="s">
        <v>64</v>
      </c>
      <c r="C184" s="92" t="s">
        <v>51</v>
      </c>
      <c r="D184" s="92">
        <f>IF(C182&lt;=0,"n.m.",D182/C182-1)</f>
        <v>0.02729044834308003</v>
      </c>
      <c r="E184" s="92">
        <f>IF(D182&lt;=0,"n.m.",E182/D182-1)</f>
        <v>0.028462998102466885</v>
      </c>
      <c r="F184" s="92">
        <f>IF(E182&lt;=0,"n.m.",F182/E182-1)</f>
        <v>0.04243542435424352</v>
      </c>
      <c r="G184" s="92" t="s">
        <v>51</v>
      </c>
      <c r="H184" s="92">
        <f>IF(F182&lt;=0,"n.m.",H182/F182-1)</f>
        <v>-0.015929203539822967</v>
      </c>
      <c r="I184" s="92">
        <f>IF(H182&lt;=0,"n.m.",I182/H182-1)</f>
        <v>0.023381294964028854</v>
      </c>
      <c r="J184" s="91">
        <f>IF(I182&lt;=0,"n.m.",J182/I182-1)</f>
        <v>0.019332161687170446</v>
      </c>
      <c r="K184" s="89"/>
      <c r="L184" s="89"/>
    </row>
    <row r="185" ht="23.25">
      <c r="A185" s="89"/>
      <c r="B185" s="187" t="s">
        <v>319</v>
      </c>
      <c r="C185" s="86">
        <v>366</v>
      </c>
      <c r="D185" s="86">
        <v>388</v>
      </c>
      <c r="E185" s="86">
        <v>404</v>
      </c>
      <c r="F185" s="86">
        <v>429</v>
      </c>
      <c r="G185" s="95">
        <f>SUM(C185:F185)</f>
        <v>1587</v>
      </c>
      <c r="H185" s="86">
        <v>388</v>
      </c>
      <c r="I185" s="86">
        <v>441</v>
      </c>
      <c r="J185" s="136">
        <v>450</v>
      </c>
      <c r="K185" s="89"/>
      <c r="L185" s="94" t="s">
        <v>320</v>
      </c>
    </row>
    <row r="186">
      <c r="A186" s="89"/>
      <c r="B186" s="87" t="s">
        <v>93</v>
      </c>
      <c r="C186" s="92" t="s">
        <v>51</v>
      </c>
      <c r="D186" s="92" t="s">
        <v>51</v>
      </c>
      <c r="E186" s="92" t="s">
        <v>51</v>
      </c>
      <c r="F186" s="92" t="s">
        <v>51</v>
      </c>
      <c r="G186" s="92" t="s">
        <v>51</v>
      </c>
      <c r="H186" s="92">
        <f>IF(C185&lt;=0,"n.m.",H185/C185-1)</f>
        <v>0.060109289617486406</v>
      </c>
      <c r="I186" s="92">
        <f>IF(D185&lt;=0,"n.m.",I185/D185-1)</f>
        <v>0.13659793814432986</v>
      </c>
      <c r="J186" s="91">
        <f>IF(E185&lt;=0,"n.m.",J185/E185-1)</f>
        <v>0.11386138613861396</v>
      </c>
      <c r="K186" s="89"/>
      <c r="L186" s="89"/>
    </row>
    <row r="187">
      <c r="A187" s="89"/>
      <c r="B187" s="87" t="s">
        <v>64</v>
      </c>
      <c r="C187" s="92" t="s">
        <v>51</v>
      </c>
      <c r="D187" s="92">
        <f>IF(C185&lt;=0,"n.m.",D185/C185-1)</f>
        <v>0.060109289617486406</v>
      </c>
      <c r="E187" s="92">
        <f>IF(D185&lt;=0,"n.m.",E185/D185-1)</f>
        <v>0.04123711340206193</v>
      </c>
      <c r="F187" s="92">
        <f>IF(E185&lt;=0,"n.m.",F185/E185-1)</f>
        <v>0.061881188118811936</v>
      </c>
      <c r="G187" s="92" t="s">
        <v>51</v>
      </c>
      <c r="H187" s="92">
        <f>IF(F185&lt;=0,"n.m.",H185/F185-1)</f>
        <v>-0.09557109557109555</v>
      </c>
      <c r="I187" s="92">
        <f>IF(H185&lt;=0,"n.m.",I185/H185-1)</f>
        <v>0.13659793814432986</v>
      </c>
      <c r="J187" s="91">
        <f>IF(I185&lt;=0,"n.m.",J185/I185-1)</f>
        <v>0.020408163265306145</v>
      </c>
      <c r="K187" s="89"/>
      <c r="L187" s="89"/>
    </row>
    <row r="188">
      <c r="A188" s="89"/>
      <c r="B188" s="88" t="s">
        <v>321</v>
      </c>
      <c r="C188" s="86">
        <v>131</v>
      </c>
      <c r="D188" s="86">
        <v>150</v>
      </c>
      <c r="E188" s="86">
        <v>141</v>
      </c>
      <c r="F188" s="86">
        <v>139</v>
      </c>
      <c r="G188" s="95">
        <f>SUM(C188:F188)</f>
        <v>561</v>
      </c>
      <c r="H188" s="86">
        <v>151</v>
      </c>
      <c r="I188" s="86">
        <v>162</v>
      </c>
      <c r="J188" s="136">
        <v>160</v>
      </c>
      <c r="K188" s="89"/>
      <c r="L188" s="94" t="s">
        <v>322</v>
      </c>
    </row>
    <row r="189">
      <c r="A189" s="89"/>
      <c r="B189" s="87" t="s">
        <v>93</v>
      </c>
      <c r="C189" s="92" t="s">
        <v>51</v>
      </c>
      <c r="D189" s="92" t="s">
        <v>51</v>
      </c>
      <c r="E189" s="92" t="s">
        <v>51</v>
      </c>
      <c r="F189" s="92" t="s">
        <v>51</v>
      </c>
      <c r="G189" s="92" t="s">
        <v>51</v>
      </c>
      <c r="H189" s="92">
        <f>IF(C188&lt;=0,"n.m.",H188/C188-1)</f>
        <v>0.15267175572519087</v>
      </c>
      <c r="I189" s="92">
        <f>IF(D188&lt;=0,"n.m.",I188/D188-1)</f>
        <v>0.08000000000000007</v>
      </c>
      <c r="J189" s="91">
        <f>IF(E188&lt;=0,"n.m.",J188/E188-1)</f>
        <v>0.13475177304964547</v>
      </c>
      <c r="K189" s="89"/>
      <c r="L189" s="89"/>
    </row>
    <row r="190">
      <c r="A190" s="89"/>
      <c r="B190" s="87" t="s">
        <v>64</v>
      </c>
      <c r="C190" s="92" t="s">
        <v>51</v>
      </c>
      <c r="D190" s="92">
        <f>IF(C188&lt;=0,"n.m.",D188/C188-1)</f>
        <v>0.1450381679389312</v>
      </c>
      <c r="E190" s="92">
        <f>IF(D188&lt;=0,"n.m.",E188/D188-1)</f>
        <v>-0.06000000000000005</v>
      </c>
      <c r="F190" s="92">
        <f>IF(E188&lt;=0,"n.m.",F188/E188-1)</f>
        <v>-0.014184397163120588</v>
      </c>
      <c r="G190" s="92" t="s">
        <v>51</v>
      </c>
      <c r="H190" s="92">
        <f>IF(F188&lt;=0,"n.m.",H188/F188-1)</f>
        <v>0.08633093525179847</v>
      </c>
      <c r="I190" s="92">
        <f>IF(H188&lt;=0,"n.m.",I188/H188-1)</f>
        <v>0.07284768211920523</v>
      </c>
      <c r="J190" s="91">
        <f>IF(I188&lt;=0,"n.m.",J188/I188-1)</f>
        <v>-0.012345679012345734</v>
      </c>
      <c r="K190" s="89"/>
      <c r="L190" s="89"/>
    </row>
    <row r="191">
      <c r="A191" s="89"/>
      <c r="B191" s="88" t="s">
        <v>323</v>
      </c>
      <c r="C191" s="86">
        <v>136</v>
      </c>
      <c r="D191" s="86">
        <v>132</v>
      </c>
      <c r="E191" s="86">
        <v>140</v>
      </c>
      <c r="F191" s="86">
        <v>143</v>
      </c>
      <c r="G191" s="95">
        <f>SUM(C191:F191)</f>
        <v>551</v>
      </c>
      <c r="H191" s="86">
        <v>123</v>
      </c>
      <c r="I191" s="86">
        <v>143</v>
      </c>
      <c r="J191" s="136">
        <v>140</v>
      </c>
      <c r="K191" s="89"/>
      <c r="L191" s="89"/>
    </row>
    <row r="192">
      <c r="A192" s="89"/>
      <c r="B192" s="87" t="s">
        <v>93</v>
      </c>
      <c r="C192" s="92" t="s">
        <v>51</v>
      </c>
      <c r="D192" s="92" t="s">
        <v>51</v>
      </c>
      <c r="E192" s="92" t="s">
        <v>51</v>
      </c>
      <c r="F192" s="92" t="s">
        <v>51</v>
      </c>
      <c r="G192" s="92" t="s">
        <v>51</v>
      </c>
      <c r="H192" s="92">
        <f>IF(C191&lt;=0,"n.m.",H191/C191-1)</f>
        <v>-0.09558823529411764</v>
      </c>
      <c r="I192" s="92">
        <f>IF(D191&lt;=0,"n.m.",I191/D191-1)</f>
        <v>0.08333333333333326</v>
      </c>
      <c r="J192" s="91">
        <f>IF(E191&lt;=0,"n.m.",J191/E191-1)</f>
        <v>0</v>
      </c>
      <c r="K192" s="89"/>
      <c r="L192" s="89"/>
    </row>
    <row r="193">
      <c r="A193" s="89"/>
      <c r="B193" s="87" t="s">
        <v>64</v>
      </c>
      <c r="C193" s="92" t="s">
        <v>51</v>
      </c>
      <c r="D193" s="92">
        <f>IF(C191&lt;=0,"n.m.",D191/C191-1)</f>
        <v>-0.02941176470588236</v>
      </c>
      <c r="E193" s="92">
        <f>IF(D191&lt;=0,"n.m.",E191/D191-1)</f>
        <v>0.06060606060606055</v>
      </c>
      <c r="F193" s="92">
        <f>IF(E191&lt;=0,"n.m.",F191/E191-1)</f>
        <v>0.021428571428571352</v>
      </c>
      <c r="G193" s="92" t="s">
        <v>51</v>
      </c>
      <c r="H193" s="92">
        <f>IF(F191&lt;=0,"n.m.",H191/F191-1)</f>
        <v>-0.1398601398601399</v>
      </c>
      <c r="I193" s="92">
        <f>IF(H191&lt;=0,"n.m.",I191/H191-1)</f>
        <v>0.16260162601626016</v>
      </c>
      <c r="J193" s="91">
        <f>IF(I191&lt;=0,"n.m.",J191/I191-1)</f>
        <v>-0.020979020979020935</v>
      </c>
      <c r="K193" s="89"/>
      <c r="L193" s="89"/>
    </row>
    <row r="194">
      <c r="A194" s="89"/>
      <c r="B194" s="88" t="s">
        <v>324</v>
      </c>
      <c r="C194" s="86">
        <v>65</v>
      </c>
      <c r="D194" s="86">
        <v>63</v>
      </c>
      <c r="E194" s="86">
        <v>68</v>
      </c>
      <c r="F194" s="86">
        <v>73</v>
      </c>
      <c r="G194" s="95">
        <f>SUM(C194:F194)</f>
        <v>269</v>
      </c>
      <c r="H194" s="86">
        <v>73</v>
      </c>
      <c r="I194" s="86">
        <v>76</v>
      </c>
      <c r="J194" s="136">
        <v>76</v>
      </c>
      <c r="K194" s="89"/>
      <c r="L194" s="89"/>
    </row>
    <row r="195">
      <c r="A195" s="89"/>
      <c r="B195" s="87" t="s">
        <v>93</v>
      </c>
      <c r="C195" s="92" t="s">
        <v>51</v>
      </c>
      <c r="D195" s="92" t="s">
        <v>51</v>
      </c>
      <c r="E195" s="92" t="s">
        <v>51</v>
      </c>
      <c r="F195" s="92" t="s">
        <v>51</v>
      </c>
      <c r="G195" s="92" t="s">
        <v>51</v>
      </c>
      <c r="H195" s="92">
        <f>IF(C194&lt;=0,"n.m.",H194/C194-1)</f>
        <v>0.12307692307692308</v>
      </c>
      <c r="I195" s="92">
        <f>IF(D194&lt;=0,"n.m.",I194/D194-1)</f>
        <v>0.20634920634920628</v>
      </c>
      <c r="J195" s="91">
        <f>IF(E194&lt;=0,"n.m.",J194/E194-1)</f>
        <v>0.11764705882352944</v>
      </c>
      <c r="K195" s="89"/>
      <c r="L195" s="89"/>
    </row>
    <row r="196">
      <c r="A196" s="89"/>
      <c r="B196" s="87" t="s">
        <v>64</v>
      </c>
      <c r="C196" s="92" t="s">
        <v>51</v>
      </c>
      <c r="D196" s="92">
        <f>IF(C194&lt;=0,"n.m.",D194/C194-1)</f>
        <v>-0.03076923076923077</v>
      </c>
      <c r="E196" s="92">
        <f>IF(D194&lt;=0,"n.m.",E194/D194-1)</f>
        <v>0.0793650793650793</v>
      </c>
      <c r="F196" s="92">
        <f>IF(E194&lt;=0,"n.m.",F194/E194-1)</f>
        <v>0.07352941176470584</v>
      </c>
      <c r="G196" s="92" t="s">
        <v>51</v>
      </c>
      <c r="H196" s="92">
        <f>IF(F194&lt;=0,"n.m.",H194/F194-1)</f>
        <v>0</v>
      </c>
      <c r="I196" s="92">
        <f>IF(H194&lt;=0,"n.m.",I194/H194-1)</f>
        <v>0.041095890410958846</v>
      </c>
      <c r="J196" s="91">
        <f>IF(I194&lt;=0,"n.m.",J194/I194-1)</f>
        <v>0</v>
      </c>
      <c r="K196" s="89"/>
      <c r="L196" s="89"/>
    </row>
    <row r="197">
      <c r="A197" s="89"/>
      <c r="B197" s="88" t="s">
        <v>325</v>
      </c>
      <c r="C197" s="86">
        <v>48</v>
      </c>
      <c r="D197" s="86">
        <v>53</v>
      </c>
      <c r="E197" s="86">
        <v>45</v>
      </c>
      <c r="F197" s="86">
        <v>71</v>
      </c>
      <c r="G197" s="95">
        <f>SUM(C197:F197)</f>
        <v>217</v>
      </c>
      <c r="H197" s="86">
        <v>50</v>
      </c>
      <c r="I197" s="86">
        <v>68</v>
      </c>
      <c r="J197" s="136">
        <v>55</v>
      </c>
      <c r="K197" s="89"/>
      <c r="L197" s="94" t="s">
        <v>326</v>
      </c>
    </row>
    <row r="198">
      <c r="A198" s="89"/>
      <c r="B198" s="87" t="s">
        <v>93</v>
      </c>
      <c r="C198" s="92" t="s">
        <v>51</v>
      </c>
      <c r="D198" s="92" t="s">
        <v>51</v>
      </c>
      <c r="E198" s="92" t="s">
        <v>51</v>
      </c>
      <c r="F198" s="92" t="s">
        <v>51</v>
      </c>
      <c r="G198" s="92" t="s">
        <v>51</v>
      </c>
      <c r="H198" s="92">
        <f>IF(C197&lt;=0,"n.m.",H197/C197-1)</f>
        <v>0.04166666666666674</v>
      </c>
      <c r="I198" s="92">
        <f>IF(D197&lt;=0,"n.m.",I197/D197-1)</f>
        <v>0.28301886792452824</v>
      </c>
      <c r="J198" s="91">
        <f>IF(E197&lt;=0,"n.m.",J197/E197-1)</f>
        <v>0.22222222222222232</v>
      </c>
      <c r="K198" s="89"/>
      <c r="L198" s="89"/>
    </row>
    <row r="199">
      <c r="A199" s="89"/>
      <c r="B199" s="87" t="s">
        <v>64</v>
      </c>
      <c r="C199" s="92" t="s">
        <v>51</v>
      </c>
      <c r="D199" s="92">
        <f>IF(C197&lt;=0,"n.m.",D197/C197-1)</f>
        <v>0.10416666666666674</v>
      </c>
      <c r="E199" s="92">
        <f>IF(D197&lt;=0,"n.m.",E197/D197-1)</f>
        <v>-0.15094339622641506</v>
      </c>
      <c r="F199" s="92">
        <f>IF(E197&lt;=0,"n.m.",F197/E197-1)</f>
        <v>0.5777777777777777</v>
      </c>
      <c r="G199" s="92" t="s">
        <v>51</v>
      </c>
      <c r="H199" s="92">
        <f>IF(F197&lt;=0,"n.m.",H197/F197-1)</f>
        <v>-0.295774647887324</v>
      </c>
      <c r="I199" s="92">
        <f>IF(H197&lt;=0,"n.m.",I197/H197-1)</f>
        <v>0.3600000000000001</v>
      </c>
      <c r="J199" s="91">
        <f>IF(I197&lt;=0,"n.m.",J197/I197-1)</f>
        <v>-0.19117647058823528</v>
      </c>
      <c r="K199" s="89"/>
      <c r="L199" s="89"/>
    </row>
    <row r="200">
      <c r="A200" s="89"/>
      <c r="B200" s="88" t="s">
        <v>327</v>
      </c>
      <c r="C200" s="86">
        <v>38</v>
      </c>
      <c r="D200" s="86">
        <v>22</v>
      </c>
      <c r="E200" s="86">
        <v>6</v>
      </c>
      <c r="F200" s="86">
        <v>-22</v>
      </c>
      <c r="G200" s="95">
        <f>SUM(C200:F200)</f>
        <v>44</v>
      </c>
      <c r="H200" s="86">
        <v>24</v>
      </c>
      <c r="I200" s="86">
        <v>32</v>
      </c>
      <c r="J200" s="136">
        <v>28</v>
      </c>
      <c r="K200" s="89"/>
      <c r="L200" s="89"/>
    </row>
    <row r="201">
      <c r="A201" s="89"/>
      <c r="B201" s="87" t="s">
        <v>93</v>
      </c>
      <c r="C201" s="92" t="s">
        <v>51</v>
      </c>
      <c r="D201" s="92" t="s">
        <v>51</v>
      </c>
      <c r="E201" s="92" t="s">
        <v>51</v>
      </c>
      <c r="F201" s="92" t="s">
        <v>51</v>
      </c>
      <c r="G201" s="92" t="s">
        <v>51</v>
      </c>
      <c r="H201" s="92">
        <f>IF(C200&lt;=0,"n.m.",H200/C200-1)</f>
        <v>-0.368421052631579</v>
      </c>
      <c r="I201" s="92">
        <f>IF(D200&lt;=0,"n.m.",I200/D200-1)</f>
        <v>0.4545454545454546</v>
      </c>
      <c r="J201" s="91">
        <f>IF(E200&lt;=0,"n.m.",J200/E200-1)</f>
        <v>3.666666666666667</v>
      </c>
      <c r="K201" s="89"/>
      <c r="L201" s="202" t="s">
        <v>328</v>
      </c>
    </row>
    <row r="202">
      <c r="A202" s="89"/>
      <c r="B202" s="87" t="s">
        <v>64</v>
      </c>
      <c r="C202" s="92" t="s">
        <v>51</v>
      </c>
      <c r="D202" s="92">
        <f>IF(OR(C200&lt;=0,D200&lt;0),"n.m.",D200/C200-1)</f>
        <v>-0.42105263157894735</v>
      </c>
      <c r="E202" s="92">
        <f>IF(OR(D200&lt;=0,E200&lt;0),"n.m.",E200/D200-1)</f>
        <v>-0.7272727272727273</v>
      </c>
      <c r="F202" s="92" t="str">
        <f>IF(OR(E200&lt;=0,F200&lt;0),"n.m.",F200/E200-1)</f>
        <v>n.m.</v>
      </c>
      <c r="G202" s="92" t="s">
        <v>51</v>
      </c>
      <c r="H202" s="92" t="str">
        <f>IF(OR(F200&lt;=0,H200&lt;0),"n.m.",H200/F200-1)</f>
        <v>n.m.</v>
      </c>
      <c r="I202" s="92">
        <f>IF(OR(H200&lt;=0,I200&lt;0),"n.m.",I200/H200-1)</f>
        <v>0.33333333333333326</v>
      </c>
      <c r="J202" s="91">
        <f>IF(OR(I200&lt;=0,J200&lt;0),"n.m.",J200/I200-1)</f>
        <v>-0.125</v>
      </c>
      <c r="K202" s="89"/>
      <c r="L202" s="89"/>
    </row>
    <row r="203">
      <c r="A203" s="89"/>
      <c r="B203" s="88" t="s">
        <v>329</v>
      </c>
      <c r="C203" s="86">
        <v>11</v>
      </c>
      <c r="D203" s="86">
        <v>11</v>
      </c>
      <c r="E203" s="86">
        <v>12</v>
      </c>
      <c r="F203" s="86">
        <v>11</v>
      </c>
      <c r="G203" s="95">
        <f>SUM(C203:F203)</f>
        <v>45</v>
      </c>
      <c r="H203" s="86">
        <v>9</v>
      </c>
      <c r="I203" s="86">
        <v>10</v>
      </c>
      <c r="J203" s="136">
        <v>10</v>
      </c>
      <c r="K203" s="89"/>
      <c r="L203" s="89"/>
    </row>
    <row r="204">
      <c r="A204" s="89"/>
      <c r="B204" s="87" t="s">
        <v>93</v>
      </c>
      <c r="C204" s="92" t="s">
        <v>51</v>
      </c>
      <c r="D204" s="92" t="s">
        <v>51</v>
      </c>
      <c r="E204" s="92" t="s">
        <v>51</v>
      </c>
      <c r="F204" s="92" t="s">
        <v>51</v>
      </c>
      <c r="G204" s="92" t="s">
        <v>51</v>
      </c>
      <c r="H204" s="92">
        <f>IF(C203&lt;=0,"n.m.",H203/C203-1)</f>
        <v>-0.18181818181818177</v>
      </c>
      <c r="I204" s="92">
        <f>IF(D203&lt;=0,"n.m.",I203/D203-1)</f>
        <v>-0.09090909090909094</v>
      </c>
      <c r="J204" s="91">
        <f>IF(E203&lt;=0,"n.m.",J203/E203-1)</f>
        <v>-0.16666666666666663</v>
      </c>
      <c r="K204" s="89"/>
      <c r="L204" s="89"/>
    </row>
    <row r="205">
      <c r="A205" s="89"/>
      <c r="B205" s="87" t="s">
        <v>64</v>
      </c>
      <c r="C205" s="92" t="s">
        <v>51</v>
      </c>
      <c r="D205" s="92">
        <f>IF(C203&lt;=0,"n.m.",D203/C203-1)</f>
        <v>0</v>
      </c>
      <c r="E205" s="92">
        <f>IF(D203&lt;=0,"n.m.",E203/D203-1)</f>
        <v>0.09090909090909083</v>
      </c>
      <c r="F205" s="92">
        <f>IF(E203&lt;=0,"n.m.",F203/E203-1)</f>
        <v>-0.08333333333333337</v>
      </c>
      <c r="G205" s="92" t="s">
        <v>51</v>
      </c>
      <c r="H205" s="92">
        <f>IF(F203&lt;=0,"n.m.",H203/F203-1)</f>
        <v>-0.18181818181818177</v>
      </c>
      <c r="I205" s="92">
        <f>IF(H203&lt;=0,"n.m.",I203/H203-1)</f>
        <v>0.11111111111111116</v>
      </c>
      <c r="J205" s="91">
        <f>IF(I203&lt;=0,"n.m.",J203/I203-1)</f>
        <v>0</v>
      </c>
      <c r="K205" s="89"/>
      <c r="L205" s="89"/>
    </row>
    <row r="206">
      <c r="A206" s="89"/>
      <c r="B206" s="88" t="s">
        <v>330</v>
      </c>
      <c r="C206" s="86">
        <v>110</v>
      </c>
      <c r="D206" s="86">
        <v>92</v>
      </c>
      <c r="E206" s="86">
        <v>133</v>
      </c>
      <c r="F206" s="86">
        <v>139</v>
      </c>
      <c r="G206" s="95">
        <f>SUM(C206:F206)</f>
        <v>474</v>
      </c>
      <c r="H206" s="86">
        <v>138</v>
      </c>
      <c r="I206" s="86">
        <v>153</v>
      </c>
      <c r="J206" s="136">
        <v>146</v>
      </c>
      <c r="K206" s="89"/>
      <c r="L206" s="89"/>
    </row>
    <row r="207">
      <c r="A207" s="89"/>
      <c r="B207" s="87" t="s">
        <v>93</v>
      </c>
      <c r="C207" s="92" t="s">
        <v>51</v>
      </c>
      <c r="D207" s="92" t="s">
        <v>51</v>
      </c>
      <c r="E207" s="92" t="s">
        <v>51</v>
      </c>
      <c r="F207" s="92" t="s">
        <v>51</v>
      </c>
      <c r="G207" s="92" t="s">
        <v>51</v>
      </c>
      <c r="H207" s="92">
        <f>IF(C206&lt;=0,"n.m.",H206/C206-1)</f>
        <v>0.25454545454545463</v>
      </c>
      <c r="I207" s="92">
        <f>IF(D206&lt;=0,"n.m.",I206/D206-1)</f>
        <v>0.6630434782608696</v>
      </c>
      <c r="J207" s="91">
        <f>IF(E206&lt;=0,"n.m.",J206/E206-1)</f>
        <v>0.09774436090225569</v>
      </c>
      <c r="K207" s="89"/>
      <c r="L207" s="89"/>
    </row>
    <row r="208">
      <c r="A208" s="89"/>
      <c r="B208" s="87" t="s">
        <v>64</v>
      </c>
      <c r="C208" s="92" t="s">
        <v>51</v>
      </c>
      <c r="D208" s="92">
        <f>IF(C206&lt;=0,"n.m.",D206/C206-1)</f>
        <v>-0.1636363636363637</v>
      </c>
      <c r="E208" s="92">
        <f>IF(D206&lt;=0,"n.m.",E206/D206-1)</f>
        <v>0.44565217391304346</v>
      </c>
      <c r="F208" s="92">
        <f>IF(E206&lt;=0,"n.m.",F206/E206-1)</f>
        <v>0.04511278195488733</v>
      </c>
      <c r="G208" s="92" t="s">
        <v>51</v>
      </c>
      <c r="H208" s="92">
        <f>IF(F206&lt;=0,"n.m.",H206/F206-1)</f>
        <v>-0.007194244604316502</v>
      </c>
      <c r="I208" s="92">
        <f>IF(H206&lt;=0,"n.m.",I206/H206-1)</f>
        <v>0.10869565217391308</v>
      </c>
      <c r="J208" s="91">
        <f>IF(I206&lt;=0,"n.m.",J206/I206-1)</f>
        <v>-0.04575163398692805</v>
      </c>
      <c r="K208" s="89"/>
      <c r="L208" s="89"/>
    </row>
    <row r="209">
      <c r="A209" s="89"/>
      <c r="B209" s="104" t="s">
        <v>331</v>
      </c>
      <c r="C209" s="90">
        <f>C179+C182+C185+C188+C191+C194+C197+C200+C203+C206</f>
        <v>3252</v>
      </c>
      <c r="D209" s="90">
        <f>D179+D182+D185+D188+D191+D194+D197+D200+D203+D206</f>
        <v>3206</v>
      </c>
      <c r="E209" s="90">
        <f>E179+E182+E185+E188+E191+E194+E197+E200+E203+E206</f>
        <v>3236</v>
      </c>
      <c r="F209" s="90">
        <f>F179+F182+F185+F188+F191+F194+F197+F200+F203+F206</f>
        <v>3360</v>
      </c>
      <c r="G209" s="90">
        <f>G179+G182+G185+G188+G191+G194+G197+G200+G203+G206</f>
        <v>13054</v>
      </c>
      <c r="H209" s="90">
        <f>H179+H182+H185+H188+H191+H194+H197+H200+H203+H206</f>
        <v>3400</v>
      </c>
      <c r="I209" s="90">
        <f>I179+I182+I185+I188+I191+I194+I197+I200+I203+I206</f>
        <v>3439</v>
      </c>
      <c r="J209" s="135">
        <f>J179+J182+J185+J188+J191+J194+J197+J200+J203+J206</f>
        <v>3460</v>
      </c>
      <c r="K209" s="89"/>
      <c r="L209" s="89"/>
    </row>
    <row r="210">
      <c r="A210" s="89"/>
      <c r="B210" s="87" t="s">
        <v>93</v>
      </c>
      <c r="C210" s="92" t="s">
        <v>51</v>
      </c>
      <c r="D210" s="92" t="s">
        <v>51</v>
      </c>
      <c r="E210" s="92" t="s">
        <v>51</v>
      </c>
      <c r="F210" s="92" t="s">
        <v>51</v>
      </c>
      <c r="G210" s="92" t="s">
        <v>51</v>
      </c>
      <c r="H210" s="92">
        <f>IF(C209&lt;=0,"n.m.",H209/C209-1)</f>
        <v>0.045510455104551095</v>
      </c>
      <c r="I210" s="92">
        <f>IF(D209&lt;=0,"n.m.",I209/D209-1)</f>
        <v>0.07267623206487839</v>
      </c>
      <c r="J210" s="91">
        <f>IF(E209&lt;=0,"n.m.",J209/E209-1)</f>
        <v>0.06922126081582203</v>
      </c>
      <c r="K210" s="89"/>
      <c r="L210" s="89"/>
    </row>
    <row r="211">
      <c r="A211" s="89"/>
      <c r="B211" s="87" t="s">
        <v>64</v>
      </c>
      <c r="C211" s="92" t="s">
        <v>51</v>
      </c>
      <c r="D211" s="92">
        <f>IF(C209&lt;=0,"n.m.",D209/C209-1)</f>
        <v>-0.014145141451414545</v>
      </c>
      <c r="E211" s="92">
        <f>IF(D209&lt;=0,"n.m.",E209/D209-1)</f>
        <v>0.009357454772301876</v>
      </c>
      <c r="F211" s="92">
        <f>IF(E209&lt;=0,"n.m.",F209/E209-1)</f>
        <v>0.03831891223732997</v>
      </c>
      <c r="G211" s="92" t="s">
        <v>51</v>
      </c>
      <c r="H211" s="92">
        <f>IF(F209&lt;=0,"n.m.",H209/F209-1)</f>
        <v>0.011904761904761862</v>
      </c>
      <c r="I211" s="92">
        <f>IF(H209&lt;=0,"n.m.",I209/H209-1)</f>
        <v>0.011470588235294121</v>
      </c>
      <c r="J211" s="91">
        <f>IF(I209&lt;=0,"n.m.",J209/I209-1)</f>
        <v>0.0061064262867112085</v>
      </c>
      <c r="K211" s="89"/>
      <c r="L211" s="89"/>
    </row>
    <row r="212">
      <c r="A212" s="89"/>
      <c r="B212" s="87" t="s">
        <v>332</v>
      </c>
      <c r="C212" s="92">
        <f>C209/C163</f>
        <v>0.6786310517529215</v>
      </c>
      <c r="D212" s="92">
        <f>D209/D163</f>
        <v>0.637629276054097</v>
      </c>
      <c r="E212" s="92">
        <f>E209/E163</f>
        <v>0.6368825034442039</v>
      </c>
      <c r="F212" s="92">
        <f>F209/F163</f>
        <v>0.6487738945742422</v>
      </c>
      <c r="G212" s="92">
        <f>G209/G163</f>
        <v>0.6500996015936255</v>
      </c>
      <c r="H212" s="92">
        <f>H209/H163</f>
        <v>0.6285819929746719</v>
      </c>
      <c r="I212" s="92">
        <f>I209/I163</f>
        <v>0.6035451035451036</v>
      </c>
      <c r="J212" s="91">
        <f>J209/J163</f>
        <v>0.6204437590756773</v>
      </c>
      <c r="K212" s="89"/>
      <c r="L212" s="89"/>
    </row>
    <row r="213">
      <c r="A213" s="89"/>
      <c r="B213" s="88" t="s">
        <v>108</v>
      </c>
      <c r="C213" s="103" t="s">
        <v>51</v>
      </c>
      <c r="D213" s="103">
        <f>(D212-C212)*10000</f>
        <v>-410.0177569882446</v>
      </c>
      <c r="E213" s="103">
        <f>(E212-D212)*10000</f>
        <v>-7.467726098930871</v>
      </c>
      <c r="F213" s="103">
        <f>(F212-E212)*10000</f>
        <v>118.91391130038231</v>
      </c>
      <c r="G213" s="103" t="s">
        <v>51</v>
      </c>
      <c r="H213" s="103">
        <f>(H212-F212)*10000</f>
        <v>-201.91901599570295</v>
      </c>
      <c r="I213" s="103">
        <f>(I212-H212)*10000</f>
        <v>-250.36889429568276</v>
      </c>
      <c r="J213" s="128">
        <f>(J212-I212)*10000</f>
        <v>168.9865553057368</v>
      </c>
      <c r="K213" s="89"/>
      <c r="L213" s="89"/>
    </row>
    <row r="214">
      <c r="A214" s="89"/>
      <c r="B214" s="88" t="s">
        <v>109</v>
      </c>
      <c r="C214" s="103" t="s">
        <v>51</v>
      </c>
      <c r="D214" s="103" t="s">
        <v>51</v>
      </c>
      <c r="E214" s="103" t="s">
        <v>51</v>
      </c>
      <c r="F214" s="103" t="s">
        <v>51</v>
      </c>
      <c r="G214" s="103" t="s">
        <v>51</v>
      </c>
      <c r="H214" s="103">
        <f>(H212-C212)*10000</f>
        <v>-500.4905877824961</v>
      </c>
      <c r="I214" s="103">
        <f>(I212-D212)*10000</f>
        <v>-340.84172508993424</v>
      </c>
      <c r="J214" s="128">
        <f>(J212-E212)*10000</f>
        <v>-164.3874436852666</v>
      </c>
      <c r="K214" s="89"/>
      <c r="L214" s="89"/>
    </row>
    <row r="215" ht="23.25">
      <c r="A215" s="89"/>
      <c r="B215" s="190" t="s">
        <v>333</v>
      </c>
      <c r="C215" s="177">
        <f>'Segment - Securities Services'!C147+'Segment - Market &amp; Wealth Svcs'!C172+'Segment - Inv &amp; Wealth Mgmt'!C168+'Segment - Other'!C39</f>
        <v>3252</v>
      </c>
      <c r="D215" s="177">
        <f>'Segment - Securities Services'!D147+'Segment - Market &amp; Wealth Svcs'!D172+'Segment - Inv &amp; Wealth Mgmt'!D168+'Segment - Other'!D39</f>
        <v>3206</v>
      </c>
      <c r="E215" s="177">
        <f>'Segment - Securities Services'!E147+'Segment - Market &amp; Wealth Svcs'!E172+'Segment - Inv &amp; Wealth Mgmt'!E168+'Segment - Other'!E39</f>
        <v>3236</v>
      </c>
      <c r="F215" s="177">
        <f>'Segment - Securities Services'!F147+'Segment - Market &amp; Wealth Svcs'!F172+'Segment - Inv &amp; Wealth Mgmt'!F168+'Segment - Other'!F39</f>
        <v>3360</v>
      </c>
      <c r="G215" s="177">
        <f>'Segment - Securities Services'!G147+'Segment - Market &amp; Wealth Svcs'!G172+'Segment - Inv &amp; Wealth Mgmt'!G168+'Segment - Other'!G39</f>
        <v>13054</v>
      </c>
      <c r="H215" s="177">
        <f>'Segment - Securities Services'!H147+'Segment - Market &amp; Wealth Svcs'!H172+'Segment - Inv &amp; Wealth Mgmt'!H168+'Segment - Other'!H39</f>
        <v>3400</v>
      </c>
      <c r="I215" s="177">
        <f>'Segment - Securities Services'!I147+'Segment - Market &amp; Wealth Svcs'!I172+'Segment - Inv &amp; Wealth Mgmt'!I168+'Segment - Other'!I39</f>
        <v>3439</v>
      </c>
      <c r="J215" s="174">
        <f>'Segment - Securities Services'!J147+'Segment - Market &amp; Wealth Svcs'!J172+'Segment - Inv &amp; Wealth Mgmt'!J168+'Segment - Other'!J39</f>
        <v>3460</v>
      </c>
      <c r="K215" s="89"/>
      <c r="L215" s="89"/>
    </row>
    <row r="216" ht="23.25">
      <c r="A216" s="89"/>
      <c r="B216" s="187" t="s">
        <v>334</v>
      </c>
      <c r="C216" s="99" t="b">
        <f>ABS(C209-C215)&lt;0.5</f>
        <v>1</v>
      </c>
      <c r="D216" s="99" t="b">
        <f>ABS(D209-D215)&lt;0.5</f>
        <v>1</v>
      </c>
      <c r="E216" s="99" t="b">
        <f>ABS(E209-E215)&lt;0.5</f>
        <v>1</v>
      </c>
      <c r="F216" s="99" t="b">
        <f>ABS(F209-F215)&lt;0.5</f>
        <v>1</v>
      </c>
      <c r="G216" s="99" t="b">
        <f>ABS(G209-G215)&lt;0.5</f>
        <v>1</v>
      </c>
      <c r="H216" s="99" t="b">
        <f>ABS(H209-H215)&lt;0.5</f>
        <v>1</v>
      </c>
      <c r="I216" s="99" t="b">
        <f>ABS(I209-I215)&lt;0.5</f>
        <v>1</v>
      </c>
      <c r="J216" s="139" t="b">
        <f>ABS(J209-J215)&lt;0.5</f>
        <v>1</v>
      </c>
      <c r="K216" s="89"/>
      <c r="L216" s="181" t="s">
        <v>335</v>
      </c>
    </row>
    <row r="217">
      <c r="A217" s="89"/>
      <c r="B217" s="89"/>
      <c r="C217" s="89"/>
      <c r="D217" s="89"/>
      <c r="E217" s="89"/>
      <c r="F217" s="89"/>
      <c r="G217" s="89"/>
      <c r="H217" s="89"/>
      <c r="I217" s="89"/>
      <c r="J217" s="97"/>
      <c r="K217" s="89"/>
      <c r="L217" s="89"/>
    </row>
    <row r="218">
      <c r="A218" s="89"/>
      <c r="B218" s="104" t="s">
        <v>336</v>
      </c>
      <c r="C218" s="89"/>
      <c r="D218" s="89"/>
      <c r="E218" s="89"/>
      <c r="F218" s="89"/>
      <c r="G218" s="89"/>
      <c r="H218" s="89"/>
      <c r="I218" s="89"/>
      <c r="J218" s="97"/>
      <c r="K218" s="89"/>
      <c r="L218" s="89"/>
    </row>
    <row r="219">
      <c r="A219" s="89"/>
      <c r="B219" s="104" t="s">
        <v>165</v>
      </c>
      <c r="C219" s="90">
        <f>C163-C176-C209</f>
        <v>1522</v>
      </c>
      <c r="D219" s="90">
        <f>D163-D176-D209</f>
        <v>1839</v>
      </c>
      <c r="E219" s="90">
        <f>E163-E176-E209</f>
        <v>1852</v>
      </c>
      <c r="F219" s="90">
        <f>F163-F176-F209</f>
        <v>1845</v>
      </c>
      <c r="G219" s="90">
        <f>G163-G176-G209</f>
        <v>7058</v>
      </c>
      <c r="H219" s="90">
        <f>H163-H176-H209</f>
        <v>2016</v>
      </c>
      <c r="I219" s="90">
        <f>I163-I176-I209</f>
        <v>2267</v>
      </c>
      <c r="J219" s="135">
        <f>J163-J176-J209</f>
        <v>2121.653724673817</v>
      </c>
      <c r="K219" s="89"/>
      <c r="L219" s="89"/>
    </row>
    <row r="220">
      <c r="A220" s="89"/>
      <c r="B220" s="87" t="s">
        <v>93</v>
      </c>
      <c r="C220" s="92" t="s">
        <v>51</v>
      </c>
      <c r="D220" s="92" t="s">
        <v>51</v>
      </c>
      <c r="E220" s="92" t="s">
        <v>51</v>
      </c>
      <c r="F220" s="92" t="s">
        <v>51</v>
      </c>
      <c r="G220" s="92" t="s">
        <v>51</v>
      </c>
      <c r="H220" s="92">
        <f>IF(C219&lt;=0,"n.m.",H219/C219-1)</f>
        <v>0.3245729303547964</v>
      </c>
      <c r="I220" s="92">
        <f>IF(D219&lt;=0,"n.m.",I219/D219-1)</f>
        <v>0.23273518216421962</v>
      </c>
      <c r="J220" s="91">
        <f>IF(E219&lt;=0,"n.m.",J219/E219-1)</f>
        <v>0.1456013632148041</v>
      </c>
      <c r="K220" s="89"/>
      <c r="L220" s="89"/>
    </row>
    <row r="221">
      <c r="A221" s="89"/>
      <c r="B221" s="87" t="s">
        <v>64</v>
      </c>
      <c r="C221" s="92" t="s">
        <v>51</v>
      </c>
      <c r="D221" s="92">
        <f>IF(C219&lt;=0,"n.m.",D219/C219-1)</f>
        <v>0.2082785808147174</v>
      </c>
      <c r="E221" s="92">
        <f>IF(D219&lt;=0,"n.m.",E219/D219-1)</f>
        <v>0.007069059271343159</v>
      </c>
      <c r="F221" s="92">
        <f>IF(E219&lt;=0,"n.m.",F219/E219-1)</f>
        <v>-0.0037796976241900593</v>
      </c>
      <c r="G221" s="92" t="s">
        <v>51</v>
      </c>
      <c r="H221" s="92">
        <f>IF(F219&lt;=0,"n.m.",H219/F219-1)</f>
        <v>0.09268292682926838</v>
      </c>
      <c r="I221" s="92">
        <f>IF(H219&lt;=0,"n.m.",I219/H219-1)</f>
        <v>0.12450396825396814</v>
      </c>
      <c r="J221" s="91">
        <f>IF(I219&lt;=0,"n.m.",J219/I219-1)</f>
        <v>-0.06411392824269202</v>
      </c>
      <c r="K221" s="89"/>
      <c r="L221" s="89"/>
    </row>
    <row r="222">
      <c r="A222" s="89"/>
      <c r="B222" s="87" t="s">
        <v>166</v>
      </c>
      <c r="C222" s="92">
        <f>C219/C163</f>
        <v>0.3176126878130217</v>
      </c>
      <c r="D222" s="92">
        <f>D219/D163</f>
        <v>0.36575178997613367</v>
      </c>
      <c r="E222" s="92">
        <f>E219/E163</f>
        <v>0.3644951781145444</v>
      </c>
      <c r="F222" s="92">
        <f>F219/F163</f>
        <v>0.3562463796099633</v>
      </c>
      <c r="G222" s="92">
        <f>G219/G163</f>
        <v>0.35149402390438245</v>
      </c>
      <c r="H222" s="92">
        <f>H219/H163</f>
        <v>0.37271214642262895</v>
      </c>
      <c r="I222" s="92">
        <f>I219/I163</f>
        <v>0.3978588978588979</v>
      </c>
      <c r="J222" s="91">
        <f>J219/J163</f>
        <v>0.3804528359518887</v>
      </c>
      <c r="K222" s="89"/>
      <c r="L222" s="89"/>
    </row>
    <row r="223">
      <c r="A223" s="89"/>
      <c r="B223" s="88" t="s">
        <v>108</v>
      </c>
      <c r="C223" s="103" t="s">
        <v>51</v>
      </c>
      <c r="D223" s="103">
        <f>(D222-C222)*10000</f>
        <v>481.3910216311196</v>
      </c>
      <c r="E223" s="103">
        <f>(E222-D222)*10000</f>
        <v>-12.56611861589263</v>
      </c>
      <c r="F223" s="103">
        <f>(F222-E222)*10000</f>
        <v>-82.487985045811</v>
      </c>
      <c r="G223" s="103" t="s">
        <v>51</v>
      </c>
      <c r="H223" s="103">
        <f>(H222-F222)*10000</f>
        <v>164.6576681266565</v>
      </c>
      <c r="I223" s="103">
        <f>(I222-H222)*10000</f>
        <v>251.46751436268931</v>
      </c>
      <c r="J223" s="128">
        <f>(J222-I222)*10000</f>
        <v>-174.06061907009163</v>
      </c>
      <c r="K223" s="89"/>
      <c r="L223" s="89"/>
    </row>
    <row r="224">
      <c r="A224" s="89"/>
      <c r="B224" s="88" t="s">
        <v>109</v>
      </c>
      <c r="C224" s="103" t="s">
        <v>51</v>
      </c>
      <c r="D224" s="103" t="s">
        <v>51</v>
      </c>
      <c r="E224" s="103" t="s">
        <v>51</v>
      </c>
      <c r="F224" s="103" t="s">
        <v>51</v>
      </c>
      <c r="G224" s="103" t="s">
        <v>51</v>
      </c>
      <c r="H224" s="103">
        <f>(H222-C222)*10000</f>
        <v>550.9945860960725</v>
      </c>
      <c r="I224" s="103">
        <f>(I222-D222)*10000</f>
        <v>321.07107882764217</v>
      </c>
      <c r="J224" s="128">
        <f>(J222-E222)*10000</f>
        <v>159.5765783734432</v>
      </c>
      <c r="K224" s="89"/>
      <c r="L224" s="89"/>
    </row>
    <row r="225">
      <c r="A225" s="89"/>
      <c r="B225" s="87" t="s">
        <v>337</v>
      </c>
      <c r="C225" s="177">
        <f>'Segment - Securities Services'!C150+'Segment - Market &amp; Wealth Svcs'!C175+'Segment - Inv &amp; Wealth Mgmt'!C171+'Segment - Other'!C42+'Revenue summary'!C39</f>
        <v>1522</v>
      </c>
      <c r="D225" s="177">
        <f>'Segment - Securities Services'!D150+'Segment - Market &amp; Wealth Svcs'!D175+'Segment - Inv &amp; Wealth Mgmt'!D171+'Segment - Other'!D42+'Revenue summary'!D39</f>
        <v>1839</v>
      </c>
      <c r="E225" s="177">
        <f>'Segment - Securities Services'!E150+'Segment - Market &amp; Wealth Svcs'!E175+'Segment - Inv &amp; Wealth Mgmt'!E171+'Segment - Other'!E42+'Revenue summary'!E39</f>
        <v>1852</v>
      </c>
      <c r="F225" s="177">
        <f>'Segment - Securities Services'!F150+'Segment - Market &amp; Wealth Svcs'!F175+'Segment - Inv &amp; Wealth Mgmt'!F171+'Segment - Other'!F42+'Revenue summary'!F39</f>
        <v>1845</v>
      </c>
      <c r="G225" s="177">
        <f>'Segment - Securities Services'!G150+'Segment - Market &amp; Wealth Svcs'!G175+'Segment - Inv &amp; Wealth Mgmt'!G171+'Segment - Other'!G42+'Revenue summary'!G39</f>
        <v>7058</v>
      </c>
      <c r="H225" s="177">
        <f>'Segment - Securities Services'!H150+'Segment - Market &amp; Wealth Svcs'!H175+'Segment - Inv &amp; Wealth Mgmt'!H171+'Segment - Other'!H42+'Revenue summary'!H39</f>
        <v>2016</v>
      </c>
      <c r="I225" s="177">
        <f>'Segment - Securities Services'!I150+'Segment - Market &amp; Wealth Svcs'!I175+'Segment - Inv &amp; Wealth Mgmt'!I171+'Segment - Other'!I42+'Revenue summary'!I39</f>
        <v>2267</v>
      </c>
      <c r="J225" s="174">
        <f>'Segment - Securities Services'!J150+'Segment - Market &amp; Wealth Svcs'!J175+'Segment - Inv &amp; Wealth Mgmt'!J171+'Segment - Other'!J42+'Revenue summary'!J39</f>
        <v>2121.653724673817</v>
      </c>
      <c r="K225" s="89"/>
      <c r="L225" s="89"/>
    </row>
    <row r="226" ht="23.25">
      <c r="A226" s="89"/>
      <c r="B226" s="187" t="s">
        <v>338</v>
      </c>
      <c r="C226" s="99" t="b">
        <f>ABS(C219-C225)&lt;0.5</f>
        <v>1</v>
      </c>
      <c r="D226" s="99" t="b">
        <f>ABS(D219-D225)&lt;0.5</f>
        <v>1</v>
      </c>
      <c r="E226" s="99" t="b">
        <f>ABS(E219-E225)&lt;0.5</f>
        <v>1</v>
      </c>
      <c r="F226" s="99" t="b">
        <f>ABS(F219-F225)&lt;0.5</f>
        <v>1</v>
      </c>
      <c r="G226" s="99" t="b">
        <f>ABS(G219-G225)&lt;0.5</f>
        <v>1</v>
      </c>
      <c r="H226" s="99" t="b">
        <f>ABS(H219-H225)&lt;0.5</f>
        <v>1</v>
      </c>
      <c r="I226" s="99" t="b">
        <f>ABS(I219-I225)&lt;0.5</f>
        <v>1</v>
      </c>
      <c r="J226" s="139" t="b">
        <f>ABS(J219-J225)&lt;0.5</f>
        <v>1</v>
      </c>
      <c r="K226" s="89"/>
      <c r="L226" s="181" t="s">
        <v>339</v>
      </c>
    </row>
    <row r="227">
      <c r="A227" s="89"/>
      <c r="B227" s="87" t="s">
        <v>340</v>
      </c>
      <c r="C227" s="92">
        <f>C230/C219</f>
        <v>0.19710906701708278</v>
      </c>
      <c r="D227" s="92">
        <f>D230/D219</f>
        <v>0.21968461120174007</v>
      </c>
      <c r="E227" s="92">
        <f>E230/E219</f>
        <v>0.2132829373650108</v>
      </c>
      <c r="F227" s="92">
        <f>F230/F219</f>
        <v>0.2037940379403794</v>
      </c>
      <c r="G227" s="92">
        <f>G230/G219</f>
        <v>0.2089827146500425</v>
      </c>
      <c r="H227" s="92">
        <f>H230/H219</f>
        <v>0.19146825396825398</v>
      </c>
      <c r="I227" s="92">
        <f>I230/I219</f>
        <v>0.20952801058667844</v>
      </c>
      <c r="J227" s="148">
        <v>0.22</v>
      </c>
      <c r="K227" s="89"/>
      <c r="L227" s="94" t="s">
        <v>341</v>
      </c>
    </row>
    <row r="228">
      <c r="A228" s="89"/>
      <c r="B228" s="88" t="s">
        <v>108</v>
      </c>
      <c r="C228" s="103" t="s">
        <v>51</v>
      </c>
      <c r="D228" s="103">
        <f>(D227-C227)*10000</f>
        <v>225.75544184657292</v>
      </c>
      <c r="E228" s="103">
        <f>(E227-D227)*10000</f>
        <v>-64.01673836729266</v>
      </c>
      <c r="F228" s="103">
        <f>(F227-E227)*10000</f>
        <v>-94.88899424631408</v>
      </c>
      <c r="G228" s="103" t="s">
        <v>51</v>
      </c>
      <c r="H228" s="103">
        <f>(H227-F227)*10000</f>
        <v>-123.25783972125414</v>
      </c>
      <c r="I228" s="103">
        <f>(I227-H227)*10000</f>
        <v>180.5975661842446</v>
      </c>
      <c r="J228" s="128">
        <f>(J227-I227)*10000</f>
        <v>104.71989413321559</v>
      </c>
      <c r="K228" s="89"/>
      <c r="L228" s="89"/>
    </row>
    <row r="229">
      <c r="A229" s="89"/>
      <c r="B229" s="88" t="s">
        <v>109</v>
      </c>
      <c r="C229" s="103" t="s">
        <v>51</v>
      </c>
      <c r="D229" s="103" t="s">
        <v>51</v>
      </c>
      <c r="E229" s="103" t="s">
        <v>51</v>
      </c>
      <c r="F229" s="103" t="s">
        <v>51</v>
      </c>
      <c r="G229" s="103" t="s">
        <v>51</v>
      </c>
      <c r="H229" s="103">
        <f>(H227-C227)*10000</f>
        <v>-56.408130488287966</v>
      </c>
      <c r="I229" s="103">
        <f>(I227-D227)*10000</f>
        <v>-101.56600615061629</v>
      </c>
      <c r="J229" s="128">
        <f>(J227-E227)*10000</f>
        <v>67.17062634989196</v>
      </c>
      <c r="K229" s="89"/>
      <c r="L229" s="89"/>
    </row>
    <row r="230">
      <c r="A230" s="89"/>
      <c r="B230" s="88" t="s">
        <v>342</v>
      </c>
      <c r="C230" s="86">
        <v>300</v>
      </c>
      <c r="D230" s="86">
        <v>404</v>
      </c>
      <c r="E230" s="86">
        <v>395</v>
      </c>
      <c r="F230" s="86">
        <v>376</v>
      </c>
      <c r="G230" s="95">
        <f>SUM(C230:F230)</f>
        <v>1475</v>
      </c>
      <c r="H230" s="86">
        <v>386</v>
      </c>
      <c r="I230" s="86">
        <v>475</v>
      </c>
      <c r="J230" s="121">
        <f>J219*J227</f>
        <v>466.76381942823974</v>
      </c>
      <c r="K230" s="89"/>
      <c r="L230" s="89"/>
    </row>
    <row r="231">
      <c r="A231" s="89"/>
      <c r="B231" s="104" t="s">
        <v>343</v>
      </c>
      <c r="C231" s="90">
        <f>C219-C230</f>
        <v>1222</v>
      </c>
      <c r="D231" s="90">
        <f>D219-D230</f>
        <v>1435</v>
      </c>
      <c r="E231" s="90">
        <f>E219-E230</f>
        <v>1457</v>
      </c>
      <c r="F231" s="90">
        <f>F219-F230</f>
        <v>1469</v>
      </c>
      <c r="G231" s="90">
        <f>G219-G230</f>
        <v>5583</v>
      </c>
      <c r="H231" s="90">
        <f>H219-H230</f>
        <v>1630</v>
      </c>
      <c r="I231" s="90">
        <f>I219-I230</f>
        <v>1792</v>
      </c>
      <c r="J231" s="135">
        <f>J219-J230</f>
        <v>1654.8899052455774</v>
      </c>
      <c r="K231" s="89"/>
      <c r="L231" s="89"/>
    </row>
    <row r="232">
      <c r="A232" s="89"/>
      <c r="B232" s="87" t="s">
        <v>93</v>
      </c>
      <c r="C232" s="92" t="s">
        <v>51</v>
      </c>
      <c r="D232" s="92" t="s">
        <v>51</v>
      </c>
      <c r="E232" s="92" t="s">
        <v>51</v>
      </c>
      <c r="F232" s="92" t="s">
        <v>51</v>
      </c>
      <c r="G232" s="92" t="s">
        <v>51</v>
      </c>
      <c r="H232" s="92">
        <f>IF(C231&lt;=0,"n.m.",H231/C231-1)</f>
        <v>0.3338788870703764</v>
      </c>
      <c r="I232" s="92">
        <f>IF(D231&lt;=0,"n.m.",I231/D231-1)</f>
        <v>0.24878048780487805</v>
      </c>
      <c r="J232" s="91">
        <f>IF(E231&lt;=0,"n.m.",J231/E231-1)</f>
        <v>0.13582011341494682</v>
      </c>
      <c r="K232" s="89"/>
      <c r="L232" s="89"/>
    </row>
    <row r="233">
      <c r="A233" s="89"/>
      <c r="B233" s="87" t="s">
        <v>64</v>
      </c>
      <c r="C233" s="92" t="s">
        <v>51</v>
      </c>
      <c r="D233" s="92">
        <f>IF(C231&lt;=0,"n.m.",D231/C231-1)</f>
        <v>0.17430441898527005</v>
      </c>
      <c r="E233" s="92">
        <f>IF(D231&lt;=0,"n.m.",E231/D231-1)</f>
        <v>0.015331010452961591</v>
      </c>
      <c r="F233" s="92">
        <f>IF(E231&lt;=0,"n.m.",F231/E231-1)</f>
        <v>0.008236101578586119</v>
      </c>
      <c r="G233" s="92" t="s">
        <v>51</v>
      </c>
      <c r="H233" s="92">
        <f>IF(F231&lt;=0,"n.m.",H231/F231-1)</f>
        <v>0.10959836623553443</v>
      </c>
      <c r="I233" s="92">
        <f>IF(H231&lt;=0,"n.m.",I231/H231-1)</f>
        <v>0.09938650306748475</v>
      </c>
      <c r="J233" s="91">
        <f>IF(I231&lt;=0,"n.m.",J231/I231-1)</f>
        <v>-0.07651232966206611</v>
      </c>
      <c r="K233" s="89"/>
      <c r="L233" s="89"/>
    </row>
    <row r="234" ht="23.24853515625">
      <c r="A234" s="89"/>
      <c r="B234" s="187" t="s">
        <v>344</v>
      </c>
      <c r="C234" s="86">
        <v>-2</v>
      </c>
      <c r="D234" s="86">
        <v>-12</v>
      </c>
      <c r="E234" s="86">
        <v>-12</v>
      </c>
      <c r="F234" s="86">
        <v>-8</v>
      </c>
      <c r="G234" s="95">
        <f>SUM(C234:F234)</f>
        <v>-34</v>
      </c>
      <c r="H234" s="86">
        <v>2</v>
      </c>
      <c r="I234" s="86">
        <v>-31</v>
      </c>
      <c r="J234" s="117">
        <f>-'Revenue summary'!J39</f>
        <v>-10</v>
      </c>
      <c r="K234" s="89"/>
      <c r="L234" s="89"/>
    </row>
    <row r="235">
      <c r="A235" s="89"/>
      <c r="B235" s="88" t="s">
        <v>345</v>
      </c>
      <c r="C235" s="86">
        <v>-71</v>
      </c>
      <c r="D235" s="86">
        <v>-32</v>
      </c>
      <c r="E235" s="86">
        <v>-106</v>
      </c>
      <c r="F235" s="86">
        <v>-34</v>
      </c>
      <c r="G235" s="95">
        <f>SUM(C235:F235)</f>
        <v>-243</v>
      </c>
      <c r="H235" s="86">
        <v>-70</v>
      </c>
      <c r="I235" s="86">
        <v>-65</v>
      </c>
      <c r="J235" s="117">
        <f>-'Share Count'!J74</f>
        <v>-71.49844321</v>
      </c>
      <c r="K235" s="89"/>
      <c r="L235" s="94" t="s">
        <v>346</v>
      </c>
    </row>
    <row r="236" ht="23.24853515625">
      <c r="A236" s="89"/>
      <c r="B236" s="186" t="s">
        <v>347</v>
      </c>
      <c r="C236" s="90">
        <f>C231+C234+C235</f>
        <v>1149</v>
      </c>
      <c r="D236" s="90">
        <f>D231+D234+D235</f>
        <v>1391</v>
      </c>
      <c r="E236" s="90">
        <f>E231+E234+E235</f>
        <v>1339</v>
      </c>
      <c r="F236" s="90">
        <f>F231+F234+F235</f>
        <v>1427</v>
      </c>
      <c r="G236" s="90">
        <f>G231+G234+G235</f>
        <v>5306</v>
      </c>
      <c r="H236" s="90">
        <f>H231+H234+H235</f>
        <v>1562</v>
      </c>
      <c r="I236" s="90">
        <f>I231+I234+I235</f>
        <v>1696</v>
      </c>
      <c r="J236" s="135">
        <f>J231+J234+J235</f>
        <v>1573.3914620355774</v>
      </c>
      <c r="K236" s="89"/>
      <c r="L236" s="89"/>
    </row>
    <row r="237">
      <c r="A237" s="89"/>
      <c r="B237" s="87" t="s">
        <v>93</v>
      </c>
      <c r="C237" s="92" t="s">
        <v>51</v>
      </c>
      <c r="D237" s="92" t="s">
        <v>51</v>
      </c>
      <c r="E237" s="92" t="s">
        <v>51</v>
      </c>
      <c r="F237" s="92" t="s">
        <v>51</v>
      </c>
      <c r="G237" s="92" t="s">
        <v>51</v>
      </c>
      <c r="H237" s="92">
        <f>IF(C236&lt;=0,"n.m.",H236/C236-1)</f>
        <v>0.3594429939077459</v>
      </c>
      <c r="I237" s="92">
        <f>IF(D236&lt;=0,"n.m.",I236/D236-1)</f>
        <v>0.2192667145938174</v>
      </c>
      <c r="J237" s="91">
        <f>IF(E236&lt;=0,"n.m.",J236/E236-1)</f>
        <v>0.17504963557548736</v>
      </c>
      <c r="K237" s="89"/>
      <c r="L237" s="89"/>
    </row>
    <row r="238">
      <c r="A238" s="89"/>
      <c r="B238" s="87" t="s">
        <v>64</v>
      </c>
      <c r="C238" s="92" t="s">
        <v>51</v>
      </c>
      <c r="D238" s="92">
        <f>IF(C236&lt;=0,"n.m.",D236/C236-1)</f>
        <v>0.21061792863359452</v>
      </c>
      <c r="E238" s="92">
        <f>IF(D236&lt;=0,"n.m.",E236/D236-1)</f>
        <v>-0.03738317757009346</v>
      </c>
      <c r="F238" s="92">
        <f>IF(E236&lt;=0,"n.m.",F236/E236-1)</f>
        <v>0.0657206870799103</v>
      </c>
      <c r="G238" s="92" t="s">
        <v>51</v>
      </c>
      <c r="H238" s="92">
        <f>IF(F236&lt;=0,"n.m.",H236/F236-1)</f>
        <v>0.09460406447091807</v>
      </c>
      <c r="I238" s="92">
        <f>IF(H236&lt;=0,"n.m.",I236/H236-1)</f>
        <v>0.08578745198463511</v>
      </c>
      <c r="J238" s="91">
        <f>IF(I236&lt;=0,"n.m.",J236/I236-1)</f>
        <v>-0.0722927700261925</v>
      </c>
      <c r="K238" s="89"/>
      <c r="L238" s="89"/>
    </row>
    <row r="239">
      <c r="A239" s="89"/>
      <c r="B239" s="87" t="s">
        <v>348</v>
      </c>
      <c r="C239" s="92">
        <f>C236/C163</f>
        <v>0.2397746243739566</v>
      </c>
      <c r="D239" s="92">
        <f>D236/D163</f>
        <v>0.2766507557677009</v>
      </c>
      <c r="E239" s="92">
        <f>E236/E163</f>
        <v>0.2635308010234206</v>
      </c>
      <c r="F239" s="92">
        <f>F236/F163</f>
        <v>0.2755358177254296</v>
      </c>
      <c r="G239" s="92">
        <f>G236/G163</f>
        <v>0.2642430278884462</v>
      </c>
      <c r="H239" s="92">
        <f>H236/H163</f>
        <v>0.2887779626548345</v>
      </c>
      <c r="I239" s="92">
        <f>I236/I163</f>
        <v>0.29764829764829764</v>
      </c>
      <c r="J239" s="91">
        <f>J236/J163</f>
        <v>0.2821389922551819</v>
      </c>
      <c r="K239" s="89"/>
      <c r="L239" s="89"/>
    </row>
    <row r="240">
      <c r="A240" s="89"/>
      <c r="B240" s="88" t="s">
        <v>108</v>
      </c>
      <c r="C240" s="103" t="s">
        <v>51</v>
      </c>
      <c r="D240" s="103">
        <f>(D239-C239)*10000</f>
        <v>368.76131393744265</v>
      </c>
      <c r="E240" s="103">
        <f>(E239-D239)*10000</f>
        <v>-131.19954744280292</v>
      </c>
      <c r="F240" s="103">
        <f>(F239-E239)*10000</f>
        <v>120.05016702009041</v>
      </c>
      <c r="G240" s="103" t="s">
        <v>51</v>
      </c>
      <c r="H240" s="103">
        <f>(H239-F239)*10000</f>
        <v>132.42144929404898</v>
      </c>
      <c r="I240" s="103">
        <f>(I239-H239)*10000</f>
        <v>88.70334993463125</v>
      </c>
      <c r="J240" s="128">
        <f>(J239-I239)*10000</f>
        <v>-155.09305393115736</v>
      </c>
      <c r="K240" s="89"/>
      <c r="L240" s="89"/>
    </row>
    <row r="241">
      <c r="A241" s="89"/>
      <c r="B241" s="88" t="s">
        <v>109</v>
      </c>
      <c r="C241" s="103" t="s">
        <v>51</v>
      </c>
      <c r="D241" s="103" t="s">
        <v>51</v>
      </c>
      <c r="E241" s="103" t="s">
        <v>51</v>
      </c>
      <c r="F241" s="103" t="s">
        <v>51</v>
      </c>
      <c r="G241" s="103" t="s">
        <v>51</v>
      </c>
      <c r="H241" s="103">
        <f>(H239-C239)*10000</f>
        <v>490.0333828087791</v>
      </c>
      <c r="I241" s="103">
        <f>(I239-D239)*10000</f>
        <v>209.9754188059677</v>
      </c>
      <c r="J241" s="128">
        <f>(J239-E239)*10000</f>
        <v>186.08191231761327</v>
      </c>
      <c r="K241" s="89"/>
      <c r="L241" s="89"/>
    </row>
    <row r="242" ht="23.25">
      <c r="A242" s="89"/>
      <c r="B242" s="190" t="s">
        <v>349</v>
      </c>
      <c r="C242" s="89"/>
      <c r="D242" s="89"/>
      <c r="E242" s="89"/>
      <c r="F242" s="89"/>
      <c r="G242" s="142">
        <v>5306</v>
      </c>
      <c r="H242" s="89"/>
      <c r="I242" s="89"/>
      <c r="J242" s="97"/>
      <c r="K242" s="89"/>
      <c r="L242" s="89"/>
    </row>
    <row r="243" ht="23.24853515625">
      <c r="A243" s="89"/>
      <c r="B243" s="187" t="s">
        <v>350</v>
      </c>
      <c r="C243" s="89"/>
      <c r="D243" s="89"/>
      <c r="E243" s="89"/>
      <c r="F243" s="89"/>
      <c r="G243" s="99" t="b">
        <f>ABS(G236-G242)&lt;0.5</f>
        <v>1</v>
      </c>
      <c r="H243" s="89"/>
      <c r="I243" s="89"/>
      <c r="J243" s="97"/>
      <c r="K243" s="89"/>
      <c r="L243" s="89"/>
    </row>
    <row r="244">
      <c r="A244" s="89"/>
      <c r="B244" s="89"/>
      <c r="C244" s="89"/>
      <c r="D244" s="89"/>
      <c r="E244" s="89"/>
      <c r="F244" s="89"/>
      <c r="G244" s="89"/>
      <c r="H244" s="89"/>
      <c r="I244" s="89"/>
      <c r="J244" s="97"/>
      <c r="K244" s="89"/>
      <c r="L244" s="89"/>
    </row>
    <row r="245">
      <c r="A245" s="89"/>
      <c r="B245" s="104" t="s">
        <v>351</v>
      </c>
      <c r="C245" s="89"/>
      <c r="D245" s="89"/>
      <c r="E245" s="89"/>
      <c r="F245" s="89"/>
      <c r="G245" s="89"/>
      <c r="H245" s="89"/>
      <c r="I245" s="89"/>
      <c r="J245" s="97"/>
      <c r="K245" s="89"/>
      <c r="L245" s="89"/>
    </row>
    <row r="246">
      <c r="A246" s="89"/>
      <c r="B246" s="88" t="s">
        <v>352</v>
      </c>
      <c r="C246" s="101">
        <f>'Share Count'!C34</f>
        <v>720.951</v>
      </c>
      <c r="D246" s="101">
        <f>'Share Count'!D34</f>
        <v>714.799</v>
      </c>
      <c r="E246" s="101">
        <f>'Share Count'!E34</f>
        <v>705.873</v>
      </c>
      <c r="F246" s="101">
        <f>'Share Count'!F34</f>
        <v>697.54</v>
      </c>
      <c r="G246" s="101">
        <f>'Share Count'!G34</f>
        <v>710.177</v>
      </c>
      <c r="H246" s="101">
        <f>'Share Count'!H34</f>
        <v>691.178</v>
      </c>
      <c r="I246" s="101">
        <f>'Share Count'!I34</f>
        <v>686.125</v>
      </c>
      <c r="J246" s="117">
        <f>'Share Count'!J34</f>
        <v>679.3254879032258</v>
      </c>
      <c r="K246" s="89"/>
      <c r="L246" s="89"/>
    </row>
    <row r="247" ht="23.25">
      <c r="A247" s="89"/>
      <c r="B247" s="187" t="s">
        <v>353</v>
      </c>
      <c r="C247" s="101">
        <f>'Share Count'!C40</f>
        <v>727.398</v>
      </c>
      <c r="D247" s="101">
        <f>'Share Count'!D40</f>
        <v>720.007</v>
      </c>
      <c r="E247" s="101">
        <f>'Share Count'!E40</f>
        <v>712.854</v>
      </c>
      <c r="F247" s="101">
        <f>'Share Count'!F40</f>
        <v>705.14</v>
      </c>
      <c r="G247" s="101">
        <f>'Share Count'!G40</f>
        <v>716.718</v>
      </c>
      <c r="H247" s="101">
        <f>'Share Count'!H40</f>
        <v>698.164</v>
      </c>
      <c r="I247" s="101">
        <f>'Share Count'!I40</f>
        <v>692.223</v>
      </c>
      <c r="J247" s="117">
        <f>'Share Count'!J40</f>
        <v>685.4234879032258</v>
      </c>
      <c r="K247" s="89"/>
      <c r="L247" s="89"/>
    </row>
    <row r="248">
      <c r="A248" s="89"/>
      <c r="B248" s="88" t="s">
        <v>354</v>
      </c>
      <c r="C248" s="155">
        <f>C236/C246</f>
        <v>1.593728283891693</v>
      </c>
      <c r="D248" s="155">
        <f>D236/D246</f>
        <v>1.9460016032479062</v>
      </c>
      <c r="E248" s="155">
        <f>E236/E246</f>
        <v>1.8969418011455317</v>
      </c>
      <c r="F248" s="155">
        <f>F236/F246</f>
        <v>2.045760816583995</v>
      </c>
      <c r="G248" s="155">
        <f>G236/G246</f>
        <v>7.471376853939229</v>
      </c>
      <c r="H248" s="155">
        <f>H236/H246</f>
        <v>2.2599098929653434</v>
      </c>
      <c r="I248" s="155">
        <f>I236/I246</f>
        <v>2.471852796502095</v>
      </c>
      <c r="J248" s="163">
        <f>J236/J246</f>
        <v>2.316108389944169</v>
      </c>
      <c r="K248" s="89"/>
      <c r="L248" s="89"/>
    </row>
    <row r="249">
      <c r="A249" s="89"/>
      <c r="B249" s="104" t="s">
        <v>21</v>
      </c>
      <c r="C249" s="116">
        <f>C236/C247</f>
        <v>1.579602913398167</v>
      </c>
      <c r="D249" s="116">
        <f>D236/D247</f>
        <v>1.9319256618338434</v>
      </c>
      <c r="E249" s="116">
        <f>E236/E247</f>
        <v>1.878364994795568</v>
      </c>
      <c r="F249" s="116">
        <f>F236/F247</f>
        <v>2.0237116033695437</v>
      </c>
      <c r="G249" s="116">
        <f>G236/G247</f>
        <v>7.403190655180978</v>
      </c>
      <c r="H249" s="116">
        <f>H236/H247</f>
        <v>2.2372966810090467</v>
      </c>
      <c r="I249" s="116">
        <f>I236/I247</f>
        <v>2.4500775039257583</v>
      </c>
      <c r="J249" s="162">
        <f>J236/J247</f>
        <v>2.2955026925743796</v>
      </c>
      <c r="K249" s="89"/>
      <c r="L249" s="89"/>
    </row>
    <row r="250">
      <c r="A250" s="89"/>
      <c r="B250" s="87" t="s">
        <v>93</v>
      </c>
      <c r="C250" s="92" t="s">
        <v>51</v>
      </c>
      <c r="D250" s="92" t="s">
        <v>51</v>
      </c>
      <c r="E250" s="92" t="s">
        <v>51</v>
      </c>
      <c r="F250" s="92" t="s">
        <v>51</v>
      </c>
      <c r="G250" s="92" t="s">
        <v>51</v>
      </c>
      <c r="H250" s="92">
        <f>IF(C249&lt;=0,"n.m.",H249/C249-1)</f>
        <v>0.4163665197324793</v>
      </c>
      <c r="I250" s="92">
        <f>IF(D249&lt;=0,"n.m.",I249/D249-1)</f>
        <v>0.26820485504606273</v>
      </c>
      <c r="J250" s="91">
        <f>IF(E249&lt;=0,"n.m.",J249/E249-1)</f>
        <v>0.2220748890309312</v>
      </c>
      <c r="K250" s="89"/>
      <c r="L250" s="89"/>
    </row>
    <row r="251">
      <c r="A251" s="89"/>
      <c r="B251" s="87" t="s">
        <v>64</v>
      </c>
      <c r="C251" s="92" t="s">
        <v>51</v>
      </c>
      <c r="D251" s="92">
        <f>IF(C249&lt;=0,"n.m.",D249/C249-1)</f>
        <v>0.22304513713369367</v>
      </c>
      <c r="E251" s="92">
        <f>IF(D249&lt;=0,"n.m.",E249/D249-1)</f>
        <v>-0.027723979289883127</v>
      </c>
      <c r="F251" s="92">
        <f>IF(E249&lt;=0,"n.m.",F249/E249-1)</f>
        <v>0.0773793213654912</v>
      </c>
      <c r="G251" s="92" t="s">
        <v>51</v>
      </c>
      <c r="H251" s="92">
        <f>IF(F249&lt;=0,"n.m.",H249/F249-1)</f>
        <v>0.10554126254149909</v>
      </c>
      <c r="I251" s="92">
        <f>IF(H249&lt;=0,"n.m.",I249/H249-1)</f>
        <v>0.09510621667786356</v>
      </c>
      <c r="J251" s="91">
        <f>IF(I249&lt;=0,"n.m.",J249/I249-1)</f>
        <v>-0.06308976393755039</v>
      </c>
      <c r="K251" s="89"/>
      <c r="L251" s="89"/>
    </row>
    <row r="252">
      <c r="A252" s="89"/>
      <c r="B252" s="87" t="s">
        <v>355</v>
      </c>
      <c r="C252" s="176">
        <v>1.58</v>
      </c>
      <c r="D252" s="176">
        <v>1.93</v>
      </c>
      <c r="E252" s="176">
        <v>1.88</v>
      </c>
      <c r="F252" s="176">
        <v>2.02</v>
      </c>
      <c r="G252" s="176">
        <v>7.4</v>
      </c>
      <c r="H252" s="176">
        <v>2.24</v>
      </c>
      <c r="I252" s="176">
        <v>2.45</v>
      </c>
      <c r="J252" s="158" t="s">
        <v>51</v>
      </c>
      <c r="K252" s="89"/>
      <c r="L252" s="89"/>
    </row>
    <row r="253" ht="23.24853515625">
      <c r="A253" s="89"/>
      <c r="B253" s="187" t="s">
        <v>356</v>
      </c>
      <c r="C253" s="99" t="b">
        <f>ABS(C249-C252)&lt;0.006</f>
        <v>1</v>
      </c>
      <c r="D253" s="99" t="b">
        <f>ABS(D249-D252)&lt;0.006</f>
        <v>1</v>
      </c>
      <c r="E253" s="99" t="b">
        <f>ABS(E249-E252)&lt;0.006</f>
        <v>1</v>
      </c>
      <c r="F253" s="99" t="b">
        <f>ABS(F249-F252)&lt;0.006</f>
        <v>1</v>
      </c>
      <c r="G253" s="99" t="b">
        <f>ABS(G249-G252)&lt;0.006</f>
        <v>1</v>
      </c>
      <c r="H253" s="99" t="b">
        <f>ABS(H249-H252)&lt;0.006</f>
        <v>1</v>
      </c>
      <c r="I253" s="99" t="b">
        <f>ABS(I249-I252)&lt;0.006</f>
        <v>1</v>
      </c>
      <c r="J253" s="97"/>
      <c r="K253" s="89"/>
      <c r="L253" s="89"/>
    </row>
    <row r="254" ht="23.25">
      <c r="A254" s="89"/>
      <c r="B254" s="190" t="s">
        <v>357</v>
      </c>
      <c r="C254" s="178">
        <f>Inputs!C102</f>
        <v>1.58</v>
      </c>
      <c r="D254" s="178">
        <f>Inputs!D102</f>
        <v>1.93</v>
      </c>
      <c r="E254" s="178">
        <f>Inputs!E102</f>
        <v>1.88</v>
      </c>
      <c r="F254" s="178">
        <f>Inputs!F102</f>
        <v>2.02</v>
      </c>
      <c r="G254" s="166" t="s">
        <v>51</v>
      </c>
      <c r="H254" s="178">
        <f>Inputs!H102</f>
        <v>2.24</v>
      </c>
      <c r="I254" s="178">
        <f>Inputs!I102</f>
        <v>2.45</v>
      </c>
      <c r="J254" s="158" t="s">
        <v>51</v>
      </c>
      <c r="K254" s="89"/>
      <c r="L254" s="89"/>
    </row>
    <row r="255" ht="23.24853515625">
      <c r="A255" s="89"/>
      <c r="B255" s="187" t="s">
        <v>358</v>
      </c>
      <c r="C255" s="99" t="b">
        <f>ABS(C252-C254)&lt;0.006</f>
        <v>1</v>
      </c>
      <c r="D255" s="99" t="b">
        <f>ABS(D252-D254)&lt;0.006</f>
        <v>1</v>
      </c>
      <c r="E255" s="99" t="b">
        <f>ABS(E252-E254)&lt;0.006</f>
        <v>1</v>
      </c>
      <c r="F255" s="99" t="b">
        <f>ABS(F252-F254)&lt;0.006</f>
        <v>1</v>
      </c>
      <c r="G255" s="89"/>
      <c r="H255" s="99" t="b">
        <f>ABS(H252-H254)&lt;0.006</f>
        <v>1</v>
      </c>
      <c r="I255" s="99" t="b">
        <f>ABS(I252-I254)&lt;0.006</f>
        <v>1</v>
      </c>
      <c r="J255" s="97"/>
      <c r="K255" s="89"/>
      <c r="L255" s="89"/>
    </row>
    <row r="256">
      <c r="A256" s="89"/>
      <c r="B256" s="89"/>
      <c r="C256" s="89"/>
      <c r="D256" s="89"/>
      <c r="E256" s="89"/>
      <c r="F256" s="89"/>
      <c r="G256" s="89"/>
      <c r="H256" s="89"/>
      <c r="I256" s="89"/>
      <c r="J256" s="97"/>
      <c r="K256" s="89"/>
      <c r="L256" s="89"/>
    </row>
    <row r="257">
      <c r="A257" s="89"/>
      <c r="B257" s="104" t="s">
        <v>359</v>
      </c>
      <c r="C257" s="89"/>
      <c r="D257" s="89"/>
      <c r="E257" s="89"/>
      <c r="F257" s="89"/>
      <c r="G257" s="89"/>
      <c r="H257" s="89"/>
      <c r="I257" s="89"/>
      <c r="J257" s="97"/>
      <c r="K257" s="89"/>
      <c r="L257" s="89"/>
    </row>
    <row r="258" ht="23.25">
      <c r="A258" s="89"/>
      <c r="B258" s="187" t="s">
        <v>360</v>
      </c>
      <c r="C258" s="86">
        <v>32</v>
      </c>
      <c r="D258" s="86">
        <v>34</v>
      </c>
      <c r="E258" s="86">
        <v>50</v>
      </c>
      <c r="F258" s="86">
        <v>98</v>
      </c>
      <c r="G258" s="95">
        <f>SUM(C258:F258)</f>
        <v>214</v>
      </c>
      <c r="H258" s="86">
        <v>18</v>
      </c>
      <c r="I258" s="86">
        <v>6</v>
      </c>
      <c r="J258" s="136">
        <v>10</v>
      </c>
      <c r="K258" s="89"/>
      <c r="L258" s="94" t="s">
        <v>361</v>
      </c>
    </row>
    <row r="259" ht="23.25">
      <c r="A259" s="89"/>
      <c r="B259" s="187" t="s">
        <v>362</v>
      </c>
      <c r="C259" s="86">
        <v>2</v>
      </c>
      <c r="D259" s="86">
        <v>-16</v>
      </c>
      <c r="E259" s="86">
        <v>3</v>
      </c>
      <c r="F259" s="86">
        <v>3</v>
      </c>
      <c r="G259" s="95">
        <f>SUM(C259:F259)</f>
        <v>-8</v>
      </c>
      <c r="H259" s="86">
        <v>3</v>
      </c>
      <c r="I259" s="86">
        <v>2</v>
      </c>
      <c r="J259" s="136">
        <v>0</v>
      </c>
      <c r="K259" s="89"/>
      <c r="L259" s="89"/>
    </row>
    <row r="260" ht="23.25">
      <c r="A260" s="89"/>
      <c r="B260" s="187" t="s">
        <v>363</v>
      </c>
      <c r="C260" s="86">
        <v>6</v>
      </c>
      <c r="D260" s="86">
        <v>-6</v>
      </c>
      <c r="E260" s="86">
        <v>-14</v>
      </c>
      <c r="F260" s="86">
        <v>-50</v>
      </c>
      <c r="G260" s="95">
        <f>SUM(C260:F260)</f>
        <v>-64</v>
      </c>
      <c r="H260" s="86">
        <v>-7</v>
      </c>
      <c r="I260" s="86">
        <v>0</v>
      </c>
      <c r="J260" s="136">
        <v>0</v>
      </c>
      <c r="K260" s="89"/>
      <c r="L260" s="89"/>
    </row>
    <row r="261" ht="23.25">
      <c r="A261" s="89"/>
      <c r="B261" s="187" t="s">
        <v>364</v>
      </c>
      <c r="C261" s="86">
        <v>40</v>
      </c>
      <c r="D261" s="86">
        <v>0</v>
      </c>
      <c r="E261" s="86">
        <v>12</v>
      </c>
      <c r="F261" s="86">
        <v>0</v>
      </c>
      <c r="G261" s="95">
        <f>SUM(C261:F261)</f>
        <v>52</v>
      </c>
      <c r="H261" s="86">
        <v>0</v>
      </c>
      <c r="I261" s="86">
        <v>0</v>
      </c>
      <c r="J261" s="136">
        <v>0</v>
      </c>
      <c r="K261" s="89"/>
      <c r="L261" s="89"/>
    </row>
    <row r="262" ht="23.25">
      <c r="A262" s="89"/>
      <c r="B262" s="186" t="s">
        <v>365</v>
      </c>
      <c r="C262" s="90">
        <f>C163-C261</f>
        <v>4752</v>
      </c>
      <c r="D262" s="90">
        <f>D163-D261</f>
        <v>5028</v>
      </c>
      <c r="E262" s="90">
        <f>E163-E261</f>
        <v>5069</v>
      </c>
      <c r="F262" s="90">
        <f>F163-F261</f>
        <v>5179</v>
      </c>
      <c r="G262" s="90">
        <f>G163-G261</f>
        <v>20028</v>
      </c>
      <c r="H262" s="90">
        <f>H163-H261</f>
        <v>5409</v>
      </c>
      <c r="I262" s="90">
        <f>I163-I261</f>
        <v>5698</v>
      </c>
      <c r="J262" s="135">
        <f>J163-J261</f>
        <v>5576.653724673817</v>
      </c>
      <c r="K262" s="89"/>
      <c r="L262" s="89"/>
    </row>
    <row r="263" ht="23.25">
      <c r="A263" s="89"/>
      <c r="B263" s="186" t="s">
        <v>366</v>
      </c>
      <c r="C263" s="90">
        <f>C209-C258-C259-C260</f>
        <v>3212</v>
      </c>
      <c r="D263" s="90">
        <f>D209-D258-D259-D260</f>
        <v>3194</v>
      </c>
      <c r="E263" s="90">
        <f>E209-E258-E259-E260</f>
        <v>3197</v>
      </c>
      <c r="F263" s="90">
        <f>F209-F258-F259-F260</f>
        <v>3309</v>
      </c>
      <c r="G263" s="90">
        <f>G209-G258-G259-G260</f>
        <v>12912</v>
      </c>
      <c r="H263" s="90">
        <f>H209-H258-H259-H260</f>
        <v>3386</v>
      </c>
      <c r="I263" s="90">
        <f>I209-I258-I259-I260</f>
        <v>3431</v>
      </c>
      <c r="J263" s="135">
        <f>J209-J258-J259-J260</f>
        <v>3450</v>
      </c>
      <c r="K263" s="89"/>
      <c r="L263" s="89"/>
    </row>
    <row r="264">
      <c r="A264" s="89"/>
      <c r="B264" s="87" t="s">
        <v>93</v>
      </c>
      <c r="C264" s="92" t="s">
        <v>51</v>
      </c>
      <c r="D264" s="92" t="s">
        <v>51</v>
      </c>
      <c r="E264" s="92" t="s">
        <v>51</v>
      </c>
      <c r="F264" s="92" t="s">
        <v>51</v>
      </c>
      <c r="G264" s="92" t="s">
        <v>51</v>
      </c>
      <c r="H264" s="92">
        <f>IF(C263&lt;=0,"n.m.",H263/C263-1)</f>
        <v>0.05417185554171855</v>
      </c>
      <c r="I264" s="92">
        <f>IF(D263&lt;=0,"n.m.",I263/D263-1)</f>
        <v>0.07420162805259856</v>
      </c>
      <c r="J264" s="91">
        <f>IF(E263&lt;=0,"n.m.",J263/E263-1)</f>
        <v>0.07913669064748197</v>
      </c>
      <c r="K264" s="89"/>
      <c r="L264" s="89"/>
    </row>
    <row r="265" ht="23.24853515625">
      <c r="A265" s="89"/>
      <c r="B265" s="196" t="s">
        <v>367</v>
      </c>
      <c r="C265" s="89"/>
      <c r="D265" s="89"/>
      <c r="E265" s="89"/>
      <c r="F265" s="89"/>
      <c r="G265" s="142">
        <v>20028</v>
      </c>
      <c r="H265" s="89"/>
      <c r="I265" s="89"/>
      <c r="J265" s="97"/>
      <c r="K265" s="89"/>
      <c r="L265" s="89"/>
    </row>
    <row r="266" ht="23.25">
      <c r="A266" s="89"/>
      <c r="B266" s="190" t="s">
        <v>368</v>
      </c>
      <c r="C266" s="89"/>
      <c r="D266" s="89"/>
      <c r="E266" s="89"/>
      <c r="F266" s="89"/>
      <c r="G266" s="142">
        <v>12912</v>
      </c>
      <c r="H266" s="89"/>
      <c r="I266" s="89"/>
      <c r="J266" s="97"/>
      <c r="K266" s="89"/>
      <c r="L266" s="89"/>
    </row>
    <row r="267" ht="23.24853515625">
      <c r="A267" s="89"/>
      <c r="B267" s="187" t="s">
        <v>369</v>
      </c>
      <c r="C267" s="89"/>
      <c r="D267" s="89"/>
      <c r="E267" s="89"/>
      <c r="F267" s="89"/>
      <c r="G267" s="99" t="b">
        <f>AND(ABS(G262-G265)&lt;0.5,ABS(G263-G266)&lt;0.5)</f>
        <v>1</v>
      </c>
      <c r="H267" s="89"/>
      <c r="I267" s="89"/>
      <c r="J267" s="97"/>
      <c r="K267" s="89"/>
      <c r="L267" s="89"/>
    </row>
    <row r="268">
      <c r="A268" s="89"/>
      <c r="B268" s="104" t="s">
        <v>370</v>
      </c>
      <c r="C268" s="90">
        <f>C262-C176-C263</f>
        <v>1522</v>
      </c>
      <c r="D268" s="90">
        <f>D262-D176-D263</f>
        <v>1851</v>
      </c>
      <c r="E268" s="90">
        <f>E262-E176-E263</f>
        <v>1879</v>
      </c>
      <c r="F268" s="90">
        <f>F262-F176-F263</f>
        <v>1896</v>
      </c>
      <c r="G268" s="90">
        <f>G262-G176-G263</f>
        <v>7148</v>
      </c>
      <c r="H268" s="90">
        <f>H262-H176-H263</f>
        <v>2030</v>
      </c>
      <c r="I268" s="90">
        <f>I262-I176-I263</f>
        <v>2275</v>
      </c>
      <c r="J268" s="135">
        <f>J262-J176-J263</f>
        <v>2131.653724673817</v>
      </c>
      <c r="K268" s="89"/>
      <c r="L268" s="89"/>
    </row>
    <row r="269">
      <c r="A269" s="89"/>
      <c r="B269" s="87" t="s">
        <v>371</v>
      </c>
      <c r="C269" s="92">
        <f>C268/C262</f>
        <v>0.3202861952861953</v>
      </c>
      <c r="D269" s="92">
        <f>D268/D262</f>
        <v>0.3681384248210024</v>
      </c>
      <c r="E269" s="92">
        <f>E268/E262</f>
        <v>0.370684553166305</v>
      </c>
      <c r="F269" s="92">
        <f>F268/F262</f>
        <v>0.3660938405097509</v>
      </c>
      <c r="G269" s="92">
        <f>G268/G262</f>
        <v>0.3569003395246655</v>
      </c>
      <c r="H269" s="92">
        <f>H268/H262</f>
        <v>0.37530042521723056</v>
      </c>
      <c r="I269" s="92">
        <f>I268/I262</f>
        <v>0.39926289926289926</v>
      </c>
      <c r="J269" s="91">
        <f>J268/J262</f>
        <v>0.3822460260070208</v>
      </c>
      <c r="K269" s="89"/>
      <c r="L269" s="89"/>
    </row>
    <row r="270">
      <c r="A270" s="89"/>
      <c r="B270" s="88" t="s">
        <v>108</v>
      </c>
      <c r="C270" s="103" t="s">
        <v>51</v>
      </c>
      <c r="D270" s="103">
        <f>(D269-C269)*10000</f>
        <v>478.5222953480711</v>
      </c>
      <c r="E270" s="103">
        <f>(E269-D269)*10000</f>
        <v>25.461283453026006</v>
      </c>
      <c r="F270" s="103">
        <f>(F269-E269)*10000</f>
        <v>-45.90712656554086</v>
      </c>
      <c r="G270" s="103" t="s">
        <v>51</v>
      </c>
      <c r="H270" s="103">
        <f>(H269-F269)*10000</f>
        <v>92.06584707479648</v>
      </c>
      <c r="I270" s="103">
        <f>(I269-H269)*10000</f>
        <v>239.62474045668702</v>
      </c>
      <c r="J270" s="128">
        <f>(J269-I269)*10000</f>
        <v>-170.16873255878474</v>
      </c>
      <c r="K270" s="89"/>
      <c r="L270" s="89"/>
    </row>
    <row r="271">
      <c r="A271" s="89"/>
      <c r="B271" s="88" t="s">
        <v>109</v>
      </c>
      <c r="C271" s="103" t="s">
        <v>51</v>
      </c>
      <c r="D271" s="103" t="s">
        <v>51</v>
      </c>
      <c r="E271" s="103" t="s">
        <v>51</v>
      </c>
      <c r="F271" s="103" t="s">
        <v>51</v>
      </c>
      <c r="G271" s="103" t="s">
        <v>51</v>
      </c>
      <c r="H271" s="103">
        <f>(H269-C269)*10000</f>
        <v>550.1422993103528</v>
      </c>
      <c r="I271" s="103">
        <f>(I269-D269)*10000</f>
        <v>311.24474441896865</v>
      </c>
      <c r="J271" s="128">
        <f>(J269-E269)*10000</f>
        <v>115.61472840715791</v>
      </c>
      <c r="K271" s="89"/>
      <c r="L271" s="89"/>
    </row>
    <row r="272" ht="23.25">
      <c r="A272" s="89"/>
      <c r="B272" s="190" t="s">
        <v>372</v>
      </c>
      <c r="C272" s="89"/>
      <c r="D272" s="89"/>
      <c r="E272" s="89"/>
      <c r="F272" s="89"/>
      <c r="G272" s="89"/>
      <c r="H272" s="89"/>
      <c r="I272" s="89"/>
      <c r="J272" s="148">
        <v>0.23</v>
      </c>
      <c r="K272" s="89"/>
      <c r="L272" s="94" t="s">
        <v>373</v>
      </c>
    </row>
    <row r="273">
      <c r="A273" s="89"/>
      <c r="B273" s="88" t="s">
        <v>374</v>
      </c>
      <c r="C273" s="95">
        <f>C236</f>
        <v>1149</v>
      </c>
      <c r="D273" s="95">
        <f>D236</f>
        <v>1391</v>
      </c>
      <c r="E273" s="95">
        <f>E236</f>
        <v>1339</v>
      </c>
      <c r="F273" s="95">
        <f>F236</f>
        <v>1427</v>
      </c>
      <c r="G273" s="95">
        <f>G236</f>
        <v>5306</v>
      </c>
      <c r="H273" s="95">
        <f>H236</f>
        <v>1562</v>
      </c>
      <c r="I273" s="95">
        <f>I236</f>
        <v>1696</v>
      </c>
      <c r="J273" s="121">
        <f>J236</f>
        <v>1573.3914620355774</v>
      </c>
      <c r="K273" s="89"/>
      <c r="L273" s="89"/>
    </row>
    <row r="274">
      <c r="A274" s="89"/>
      <c r="B274" s="88" t="s">
        <v>375</v>
      </c>
      <c r="C274" s="86">
        <v>25</v>
      </c>
      <c r="D274" s="86">
        <v>27</v>
      </c>
      <c r="E274" s="86">
        <v>39</v>
      </c>
      <c r="F274" s="86">
        <v>74</v>
      </c>
      <c r="G274" s="95">
        <f>SUM(C274:F274)</f>
        <v>165</v>
      </c>
      <c r="H274" s="86">
        <v>14</v>
      </c>
      <c r="I274" s="86">
        <v>5</v>
      </c>
      <c r="J274" s="121">
        <f>J258*(1-J272)</f>
        <v>7.7</v>
      </c>
      <c r="K274" s="89"/>
      <c r="L274" s="89"/>
    </row>
    <row r="275">
      <c r="A275" s="89"/>
      <c r="B275" s="88" t="s">
        <v>376</v>
      </c>
      <c r="C275" s="86">
        <v>1</v>
      </c>
      <c r="D275" s="86">
        <v>-16</v>
      </c>
      <c r="E275" s="86">
        <v>2</v>
      </c>
      <c r="F275" s="86">
        <v>6</v>
      </c>
      <c r="G275" s="95">
        <f>SUM(C275:F275)</f>
        <v>-7</v>
      </c>
      <c r="H275" s="86">
        <v>3</v>
      </c>
      <c r="I275" s="86">
        <v>2</v>
      </c>
      <c r="J275" s="121">
        <f>J259*(1-J272)</f>
        <v>0</v>
      </c>
      <c r="K275" s="89"/>
      <c r="L275" s="181" t="s">
        <v>377</v>
      </c>
    </row>
    <row r="276" ht="23.25">
      <c r="A276" s="89"/>
      <c r="B276" s="187" t="s">
        <v>378</v>
      </c>
      <c r="C276" s="86">
        <v>5</v>
      </c>
      <c r="D276" s="86">
        <v>-5</v>
      </c>
      <c r="E276" s="86">
        <v>-11</v>
      </c>
      <c r="F276" s="86">
        <v>-37</v>
      </c>
      <c r="G276" s="95">
        <f>SUM(C276:F276)</f>
        <v>-48</v>
      </c>
      <c r="H276" s="86">
        <v>-6</v>
      </c>
      <c r="I276" s="86">
        <v>0</v>
      </c>
      <c r="J276" s="121">
        <f>J260*(1-J272)</f>
        <v>0</v>
      </c>
      <c r="K276" s="89"/>
      <c r="L276" s="89"/>
    </row>
    <row r="277">
      <c r="A277" s="89"/>
      <c r="B277" s="88" t="s">
        <v>379</v>
      </c>
      <c r="C277" s="86">
        <v>-32</v>
      </c>
      <c r="D277" s="86">
        <v>0</v>
      </c>
      <c r="E277" s="86">
        <v>-9</v>
      </c>
      <c r="F277" s="86">
        <v>0</v>
      </c>
      <c r="G277" s="95">
        <f>SUM(C277:F277)</f>
        <v>-41</v>
      </c>
      <c r="H277" s="86">
        <v>0</v>
      </c>
      <c r="I277" s="86">
        <v>0</v>
      </c>
      <c r="J277" s="121">
        <f>-J261*(1-J272)</f>
        <v>0</v>
      </c>
      <c r="K277" s="89"/>
      <c r="L277" s="89"/>
    </row>
    <row r="278" ht="23.24853515625">
      <c r="A278" s="89"/>
      <c r="B278" s="186" t="s">
        <v>380</v>
      </c>
      <c r="C278" s="90">
        <f>C273+C274+C275+C276+C277</f>
        <v>1148</v>
      </c>
      <c r="D278" s="90">
        <f>D273+D274+D275+D276+D277</f>
        <v>1397</v>
      </c>
      <c r="E278" s="90">
        <f>E273+E274+E275+E276+E277</f>
        <v>1360</v>
      </c>
      <c r="F278" s="90">
        <f>F273+F274+F275+F276+F277</f>
        <v>1470</v>
      </c>
      <c r="G278" s="90">
        <f>G273+G274+G275+G276+G277</f>
        <v>5375</v>
      </c>
      <c r="H278" s="90">
        <f>H273+H274+H275+H276+H277</f>
        <v>1573</v>
      </c>
      <c r="I278" s="90">
        <f>I273+I274+I275+I276+I277</f>
        <v>1703</v>
      </c>
      <c r="J278" s="135">
        <f>J273+J274+J275+J276+J277</f>
        <v>1581.0914620355775</v>
      </c>
      <c r="K278" s="89"/>
      <c r="L278" s="89"/>
    </row>
    <row r="279">
      <c r="A279" s="89"/>
      <c r="B279" s="87" t="s">
        <v>93</v>
      </c>
      <c r="C279" s="92" t="s">
        <v>51</v>
      </c>
      <c r="D279" s="92" t="s">
        <v>51</v>
      </c>
      <c r="E279" s="92" t="s">
        <v>51</v>
      </c>
      <c r="F279" s="92" t="s">
        <v>51</v>
      </c>
      <c r="G279" s="92" t="s">
        <v>51</v>
      </c>
      <c r="H279" s="92">
        <f>IF(C278&lt;=0,"n.m.",H278/C278-1)</f>
        <v>0.3702090592334495</v>
      </c>
      <c r="I279" s="92">
        <f>IF(D278&lt;=0,"n.m.",I278/D278-1)</f>
        <v>0.21904080171796703</v>
      </c>
      <c r="J279" s="91">
        <f>IF(E278&lt;=0,"n.m.",J278/E278-1)</f>
        <v>0.16256725149674822</v>
      </c>
      <c r="K279" s="89"/>
      <c r="L279" s="89"/>
    </row>
    <row r="280">
      <c r="A280" s="89"/>
      <c r="B280" s="87" t="s">
        <v>64</v>
      </c>
      <c r="C280" s="92" t="s">
        <v>51</v>
      </c>
      <c r="D280" s="92">
        <f>IF(C278&lt;=0,"n.m.",D278/C278-1)</f>
        <v>0.2168989547038327</v>
      </c>
      <c r="E280" s="92">
        <f>IF(D278&lt;=0,"n.m.",E278/D278-1)</f>
        <v>-0.026485325697924167</v>
      </c>
      <c r="F280" s="92">
        <f>IF(E278&lt;=0,"n.m.",F278/E278-1)</f>
        <v>0.0808823529411764</v>
      </c>
      <c r="G280" s="92" t="s">
        <v>51</v>
      </c>
      <c r="H280" s="92">
        <f>IF(F278&lt;=0,"n.m.",H278/F278-1)</f>
        <v>0.07006802721088445</v>
      </c>
      <c r="I280" s="92">
        <f>IF(H278&lt;=0,"n.m.",I278/H278-1)</f>
        <v>0.0826446280991735</v>
      </c>
      <c r="J280" s="91">
        <f>IF(I278&lt;=0,"n.m.",J278/I278-1)</f>
        <v>-0.07158457895738257</v>
      </c>
      <c r="K280" s="89"/>
      <c r="L280" s="89"/>
    </row>
    <row r="281" ht="23.24853515625">
      <c r="A281" s="89"/>
      <c r="B281" s="186" t="s">
        <v>381</v>
      </c>
      <c r="C281" s="116">
        <f>C278/C247</f>
        <v>1.5782281502011277</v>
      </c>
      <c r="D281" s="116">
        <f>D278/D247</f>
        <v>1.940258914149446</v>
      </c>
      <c r="E281" s="116">
        <f>E278/E247</f>
        <v>1.9078240425108086</v>
      </c>
      <c r="F281" s="116">
        <f>F278/F247</f>
        <v>2.0846924015089203</v>
      </c>
      <c r="G281" s="116">
        <f>G278/G247</f>
        <v>7.499462829174097</v>
      </c>
      <c r="H281" s="116">
        <f>H278/H247</f>
        <v>2.2530522914386877</v>
      </c>
      <c r="I281" s="116">
        <f>I278/I247</f>
        <v>2.460189852114131</v>
      </c>
      <c r="J281" s="162">
        <f>J278/J247</f>
        <v>2.3067366233279856</v>
      </c>
      <c r="K281" s="89"/>
      <c r="L281" s="89"/>
    </row>
    <row r="282">
      <c r="A282" s="89"/>
      <c r="B282" s="87" t="s">
        <v>93</v>
      </c>
      <c r="C282" s="92" t="s">
        <v>51</v>
      </c>
      <c r="D282" s="92" t="s">
        <v>51</v>
      </c>
      <c r="E282" s="92" t="s">
        <v>51</v>
      </c>
      <c r="F282" s="92" t="s">
        <v>51</v>
      </c>
      <c r="G282" s="92" t="s">
        <v>51</v>
      </c>
      <c r="H282" s="92">
        <f>IF(C281&lt;=0,"n.m.",H281/C281-1)</f>
        <v>0.4275833891009744</v>
      </c>
      <c r="I282" s="92">
        <f>IF(D281&lt;=0,"n.m.",I281/D281-1)</f>
        <v>0.2679698746250099</v>
      </c>
      <c r="J282" s="91">
        <f>IF(E281&lt;=0,"n.m.",J281/E281-1)</f>
        <v>0.20909296241606468</v>
      </c>
      <c r="K282" s="89"/>
      <c r="L282" s="89"/>
    </row>
    <row r="283">
      <c r="A283" s="89"/>
      <c r="B283" s="87" t="s">
        <v>64</v>
      </c>
      <c r="C283" s="92" t="s">
        <v>51</v>
      </c>
      <c r="D283" s="92">
        <f>IF(C281&lt;=0,"n.m.",D281/C281-1)</f>
        <v>0.22939063905442403</v>
      </c>
      <c r="E283" s="92">
        <f>IF(D281&lt;=0,"n.m.",E281/D281-1)</f>
        <v>-0.016716774963436154</v>
      </c>
      <c r="F283" s="92">
        <f>IF(E281&lt;=0,"n.m.",F281/E281-1)</f>
        <v>0.09270685087149988</v>
      </c>
      <c r="G283" s="92" t="s">
        <v>51</v>
      </c>
      <c r="H283" s="92">
        <f>IF(F281&lt;=0,"n.m.",H281/F281-1)</f>
        <v>0.08076006311909945</v>
      </c>
      <c r="I283" s="92">
        <f>IF(H281&lt;=0,"n.m.",I281/H281-1)</f>
        <v>0.09193641952410059</v>
      </c>
      <c r="J283" s="91">
        <f>IF(I281&lt;=0,"n.m.",J281/I281-1)</f>
        <v>-0.06237454749855076</v>
      </c>
      <c r="K283" s="89"/>
      <c r="L283" s="89"/>
    </row>
    <row r="284" ht="23.25">
      <c r="A284" s="89"/>
      <c r="B284" s="190" t="s">
        <v>382</v>
      </c>
      <c r="C284" s="166">
        <f>C281-C249</f>
        <v>-0.0013747631970393304</v>
      </c>
      <c r="D284" s="166">
        <f>D281-D249</f>
        <v>0.008333252315602557</v>
      </c>
      <c r="E284" s="166">
        <f>E281-E249</f>
        <v>0.02945904771524055</v>
      </c>
      <c r="F284" s="166">
        <f>F281-F249</f>
        <v>0.060980798139376624</v>
      </c>
      <c r="G284" s="166">
        <f>G281-G249</f>
        <v>0.09627217399311849</v>
      </c>
      <c r="H284" s="166">
        <f>H281-H249</f>
        <v>0.01575561042964102</v>
      </c>
      <c r="I284" s="166">
        <f>I281-I249</f>
        <v>0.0101123481883727</v>
      </c>
      <c r="J284" s="158">
        <f>J281-J249</f>
        <v>0.011233930753606014</v>
      </c>
      <c r="K284" s="89"/>
      <c r="L284" s="193" t="s">
        <v>383</v>
      </c>
    </row>
    <row r="285">
      <c r="A285" s="89"/>
      <c r="B285" s="87" t="s">
        <v>384</v>
      </c>
      <c r="C285" s="176">
        <v>1.58</v>
      </c>
      <c r="D285" s="176">
        <v>1.94</v>
      </c>
      <c r="E285" s="176">
        <v>1.91</v>
      </c>
      <c r="F285" s="176">
        <v>2.08</v>
      </c>
      <c r="G285" s="176">
        <v>7.5</v>
      </c>
      <c r="H285" s="176">
        <v>2.25</v>
      </c>
      <c r="I285" s="176">
        <v>2.46</v>
      </c>
      <c r="J285" s="158" t="s">
        <v>51</v>
      </c>
      <c r="K285" s="89"/>
      <c r="L285" s="89"/>
    </row>
    <row r="286" ht="23.24853515625">
      <c r="A286" s="89"/>
      <c r="B286" s="187" t="s">
        <v>385</v>
      </c>
      <c r="C286" s="99" t="b">
        <f>ABS(C281-C285)&lt;0.006</f>
        <v>1</v>
      </c>
      <c r="D286" s="99" t="b">
        <f>ABS(D281-D285)&lt;0.006</f>
        <v>1</v>
      </c>
      <c r="E286" s="99" t="b">
        <f>ABS(E281-E285)&lt;0.006</f>
        <v>1</v>
      </c>
      <c r="F286" s="99" t="b">
        <f>ABS(F281-F285)&lt;0.006</f>
        <v>1</v>
      </c>
      <c r="G286" s="99" t="b">
        <f>ABS(G281-G285)&lt;0.006</f>
        <v>1</v>
      </c>
      <c r="H286" s="99" t="b">
        <f>ABS(H281-H285)&lt;0.006</f>
        <v>1</v>
      </c>
      <c r="I286" s="99" t="b">
        <f>ABS(I281-I285)&lt;0.006</f>
        <v>1</v>
      </c>
      <c r="J286" s="97"/>
      <c r="K286" s="89"/>
      <c r="L286" s="89"/>
    </row>
    <row r="287" ht="23.24853515625">
      <c r="A287" s="89"/>
      <c r="B287" s="190" t="s">
        <v>386</v>
      </c>
      <c r="C287" s="178">
        <f>Inputs!C100</f>
        <v>1.58</v>
      </c>
      <c r="D287" s="178">
        <f>Inputs!D100</f>
        <v>1.94</v>
      </c>
      <c r="E287" s="178">
        <f>Inputs!E100</f>
        <v>1.91</v>
      </c>
      <c r="F287" s="178">
        <f>Inputs!F100</f>
        <v>2.08</v>
      </c>
      <c r="G287" s="166" t="s">
        <v>51</v>
      </c>
      <c r="H287" s="178">
        <f>Inputs!H100</f>
        <v>2.25</v>
      </c>
      <c r="I287" s="178">
        <f>Inputs!I100</f>
        <v>2.46</v>
      </c>
      <c r="J287" s="158" t="s">
        <v>51</v>
      </c>
      <c r="K287" s="89"/>
      <c r="L287" s="89"/>
    </row>
    <row r="288" ht="23.24853515625">
      <c r="A288" s="89"/>
      <c r="B288" s="187" t="s">
        <v>387</v>
      </c>
      <c r="C288" s="99" t="b">
        <f>ABS(C285-C287)&lt;0.006</f>
        <v>1</v>
      </c>
      <c r="D288" s="99" t="b">
        <f>ABS(D285-D287)&lt;0.006</f>
        <v>1</v>
      </c>
      <c r="E288" s="99" t="b">
        <f>ABS(E285-E287)&lt;0.006</f>
        <v>1</v>
      </c>
      <c r="F288" s="99" t="b">
        <f>ABS(F285-F287)&lt;0.006</f>
        <v>1</v>
      </c>
      <c r="G288" s="89"/>
      <c r="H288" s="99" t="b">
        <f>ABS(H285-H287)&lt;0.006</f>
        <v>1</v>
      </c>
      <c r="I288" s="99" t="b">
        <f>ABS(I285-I287)&lt;0.006</f>
        <v>1</v>
      </c>
      <c r="J288" s="97"/>
      <c r="K288" s="89"/>
      <c r="L288" s="89"/>
    </row>
    <row r="289" ht="23.24853515625">
      <c r="A289" s="89"/>
      <c r="B289" s="190" t="s">
        <v>388</v>
      </c>
      <c r="C289" s="178">
        <f>Inputs!C99</f>
        <v>1.49</v>
      </c>
      <c r="D289" s="178">
        <f>Inputs!D99</f>
        <v>1.76</v>
      </c>
      <c r="E289" s="178">
        <f>Inputs!E99</f>
        <v>1.77</v>
      </c>
      <c r="F289" s="178">
        <f>Inputs!F99</f>
        <v>1.98</v>
      </c>
      <c r="G289" s="166" t="s">
        <v>51</v>
      </c>
      <c r="H289" s="178">
        <f>Inputs!H99</f>
        <v>1.93</v>
      </c>
      <c r="I289" s="178">
        <f>Inputs!I99</f>
        <v>2.22</v>
      </c>
      <c r="J289" s="180">
        <f>Inputs!C22</f>
        <v>2.26</v>
      </c>
      <c r="K289" s="89"/>
      <c r="L289" s="89"/>
    </row>
    <row r="290" ht="23.25">
      <c r="A290" s="89"/>
      <c r="B290" s="190" t="s">
        <v>389</v>
      </c>
      <c r="C290" s="166">
        <f>C285-C289</f>
        <v>0.09000000000000008</v>
      </c>
      <c r="D290" s="166">
        <f>D285-D289</f>
        <v>0.17999999999999994</v>
      </c>
      <c r="E290" s="166">
        <f>E285-E289</f>
        <v>0.1399999999999999</v>
      </c>
      <c r="F290" s="166">
        <f>F285-F289</f>
        <v>0.10000000000000009</v>
      </c>
      <c r="G290" s="166" t="s">
        <v>51</v>
      </c>
      <c r="H290" s="166">
        <f>H285-H289</f>
        <v>0.32000000000000006</v>
      </c>
      <c r="I290" s="166">
        <f>I285-I289</f>
        <v>0.23999999999999977</v>
      </c>
      <c r="J290" s="158">
        <f>J281-J289</f>
        <v>0.04673662332798578</v>
      </c>
      <c r="K290" s="89"/>
      <c r="L290" s="89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L6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390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391</v>
      </c>
      <c r="C10" s="89"/>
      <c r="D10" s="89"/>
      <c r="E10" s="89"/>
      <c r="F10" s="89"/>
      <c r="G10" s="89"/>
      <c r="H10" s="89"/>
      <c r="I10" s="89"/>
      <c r="J10" s="97"/>
      <c r="K10" s="89"/>
      <c r="L10" s="89"/>
    </row>
    <row r="11">
      <c r="A11" s="89"/>
      <c r="B11" s="88" t="s">
        <v>392</v>
      </c>
      <c r="C11" s="86">
        <v>5354</v>
      </c>
      <c r="D11" s="86">
        <v>5699</v>
      </c>
      <c r="E11" s="86">
        <v>5055</v>
      </c>
      <c r="F11" s="86">
        <v>5111</v>
      </c>
      <c r="G11" s="95">
        <f>F11</f>
        <v>5111</v>
      </c>
      <c r="H11" s="86">
        <v>6390</v>
      </c>
      <c r="I11" s="86">
        <v>7483</v>
      </c>
      <c r="J11" s="121">
        <f>I11</f>
        <v>7483</v>
      </c>
      <c r="K11" s="89"/>
      <c r="L11" s="94" t="s">
        <v>393</v>
      </c>
    </row>
    <row r="12" ht="23.24853515625">
      <c r="A12" s="89"/>
      <c r="B12" s="187" t="s">
        <v>394</v>
      </c>
      <c r="C12" s="86">
        <v>102303</v>
      </c>
      <c r="D12" s="86">
        <v>135602</v>
      </c>
      <c r="E12" s="86">
        <v>106368</v>
      </c>
      <c r="F12" s="86">
        <v>116009</v>
      </c>
      <c r="G12" s="95">
        <f>F12</f>
        <v>116009</v>
      </c>
      <c r="H12" s="86">
        <v>170202</v>
      </c>
      <c r="I12" s="86">
        <v>139400</v>
      </c>
      <c r="J12" s="121">
        <f>J58-(J11+J13+J14+J15+J16+J19+J20+J21+J22+J23+J24)</f>
        <v>139291.34322348912</v>
      </c>
      <c r="K12" s="89"/>
      <c r="L12" s="184" t="s">
        <v>395</v>
      </c>
    </row>
    <row r="13">
      <c r="A13" s="89"/>
      <c r="B13" s="88" t="s">
        <v>95</v>
      </c>
      <c r="C13" s="86">
        <v>11945</v>
      </c>
      <c r="D13" s="86">
        <v>12069</v>
      </c>
      <c r="E13" s="86">
        <v>11027</v>
      </c>
      <c r="F13" s="86">
        <v>10397</v>
      </c>
      <c r="G13" s="95">
        <f>F13</f>
        <v>10397</v>
      </c>
      <c r="H13" s="86">
        <v>13544</v>
      </c>
      <c r="I13" s="86">
        <v>12276</v>
      </c>
      <c r="J13" s="121">
        <f>I13</f>
        <v>12276</v>
      </c>
      <c r="K13" s="89"/>
      <c r="L13" s="89"/>
    </row>
    <row r="14" ht="23.24853515625">
      <c r="A14" s="89"/>
      <c r="B14" s="187" t="s">
        <v>396</v>
      </c>
      <c r="C14" s="86">
        <v>41316</v>
      </c>
      <c r="D14" s="86">
        <v>45547</v>
      </c>
      <c r="E14" s="86">
        <v>41863</v>
      </c>
      <c r="F14" s="86">
        <v>44892</v>
      </c>
      <c r="G14" s="95">
        <f>F14</f>
        <v>44892</v>
      </c>
      <c r="H14" s="86">
        <v>43660</v>
      </c>
      <c r="I14" s="86">
        <v>48937</v>
      </c>
      <c r="J14" s="121">
        <f>I14</f>
        <v>48937</v>
      </c>
      <c r="K14" s="89"/>
      <c r="L14" s="89"/>
    </row>
    <row r="15">
      <c r="A15" s="89"/>
      <c r="B15" s="88" t="s">
        <v>97</v>
      </c>
      <c r="C15" s="86">
        <v>145385</v>
      </c>
      <c r="D15" s="86">
        <v>147068</v>
      </c>
      <c r="E15" s="86">
        <v>149528</v>
      </c>
      <c r="F15" s="86">
        <v>150200</v>
      </c>
      <c r="G15" s="95">
        <f>F15</f>
        <v>150200</v>
      </c>
      <c r="H15" s="86">
        <v>155615</v>
      </c>
      <c r="I15" s="86">
        <v>155656</v>
      </c>
      <c r="J15" s="121">
        <f>I15</f>
        <v>155656</v>
      </c>
      <c r="K15" s="89"/>
      <c r="L15" s="89"/>
    </row>
    <row r="16">
      <c r="A16" s="89"/>
      <c r="B16" s="88" t="s">
        <v>397</v>
      </c>
      <c r="C16" s="86">
        <v>11978</v>
      </c>
      <c r="D16" s="86">
        <v>12610</v>
      </c>
      <c r="E16" s="86">
        <v>13625</v>
      </c>
      <c r="F16" s="86">
        <v>14276</v>
      </c>
      <c r="G16" s="95">
        <f>F16</f>
        <v>14276</v>
      </c>
      <c r="H16" s="86">
        <v>16488</v>
      </c>
      <c r="I16" s="86">
        <v>16836</v>
      </c>
      <c r="J16" s="121">
        <f>I16</f>
        <v>16836</v>
      </c>
      <c r="K16" s="89"/>
      <c r="L16" s="89"/>
    </row>
    <row r="17">
      <c r="A17" s="89"/>
      <c r="B17" s="88" t="s">
        <v>99</v>
      </c>
      <c r="C17" s="86">
        <v>71404</v>
      </c>
      <c r="D17" s="86">
        <v>73096</v>
      </c>
      <c r="E17" s="86">
        <v>75195</v>
      </c>
      <c r="F17" s="86">
        <v>80615</v>
      </c>
      <c r="G17" s="95">
        <f>F17</f>
        <v>80615</v>
      </c>
      <c r="H17" s="86">
        <v>101261</v>
      </c>
      <c r="I17" s="86">
        <v>88741</v>
      </c>
      <c r="J17" s="121">
        <f>I17</f>
        <v>88741</v>
      </c>
      <c r="K17" s="89"/>
      <c r="L17" s="89"/>
    </row>
    <row r="18">
      <c r="A18" s="89"/>
      <c r="B18" s="88" t="s">
        <v>398</v>
      </c>
      <c r="C18" s="86">
        <v>-295</v>
      </c>
      <c r="D18" s="86">
        <v>-275</v>
      </c>
      <c r="E18" s="86">
        <v>-272</v>
      </c>
      <c r="F18" s="86">
        <v>-245</v>
      </c>
      <c r="G18" s="95">
        <f>F18</f>
        <v>-245</v>
      </c>
      <c r="H18" s="86">
        <v>-237</v>
      </c>
      <c r="I18" s="86">
        <v>-222</v>
      </c>
      <c r="J18" s="117">
        <f>I18-'Income Statement'!J176</f>
        <v>-217</v>
      </c>
      <c r="K18" s="89"/>
      <c r="L18" s="89"/>
    </row>
    <row r="19">
      <c r="A19" s="89"/>
      <c r="B19" s="104" t="s">
        <v>399</v>
      </c>
      <c r="C19" s="90">
        <f>C17+C18</f>
        <v>71109</v>
      </c>
      <c r="D19" s="90">
        <f>D17+D18</f>
        <v>72821</v>
      </c>
      <c r="E19" s="90">
        <f>E17+E18</f>
        <v>74923</v>
      </c>
      <c r="F19" s="90">
        <f>F17+F18</f>
        <v>80370</v>
      </c>
      <c r="G19" s="90">
        <f>G17+G18</f>
        <v>80370</v>
      </c>
      <c r="H19" s="90">
        <f>H17+H18</f>
        <v>101024</v>
      </c>
      <c r="I19" s="90">
        <f>I17+I18</f>
        <v>88519</v>
      </c>
      <c r="J19" s="135">
        <f>J17+J18</f>
        <v>88524</v>
      </c>
      <c r="K19" s="89"/>
      <c r="L19" s="89"/>
    </row>
    <row r="20">
      <c r="A20" s="89"/>
      <c r="B20" s="88" t="s">
        <v>400</v>
      </c>
      <c r="C20" s="86">
        <v>3257</v>
      </c>
      <c r="D20" s="86">
        <v>3289</v>
      </c>
      <c r="E20" s="86">
        <v>3549</v>
      </c>
      <c r="F20" s="86">
        <v>3581</v>
      </c>
      <c r="G20" s="95">
        <f>F20</f>
        <v>3581</v>
      </c>
      <c r="H20" s="86">
        <v>3796</v>
      </c>
      <c r="I20" s="86">
        <v>3910</v>
      </c>
      <c r="J20" s="117">
        <f>I20-'Cash Flow Statement'!J33-('Cash Flow Statement'!J15-'Income Statement'!J203)</f>
        <v>4060</v>
      </c>
      <c r="K20" s="89"/>
      <c r="L20" s="89"/>
    </row>
    <row r="21">
      <c r="A21" s="89"/>
      <c r="B21" s="88" t="s">
        <v>401</v>
      </c>
      <c r="C21" s="86">
        <v>1302</v>
      </c>
      <c r="D21" s="86">
        <v>1348</v>
      </c>
      <c r="E21" s="86">
        <v>1426</v>
      </c>
      <c r="F21" s="86">
        <v>1435</v>
      </c>
      <c r="G21" s="95">
        <f>F21</f>
        <v>1435</v>
      </c>
      <c r="H21" s="86">
        <v>1402</v>
      </c>
      <c r="I21" s="86">
        <v>1473</v>
      </c>
      <c r="J21" s="121">
        <f>I21</f>
        <v>1473</v>
      </c>
      <c r="K21" s="89"/>
      <c r="L21" s="89"/>
    </row>
    <row r="22">
      <c r="A22" s="89"/>
      <c r="B22" s="88" t="s">
        <v>402</v>
      </c>
      <c r="C22" s="86">
        <v>16661</v>
      </c>
      <c r="D22" s="86">
        <v>16823</v>
      </c>
      <c r="E22" s="86">
        <v>16773</v>
      </c>
      <c r="F22" s="86">
        <v>16767</v>
      </c>
      <c r="G22" s="95">
        <f>F22</f>
        <v>16767</v>
      </c>
      <c r="H22" s="86">
        <v>16734</v>
      </c>
      <c r="I22" s="86">
        <v>16731</v>
      </c>
      <c r="J22" s="121">
        <f>I22</f>
        <v>16731</v>
      </c>
      <c r="K22" s="89"/>
      <c r="L22" s="89"/>
    </row>
    <row r="23">
      <c r="A23" s="89"/>
      <c r="B23" s="88" t="s">
        <v>403</v>
      </c>
      <c r="C23" s="86">
        <v>2846</v>
      </c>
      <c r="D23" s="86">
        <v>2849</v>
      </c>
      <c r="E23" s="86">
        <v>2834</v>
      </c>
      <c r="F23" s="86">
        <v>2822</v>
      </c>
      <c r="G23" s="95">
        <f>F23</f>
        <v>2822</v>
      </c>
      <c r="H23" s="86">
        <v>2809</v>
      </c>
      <c r="I23" s="86">
        <v>2800</v>
      </c>
      <c r="J23" s="117">
        <f>I23-'Income Statement'!J203</f>
        <v>2790</v>
      </c>
      <c r="K23" s="89"/>
      <c r="L23" s="89"/>
    </row>
    <row r="24">
      <c r="A24" s="89"/>
      <c r="B24" s="88" t="s">
        <v>404</v>
      </c>
      <c r="C24" s="86">
        <v>27235</v>
      </c>
      <c r="D24" s="86">
        <v>30056</v>
      </c>
      <c r="E24" s="86">
        <v>28341</v>
      </c>
      <c r="F24" s="86">
        <v>26440</v>
      </c>
      <c r="G24" s="95">
        <f>F24</f>
        <v>26440</v>
      </c>
      <c r="H24" s="86">
        <v>29853</v>
      </c>
      <c r="I24" s="86">
        <v>30998</v>
      </c>
      <c r="J24" s="121">
        <f>I24</f>
        <v>30998</v>
      </c>
      <c r="K24" s="89"/>
      <c r="L24" s="89"/>
    </row>
    <row r="25">
      <c r="A25" s="89"/>
      <c r="B25" s="104" t="s">
        <v>405</v>
      </c>
      <c r="C25" s="90">
        <f>C11+C12+C13+C14+C15+C16+C19+C20+C21+C22+C23+C24</f>
        <v>440691</v>
      </c>
      <c r="D25" s="90">
        <f>D11+D12+D13+D14+D15+D16+D19+D20+D21+D22+D23+D24</f>
        <v>485781</v>
      </c>
      <c r="E25" s="90">
        <f>E11+E12+E13+E14+E15+E16+E19+E20+E21+E22+E23+E24</f>
        <v>455312</v>
      </c>
      <c r="F25" s="90">
        <f>F11+F12+F13+F14+F15+F16+F19+F20+F21+F22+F23+F24</f>
        <v>472300</v>
      </c>
      <c r="G25" s="90">
        <f>G11+G12+G13+G14+G15+G16+G19+G20+G21+G22+G23+G24</f>
        <v>472300</v>
      </c>
      <c r="H25" s="90">
        <f>H11+H12+H13+H14+H15+H16+H19+H20+H21+H22+H23+H24</f>
        <v>561517</v>
      </c>
      <c r="I25" s="90">
        <f>I11+I12+I13+I14+I15+I16+I19+I20+I21+I22+I23+I24</f>
        <v>525019</v>
      </c>
      <c r="J25" s="135">
        <f>J11+J12+J13+J14+J15+J16+J19+J20+J21+J22+J23+J24</f>
        <v>525055.3432234891</v>
      </c>
      <c r="K25" s="89"/>
      <c r="L25" s="89"/>
    </row>
    <row r="26">
      <c r="A26" s="89"/>
      <c r="B26" s="87" t="s">
        <v>93</v>
      </c>
      <c r="C26" s="92" t="s">
        <v>51</v>
      </c>
      <c r="D26" s="92" t="s">
        <v>51</v>
      </c>
      <c r="E26" s="92" t="s">
        <v>51</v>
      </c>
      <c r="F26" s="92" t="s">
        <v>51</v>
      </c>
      <c r="G26" s="92" t="s">
        <v>51</v>
      </c>
      <c r="H26" s="92">
        <f>IF(C25&lt;=0,"n.m.",H25/C25-1)</f>
        <v>0.27417396770072444</v>
      </c>
      <c r="I26" s="92">
        <f>IF(D25&lt;=0,"n.m.",I25/D25-1)</f>
        <v>0.08077302323474989</v>
      </c>
      <c r="J26" s="91">
        <f>IF(E25&lt;=0,"n.m.",J25/E25-1)</f>
        <v>0.1531770373359127</v>
      </c>
      <c r="K26" s="89"/>
      <c r="L26" s="89"/>
    </row>
    <row r="27">
      <c r="A27" s="89"/>
      <c r="B27" s="88" t="s">
        <v>94</v>
      </c>
      <c r="C27" s="95" t="s">
        <v>51</v>
      </c>
      <c r="D27" s="95">
        <f>D25-C25</f>
        <v>45090</v>
      </c>
      <c r="E27" s="95">
        <f>E25-D25</f>
        <v>-30469</v>
      </c>
      <c r="F27" s="95">
        <f>F25-E25</f>
        <v>16988</v>
      </c>
      <c r="G27" s="95" t="s">
        <v>51</v>
      </c>
      <c r="H27" s="95">
        <f>H25-F25</f>
        <v>89217</v>
      </c>
      <c r="I27" s="95">
        <f>I25-H25</f>
        <v>-36498</v>
      </c>
      <c r="J27" s="121">
        <f>J25-I25</f>
        <v>36.343223489122465</v>
      </c>
      <c r="K27" s="89"/>
      <c r="L27" s="89"/>
    </row>
    <row r="28">
      <c r="A28" s="89"/>
      <c r="B28" s="87" t="s">
        <v>406</v>
      </c>
      <c r="C28" s="142">
        <v>440691</v>
      </c>
      <c r="D28" s="142">
        <v>485781</v>
      </c>
      <c r="E28" s="142">
        <v>455312</v>
      </c>
      <c r="F28" s="142">
        <v>472300</v>
      </c>
      <c r="G28" s="146">
        <f>F28</f>
        <v>472300</v>
      </c>
      <c r="H28" s="142">
        <v>561517</v>
      </c>
      <c r="I28" s="142">
        <v>525019</v>
      </c>
      <c r="J28" s="151" t="s">
        <v>51</v>
      </c>
      <c r="K28" s="89"/>
      <c r="L28" s="89"/>
    </row>
    <row r="29">
      <c r="A29" s="89"/>
      <c r="B29" s="88" t="s">
        <v>407</v>
      </c>
      <c r="C29" s="99" t="b">
        <f>ABS(C25-C28)&lt;0.5</f>
        <v>1</v>
      </c>
      <c r="D29" s="99" t="b">
        <f>ABS(D25-D28)&lt;0.5</f>
        <v>1</v>
      </c>
      <c r="E29" s="99" t="b">
        <f>ABS(E25-E28)&lt;0.5</f>
        <v>1</v>
      </c>
      <c r="F29" s="99" t="b">
        <f>ABS(F25-F28)&lt;0.5</f>
        <v>1</v>
      </c>
      <c r="G29" s="99" t="b">
        <f>ABS(G25-G28)&lt;0.5</f>
        <v>1</v>
      </c>
      <c r="H29" s="99" t="b">
        <f>ABS(H25-H28)&lt;0.5</f>
        <v>1</v>
      </c>
      <c r="I29" s="99" t="b">
        <f>ABS(I25-I28)&lt;0.5</f>
        <v>1</v>
      </c>
      <c r="J29" s="97"/>
      <c r="K29" s="89"/>
      <c r="L29" s="89"/>
    </row>
    <row r="30">
      <c r="A30" s="89"/>
      <c r="B30" s="89"/>
      <c r="C30" s="89"/>
      <c r="D30" s="89"/>
      <c r="E30" s="89"/>
      <c r="F30" s="89"/>
      <c r="G30" s="89"/>
      <c r="H30" s="89"/>
      <c r="I30" s="89"/>
      <c r="J30" s="97"/>
      <c r="K30" s="89"/>
      <c r="L30" s="89"/>
    </row>
    <row r="31">
      <c r="A31" s="89"/>
      <c r="B31" s="104" t="s">
        <v>408</v>
      </c>
      <c r="C31" s="89"/>
      <c r="D31" s="89"/>
      <c r="E31" s="89"/>
      <c r="F31" s="89"/>
      <c r="G31" s="89"/>
      <c r="H31" s="89"/>
      <c r="I31" s="89"/>
      <c r="J31" s="97"/>
      <c r="K31" s="89"/>
      <c r="L31" s="89"/>
    </row>
    <row r="32">
      <c r="A32" s="89"/>
      <c r="B32" s="88" t="s">
        <v>409</v>
      </c>
      <c r="C32" s="86">
        <v>308644</v>
      </c>
      <c r="D32" s="86">
        <v>346393</v>
      </c>
      <c r="E32" s="86">
        <v>314697</v>
      </c>
      <c r="F32" s="86">
        <v>331894</v>
      </c>
      <c r="G32" s="95">
        <f>F32</f>
        <v>331894</v>
      </c>
      <c r="H32" s="86">
        <v>417080</v>
      </c>
      <c r="I32" s="86">
        <v>370541</v>
      </c>
      <c r="J32" s="121">
        <f>I32</f>
        <v>370541</v>
      </c>
      <c r="K32" s="89"/>
      <c r="L32" s="193" t="s">
        <v>410</v>
      </c>
    </row>
    <row r="33">
      <c r="A33" s="89"/>
      <c r="B33" s="87" t="s">
        <v>93</v>
      </c>
      <c r="C33" s="92" t="s">
        <v>51</v>
      </c>
      <c r="D33" s="92" t="s">
        <v>51</v>
      </c>
      <c r="E33" s="92" t="s">
        <v>51</v>
      </c>
      <c r="F33" s="92" t="s">
        <v>51</v>
      </c>
      <c r="G33" s="92" t="s">
        <v>51</v>
      </c>
      <c r="H33" s="92">
        <f>IF(C32&lt;=0,"n.m.",H32/C32-1)</f>
        <v>0.3513303352730006</v>
      </c>
      <c r="I33" s="92">
        <f>IF(D32&lt;=0,"n.m.",I32/D32-1)</f>
        <v>0.06971272514167426</v>
      </c>
      <c r="J33" s="91">
        <f>IF(E32&lt;=0,"n.m.",J32/E32-1)</f>
        <v>0.17745323279217784</v>
      </c>
      <c r="K33" s="89"/>
      <c r="L33" s="89"/>
    </row>
    <row r="34">
      <c r="A34" s="89"/>
      <c r="B34" s="88" t="s">
        <v>94</v>
      </c>
      <c r="C34" s="95" t="s">
        <v>51</v>
      </c>
      <c r="D34" s="95">
        <f>D32-C32</f>
        <v>37749</v>
      </c>
      <c r="E34" s="95">
        <f>E32-D32</f>
        <v>-31696</v>
      </c>
      <c r="F34" s="95">
        <f>F32-E32</f>
        <v>17197</v>
      </c>
      <c r="G34" s="95" t="s">
        <v>51</v>
      </c>
      <c r="H34" s="95">
        <f>H32-F32</f>
        <v>85186</v>
      </c>
      <c r="I34" s="95">
        <f>I32-H32</f>
        <v>-46539</v>
      </c>
      <c r="J34" s="121">
        <f>J32-I32</f>
        <v>0</v>
      </c>
      <c r="K34" s="89"/>
      <c r="L34" s="89"/>
    </row>
    <row r="35" ht="23.24853515625">
      <c r="A35" s="89"/>
      <c r="B35" s="187" t="s">
        <v>411</v>
      </c>
      <c r="C35" s="86">
        <v>15663</v>
      </c>
      <c r="D35" s="86">
        <v>15492</v>
      </c>
      <c r="E35" s="86">
        <v>16585</v>
      </c>
      <c r="F35" s="86">
        <v>18992</v>
      </c>
      <c r="G35" s="95">
        <f>F35</f>
        <v>18992</v>
      </c>
      <c r="H35" s="86">
        <v>19506</v>
      </c>
      <c r="I35" s="86">
        <v>26114</v>
      </c>
      <c r="J35" s="121">
        <f>I35</f>
        <v>26114</v>
      </c>
      <c r="K35" s="89"/>
      <c r="L35" s="89"/>
    </row>
    <row r="36">
      <c r="A36" s="89"/>
      <c r="B36" s="88" t="s">
        <v>412</v>
      </c>
      <c r="C36" s="86">
        <v>4580</v>
      </c>
      <c r="D36" s="86">
        <v>6134</v>
      </c>
      <c r="E36" s="86">
        <v>3499</v>
      </c>
      <c r="F36" s="86">
        <v>6135</v>
      </c>
      <c r="G36" s="95">
        <f>F36</f>
        <v>6135</v>
      </c>
      <c r="H36" s="86">
        <v>4747</v>
      </c>
      <c r="I36" s="86">
        <v>5299</v>
      </c>
      <c r="J36" s="121">
        <f>I36</f>
        <v>5299</v>
      </c>
      <c r="K36" s="89"/>
      <c r="L36" s="89"/>
    </row>
    <row r="37" ht="23.25">
      <c r="A37" s="89"/>
      <c r="B37" s="187" t="s">
        <v>413</v>
      </c>
      <c r="C37" s="86">
        <v>22244</v>
      </c>
      <c r="D37" s="86">
        <v>21273</v>
      </c>
      <c r="E37" s="86">
        <v>23638</v>
      </c>
      <c r="F37" s="86">
        <v>21872</v>
      </c>
      <c r="G37" s="95">
        <f>F37</f>
        <v>21872</v>
      </c>
      <c r="H37" s="86">
        <v>24754</v>
      </c>
      <c r="I37" s="86">
        <v>25734</v>
      </c>
      <c r="J37" s="121">
        <f>I37</f>
        <v>25734</v>
      </c>
      <c r="K37" s="89"/>
      <c r="L37" s="89"/>
    </row>
    <row r="38">
      <c r="A38" s="89"/>
      <c r="B38" s="88" t="s">
        <v>414</v>
      </c>
      <c r="C38" s="86">
        <v>1662</v>
      </c>
      <c r="D38" s="86">
        <v>2361</v>
      </c>
      <c r="E38" s="86">
        <v>2364</v>
      </c>
      <c r="F38" s="86">
        <v>2003</v>
      </c>
      <c r="G38" s="95">
        <f>F38</f>
        <v>2003</v>
      </c>
      <c r="H38" s="86">
        <v>1002</v>
      </c>
      <c r="I38" s="86">
        <v>4816</v>
      </c>
      <c r="J38" s="121">
        <f>I38</f>
        <v>4816</v>
      </c>
      <c r="K38" s="89"/>
      <c r="L38" s="89"/>
    </row>
    <row r="39">
      <c r="A39" s="89"/>
      <c r="B39" s="88" t="s">
        <v>415</v>
      </c>
      <c r="C39" s="86">
        <v>212</v>
      </c>
      <c r="D39" s="86">
        <v>293</v>
      </c>
      <c r="E39" s="86">
        <v>283</v>
      </c>
      <c r="F39" s="86">
        <v>422</v>
      </c>
      <c r="G39" s="95">
        <f>F39</f>
        <v>422</v>
      </c>
      <c r="H39" s="86">
        <v>175</v>
      </c>
      <c r="I39" s="86">
        <v>401</v>
      </c>
      <c r="J39" s="121">
        <f>I39</f>
        <v>401</v>
      </c>
      <c r="K39" s="89"/>
      <c r="L39" s="89"/>
    </row>
    <row r="40">
      <c r="A40" s="89"/>
      <c r="B40" s="88" t="s">
        <v>416</v>
      </c>
      <c r="C40" s="86">
        <v>4438</v>
      </c>
      <c r="D40" s="86">
        <v>4634</v>
      </c>
      <c r="E40" s="86">
        <v>4920</v>
      </c>
      <c r="F40" s="86">
        <v>5544</v>
      </c>
      <c r="G40" s="95">
        <f>F40</f>
        <v>5544</v>
      </c>
      <c r="H40" s="86">
        <v>4449</v>
      </c>
      <c r="I40" s="86">
        <v>4906</v>
      </c>
      <c r="J40" s="121">
        <f>I40</f>
        <v>4906</v>
      </c>
      <c r="K40" s="89"/>
      <c r="L40" s="89"/>
    </row>
    <row r="41">
      <c r="A41" s="89"/>
      <c r="B41" s="88" t="s">
        <v>417</v>
      </c>
      <c r="C41" s="86">
        <v>8756</v>
      </c>
      <c r="D41" s="86">
        <v>11233</v>
      </c>
      <c r="E41" s="86">
        <v>12678</v>
      </c>
      <c r="F41" s="86">
        <v>8757</v>
      </c>
      <c r="G41" s="95">
        <f>F41</f>
        <v>8757</v>
      </c>
      <c r="H41" s="86">
        <v>11903</v>
      </c>
      <c r="I41" s="86">
        <v>11492</v>
      </c>
      <c r="J41" s="121">
        <f>I41</f>
        <v>11492</v>
      </c>
      <c r="K41" s="89"/>
      <c r="L41" s="89"/>
    </row>
    <row r="42">
      <c r="A42" s="89"/>
      <c r="B42" s="88" t="s">
        <v>418</v>
      </c>
      <c r="C42" s="86">
        <v>30869</v>
      </c>
      <c r="D42" s="86">
        <v>33429</v>
      </c>
      <c r="E42" s="86">
        <v>32287</v>
      </c>
      <c r="F42" s="86">
        <v>31873</v>
      </c>
      <c r="G42" s="95">
        <f>F42</f>
        <v>31873</v>
      </c>
      <c r="H42" s="86">
        <v>32582</v>
      </c>
      <c r="I42" s="86">
        <v>30368</v>
      </c>
      <c r="J42" s="121">
        <f>I42</f>
        <v>30368</v>
      </c>
      <c r="K42" s="89"/>
      <c r="L42" s="89"/>
    </row>
    <row r="43">
      <c r="A43" s="89"/>
      <c r="B43" s="104" t="s">
        <v>419</v>
      </c>
      <c r="C43" s="90">
        <f>C32+C35+C36+C37+C38+C39+C40+C41+C42</f>
        <v>397068</v>
      </c>
      <c r="D43" s="90">
        <f>D32+D35+D36+D37+D38+D39+D40+D41+D42</f>
        <v>441242</v>
      </c>
      <c r="E43" s="90">
        <f>E32+E35+E36+E37+E38+E39+E40+E41+E42</f>
        <v>410951</v>
      </c>
      <c r="F43" s="90">
        <f>F32+F35+F36+F37+F38+F39+F40+F41+F42</f>
        <v>427492</v>
      </c>
      <c r="G43" s="90">
        <f>G32+G35+G36+G37+G38+G39+G40+G41+G42</f>
        <v>427492</v>
      </c>
      <c r="H43" s="90">
        <f>H32+H35+H36+H37+H38+H39+H40+H41+H42</f>
        <v>516198</v>
      </c>
      <c r="I43" s="90">
        <f>I32+I35+I36+I37+I38+I39+I40+I41+I42</f>
        <v>479671</v>
      </c>
      <c r="J43" s="135">
        <f>J32+J35+J36+J37+J38+J39+J40+J41+J42</f>
        <v>479671</v>
      </c>
      <c r="K43" s="89"/>
      <c r="L43" s="89"/>
    </row>
    <row r="44">
      <c r="A44" s="89"/>
      <c r="B44" s="87" t="s">
        <v>420</v>
      </c>
      <c r="C44" s="142">
        <v>397068</v>
      </c>
      <c r="D44" s="142">
        <v>441242</v>
      </c>
      <c r="E44" s="142">
        <v>410951</v>
      </c>
      <c r="F44" s="142">
        <v>427492</v>
      </c>
      <c r="G44" s="146">
        <f>F44</f>
        <v>427492</v>
      </c>
      <c r="H44" s="142">
        <v>516198</v>
      </c>
      <c r="I44" s="142">
        <v>479671</v>
      </c>
      <c r="J44" s="151" t="s">
        <v>51</v>
      </c>
      <c r="K44" s="89"/>
      <c r="L44" s="89"/>
    </row>
    <row r="45">
      <c r="A45" s="89"/>
      <c r="B45" s="88" t="s">
        <v>421</v>
      </c>
      <c r="C45" s="99" t="b">
        <f>ABS(C43-C44)&lt;0.5</f>
        <v>1</v>
      </c>
      <c r="D45" s="99" t="b">
        <f>ABS(D43-D44)&lt;0.5</f>
        <v>1</v>
      </c>
      <c r="E45" s="99" t="b">
        <f>ABS(E43-E44)&lt;0.5</f>
        <v>1</v>
      </c>
      <c r="F45" s="99" t="b">
        <f>ABS(F43-F44)&lt;0.5</f>
        <v>1</v>
      </c>
      <c r="G45" s="99" t="b">
        <f>ABS(G43-G44)&lt;0.5</f>
        <v>1</v>
      </c>
      <c r="H45" s="99" t="b">
        <f>ABS(H43-H44)&lt;0.5</f>
        <v>1</v>
      </c>
      <c r="I45" s="99" t="b">
        <f>ABS(I43-I44)&lt;0.5</f>
        <v>1</v>
      </c>
      <c r="J45" s="97"/>
      <c r="K45" s="89"/>
      <c r="L45" s="89"/>
    </row>
    <row r="46" ht="23.24853515625">
      <c r="A46" s="89"/>
      <c r="B46" s="187" t="s">
        <v>422</v>
      </c>
      <c r="C46" s="86">
        <v>94</v>
      </c>
      <c r="D46" s="86">
        <v>111</v>
      </c>
      <c r="E46" s="86">
        <v>111</v>
      </c>
      <c r="F46" s="86">
        <v>87</v>
      </c>
      <c r="G46" s="95">
        <f>F46</f>
        <v>87</v>
      </c>
      <c r="H46" s="86">
        <v>81</v>
      </c>
      <c r="I46" s="86">
        <v>84</v>
      </c>
      <c r="J46" s="121">
        <f>I46</f>
        <v>84</v>
      </c>
      <c r="K46" s="89"/>
      <c r="L46" s="89"/>
    </row>
    <row r="47">
      <c r="A47" s="89"/>
      <c r="B47" s="89"/>
      <c r="C47" s="89"/>
      <c r="D47" s="89"/>
      <c r="E47" s="89"/>
      <c r="F47" s="89"/>
      <c r="G47" s="89"/>
      <c r="H47" s="89"/>
      <c r="I47" s="89"/>
      <c r="J47" s="97"/>
      <c r="K47" s="89"/>
      <c r="L47" s="89"/>
    </row>
    <row r="48">
      <c r="A48" s="89"/>
      <c r="B48" s="104" t="s">
        <v>423</v>
      </c>
      <c r="C48" s="89"/>
      <c r="D48" s="89"/>
      <c r="E48" s="89"/>
      <c r="F48" s="89"/>
      <c r="G48" s="89"/>
      <c r="H48" s="89"/>
      <c r="I48" s="89"/>
      <c r="J48" s="97"/>
      <c r="K48" s="89"/>
      <c r="L48" s="89"/>
    </row>
    <row r="49">
      <c r="A49" s="89"/>
      <c r="B49" s="88" t="s">
        <v>424</v>
      </c>
      <c r="C49" s="86">
        <v>5331</v>
      </c>
      <c r="D49" s="86">
        <v>5331</v>
      </c>
      <c r="E49" s="86">
        <v>4836</v>
      </c>
      <c r="F49" s="86">
        <v>4836</v>
      </c>
      <c r="G49" s="95">
        <f>F49</f>
        <v>4836</v>
      </c>
      <c r="H49" s="86">
        <v>5331</v>
      </c>
      <c r="I49" s="86">
        <v>4754</v>
      </c>
      <c r="J49" s="121">
        <f>I49</f>
        <v>4754</v>
      </c>
      <c r="K49" s="89"/>
      <c r="L49" s="89"/>
    </row>
    <row r="50">
      <c r="A50" s="89"/>
      <c r="B50" s="88" t="s">
        <v>425</v>
      </c>
      <c r="C50" s="86">
        <v>14</v>
      </c>
      <c r="D50" s="86">
        <v>14</v>
      </c>
      <c r="E50" s="86">
        <v>14</v>
      </c>
      <c r="F50" s="86">
        <v>14</v>
      </c>
      <c r="G50" s="95">
        <f>F50</f>
        <v>14</v>
      </c>
      <c r="H50" s="86">
        <v>14</v>
      </c>
      <c r="I50" s="86">
        <v>14</v>
      </c>
      <c r="J50" s="121">
        <f>I50</f>
        <v>14</v>
      </c>
      <c r="K50" s="89"/>
      <c r="L50" s="89"/>
    </row>
    <row r="51">
      <c r="A51" s="89"/>
      <c r="B51" s="88" t="s">
        <v>426</v>
      </c>
      <c r="C51" s="86">
        <v>29535</v>
      </c>
      <c r="D51" s="86">
        <v>29659</v>
      </c>
      <c r="E51" s="86">
        <v>29795</v>
      </c>
      <c r="F51" s="86">
        <v>29907</v>
      </c>
      <c r="G51" s="95">
        <f>F51</f>
        <v>29907</v>
      </c>
      <c r="H51" s="86">
        <v>30142</v>
      </c>
      <c r="I51" s="86">
        <v>30348</v>
      </c>
      <c r="J51" s="121">
        <f>I51</f>
        <v>30348</v>
      </c>
      <c r="K51" s="89"/>
      <c r="L51" s="94" t="s">
        <v>427</v>
      </c>
    </row>
    <row r="52">
      <c r="A52" s="89"/>
      <c r="B52" s="88" t="s">
        <v>428</v>
      </c>
      <c r="C52" s="86">
        <v>43343</v>
      </c>
      <c r="D52" s="86">
        <v>44388</v>
      </c>
      <c r="E52" s="86">
        <v>45346</v>
      </c>
      <c r="F52" s="86">
        <v>46396</v>
      </c>
      <c r="G52" s="95">
        <f>F52</f>
        <v>46396</v>
      </c>
      <c r="H52" s="86">
        <v>47582</v>
      </c>
      <c r="I52" s="86">
        <v>48907</v>
      </c>
      <c r="J52" s="117">
        <f>I52+'Income Statement'!J236-'Share Count'!J52</f>
        <v>50043.34322348914</v>
      </c>
      <c r="K52" s="89"/>
      <c r="L52" s="89"/>
    </row>
    <row r="53" ht="23.25">
      <c r="A53" s="89"/>
      <c r="B53" s="187" t="s">
        <v>429</v>
      </c>
      <c r="C53" s="86">
        <v>-4115</v>
      </c>
      <c r="D53" s="86">
        <v>-3549</v>
      </c>
      <c r="E53" s="86">
        <v>-3362</v>
      </c>
      <c r="F53" s="86">
        <v>-3035</v>
      </c>
      <c r="G53" s="95">
        <f>F53</f>
        <v>-3035</v>
      </c>
      <c r="H53" s="86">
        <v>-3496</v>
      </c>
      <c r="I53" s="86">
        <v>-3455</v>
      </c>
      <c r="J53" s="121">
        <f>I53</f>
        <v>-3455</v>
      </c>
      <c r="K53" s="89"/>
      <c r="L53" s="94" t="s">
        <v>430</v>
      </c>
    </row>
    <row r="54">
      <c r="A54" s="89"/>
      <c r="B54" s="88" t="s">
        <v>431</v>
      </c>
      <c r="C54" s="86">
        <v>-30989</v>
      </c>
      <c r="D54" s="86">
        <v>-31893</v>
      </c>
      <c r="E54" s="86">
        <v>-32750</v>
      </c>
      <c r="F54" s="86">
        <v>-33805</v>
      </c>
      <c r="G54" s="95">
        <f>F54</f>
        <v>-33805</v>
      </c>
      <c r="H54" s="86">
        <v>-34790</v>
      </c>
      <c r="I54" s="86">
        <v>-35904</v>
      </c>
      <c r="J54" s="117">
        <f>I54-'Share Count'!J22</f>
        <v>-37004</v>
      </c>
      <c r="K54" s="89"/>
      <c r="L54" s="201" t="s">
        <v>432</v>
      </c>
    </row>
    <row r="55">
      <c r="A55" s="89"/>
      <c r="B55" s="104" t="s">
        <v>433</v>
      </c>
      <c r="C55" s="90">
        <f>C49+C50+C51+C52+C53+C54</f>
        <v>43119</v>
      </c>
      <c r="D55" s="90">
        <f>D49+D50+D51+D52+D53+D54</f>
        <v>43950</v>
      </c>
      <c r="E55" s="90">
        <f>E49+E50+E51+E52+E53+E54</f>
        <v>43879</v>
      </c>
      <c r="F55" s="90">
        <f>F49+F50+F51+F52+F53+F54</f>
        <v>44313</v>
      </c>
      <c r="G55" s="90">
        <f>G49+G50+G51+G52+G53+G54</f>
        <v>44313</v>
      </c>
      <c r="H55" s="90">
        <f>H49+H50+H51+H52+H53+H54</f>
        <v>44783</v>
      </c>
      <c r="I55" s="90">
        <f>I49+I50+I51+I52+I53+I54</f>
        <v>44664</v>
      </c>
      <c r="J55" s="135">
        <f>J49+J50+J51+J52+J53+J54</f>
        <v>44700.34322348914</v>
      </c>
      <c r="K55" s="89"/>
      <c r="L55" s="89"/>
    </row>
    <row r="56" ht="23.24853515625">
      <c r="A56" s="89"/>
      <c r="B56" s="187" t="s">
        <v>434</v>
      </c>
      <c r="C56" s="86">
        <v>410</v>
      </c>
      <c r="D56" s="86">
        <v>478</v>
      </c>
      <c r="E56" s="86">
        <v>371</v>
      </c>
      <c r="F56" s="86">
        <v>408</v>
      </c>
      <c r="G56" s="95">
        <f>F56</f>
        <v>408</v>
      </c>
      <c r="H56" s="86">
        <v>455</v>
      </c>
      <c r="I56" s="86">
        <v>600</v>
      </c>
      <c r="J56" s="121">
        <f>I56</f>
        <v>600</v>
      </c>
      <c r="K56" s="89"/>
      <c r="L56" s="94" t="s">
        <v>435</v>
      </c>
    </row>
    <row r="57">
      <c r="A57" s="89"/>
      <c r="B57" s="104" t="s">
        <v>436</v>
      </c>
      <c r="C57" s="90">
        <f>C55+C56</f>
        <v>43529</v>
      </c>
      <c r="D57" s="90">
        <f>D55+D56</f>
        <v>44428</v>
      </c>
      <c r="E57" s="90">
        <f>E55+E56</f>
        <v>44250</v>
      </c>
      <c r="F57" s="90">
        <f>F55+F56</f>
        <v>44721</v>
      </c>
      <c r="G57" s="90">
        <f>G55+G56</f>
        <v>44721</v>
      </c>
      <c r="H57" s="90">
        <f>H55+H56</f>
        <v>45238</v>
      </c>
      <c r="I57" s="90">
        <f>I55+I56</f>
        <v>45264</v>
      </c>
      <c r="J57" s="135">
        <f>J55+J56</f>
        <v>45300.34322348914</v>
      </c>
      <c r="K57" s="89"/>
      <c r="L57" s="89"/>
    </row>
    <row r="58" ht="23.24853515625">
      <c r="A58" s="89"/>
      <c r="B58" s="186" t="s">
        <v>437</v>
      </c>
      <c r="C58" s="90">
        <f>C43+C46+C57</f>
        <v>440691</v>
      </c>
      <c r="D58" s="90">
        <f>D43+D46+D57</f>
        <v>485781</v>
      </c>
      <c r="E58" s="90">
        <f>E43+E46+E57</f>
        <v>455312</v>
      </c>
      <c r="F58" s="90">
        <f>F43+F46+F57</f>
        <v>472300</v>
      </c>
      <c r="G58" s="90">
        <f>G43+G46+G57</f>
        <v>472300</v>
      </c>
      <c r="H58" s="90">
        <f>H43+H46+H57</f>
        <v>561517</v>
      </c>
      <c r="I58" s="90">
        <f>I43+I46+I57</f>
        <v>525019</v>
      </c>
      <c r="J58" s="135">
        <f>SUM(J43,J46,J57)</f>
        <v>525055.3432234891</v>
      </c>
      <c r="K58" s="89"/>
      <c r="L58" s="89"/>
    </row>
    <row r="59" ht="23.24853515625">
      <c r="A59" s="89"/>
      <c r="B59" s="187" t="s">
        <v>438</v>
      </c>
      <c r="C59" s="95">
        <f>C25-C43-C46-C57</f>
        <v>0</v>
      </c>
      <c r="D59" s="95">
        <f>D25-D43-D46-D57</f>
        <v>0</v>
      </c>
      <c r="E59" s="95">
        <f>E25-E43-E46-E57</f>
        <v>0</v>
      </c>
      <c r="F59" s="95">
        <f>F25-F43-F46-F57</f>
        <v>0</v>
      </c>
      <c r="G59" s="95">
        <f>G25-G43-G46-G57</f>
        <v>0</v>
      </c>
      <c r="H59" s="95">
        <f>H25-H43-H46-H57</f>
        <v>0</v>
      </c>
      <c r="I59" s="95">
        <f>I25-I43-I46-I57</f>
        <v>0</v>
      </c>
      <c r="J59" s="121">
        <f>J25-J43-J46-J57</f>
        <v>0</v>
      </c>
      <c r="K59" s="89"/>
      <c r="L59" s="89"/>
    </row>
    <row r="60">
      <c r="A60" s="89"/>
      <c r="B60" s="88" t="s">
        <v>439</v>
      </c>
      <c r="C60" s="99" t="b">
        <f>ABS(C59)&lt;0.5</f>
        <v>1</v>
      </c>
      <c r="D60" s="99" t="b">
        <f>ABS(D59)&lt;0.5</f>
        <v>1</v>
      </c>
      <c r="E60" s="99" t="b">
        <f>ABS(E59)&lt;0.5</f>
        <v>1</v>
      </c>
      <c r="F60" s="99" t="b">
        <f>ABS(F59)&lt;0.5</f>
        <v>1</v>
      </c>
      <c r="G60" s="99" t="b">
        <f>ABS(G59)&lt;0.5</f>
        <v>1</v>
      </c>
      <c r="H60" s="99" t="b">
        <f>ABS(H59)&lt;0.5</f>
        <v>1</v>
      </c>
      <c r="I60" s="99" t="b">
        <f>ABS(I59)&lt;0.5</f>
        <v>1</v>
      </c>
      <c r="J60" s="139" t="b">
        <f>ABS(J59)&lt;0.5</f>
        <v>1</v>
      </c>
      <c r="K60" s="89"/>
      <c r="L60" s="181" t="s">
        <v>440</v>
      </c>
    </row>
    <row r="61">
      <c r="A61" s="89"/>
      <c r="B61" s="89"/>
      <c r="C61" s="89"/>
      <c r="D61" s="89"/>
      <c r="E61" s="89"/>
      <c r="F61" s="89"/>
      <c r="G61" s="89"/>
      <c r="H61" s="89"/>
      <c r="I61" s="89"/>
      <c r="J61" s="97"/>
      <c r="K61" s="89"/>
      <c r="L61" s="89"/>
    </row>
    <row r="62">
      <c r="A62" s="89"/>
      <c r="B62" s="104" t="s">
        <v>441</v>
      </c>
      <c r="C62" s="89"/>
      <c r="D62" s="89"/>
      <c r="E62" s="89"/>
      <c r="F62" s="89"/>
      <c r="G62" s="89"/>
      <c r="H62" s="89"/>
      <c r="I62" s="89"/>
      <c r="J62" s="97"/>
      <c r="K62" s="89"/>
      <c r="L62" s="89"/>
    </row>
    <row r="63">
      <c r="A63" s="89"/>
      <c r="B63" s="87" t="s">
        <v>442</v>
      </c>
      <c r="C63" s="96">
        <v>0.115</v>
      </c>
      <c r="D63" s="96">
        <v>0.115</v>
      </c>
      <c r="E63" s="96">
        <v>0.117</v>
      </c>
      <c r="F63" s="96">
        <v>0.119</v>
      </c>
      <c r="G63" s="92">
        <f>F63</f>
        <v>0.119</v>
      </c>
      <c r="H63" s="96">
        <v>0.11</v>
      </c>
      <c r="I63" s="96">
        <v>0.11</v>
      </c>
      <c r="J63" s="91" t="s">
        <v>129</v>
      </c>
      <c r="K63" s="89"/>
      <c r="L63" s="89"/>
    </row>
    <row r="64">
      <c r="A64" s="89"/>
      <c r="B64" s="88" t="s">
        <v>108</v>
      </c>
      <c r="C64" s="103" t="s">
        <v>51</v>
      </c>
      <c r="D64" s="103">
        <f>(D63-C63)*10000</f>
        <v>0</v>
      </c>
      <c r="E64" s="103">
        <f>(E63-D63)*10000</f>
        <v>20.000000000000018</v>
      </c>
      <c r="F64" s="103">
        <f>(F63-E63)*10000</f>
        <v>19.99999999999988</v>
      </c>
      <c r="G64" s="103" t="s">
        <v>51</v>
      </c>
      <c r="H64" s="103">
        <f>(H63-F63)*10000</f>
        <v>-89.99999999999994</v>
      </c>
      <c r="I64" s="103">
        <f>(I63-H63)*10000</f>
        <v>0</v>
      </c>
      <c r="J64" s="128" t="s">
        <v>51</v>
      </c>
      <c r="K64" s="89"/>
      <c r="L64" s="89"/>
    </row>
    <row r="65">
      <c r="A65" s="89"/>
      <c r="B65" s="88" t="s">
        <v>109</v>
      </c>
      <c r="C65" s="103" t="s">
        <v>51</v>
      </c>
      <c r="D65" s="103" t="s">
        <v>51</v>
      </c>
      <c r="E65" s="103" t="s">
        <v>51</v>
      </c>
      <c r="F65" s="103" t="s">
        <v>51</v>
      </c>
      <c r="G65" s="103" t="s">
        <v>51</v>
      </c>
      <c r="H65" s="103">
        <f>(H63-C63)*10000</f>
        <v>-50.00000000000004</v>
      </c>
      <c r="I65" s="103">
        <f>(I63-D63)*10000</f>
        <v>-50.00000000000004</v>
      </c>
      <c r="J65" s="128" t="s">
        <v>51</v>
      </c>
      <c r="K65" s="89"/>
      <c r="L65" s="89"/>
    </row>
    <row r="66">
      <c r="A66" s="89"/>
      <c r="B66" s="87" t="s">
        <v>443</v>
      </c>
      <c r="C66" s="96">
        <v>0.062</v>
      </c>
      <c r="D66" s="96">
        <v>0.061</v>
      </c>
      <c r="E66" s="96">
        <v>0.061</v>
      </c>
      <c r="F66" s="96">
        <v>0.06</v>
      </c>
      <c r="G66" s="92">
        <f>F66</f>
        <v>0.06</v>
      </c>
      <c r="H66" s="96">
        <v>0.06</v>
      </c>
      <c r="I66" s="96">
        <v>0.059</v>
      </c>
      <c r="J66" s="91" t="s">
        <v>129</v>
      </c>
      <c r="K66" s="89"/>
      <c r="L66" s="89"/>
    </row>
    <row r="67">
      <c r="A67" s="89"/>
      <c r="B67" s="88" t="s">
        <v>108</v>
      </c>
      <c r="C67" s="103" t="s">
        <v>51</v>
      </c>
      <c r="D67" s="103">
        <f>(D66-C66)*10000</f>
        <v>-10.000000000000009</v>
      </c>
      <c r="E67" s="103">
        <f>(E66-D66)*10000</f>
        <v>0</v>
      </c>
      <c r="F67" s="103">
        <f>(F66-E66)*10000</f>
        <v>-10.000000000000009</v>
      </c>
      <c r="G67" s="103" t="s">
        <v>51</v>
      </c>
      <c r="H67" s="103">
        <f>(H66-F66)*10000</f>
        <v>0</v>
      </c>
      <c r="I67" s="103">
        <f>(I66-H66)*10000</f>
        <v>-10.000000000000009</v>
      </c>
      <c r="J67" s="128" t="s">
        <v>51</v>
      </c>
      <c r="K67" s="89"/>
      <c r="L67" s="89"/>
    </row>
    <row r="68">
      <c r="A68" s="89"/>
      <c r="B68" s="88" t="s">
        <v>109</v>
      </c>
      <c r="C68" s="103" t="s">
        <v>51</v>
      </c>
      <c r="D68" s="103" t="s">
        <v>51</v>
      </c>
      <c r="E68" s="103" t="s">
        <v>51</v>
      </c>
      <c r="F68" s="103" t="s">
        <v>51</v>
      </c>
      <c r="G68" s="103" t="s">
        <v>51</v>
      </c>
      <c r="H68" s="103">
        <f>(H66-C66)*10000</f>
        <v>-20.000000000000018</v>
      </c>
      <c r="I68" s="103">
        <f>(I66-D66)*10000</f>
        <v>-20.000000000000018</v>
      </c>
      <c r="J68" s="128" t="s">
        <v>51</v>
      </c>
      <c r="K68" s="89"/>
      <c r="L68" s="89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0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444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445</v>
      </c>
      <c r="C10" s="89"/>
      <c r="D10" s="89"/>
      <c r="E10" s="89"/>
      <c r="F10" s="89"/>
      <c r="G10" s="89"/>
      <c r="H10" s="89"/>
      <c r="I10" s="89"/>
      <c r="J10" s="97"/>
      <c r="K10" s="89"/>
      <c r="L10" s="89"/>
    </row>
    <row r="11">
      <c r="A11" s="89"/>
      <c r="B11" s="88" t="s">
        <v>446</v>
      </c>
      <c r="C11" s="95">
        <f>C65</f>
        <v>1222</v>
      </c>
      <c r="D11" s="95">
        <f>D65-C65</f>
        <v>1435</v>
      </c>
      <c r="E11" s="95">
        <f>E65-D65</f>
        <v>1457</v>
      </c>
      <c r="F11" s="95">
        <f>F65-E65</f>
        <v>1469</v>
      </c>
      <c r="G11" s="95">
        <f>SUM(C11:F11)</f>
        <v>5583</v>
      </c>
      <c r="H11" s="95">
        <f>H65</f>
        <v>1630</v>
      </c>
      <c r="I11" s="95">
        <f>I65-H65</f>
        <v>1792</v>
      </c>
      <c r="J11" s="117">
        <f>'Income Statement'!J231</f>
        <v>1654.8899052455774</v>
      </c>
      <c r="K11" s="89"/>
      <c r="L11" s="89"/>
    </row>
    <row r="12" ht="14.624267578125">
      <c r="A12" s="89"/>
      <c r="B12" s="187" t="s">
        <v>447</v>
      </c>
      <c r="C12" s="95">
        <f>C66</f>
        <v>-2</v>
      </c>
      <c r="D12" s="95">
        <f>D66-C66</f>
        <v>-12</v>
      </c>
      <c r="E12" s="95">
        <f>E66-D66</f>
        <v>-12</v>
      </c>
      <c r="F12" s="95">
        <f>F66-E66</f>
        <v>-8</v>
      </c>
      <c r="G12" s="95">
        <f>SUM(C12:F12)</f>
        <v>-34</v>
      </c>
      <c r="H12" s="95">
        <f>H66</f>
        <v>2</v>
      </c>
      <c r="I12" s="95">
        <f>I66-H66</f>
        <v>-31</v>
      </c>
      <c r="J12" s="117">
        <f>'Income Statement'!J234</f>
        <v>-10</v>
      </c>
      <c r="K12" s="89"/>
      <c r="L12" s="89"/>
    </row>
    <row r="13">
      <c r="A13" s="89"/>
      <c r="B13" s="88" t="s">
        <v>448</v>
      </c>
      <c r="C13" s="95">
        <f>C67</f>
        <v>18</v>
      </c>
      <c r="D13" s="95">
        <f>D67-C67</f>
        <v>-17</v>
      </c>
      <c r="E13" s="95">
        <f>E67-D67</f>
        <v>-7</v>
      </c>
      <c r="F13" s="95">
        <f>F67-E67</f>
        <v>-26</v>
      </c>
      <c r="G13" s="95">
        <f>SUM(C13:F13)</f>
        <v>-32</v>
      </c>
      <c r="H13" s="95">
        <f>H67</f>
        <v>-7</v>
      </c>
      <c r="I13" s="95">
        <f>I67-H67</f>
        <v>-8</v>
      </c>
      <c r="J13" s="117">
        <f>'Income Statement'!J176</f>
        <v>-5</v>
      </c>
      <c r="K13" s="89"/>
      <c r="L13" s="89"/>
    </row>
    <row r="14">
      <c r="A14" s="89"/>
      <c r="B14" s="88" t="s">
        <v>449</v>
      </c>
      <c r="C14" s="95">
        <f>C68</f>
        <v>-1</v>
      </c>
      <c r="D14" s="95">
        <f>D68-C68</f>
        <v>0</v>
      </c>
      <c r="E14" s="95">
        <f>E68-D68</f>
        <v>-2</v>
      </c>
      <c r="F14" s="95">
        <f>F68-E68</f>
        <v>-2</v>
      </c>
      <c r="G14" s="95">
        <f>SUM(C14:F14)</f>
        <v>-5</v>
      </c>
      <c r="H14" s="95">
        <f>H68</f>
        <v>-1</v>
      </c>
      <c r="I14" s="95">
        <f>I68-H68</f>
        <v>-1</v>
      </c>
      <c r="J14" s="136">
        <v>0</v>
      </c>
      <c r="K14" s="89"/>
      <c r="L14" s="94" t="s">
        <v>450</v>
      </c>
    </row>
    <row r="15">
      <c r="A15" s="89"/>
      <c r="B15" s="88" t="s">
        <v>451</v>
      </c>
      <c r="C15" s="95">
        <f>C69</f>
        <v>446</v>
      </c>
      <c r="D15" s="95">
        <f>D69-C69</f>
        <v>426</v>
      </c>
      <c r="E15" s="95">
        <f>E69-D69</f>
        <v>428</v>
      </c>
      <c r="F15" s="95">
        <f>F69-E69</f>
        <v>552</v>
      </c>
      <c r="G15" s="95">
        <f>SUM(C15:F15)</f>
        <v>1852</v>
      </c>
      <c r="H15" s="95">
        <f>H69</f>
        <v>415</v>
      </c>
      <c r="I15" s="95">
        <f>I69-H69</f>
        <v>398</v>
      </c>
      <c r="J15" s="136">
        <v>410</v>
      </c>
      <c r="K15" s="89"/>
      <c r="L15" s="94" t="s">
        <v>452</v>
      </c>
    </row>
    <row r="16">
      <c r="A16" s="89"/>
      <c r="B16" s="88" t="s">
        <v>453</v>
      </c>
      <c r="C16" s="95">
        <f>C70</f>
        <v>83</v>
      </c>
      <c r="D16" s="95">
        <f>D70-C70</f>
        <v>120</v>
      </c>
      <c r="E16" s="95">
        <f>E70-D70</f>
        <v>-108</v>
      </c>
      <c r="F16" s="95">
        <f>F70-E70</f>
        <v>4</v>
      </c>
      <c r="G16" s="95">
        <f>SUM(C16:F16)</f>
        <v>99</v>
      </c>
      <c r="H16" s="95">
        <f>H70</f>
        <v>-6</v>
      </c>
      <c r="I16" s="95">
        <f>I70-H70</f>
        <v>-75</v>
      </c>
      <c r="J16" s="136">
        <v>0</v>
      </c>
      <c r="K16" s="89"/>
      <c r="L16" s="89"/>
    </row>
    <row r="17">
      <c r="A17" s="89"/>
      <c r="B17" s="88" t="s">
        <v>454</v>
      </c>
      <c r="C17" s="95">
        <f>C71</f>
        <v>0</v>
      </c>
      <c r="D17" s="95">
        <f>D71-C71</f>
        <v>35</v>
      </c>
      <c r="E17" s="95">
        <f>E71-D71</f>
        <v>30</v>
      </c>
      <c r="F17" s="95">
        <f>F71-E71</f>
        <v>15</v>
      </c>
      <c r="G17" s="95">
        <f>SUM(C17:F17)</f>
        <v>80</v>
      </c>
      <c r="H17" s="95">
        <f>H71</f>
        <v>50</v>
      </c>
      <c r="I17" s="95">
        <f>I71-H71</f>
        <v>25</v>
      </c>
      <c r="J17" s="136">
        <v>0</v>
      </c>
      <c r="K17" s="89"/>
      <c r="L17" s="89"/>
    </row>
    <row r="18" ht="14.624267578125">
      <c r="A18" s="89"/>
      <c r="B18" s="187" t="s">
        <v>455</v>
      </c>
      <c r="C18" s="95">
        <f>C72</f>
        <v>1709</v>
      </c>
      <c r="D18" s="95">
        <f>D72-C72</f>
        <v>924</v>
      </c>
      <c r="E18" s="95">
        <f>E72-D72</f>
        <v>-3674</v>
      </c>
      <c r="F18" s="95">
        <f>F72-E72</f>
        <v>2025</v>
      </c>
      <c r="G18" s="95">
        <f>SUM(C18:F18)</f>
        <v>984</v>
      </c>
      <c r="H18" s="95">
        <f>H72</f>
        <v>-3570</v>
      </c>
      <c r="I18" s="95">
        <f>I72-H72</f>
        <v>43</v>
      </c>
      <c r="J18" s="136">
        <v>0</v>
      </c>
      <c r="K18" s="89"/>
      <c r="L18" s="89"/>
    </row>
    <row r="19">
      <c r="A19" s="89"/>
      <c r="B19" s="88" t="s">
        <v>456</v>
      </c>
      <c r="C19" s="95">
        <f>C73</f>
        <v>-3063</v>
      </c>
      <c r="D19" s="95">
        <f>D73-C73</f>
        <v>-714</v>
      </c>
      <c r="E19" s="95">
        <f>E73-D73</f>
        <v>824</v>
      </c>
      <c r="F19" s="95">
        <f>F73-E73</f>
        <v>1156</v>
      </c>
      <c r="G19" s="95">
        <f>SUM(C19:F19)</f>
        <v>-1797</v>
      </c>
      <c r="H19" s="95">
        <f>H73</f>
        <v>-1526</v>
      </c>
      <c r="I19" s="95">
        <f>I73-H73</f>
        <v>319</v>
      </c>
      <c r="J19" s="136">
        <v>0</v>
      </c>
      <c r="K19" s="89"/>
      <c r="L19" s="89"/>
    </row>
    <row r="20" ht="23.24853515625">
      <c r="A20" s="89"/>
      <c r="B20" s="186" t="s">
        <v>457</v>
      </c>
      <c r="C20" s="90">
        <f>C11+C12+C13+C14+C15+C16+C17+C18+C19</f>
        <v>412</v>
      </c>
      <c r="D20" s="90">
        <f>D11+D12+D13+D14+D15+D16+D17+D18+D19</f>
        <v>2197</v>
      </c>
      <c r="E20" s="90">
        <f>E11+E12+E13+E14+E15+E16+E17+E18+E19</f>
        <v>-1064</v>
      </c>
      <c r="F20" s="90">
        <f>F11+F12+F13+F14+F15+F16+F17+F18+F19</f>
        <v>5185</v>
      </c>
      <c r="G20" s="90">
        <f>G11+G12+G13+G14+G15+G16+G17+G18+G19</f>
        <v>6730</v>
      </c>
      <c r="H20" s="90">
        <f>H11+H12+H13+H14+H15+H16+H17+H18+H19</f>
        <v>-3013</v>
      </c>
      <c r="I20" s="90">
        <f>I11+I12+I13+I14+I15+I16+I17+I18+I19</f>
        <v>2462</v>
      </c>
      <c r="J20" s="135">
        <f>J11+J12+J13+J14+J15+J16+J17+J18+J19</f>
        <v>2049.889905245577</v>
      </c>
      <c r="K20" s="89"/>
      <c r="L20" s="181" t="s">
        <v>458</v>
      </c>
    </row>
    <row r="21">
      <c r="A21" s="89"/>
      <c r="B21" s="88" t="s">
        <v>94</v>
      </c>
      <c r="C21" s="95" t="s">
        <v>51</v>
      </c>
      <c r="D21" s="95">
        <f>D20-C20</f>
        <v>1785</v>
      </c>
      <c r="E21" s="95">
        <f>E20-D20</f>
        <v>-3261</v>
      </c>
      <c r="F21" s="95">
        <f>F20-E20</f>
        <v>6249</v>
      </c>
      <c r="G21" s="95" t="s">
        <v>51</v>
      </c>
      <c r="H21" s="95">
        <f>H20-F20</f>
        <v>-8198</v>
      </c>
      <c r="I21" s="95">
        <f>I20-H20</f>
        <v>5475</v>
      </c>
      <c r="J21" s="121">
        <f>J20-I20</f>
        <v>-412.1100947544228</v>
      </c>
      <c r="K21" s="89"/>
      <c r="L21" s="89"/>
    </row>
    <row r="22">
      <c r="A22" s="89"/>
      <c r="B22" s="88" t="s">
        <v>459</v>
      </c>
      <c r="C22" s="99" t="b">
        <f>ABS(C20-C74)&lt;0.5</f>
        <v>1</v>
      </c>
      <c r="D22" s="99" t="b">
        <f>ABS(D20-(D74-C74))&lt;0.5</f>
        <v>1</v>
      </c>
      <c r="E22" s="99" t="b">
        <f>ABS(E20-(E74-D74))&lt;0.5</f>
        <v>1</v>
      </c>
      <c r="F22" s="99" t="b">
        <f>ABS(F20-(F74-E74))&lt;0.5</f>
        <v>1</v>
      </c>
      <c r="G22" s="99" t="b">
        <f>ABS(G20-F74)&lt;0.5</f>
        <v>1</v>
      </c>
      <c r="H22" s="99" t="b">
        <f>ABS(H20-H74)&lt;0.5</f>
        <v>1</v>
      </c>
      <c r="I22" s="99" t="b">
        <f>ABS(I20-(I74-H74))&lt;0.5</f>
        <v>1</v>
      </c>
      <c r="J22" s="97"/>
      <c r="K22" s="89"/>
      <c r="L22" s="89"/>
    </row>
    <row r="23">
      <c r="A23" s="89"/>
      <c r="B23" s="104" t="s">
        <v>460</v>
      </c>
      <c r="C23" s="89"/>
      <c r="D23" s="89"/>
      <c r="E23" s="89"/>
      <c r="F23" s="89"/>
      <c r="G23" s="89"/>
      <c r="H23" s="89"/>
      <c r="I23" s="89"/>
      <c r="J23" s="97"/>
      <c r="K23" s="89"/>
      <c r="L23" s="89"/>
    </row>
    <row r="24" ht="23.25">
      <c r="A24" s="89"/>
      <c r="B24" s="187" t="s">
        <v>461</v>
      </c>
      <c r="C24" s="95">
        <f>C75</f>
        <v>-458</v>
      </c>
      <c r="D24" s="95">
        <f>D75-C75</f>
        <v>-118</v>
      </c>
      <c r="E24" s="95">
        <f>E75-D75</f>
        <v>961</v>
      </c>
      <c r="F24" s="95">
        <f>F75-E75</f>
        <v>956</v>
      </c>
      <c r="G24" s="95">
        <f>SUM(C24:F24)</f>
        <v>1341</v>
      </c>
      <c r="H24" s="95">
        <f>H75</f>
        <v>-3010</v>
      </c>
      <c r="I24" s="95">
        <f>I75-H75</f>
        <v>2045</v>
      </c>
      <c r="J24" s="136">
        <v>0</v>
      </c>
      <c r="K24" s="89"/>
      <c r="L24" s="202" t="s">
        <v>462</v>
      </c>
    </row>
    <row r="25" ht="23.24853515625">
      <c r="A25" s="89"/>
      <c r="B25" s="187" t="s">
        <v>463</v>
      </c>
      <c r="C25" s="95">
        <f>C76</f>
        <v>-11401</v>
      </c>
      <c r="D25" s="95">
        <f>D76-C76</f>
        <v>-30721</v>
      </c>
      <c r="E25" s="95">
        <f>E76-D76</f>
        <v>28863</v>
      </c>
      <c r="F25" s="95">
        <f>F76-E76</f>
        <v>-9937</v>
      </c>
      <c r="G25" s="95">
        <f>SUM(C25:F25)</f>
        <v>-23196</v>
      </c>
      <c r="H25" s="95">
        <f>H76</f>
        <v>-54679</v>
      </c>
      <c r="I25" s="95">
        <f>I76-H76</f>
        <v>30668</v>
      </c>
      <c r="J25" s="117">
        <f>-('Balance Sheet'!J12-'Balance Sheet'!I12)</f>
        <v>108.65677651087753</v>
      </c>
      <c r="K25" s="89"/>
      <c r="L25" s="181" t="s">
        <v>464</v>
      </c>
    </row>
    <row r="26" ht="23.25">
      <c r="A26" s="89"/>
      <c r="B26" s="187" t="s">
        <v>465</v>
      </c>
      <c r="C26" s="95">
        <f>C77</f>
        <v>-164</v>
      </c>
      <c r="D26" s="95">
        <f>D77-C77</f>
        <v>-4213</v>
      </c>
      <c r="E26" s="95">
        <f>E77-D77</f>
        <v>3686</v>
      </c>
      <c r="F26" s="95">
        <f>F77-E77</f>
        <v>-3023</v>
      </c>
      <c r="G26" s="95">
        <f>SUM(C26:F26)</f>
        <v>-3714</v>
      </c>
      <c r="H26" s="95">
        <f>H77</f>
        <v>1223</v>
      </c>
      <c r="I26" s="95">
        <f>I77-H77</f>
        <v>-5272</v>
      </c>
      <c r="J26" s="136">
        <v>0</v>
      </c>
      <c r="K26" s="89"/>
      <c r="L26" s="89"/>
    </row>
    <row r="27" ht="23.25">
      <c r="A27" s="89"/>
      <c r="B27" s="187" t="s">
        <v>466</v>
      </c>
      <c r="C27" s="95">
        <f>C78</f>
        <v>-1262</v>
      </c>
      <c r="D27" s="95">
        <f>D78-C78</f>
        <v>-1132</v>
      </c>
      <c r="E27" s="95">
        <f>E78-D78</f>
        <v>-1332</v>
      </c>
      <c r="F27" s="95">
        <f>F78-E78</f>
        <v>-1475</v>
      </c>
      <c r="G27" s="95">
        <f>SUM(C27:F27)</f>
        <v>-5201</v>
      </c>
      <c r="H27" s="95">
        <f>H78</f>
        <v>-3043</v>
      </c>
      <c r="I27" s="95">
        <f>I78-H78</f>
        <v>-2092</v>
      </c>
      <c r="J27" s="136">
        <v>0</v>
      </c>
      <c r="K27" s="89"/>
      <c r="L27" s="89"/>
    </row>
    <row r="28" ht="23.24853515625">
      <c r="A28" s="89"/>
      <c r="B28" s="187" t="s">
        <v>467</v>
      </c>
      <c r="C28" s="95">
        <f>C79</f>
        <v>1597</v>
      </c>
      <c r="D28" s="95">
        <f>D79-C79</f>
        <v>1786</v>
      </c>
      <c r="E28" s="95">
        <f>E79-D79</f>
        <v>1916</v>
      </c>
      <c r="F28" s="95">
        <f>F79-E79</f>
        <v>2710</v>
      </c>
      <c r="G28" s="95">
        <f>SUM(C28:F28)</f>
        <v>8009</v>
      </c>
      <c r="H28" s="95">
        <f>H79</f>
        <v>2100</v>
      </c>
      <c r="I28" s="95">
        <f>I79-H79</f>
        <v>3168</v>
      </c>
      <c r="J28" s="136">
        <v>0</v>
      </c>
      <c r="K28" s="89"/>
      <c r="L28" s="89"/>
    </row>
    <row r="29" ht="23.25">
      <c r="A29" s="89"/>
      <c r="B29" s="187" t="s">
        <v>468</v>
      </c>
      <c r="C29" s="95">
        <f>C80</f>
        <v>-12719</v>
      </c>
      <c r="D29" s="95">
        <f>D80-C80</f>
        <v>-6011</v>
      </c>
      <c r="E29" s="95">
        <f>E80-D80</f>
        <v>-9800</v>
      </c>
      <c r="F29" s="95">
        <f>F80-E80</f>
        <v>-9019</v>
      </c>
      <c r="G29" s="95">
        <f>SUM(C29:F29)</f>
        <v>-37549</v>
      </c>
      <c r="H29" s="95">
        <f>H80</f>
        <v>-11489</v>
      </c>
      <c r="I29" s="95">
        <f>I80-H80</f>
        <v>-7932</v>
      </c>
      <c r="J29" s="136">
        <v>0</v>
      </c>
      <c r="K29" s="89"/>
      <c r="L29" s="89"/>
    </row>
    <row r="30" ht="14.624267578125">
      <c r="A30" s="89"/>
      <c r="B30" s="187" t="s">
        <v>469</v>
      </c>
      <c r="C30" s="95">
        <f>C81</f>
        <v>2037</v>
      </c>
      <c r="D30" s="95">
        <f>D81-C81</f>
        <v>3082</v>
      </c>
      <c r="E30" s="95">
        <f>E81-D81</f>
        <v>4502</v>
      </c>
      <c r="F30" s="95">
        <f>F81-E81</f>
        <v>1473</v>
      </c>
      <c r="G30" s="95">
        <f>SUM(C30:F30)</f>
        <v>11094</v>
      </c>
      <c r="H30" s="95">
        <f>H81</f>
        <v>3031</v>
      </c>
      <c r="I30" s="95">
        <f>I81-H81</f>
        <v>2908</v>
      </c>
      <c r="J30" s="136">
        <v>0</v>
      </c>
      <c r="K30" s="89"/>
      <c r="L30" s="89"/>
    </row>
    <row r="31" ht="23.24853515625">
      <c r="A31" s="89"/>
      <c r="B31" s="187" t="s">
        <v>470</v>
      </c>
      <c r="C31" s="95">
        <f>C82</f>
        <v>3632</v>
      </c>
      <c r="D31" s="95">
        <f>D82-C82</f>
        <v>3885</v>
      </c>
      <c r="E31" s="95">
        <f>E82-D82</f>
        <v>4486</v>
      </c>
      <c r="F31" s="95">
        <f>F82-E82</f>
        <v>3831</v>
      </c>
      <c r="G31" s="95">
        <f>SUM(C31:F31)</f>
        <v>15834</v>
      </c>
      <c r="H31" s="95">
        <f>H82</f>
        <v>3624</v>
      </c>
      <c r="I31" s="95">
        <f>I82-H82</f>
        <v>3593</v>
      </c>
      <c r="J31" s="136">
        <v>0</v>
      </c>
      <c r="K31" s="89"/>
      <c r="L31" s="89"/>
    </row>
    <row r="32">
      <c r="A32" s="89"/>
      <c r="B32" s="88" t="s">
        <v>471</v>
      </c>
      <c r="C32" s="95">
        <f>C83</f>
        <v>222</v>
      </c>
      <c r="D32" s="95">
        <f>D83-C83</f>
        <v>-1588</v>
      </c>
      <c r="E32" s="95">
        <f>E83-D83</f>
        <v>-2123</v>
      </c>
      <c r="F32" s="95">
        <f>F83-E83</f>
        <v>-5408</v>
      </c>
      <c r="G32" s="95">
        <f>SUM(C32:F32)</f>
        <v>-8897</v>
      </c>
      <c r="H32" s="95">
        <f>H83</f>
        <v>-20675</v>
      </c>
      <c r="I32" s="95">
        <f>I83-H83</f>
        <v>12471</v>
      </c>
      <c r="J32" s="136">
        <v>0</v>
      </c>
      <c r="K32" s="89"/>
      <c r="L32" s="89"/>
    </row>
    <row r="33" ht="23.24853515625">
      <c r="A33" s="89"/>
      <c r="B33" s="187" t="s">
        <v>472</v>
      </c>
      <c r="C33" s="95">
        <f>C84</f>
        <v>-320</v>
      </c>
      <c r="D33" s="95">
        <f>D84-C84</f>
        <v>-359</v>
      </c>
      <c r="E33" s="95">
        <f>E84-D84</f>
        <v>-438</v>
      </c>
      <c r="F33" s="95">
        <f>F84-E84</f>
        <v>-436</v>
      </c>
      <c r="G33" s="95">
        <f>SUM(C33:F33)</f>
        <v>-1553</v>
      </c>
      <c r="H33" s="95">
        <f>H84</f>
        <v>-617</v>
      </c>
      <c r="I33" s="95">
        <f>I84-H84</f>
        <v>-487</v>
      </c>
      <c r="J33" s="136">
        <v>-550</v>
      </c>
      <c r="K33" s="89"/>
      <c r="L33" s="94" t="s">
        <v>473</v>
      </c>
    </row>
    <row r="34">
      <c r="A34" s="89"/>
      <c r="B34" s="88" t="s">
        <v>474</v>
      </c>
      <c r="C34" s="95">
        <f>C85</f>
        <v>32</v>
      </c>
      <c r="D34" s="95">
        <f>D85-C85</f>
        <v>-357</v>
      </c>
      <c r="E34" s="95">
        <f>E85-D85</f>
        <v>309</v>
      </c>
      <c r="F34" s="95">
        <f>F85-E85</f>
        <v>-435</v>
      </c>
      <c r="G34" s="95">
        <f>SUM(C34:F34)</f>
        <v>-451</v>
      </c>
      <c r="H34" s="95">
        <f>H85</f>
        <v>-188</v>
      </c>
      <c r="I34" s="95">
        <f>I85-H85</f>
        <v>-859</v>
      </c>
      <c r="J34" s="136">
        <v>0</v>
      </c>
      <c r="K34" s="89"/>
      <c r="L34" s="89"/>
    </row>
    <row r="35" ht="23.24853515625">
      <c r="A35" s="89"/>
      <c r="B35" s="186" t="s">
        <v>475</v>
      </c>
      <c r="C35" s="90">
        <f>C24+C25+C26+C27+C28+C29+C30+C31+C32+C33+C34</f>
        <v>-18804</v>
      </c>
      <c r="D35" s="90">
        <f>D24+D25+D26+D27+D28+D29+D30+D31+D32+D33+D34</f>
        <v>-35746</v>
      </c>
      <c r="E35" s="90">
        <f>E24+E25+E26+E27+E28+E29+E30+E31+E32+E33+E34</f>
        <v>31030</v>
      </c>
      <c r="F35" s="90">
        <f>F24+F25+F26+F27+F28+F29+F30+F31+F32+F33+F34</f>
        <v>-20763</v>
      </c>
      <c r="G35" s="90">
        <f>G24+G25+G26+G27+G28+G29+G30+G31+G32+G33+G34</f>
        <v>-44283</v>
      </c>
      <c r="H35" s="90">
        <f>H24+H25+H26+H27+H28+H29+H30+H31+H32+H33+H34</f>
        <v>-83723</v>
      </c>
      <c r="I35" s="90">
        <f>I24+I25+I26+I27+I28+I29+I30+I31+I32+I33+I34</f>
        <v>38211</v>
      </c>
      <c r="J35" s="135">
        <f>J24+J25+J26+J27+J28+J29+J30+J31+J32+J33+J34</f>
        <v>-441.34322348912247</v>
      </c>
      <c r="K35" s="89"/>
      <c r="L35" s="89"/>
    </row>
    <row r="36">
      <c r="A36" s="89"/>
      <c r="B36" s="88" t="s">
        <v>476</v>
      </c>
      <c r="C36" s="99" t="b">
        <f>ABS(C35-C86)&lt;0.5</f>
        <v>1</v>
      </c>
      <c r="D36" s="99" t="b">
        <f>ABS(D35-(D86-C86))&lt;0.5</f>
        <v>1</v>
      </c>
      <c r="E36" s="99" t="b">
        <f>ABS(E35-(E86-D86))&lt;0.5</f>
        <v>1</v>
      </c>
      <c r="F36" s="99" t="b">
        <f>ABS(F35-(F86-E86))&lt;0.5</f>
        <v>1</v>
      </c>
      <c r="G36" s="99" t="b">
        <f>ABS(G35-F86)&lt;0.5</f>
        <v>1</v>
      </c>
      <c r="H36" s="99" t="b">
        <f>ABS(H35-H86)&lt;0.5</f>
        <v>1</v>
      </c>
      <c r="I36" s="99" t="b">
        <f>ABS(I35-(I86-H86))&lt;0.5</f>
        <v>1</v>
      </c>
      <c r="J36" s="97"/>
      <c r="K36" s="89"/>
      <c r="L36" s="89"/>
    </row>
    <row r="37">
      <c r="A37" s="89"/>
      <c r="B37" s="104" t="s">
        <v>477</v>
      </c>
      <c r="C37" s="89"/>
      <c r="D37" s="89"/>
      <c r="E37" s="89"/>
      <c r="F37" s="89"/>
      <c r="G37" s="89"/>
      <c r="H37" s="89"/>
      <c r="I37" s="89"/>
      <c r="J37" s="97"/>
      <c r="K37" s="89"/>
      <c r="L37" s="89"/>
    </row>
    <row r="38">
      <c r="A38" s="89"/>
      <c r="B38" s="88" t="s">
        <v>478</v>
      </c>
      <c r="C38" s="95">
        <f>C87</f>
        <v>16589</v>
      </c>
      <c r="D38" s="95">
        <f>D87-C87</f>
        <v>32693</v>
      </c>
      <c r="E38" s="95">
        <f>E87-D87</f>
        <v>-30938</v>
      </c>
      <c r="F38" s="95">
        <f>F87-E87</f>
        <v>17344</v>
      </c>
      <c r="G38" s="95">
        <f>SUM(C38:F38)</f>
        <v>35688</v>
      </c>
      <c r="H38" s="95">
        <f>H87</f>
        <v>86206</v>
      </c>
      <c r="I38" s="95">
        <f>I87-H87</f>
        <v>-46316</v>
      </c>
      <c r="J38" s="136">
        <v>0</v>
      </c>
      <c r="K38" s="89"/>
      <c r="L38" s="202" t="s">
        <v>479</v>
      </c>
    </row>
    <row r="39" ht="23.25">
      <c r="A39" s="89"/>
      <c r="B39" s="187" t="s">
        <v>480</v>
      </c>
      <c r="C39" s="95">
        <f>C88</f>
        <v>1565</v>
      </c>
      <c r="D39" s="95">
        <f>D88-C88</f>
        <v>-212</v>
      </c>
      <c r="E39" s="95">
        <f>E88-D88</f>
        <v>1089</v>
      </c>
      <c r="F39" s="95">
        <f>F88-E88</f>
        <v>2402</v>
      </c>
      <c r="G39" s="95">
        <f>SUM(C39:F39)</f>
        <v>4844</v>
      </c>
      <c r="H39" s="95">
        <f>H88</f>
        <v>525</v>
      </c>
      <c r="I39" s="95">
        <f>I88-H88</f>
        <v>6605</v>
      </c>
      <c r="J39" s="136">
        <v>0</v>
      </c>
      <c r="K39" s="89"/>
      <c r="L39" s="89"/>
    </row>
    <row r="40" ht="23.24853515625">
      <c r="A40" s="89"/>
      <c r="B40" s="187" t="s">
        <v>481</v>
      </c>
      <c r="C40" s="95">
        <f>C89</f>
        <v>2171</v>
      </c>
      <c r="D40" s="95">
        <f>D89-C89</f>
        <v>-971</v>
      </c>
      <c r="E40" s="95">
        <f>E89-D89</f>
        <v>2365</v>
      </c>
      <c r="F40" s="95">
        <f>F89-E89</f>
        <v>-1766</v>
      </c>
      <c r="G40" s="95">
        <f>SUM(C40:F40)</f>
        <v>1799</v>
      </c>
      <c r="H40" s="95">
        <f>H89</f>
        <v>2882</v>
      </c>
      <c r="I40" s="95">
        <f>I89-H89</f>
        <v>980</v>
      </c>
      <c r="J40" s="136">
        <v>0</v>
      </c>
      <c r="K40" s="89"/>
      <c r="L40" s="89"/>
    </row>
    <row r="41">
      <c r="A41" s="89"/>
      <c r="B41" s="88" t="s">
        <v>482</v>
      </c>
      <c r="C41" s="95">
        <f>C90</f>
        <v>1361</v>
      </c>
      <c r="D41" s="95">
        <f>D90-C90</f>
        <v>700</v>
      </c>
      <c r="E41" s="95">
        <f>E90-D90</f>
        <v>2</v>
      </c>
      <c r="F41" s="95">
        <f>F90-E90</f>
        <v>-361</v>
      </c>
      <c r="G41" s="95">
        <f>SUM(C41:F41)</f>
        <v>1702</v>
      </c>
      <c r="H41" s="95">
        <f>H90</f>
        <v>-1001</v>
      </c>
      <c r="I41" s="95">
        <f>I90-H90</f>
        <v>3814</v>
      </c>
      <c r="J41" s="136">
        <v>0</v>
      </c>
      <c r="K41" s="89"/>
      <c r="L41" s="89"/>
    </row>
    <row r="42">
      <c r="A42" s="89"/>
      <c r="B42" s="88" t="s">
        <v>483</v>
      </c>
      <c r="C42" s="95">
        <f>C91</f>
        <v>-22</v>
      </c>
      <c r="D42" s="95">
        <f>D91-C91</f>
        <v>67</v>
      </c>
      <c r="E42" s="95">
        <f>E91-D91</f>
        <v>-8</v>
      </c>
      <c r="F42" s="95">
        <f>F91-E91</f>
        <v>134</v>
      </c>
      <c r="G42" s="95">
        <f>SUM(C42:F42)</f>
        <v>171</v>
      </c>
      <c r="H42" s="95">
        <f>H91</f>
        <v>-232</v>
      </c>
      <c r="I42" s="95">
        <f>I91-H91</f>
        <v>272</v>
      </c>
      <c r="J42" s="136">
        <v>0</v>
      </c>
      <c r="K42" s="89"/>
      <c r="L42" s="89"/>
    </row>
    <row r="43" ht="23.25">
      <c r="A43" s="89"/>
      <c r="B43" s="187" t="s">
        <v>484</v>
      </c>
      <c r="C43" s="95">
        <f>C92</f>
        <v>1247</v>
      </c>
      <c r="D43" s="95">
        <f>D92-C92</f>
        <v>4490</v>
      </c>
      <c r="E43" s="95">
        <f>E92-D92</f>
        <v>0</v>
      </c>
      <c r="F43" s="95">
        <f>F92-E92</f>
        <v>0</v>
      </c>
      <c r="G43" s="95">
        <f>SUM(C43:F43)</f>
        <v>5737</v>
      </c>
      <c r="H43" s="95">
        <f>H92</f>
        <v>1546</v>
      </c>
      <c r="I43" s="95">
        <f>I92-H92</f>
        <v>1497</v>
      </c>
      <c r="J43" s="136">
        <v>0</v>
      </c>
      <c r="K43" s="89"/>
      <c r="L43" s="89"/>
    </row>
    <row r="44" ht="23.24853515625">
      <c r="A44" s="89"/>
      <c r="B44" s="187" t="s">
        <v>485</v>
      </c>
      <c r="C44" s="95">
        <f>C93</f>
        <v>-1650</v>
      </c>
      <c r="D44" s="95">
        <f>D93-C93</f>
        <v>-2209</v>
      </c>
      <c r="E44" s="95">
        <f>E93-D93</f>
        <v>-1250</v>
      </c>
      <c r="F44" s="95">
        <f>F93-E93</f>
        <v>-400</v>
      </c>
      <c r="G44" s="95">
        <f>SUM(C44:F44)</f>
        <v>-5509</v>
      </c>
      <c r="H44" s="95">
        <f>H93</f>
        <v>-700</v>
      </c>
      <c r="I44" s="95">
        <f>I93-H93</f>
        <v>-3503</v>
      </c>
      <c r="J44" s="136">
        <v>0</v>
      </c>
      <c r="K44" s="89"/>
      <c r="L44" s="89"/>
    </row>
    <row r="45">
      <c r="A45" s="89"/>
      <c r="B45" s="88" t="s">
        <v>486</v>
      </c>
      <c r="C45" s="95">
        <f>C94</f>
        <v>4</v>
      </c>
      <c r="D45" s="95">
        <f>D94-C94</f>
        <v>5</v>
      </c>
      <c r="E45" s="95">
        <f>E94-D94</f>
        <v>5</v>
      </c>
      <c r="F45" s="95">
        <f>F94-E94</f>
        <v>5</v>
      </c>
      <c r="G45" s="95">
        <f>SUM(C45:F45)</f>
        <v>19</v>
      </c>
      <c r="H45" s="95">
        <f>H94</f>
        <v>5</v>
      </c>
      <c r="I45" s="95">
        <f>I94-H94</f>
        <v>5</v>
      </c>
      <c r="J45" s="136">
        <v>0</v>
      </c>
      <c r="K45" s="89"/>
      <c r="L45" s="89"/>
    </row>
    <row r="46">
      <c r="A46" s="89"/>
      <c r="B46" s="88" t="s">
        <v>487</v>
      </c>
      <c r="C46" s="95">
        <f>C95</f>
        <v>-746</v>
      </c>
      <c r="D46" s="95">
        <f>D95-C95</f>
        <v>-895</v>
      </c>
      <c r="E46" s="95">
        <f>E95-D95</f>
        <v>-849</v>
      </c>
      <c r="F46" s="95">
        <f>F95-E95</f>
        <v>-1045</v>
      </c>
      <c r="G46" s="95">
        <f>SUM(C46:F46)</f>
        <v>-3535</v>
      </c>
      <c r="H46" s="95">
        <f>H95</f>
        <v>-983</v>
      </c>
      <c r="I46" s="95">
        <f>I95-H95</f>
        <v>-1103</v>
      </c>
      <c r="J46" s="117">
        <f>-'Share Count'!J22</f>
        <v>-1100</v>
      </c>
      <c r="K46" s="89"/>
      <c r="L46" s="89"/>
    </row>
    <row r="47">
      <c r="A47" s="89"/>
      <c r="B47" s="88" t="s">
        <v>488</v>
      </c>
      <c r="C47" s="95">
        <f>C96</f>
        <v>988</v>
      </c>
      <c r="D47" s="95">
        <f>D96-C96</f>
        <v>0</v>
      </c>
      <c r="E47" s="95">
        <f>E96-D96</f>
        <v>495</v>
      </c>
      <c r="F47" s="95">
        <f>F96-E96</f>
        <v>0</v>
      </c>
      <c r="G47" s="95">
        <f>SUM(C47:F47)</f>
        <v>1483</v>
      </c>
      <c r="H47" s="95">
        <f>H96</f>
        <v>495</v>
      </c>
      <c r="I47" s="95">
        <f>I96-H96</f>
        <v>0</v>
      </c>
      <c r="J47" s="136">
        <v>0</v>
      </c>
      <c r="K47" s="89"/>
      <c r="L47" s="89"/>
    </row>
    <row r="48">
      <c r="A48" s="89"/>
      <c r="B48" s="88" t="s">
        <v>489</v>
      </c>
      <c r="C48" s="95">
        <f>C97</f>
        <v>0</v>
      </c>
      <c r="D48" s="95">
        <f>D97-C97</f>
        <v>0</v>
      </c>
      <c r="E48" s="95">
        <f>E97-D97</f>
        <v>-1000</v>
      </c>
      <c r="F48" s="95">
        <f>F97-E97</f>
        <v>0</v>
      </c>
      <c r="G48" s="95">
        <f>SUM(C48:F48)</f>
        <v>-1000</v>
      </c>
      <c r="H48" s="95">
        <f>H97</f>
        <v>0</v>
      </c>
      <c r="I48" s="95">
        <f>I97-H97</f>
        <v>-583</v>
      </c>
      <c r="J48" s="136">
        <v>0</v>
      </c>
      <c r="K48" s="89"/>
      <c r="L48" s="89"/>
    </row>
    <row r="49" ht="23.25">
      <c r="A49" s="89"/>
      <c r="B49" s="187" t="s">
        <v>490</v>
      </c>
      <c r="C49" s="95">
        <f>C98</f>
        <v>-414</v>
      </c>
      <c r="D49" s="95">
        <f>D98-C98</f>
        <v>-378</v>
      </c>
      <c r="E49" s="95">
        <f>E98-D98</f>
        <v>-477</v>
      </c>
      <c r="F49" s="95">
        <f>F98-E98</f>
        <v>-416</v>
      </c>
      <c r="G49" s="95">
        <f>SUM(C49:F49)</f>
        <v>-1685</v>
      </c>
      <c r="H49" s="95">
        <f>H98</f>
        <v>-434</v>
      </c>
      <c r="I49" s="95">
        <f>I98-H98</f>
        <v>-453</v>
      </c>
      <c r="J49" s="117">
        <f>-('Share Count'!J52+'Share Count'!J74)</f>
        <v>-508.54668175643974</v>
      </c>
      <c r="K49" s="89"/>
      <c r="L49" s="89"/>
    </row>
    <row r="50">
      <c r="A50" s="89"/>
      <c r="B50" s="88" t="s">
        <v>491</v>
      </c>
      <c r="C50" s="95">
        <f>C99</f>
        <v>7</v>
      </c>
      <c r="D50" s="95">
        <f>D99-C99</f>
        <v>15</v>
      </c>
      <c r="E50" s="95">
        <f>E99-D99</f>
        <v>2</v>
      </c>
      <c r="F50" s="95">
        <f>F99-E99</f>
        <v>-24</v>
      </c>
      <c r="G50" s="95">
        <f>SUM(C50:F50)</f>
        <v>0</v>
      </c>
      <c r="H50" s="95">
        <f>H99</f>
        <v>-6</v>
      </c>
      <c r="I50" s="95">
        <f>I99-H99</f>
        <v>3</v>
      </c>
      <c r="J50" s="136">
        <v>0</v>
      </c>
      <c r="K50" s="89"/>
      <c r="L50" s="89"/>
    </row>
    <row r="51" ht="23.24853515625">
      <c r="A51" s="89"/>
      <c r="B51" s="186" t="s">
        <v>492</v>
      </c>
      <c r="C51" s="90">
        <f>C38+C39+C40+C41+C42+C43+C44+C45+C46+C47+C48+C49+C50</f>
        <v>21100</v>
      </c>
      <c r="D51" s="90">
        <f>D38+D39+D40+D41+D42+D43+D44+D45+D46+D47+D48+D49+D50</f>
        <v>33305</v>
      </c>
      <c r="E51" s="90">
        <f>E38+E39+E40+E41+E42+E43+E44+E45+E46+E47+E48+E49+E50</f>
        <v>-30564</v>
      </c>
      <c r="F51" s="90">
        <f>F38+F39+F40+F41+F42+F43+F44+F45+F46+F47+F48+F49+F50</f>
        <v>15873</v>
      </c>
      <c r="G51" s="90">
        <f>G38+G39+G40+G41+G42+G43+G44+G45+G46+G47+G48+G49+G50</f>
        <v>39714</v>
      </c>
      <c r="H51" s="90">
        <f>H38+H39+H40+H41+H42+H43+H44+H45+H46+H47+H48+H49+H50</f>
        <v>88303</v>
      </c>
      <c r="I51" s="90">
        <f>I38+I39+I40+I41+I42+I43+I44+I45+I46+I47+I48+I49+I50</f>
        <v>-38782</v>
      </c>
      <c r="J51" s="135">
        <f>J38+J39+J40+J41+J42+J43+J44+J45+J46+J47+J48+J49+J50</f>
        <v>-1608.5466817564397</v>
      </c>
      <c r="K51" s="89"/>
      <c r="L51" s="89"/>
    </row>
    <row r="52">
      <c r="A52" s="89"/>
      <c r="B52" s="88" t="s">
        <v>493</v>
      </c>
      <c r="C52" s="99" t="b">
        <f>ABS(C51-C100)&lt;0.5</f>
        <v>1</v>
      </c>
      <c r="D52" s="99" t="b">
        <f>ABS(D51-(D100-C100))&lt;0.5</f>
        <v>1</v>
      </c>
      <c r="E52" s="99" t="b">
        <f>ABS(E51-(E100-D100))&lt;0.5</f>
        <v>1</v>
      </c>
      <c r="F52" s="99" t="b">
        <f>ABS(F51-(F100-E100))&lt;0.5</f>
        <v>1</v>
      </c>
      <c r="G52" s="99" t="b">
        <f>ABS(G51-F100)&lt;0.5</f>
        <v>1</v>
      </c>
      <c r="H52" s="99" t="b">
        <f>ABS(H51-H100)&lt;0.5</f>
        <v>1</v>
      </c>
      <c r="I52" s="99" t="b">
        <f>ABS(I51-(I100-H100))&lt;0.5</f>
        <v>1</v>
      </c>
      <c r="J52" s="97"/>
      <c r="K52" s="89"/>
      <c r="L52" s="89"/>
    </row>
    <row r="53" ht="23.25">
      <c r="A53" s="89"/>
      <c r="B53" s="187" t="s">
        <v>494</v>
      </c>
      <c r="C53" s="95">
        <f>C101</f>
        <v>126</v>
      </c>
      <c r="D53" s="95">
        <f>D101-C101</f>
        <v>147</v>
      </c>
      <c r="E53" s="95">
        <f>E101-D101</f>
        <v>-72</v>
      </c>
      <c r="F53" s="95">
        <f>F101-E101</f>
        <v>20</v>
      </c>
      <c r="G53" s="95">
        <f>SUM(C53:F53)</f>
        <v>221</v>
      </c>
      <c r="H53" s="95">
        <f>H101</f>
        <v>-40</v>
      </c>
      <c r="I53" s="95">
        <f>I101-H101</f>
        <v>7</v>
      </c>
      <c r="J53" s="136">
        <v>0</v>
      </c>
      <c r="K53" s="89"/>
      <c r="L53" s="89"/>
    </row>
    <row r="54" ht="23.24853515625">
      <c r="A54" s="89"/>
      <c r="B54" s="186" t="s">
        <v>495</v>
      </c>
      <c r="C54" s="90">
        <f>C20+C35+C51+C53</f>
        <v>2834</v>
      </c>
      <c r="D54" s="90">
        <f>D20+D35+D51+D53</f>
        <v>-97</v>
      </c>
      <c r="E54" s="90">
        <f>E20+E35+E51+E53</f>
        <v>-670</v>
      </c>
      <c r="F54" s="90">
        <f>F20+F35+F51+F53</f>
        <v>315</v>
      </c>
      <c r="G54" s="90">
        <f>G20+G35+G51+G53</f>
        <v>2382</v>
      </c>
      <c r="H54" s="90">
        <f>H20+H35+H51+H53</f>
        <v>1527</v>
      </c>
      <c r="I54" s="90">
        <f>I20+I35+I51+I53</f>
        <v>1898</v>
      </c>
      <c r="J54" s="135">
        <f>J20+J35+J51+J53</f>
        <v>0.000000000015006662579253316</v>
      </c>
      <c r="K54" s="89"/>
      <c r="L54" s="89"/>
    </row>
    <row r="55" ht="23.25">
      <c r="A55" s="89"/>
      <c r="B55" s="187" t="s">
        <v>496</v>
      </c>
      <c r="C55" s="95">
        <f>C103</f>
        <v>5577</v>
      </c>
      <c r="D55" s="95">
        <f>C56</f>
        <v>8411</v>
      </c>
      <c r="E55" s="95">
        <f>D56</f>
        <v>8314</v>
      </c>
      <c r="F55" s="95">
        <f>E56</f>
        <v>7644</v>
      </c>
      <c r="G55" s="95">
        <f>C103</f>
        <v>5577</v>
      </c>
      <c r="H55" s="95">
        <f>F56</f>
        <v>7959</v>
      </c>
      <c r="I55" s="95">
        <f>H56</f>
        <v>9486</v>
      </c>
      <c r="J55" s="121">
        <f>I56</f>
        <v>11384</v>
      </c>
      <c r="K55" s="89"/>
      <c r="L55" s="89"/>
    </row>
    <row r="56" ht="23.25">
      <c r="A56" s="89"/>
      <c r="B56" s="186" t="s">
        <v>497</v>
      </c>
      <c r="C56" s="90">
        <f>C55+C54</f>
        <v>8411</v>
      </c>
      <c r="D56" s="90">
        <f>D55+D54</f>
        <v>8314</v>
      </c>
      <c r="E56" s="90">
        <f>E55+E54</f>
        <v>7644</v>
      </c>
      <c r="F56" s="90">
        <f>F55+F54</f>
        <v>7959</v>
      </c>
      <c r="G56" s="90">
        <f>G55+G54</f>
        <v>7959</v>
      </c>
      <c r="H56" s="90">
        <f>H55+H54</f>
        <v>9486</v>
      </c>
      <c r="I56" s="90">
        <f>I55+I54</f>
        <v>11384</v>
      </c>
      <c r="J56" s="135">
        <f>J55+J54</f>
        <v>11384.000000000015</v>
      </c>
      <c r="K56" s="89"/>
      <c r="L56" s="89"/>
    </row>
    <row r="57">
      <c r="A57" s="89"/>
      <c r="B57" s="88" t="s">
        <v>498</v>
      </c>
      <c r="C57" s="95">
        <f>C105</f>
        <v>3057</v>
      </c>
      <c r="D57" s="95">
        <f>D105</f>
        <v>2615</v>
      </c>
      <c r="E57" s="95">
        <f>E105</f>
        <v>2589</v>
      </c>
      <c r="F57" s="95">
        <f>F105</f>
        <v>2848</v>
      </c>
      <c r="G57" s="95">
        <f>F105</f>
        <v>2848</v>
      </c>
      <c r="H57" s="95">
        <f>H105</f>
        <v>3096</v>
      </c>
      <c r="I57" s="95">
        <f>I105</f>
        <v>3901</v>
      </c>
      <c r="J57" s="121">
        <f>I57</f>
        <v>3901</v>
      </c>
      <c r="K57" s="89"/>
      <c r="L57" s="94" t="s">
        <v>499</v>
      </c>
    </row>
    <row r="58" ht="23.25">
      <c r="A58" s="89"/>
      <c r="B58" s="186" t="s">
        <v>500</v>
      </c>
      <c r="C58" s="90">
        <f>C56-C57</f>
        <v>5354</v>
      </c>
      <c r="D58" s="90">
        <f>D56-D57</f>
        <v>5699</v>
      </c>
      <c r="E58" s="90">
        <f>E56-E57</f>
        <v>5055</v>
      </c>
      <c r="F58" s="90">
        <f>F56-F57</f>
        <v>5111</v>
      </c>
      <c r="G58" s="90">
        <f>G56-G57</f>
        <v>5111</v>
      </c>
      <c r="H58" s="90">
        <f>H56-H57</f>
        <v>6390</v>
      </c>
      <c r="I58" s="90">
        <f>I56-I57</f>
        <v>7483</v>
      </c>
      <c r="J58" s="135">
        <f>J56-J57</f>
        <v>7483.000000000015</v>
      </c>
      <c r="K58" s="89"/>
      <c r="L58" s="89"/>
    </row>
    <row r="59" ht="23.24853515625">
      <c r="A59" s="89"/>
      <c r="B59" s="187" t="s">
        <v>501</v>
      </c>
      <c r="C59" s="150" t="b">
        <f>ABS(C58-'Balance Sheet'!C11)&lt;0.5</f>
        <v>1</v>
      </c>
      <c r="D59" s="150" t="b">
        <f>ABS(D58-'Balance Sheet'!D11)&lt;0.5</f>
        <v>1</v>
      </c>
      <c r="E59" s="150" t="b">
        <f>ABS(E58-'Balance Sheet'!E11)&lt;0.5</f>
        <v>1</v>
      </c>
      <c r="F59" s="150" t="b">
        <f>ABS(F58-'Balance Sheet'!F11)&lt;0.5</f>
        <v>1</v>
      </c>
      <c r="G59" s="150" t="b">
        <f>ABS(G58-'Balance Sheet'!G11)&lt;0.5</f>
        <v>1</v>
      </c>
      <c r="H59" s="150" t="b">
        <f>ABS(H58-'Balance Sheet'!H11)&lt;0.5</f>
        <v>1</v>
      </c>
      <c r="I59" s="150" t="b">
        <f>ABS(I58-'Balance Sheet'!I11)&lt;0.5</f>
        <v>1</v>
      </c>
      <c r="J59" s="167" t="b">
        <f>ABS(J58-'Balance Sheet'!J11)&lt;0.5</f>
        <v>1</v>
      </c>
      <c r="K59" s="89"/>
      <c r="L59" s="181" t="s">
        <v>502</v>
      </c>
    </row>
    <row r="60" ht="23.25">
      <c r="A60" s="89"/>
      <c r="B60" s="187" t="s">
        <v>503</v>
      </c>
      <c r="C60" s="99" t="b">
        <f>ABS(C56-C104)&lt;0.5</f>
        <v>1</v>
      </c>
      <c r="D60" s="99" t="b">
        <f>ABS(D56-D104)&lt;0.5</f>
        <v>1</v>
      </c>
      <c r="E60" s="99" t="b">
        <f>ABS(E56-E104)&lt;0.5</f>
        <v>1</v>
      </c>
      <c r="F60" s="99" t="b">
        <f>ABS(F56-F104)&lt;0.5</f>
        <v>1</v>
      </c>
      <c r="G60" s="99" t="b">
        <f>ABS(G56-F104)&lt;0.5</f>
        <v>1</v>
      </c>
      <c r="H60" s="99" t="b">
        <f>ABS(H56-H104)&lt;0.5</f>
        <v>1</v>
      </c>
      <c r="I60" s="99" t="b">
        <f>ABS(I56-I104)&lt;0.5</f>
        <v>1</v>
      </c>
      <c r="J60" s="97"/>
      <c r="K60" s="89"/>
      <c r="L60" s="89"/>
    </row>
    <row r="61" ht="23.24853515625">
      <c r="A61" s="89"/>
      <c r="B61" s="187" t="s">
        <v>504</v>
      </c>
      <c r="C61" s="89"/>
      <c r="D61" s="89"/>
      <c r="E61" s="89"/>
      <c r="F61" s="89"/>
      <c r="G61" s="99" t="b">
        <f>ABS(G54-F102)&lt;0.5</f>
        <v>1</v>
      </c>
      <c r="H61" s="89"/>
      <c r="I61" s="89"/>
      <c r="J61" s="97"/>
      <c r="K61" s="89"/>
      <c r="L61" s="89"/>
    </row>
    <row r="62" ht="34.5">
      <c r="A62" s="89"/>
      <c r="B62" s="190" t="s">
        <v>505</v>
      </c>
      <c r="C62" s="146">
        <f>C20+C33</f>
        <v>92</v>
      </c>
      <c r="D62" s="146">
        <f>D20+D33</f>
        <v>1838</v>
      </c>
      <c r="E62" s="146">
        <f>E20+E33</f>
        <v>-1502</v>
      </c>
      <c r="F62" s="146">
        <f>F20+F33</f>
        <v>4749</v>
      </c>
      <c r="G62" s="146">
        <f>G20+G33</f>
        <v>5177</v>
      </c>
      <c r="H62" s="146">
        <f>H20+H33</f>
        <v>-3630</v>
      </c>
      <c r="I62" s="146">
        <f>I20+I33</f>
        <v>1975</v>
      </c>
      <c r="J62" s="151">
        <f>J20+J33</f>
        <v>1499.8899052455772</v>
      </c>
      <c r="K62" s="89"/>
      <c r="L62" s="89"/>
    </row>
    <row r="63">
      <c r="A63" s="89"/>
      <c r="B63" s="89"/>
      <c r="C63" s="89"/>
      <c r="D63" s="89"/>
      <c r="E63" s="89"/>
      <c r="F63" s="89"/>
      <c r="G63" s="89"/>
      <c r="H63" s="89"/>
      <c r="I63" s="89"/>
      <c r="J63" s="97"/>
      <c r="K63" s="89"/>
      <c r="L63" s="89"/>
    </row>
    <row r="64">
      <c r="A64" s="89"/>
      <c r="B64" s="104" t="s">
        <v>506</v>
      </c>
      <c r="C64" s="89"/>
      <c r="D64" s="89"/>
      <c r="E64" s="89"/>
      <c r="F64" s="89"/>
      <c r="G64" s="89"/>
      <c r="H64" s="89"/>
      <c r="I64" s="89"/>
      <c r="J64" s="97"/>
      <c r="K64" s="89"/>
      <c r="L64" s="89"/>
    </row>
    <row r="65">
      <c r="A65" s="89"/>
      <c r="B65" s="88" t="s">
        <v>446</v>
      </c>
      <c r="C65" s="86">
        <v>1222</v>
      </c>
      <c r="D65" s="86">
        <v>2657</v>
      </c>
      <c r="E65" s="86">
        <v>4114</v>
      </c>
      <c r="F65" s="86">
        <v>5583</v>
      </c>
      <c r="G65" s="89"/>
      <c r="H65" s="86">
        <v>1630</v>
      </c>
      <c r="I65" s="86">
        <v>3422</v>
      </c>
      <c r="J65" s="97"/>
      <c r="K65" s="89"/>
      <c r="L65" s="89"/>
    </row>
    <row r="66" ht="14.624267578125">
      <c r="A66" s="89"/>
      <c r="B66" s="187" t="s">
        <v>447</v>
      </c>
      <c r="C66" s="86">
        <v>-2</v>
      </c>
      <c r="D66" s="86">
        <v>-14</v>
      </c>
      <c r="E66" s="86">
        <v>-26</v>
      </c>
      <c r="F66" s="86">
        <v>-34</v>
      </c>
      <c r="G66" s="89"/>
      <c r="H66" s="86">
        <v>2</v>
      </c>
      <c r="I66" s="86">
        <v>-29</v>
      </c>
      <c r="J66" s="97"/>
      <c r="K66" s="89"/>
      <c r="L66" s="89"/>
    </row>
    <row r="67">
      <c r="A67" s="89"/>
      <c r="B67" s="88" t="s">
        <v>448</v>
      </c>
      <c r="C67" s="86">
        <v>18</v>
      </c>
      <c r="D67" s="86">
        <v>1</v>
      </c>
      <c r="E67" s="86">
        <v>-6</v>
      </c>
      <c r="F67" s="86">
        <v>-32</v>
      </c>
      <c r="G67" s="89"/>
      <c r="H67" s="86">
        <v>-7</v>
      </c>
      <c r="I67" s="86">
        <v>-15</v>
      </c>
      <c r="J67" s="97"/>
      <c r="K67" s="89"/>
      <c r="L67" s="89"/>
    </row>
    <row r="68">
      <c r="A68" s="89"/>
      <c r="B68" s="88" t="s">
        <v>449</v>
      </c>
      <c r="C68" s="86">
        <v>-1</v>
      </c>
      <c r="D68" s="86">
        <v>-1</v>
      </c>
      <c r="E68" s="86">
        <v>-3</v>
      </c>
      <c r="F68" s="86">
        <v>-5</v>
      </c>
      <c r="G68" s="89"/>
      <c r="H68" s="86">
        <v>-1</v>
      </c>
      <c r="I68" s="86">
        <v>-2</v>
      </c>
      <c r="J68" s="97"/>
      <c r="K68" s="89"/>
      <c r="L68" s="89"/>
    </row>
    <row r="69">
      <c r="A69" s="89"/>
      <c r="B69" s="88" t="s">
        <v>451</v>
      </c>
      <c r="C69" s="86">
        <v>446</v>
      </c>
      <c r="D69" s="86">
        <v>872</v>
      </c>
      <c r="E69" s="86">
        <v>1300</v>
      </c>
      <c r="F69" s="86">
        <v>1852</v>
      </c>
      <c r="G69" s="89"/>
      <c r="H69" s="86">
        <v>415</v>
      </c>
      <c r="I69" s="86">
        <v>813</v>
      </c>
      <c r="J69" s="97"/>
      <c r="K69" s="89"/>
      <c r="L69" s="89"/>
    </row>
    <row r="70">
      <c r="A70" s="89"/>
      <c r="B70" s="88" t="s">
        <v>453</v>
      </c>
      <c r="C70" s="86">
        <v>83</v>
      </c>
      <c r="D70" s="86">
        <v>203</v>
      </c>
      <c r="E70" s="86">
        <v>95</v>
      </c>
      <c r="F70" s="86">
        <v>99</v>
      </c>
      <c r="G70" s="89"/>
      <c r="H70" s="86">
        <v>-6</v>
      </c>
      <c r="I70" s="86">
        <v>-81</v>
      </c>
      <c r="J70" s="97"/>
      <c r="K70" s="89"/>
      <c r="L70" s="89"/>
    </row>
    <row r="71">
      <c r="A71" s="89"/>
      <c r="B71" s="88" t="s">
        <v>454</v>
      </c>
      <c r="C71" s="86">
        <v>0</v>
      </c>
      <c r="D71" s="86">
        <v>35</v>
      </c>
      <c r="E71" s="86">
        <v>65</v>
      </c>
      <c r="F71" s="86">
        <v>80</v>
      </c>
      <c r="G71" s="89"/>
      <c r="H71" s="86">
        <v>50</v>
      </c>
      <c r="I71" s="86">
        <v>75</v>
      </c>
      <c r="J71" s="97"/>
      <c r="K71" s="89"/>
      <c r="L71" s="89"/>
    </row>
    <row r="72" ht="14.624267578125">
      <c r="A72" s="89"/>
      <c r="B72" s="187" t="s">
        <v>455</v>
      </c>
      <c r="C72" s="86">
        <v>1709</v>
      </c>
      <c r="D72" s="86">
        <v>2633</v>
      </c>
      <c r="E72" s="86">
        <v>-1041</v>
      </c>
      <c r="F72" s="86">
        <v>984</v>
      </c>
      <c r="G72" s="89"/>
      <c r="H72" s="86">
        <v>-3570</v>
      </c>
      <c r="I72" s="86">
        <v>-3527</v>
      </c>
      <c r="J72" s="97"/>
      <c r="K72" s="89"/>
      <c r="L72" s="89"/>
    </row>
    <row r="73">
      <c r="A73" s="89"/>
      <c r="B73" s="88" t="s">
        <v>456</v>
      </c>
      <c r="C73" s="86">
        <v>-3063</v>
      </c>
      <c r="D73" s="86">
        <v>-3777</v>
      </c>
      <c r="E73" s="86">
        <v>-2953</v>
      </c>
      <c r="F73" s="86">
        <v>-1797</v>
      </c>
      <c r="G73" s="89"/>
      <c r="H73" s="86">
        <v>-1526</v>
      </c>
      <c r="I73" s="86">
        <v>-1207</v>
      </c>
      <c r="J73" s="97"/>
      <c r="K73" s="89"/>
      <c r="L73" s="89"/>
    </row>
    <row r="74" ht="23.25">
      <c r="A74" s="89"/>
      <c r="B74" s="187" t="s">
        <v>507</v>
      </c>
      <c r="C74" s="86">
        <v>412</v>
      </c>
      <c r="D74" s="86">
        <v>2609</v>
      </c>
      <c r="E74" s="86">
        <v>1545</v>
      </c>
      <c r="F74" s="86">
        <v>6730</v>
      </c>
      <c r="G74" s="89"/>
      <c r="H74" s="86">
        <v>-3013</v>
      </c>
      <c r="I74" s="86">
        <v>-551</v>
      </c>
      <c r="J74" s="97"/>
      <c r="K74" s="89"/>
      <c r="L74" s="89"/>
    </row>
    <row r="75" ht="23.25">
      <c r="A75" s="89"/>
      <c r="B75" s="187" t="s">
        <v>461</v>
      </c>
      <c r="C75" s="86">
        <v>-458</v>
      </c>
      <c r="D75" s="86">
        <v>-576</v>
      </c>
      <c r="E75" s="86">
        <v>385</v>
      </c>
      <c r="F75" s="86">
        <v>1341</v>
      </c>
      <c r="G75" s="89"/>
      <c r="H75" s="86">
        <v>-3010</v>
      </c>
      <c r="I75" s="86">
        <v>-965</v>
      </c>
      <c r="J75" s="97"/>
      <c r="K75" s="89"/>
      <c r="L75" s="89"/>
    </row>
    <row r="76" ht="23.24853515625">
      <c r="A76" s="89"/>
      <c r="B76" s="187" t="s">
        <v>463</v>
      </c>
      <c r="C76" s="86">
        <v>-11401</v>
      </c>
      <c r="D76" s="86">
        <v>-42122</v>
      </c>
      <c r="E76" s="86">
        <v>-13259</v>
      </c>
      <c r="F76" s="86">
        <v>-23196</v>
      </c>
      <c r="G76" s="89"/>
      <c r="H76" s="86">
        <v>-54679</v>
      </c>
      <c r="I76" s="86">
        <v>-24011</v>
      </c>
      <c r="J76" s="97"/>
      <c r="K76" s="89"/>
      <c r="L76" s="89"/>
    </row>
    <row r="77" ht="23.25">
      <c r="A77" s="89"/>
      <c r="B77" s="187" t="s">
        <v>465</v>
      </c>
      <c r="C77" s="86">
        <v>-164</v>
      </c>
      <c r="D77" s="86">
        <v>-4377</v>
      </c>
      <c r="E77" s="86">
        <v>-691</v>
      </c>
      <c r="F77" s="86">
        <v>-3714</v>
      </c>
      <c r="G77" s="89"/>
      <c r="H77" s="86">
        <v>1223</v>
      </c>
      <c r="I77" s="86">
        <v>-4049</v>
      </c>
      <c r="J77" s="97"/>
      <c r="K77" s="89"/>
      <c r="L77" s="89"/>
    </row>
    <row r="78" ht="23.25">
      <c r="A78" s="89"/>
      <c r="B78" s="187" t="s">
        <v>466</v>
      </c>
      <c r="C78" s="86">
        <v>-1262</v>
      </c>
      <c r="D78" s="86">
        <v>-2394</v>
      </c>
      <c r="E78" s="86">
        <v>-3726</v>
      </c>
      <c r="F78" s="86">
        <v>-5201</v>
      </c>
      <c r="G78" s="89"/>
      <c r="H78" s="86">
        <v>-3043</v>
      </c>
      <c r="I78" s="86">
        <v>-5135</v>
      </c>
      <c r="J78" s="97"/>
      <c r="K78" s="89"/>
      <c r="L78" s="89"/>
    </row>
    <row r="79" ht="23.24853515625">
      <c r="A79" s="89"/>
      <c r="B79" s="187" t="s">
        <v>467</v>
      </c>
      <c r="C79" s="86">
        <v>1597</v>
      </c>
      <c r="D79" s="86">
        <v>3383</v>
      </c>
      <c r="E79" s="86">
        <v>5299</v>
      </c>
      <c r="F79" s="86">
        <v>8009</v>
      </c>
      <c r="G79" s="89"/>
      <c r="H79" s="86">
        <v>2100</v>
      </c>
      <c r="I79" s="86">
        <v>5268</v>
      </c>
      <c r="J79" s="97"/>
      <c r="K79" s="89"/>
      <c r="L79" s="94" t="s">
        <v>508</v>
      </c>
    </row>
    <row r="80" ht="23.25">
      <c r="A80" s="89"/>
      <c r="B80" s="187" t="s">
        <v>468</v>
      </c>
      <c r="C80" s="86">
        <v>-12719</v>
      </c>
      <c r="D80" s="86">
        <v>-18730</v>
      </c>
      <c r="E80" s="86">
        <v>-28530</v>
      </c>
      <c r="F80" s="86">
        <v>-37549</v>
      </c>
      <c r="G80" s="89"/>
      <c r="H80" s="86">
        <v>-11489</v>
      </c>
      <c r="I80" s="86">
        <v>-19421</v>
      </c>
      <c r="J80" s="97"/>
      <c r="K80" s="89"/>
      <c r="L80" s="89"/>
    </row>
    <row r="81" ht="14.624267578125">
      <c r="A81" s="89"/>
      <c r="B81" s="187" t="s">
        <v>469</v>
      </c>
      <c r="C81" s="86">
        <v>2037</v>
      </c>
      <c r="D81" s="86">
        <v>5119</v>
      </c>
      <c r="E81" s="86">
        <v>9621</v>
      </c>
      <c r="F81" s="86">
        <v>11094</v>
      </c>
      <c r="G81" s="89"/>
      <c r="H81" s="86">
        <v>3031</v>
      </c>
      <c r="I81" s="86">
        <v>5939</v>
      </c>
      <c r="J81" s="97"/>
      <c r="K81" s="89"/>
      <c r="L81" s="89"/>
    </row>
    <row r="82" ht="23.24853515625">
      <c r="A82" s="89"/>
      <c r="B82" s="187" t="s">
        <v>470</v>
      </c>
      <c r="C82" s="86">
        <v>3632</v>
      </c>
      <c r="D82" s="86">
        <v>7517</v>
      </c>
      <c r="E82" s="86">
        <v>12003</v>
      </c>
      <c r="F82" s="86">
        <v>15834</v>
      </c>
      <c r="G82" s="89"/>
      <c r="H82" s="86">
        <v>3624</v>
      </c>
      <c r="I82" s="86">
        <v>7217</v>
      </c>
      <c r="J82" s="97"/>
      <c r="K82" s="89"/>
      <c r="L82" s="94" t="s">
        <v>509</v>
      </c>
    </row>
    <row r="83">
      <c r="A83" s="89"/>
      <c r="B83" s="88" t="s">
        <v>471</v>
      </c>
      <c r="C83" s="86">
        <v>222</v>
      </c>
      <c r="D83" s="86">
        <v>-1366</v>
      </c>
      <c r="E83" s="86">
        <v>-3489</v>
      </c>
      <c r="F83" s="86">
        <v>-8897</v>
      </c>
      <c r="G83" s="89"/>
      <c r="H83" s="86">
        <v>-20675</v>
      </c>
      <c r="I83" s="86">
        <v>-8204</v>
      </c>
      <c r="J83" s="97"/>
      <c r="K83" s="89"/>
      <c r="L83" s="89"/>
    </row>
    <row r="84" ht="23.24853515625">
      <c r="A84" s="89"/>
      <c r="B84" s="187" t="s">
        <v>472</v>
      </c>
      <c r="C84" s="86">
        <v>-320</v>
      </c>
      <c r="D84" s="86">
        <v>-679</v>
      </c>
      <c r="E84" s="86">
        <v>-1117</v>
      </c>
      <c r="F84" s="86">
        <v>-1553</v>
      </c>
      <c r="G84" s="89"/>
      <c r="H84" s="86">
        <v>-617</v>
      </c>
      <c r="I84" s="86">
        <v>-1104</v>
      </c>
      <c r="J84" s="97"/>
      <c r="K84" s="89"/>
      <c r="L84" s="89"/>
    </row>
    <row r="85">
      <c r="A85" s="89"/>
      <c r="B85" s="88" t="s">
        <v>474</v>
      </c>
      <c r="C85" s="86">
        <v>32</v>
      </c>
      <c r="D85" s="86">
        <v>-325</v>
      </c>
      <c r="E85" s="86">
        <v>-16</v>
      </c>
      <c r="F85" s="86">
        <v>-451</v>
      </c>
      <c r="G85" s="89"/>
      <c r="H85" s="86">
        <v>-188</v>
      </c>
      <c r="I85" s="86">
        <v>-1047</v>
      </c>
      <c r="J85" s="97"/>
      <c r="K85" s="89"/>
      <c r="L85" s="89"/>
    </row>
    <row r="86" ht="23.25">
      <c r="A86" s="89"/>
      <c r="B86" s="187" t="s">
        <v>510</v>
      </c>
      <c r="C86" s="86">
        <v>-18804</v>
      </c>
      <c r="D86" s="86">
        <v>-54550</v>
      </c>
      <c r="E86" s="86">
        <v>-23520</v>
      </c>
      <c r="F86" s="86">
        <v>-44283</v>
      </c>
      <c r="G86" s="89"/>
      <c r="H86" s="86">
        <v>-83723</v>
      </c>
      <c r="I86" s="86">
        <v>-45512</v>
      </c>
      <c r="J86" s="97"/>
      <c r="K86" s="89"/>
      <c r="L86" s="89"/>
    </row>
    <row r="87">
      <c r="A87" s="89"/>
      <c r="B87" s="88" t="s">
        <v>478</v>
      </c>
      <c r="C87" s="86">
        <v>16589</v>
      </c>
      <c r="D87" s="86">
        <v>49282</v>
      </c>
      <c r="E87" s="86">
        <v>18344</v>
      </c>
      <c r="F87" s="86">
        <v>35688</v>
      </c>
      <c r="G87" s="89"/>
      <c r="H87" s="86">
        <v>86206</v>
      </c>
      <c r="I87" s="86">
        <v>39890</v>
      </c>
      <c r="J87" s="97"/>
      <c r="K87" s="89"/>
      <c r="L87" s="89"/>
    </row>
    <row r="88" ht="23.25">
      <c r="A88" s="89"/>
      <c r="B88" s="187" t="s">
        <v>480</v>
      </c>
      <c r="C88" s="86">
        <v>1565</v>
      </c>
      <c r="D88" s="86">
        <v>1353</v>
      </c>
      <c r="E88" s="86">
        <v>2442</v>
      </c>
      <c r="F88" s="86">
        <v>4844</v>
      </c>
      <c r="G88" s="89"/>
      <c r="H88" s="86">
        <v>525</v>
      </c>
      <c r="I88" s="86">
        <v>7130</v>
      </c>
      <c r="J88" s="97"/>
      <c r="K88" s="89"/>
      <c r="L88" s="89"/>
    </row>
    <row r="89" ht="23.24853515625">
      <c r="A89" s="89"/>
      <c r="B89" s="187" t="s">
        <v>481</v>
      </c>
      <c r="C89" s="86">
        <v>2171</v>
      </c>
      <c r="D89" s="86">
        <v>1200</v>
      </c>
      <c r="E89" s="86">
        <v>3565</v>
      </c>
      <c r="F89" s="86">
        <v>1799</v>
      </c>
      <c r="G89" s="89"/>
      <c r="H89" s="86">
        <v>2882</v>
      </c>
      <c r="I89" s="86">
        <v>3862</v>
      </c>
      <c r="J89" s="97"/>
      <c r="K89" s="89"/>
      <c r="L89" s="89"/>
    </row>
    <row r="90">
      <c r="A90" s="89"/>
      <c r="B90" s="88" t="s">
        <v>482</v>
      </c>
      <c r="C90" s="86">
        <v>1361</v>
      </c>
      <c r="D90" s="86">
        <v>2061</v>
      </c>
      <c r="E90" s="86">
        <v>2063</v>
      </c>
      <c r="F90" s="86">
        <v>1702</v>
      </c>
      <c r="G90" s="89"/>
      <c r="H90" s="86">
        <v>-1001</v>
      </c>
      <c r="I90" s="86">
        <v>2813</v>
      </c>
      <c r="J90" s="97"/>
      <c r="K90" s="89"/>
      <c r="L90" s="89"/>
    </row>
    <row r="91">
      <c r="A91" s="89"/>
      <c r="B91" s="88" t="s">
        <v>483</v>
      </c>
      <c r="C91" s="86">
        <v>-22</v>
      </c>
      <c r="D91" s="86">
        <v>45</v>
      </c>
      <c r="E91" s="86">
        <v>37</v>
      </c>
      <c r="F91" s="86">
        <v>171</v>
      </c>
      <c r="G91" s="89"/>
      <c r="H91" s="86">
        <v>-232</v>
      </c>
      <c r="I91" s="86">
        <v>40</v>
      </c>
      <c r="J91" s="97"/>
      <c r="K91" s="89"/>
      <c r="L91" s="89"/>
    </row>
    <row r="92" ht="23.25">
      <c r="A92" s="89"/>
      <c r="B92" s="187" t="s">
        <v>484</v>
      </c>
      <c r="C92" s="86">
        <v>1247</v>
      </c>
      <c r="D92" s="86">
        <v>5737</v>
      </c>
      <c r="E92" s="86">
        <v>5737</v>
      </c>
      <c r="F92" s="86">
        <v>5737</v>
      </c>
      <c r="G92" s="89"/>
      <c r="H92" s="86">
        <v>1546</v>
      </c>
      <c r="I92" s="86">
        <v>3043</v>
      </c>
      <c r="J92" s="97"/>
      <c r="K92" s="89"/>
      <c r="L92" s="89"/>
    </row>
    <row r="93" ht="23.24853515625">
      <c r="A93" s="89"/>
      <c r="B93" s="187" t="s">
        <v>485</v>
      </c>
      <c r="C93" s="86">
        <v>-1650</v>
      </c>
      <c r="D93" s="86">
        <v>-3859</v>
      </c>
      <c r="E93" s="86">
        <v>-5109</v>
      </c>
      <c r="F93" s="86">
        <v>-5509</v>
      </c>
      <c r="G93" s="89"/>
      <c r="H93" s="86">
        <v>-700</v>
      </c>
      <c r="I93" s="86">
        <v>-4203</v>
      </c>
      <c r="J93" s="97"/>
      <c r="K93" s="89"/>
      <c r="L93" s="89"/>
    </row>
    <row r="94">
      <c r="A94" s="89"/>
      <c r="B94" s="88" t="s">
        <v>486</v>
      </c>
      <c r="C94" s="86">
        <v>4</v>
      </c>
      <c r="D94" s="86">
        <v>9</v>
      </c>
      <c r="E94" s="86">
        <v>14</v>
      </c>
      <c r="F94" s="86">
        <v>19</v>
      </c>
      <c r="G94" s="89"/>
      <c r="H94" s="86">
        <v>5</v>
      </c>
      <c r="I94" s="86">
        <v>10</v>
      </c>
      <c r="J94" s="97"/>
      <c r="K94" s="89"/>
      <c r="L94" s="89"/>
    </row>
    <row r="95">
      <c r="A95" s="89"/>
      <c r="B95" s="88" t="s">
        <v>487</v>
      </c>
      <c r="C95" s="86">
        <v>-746</v>
      </c>
      <c r="D95" s="86">
        <v>-1641</v>
      </c>
      <c r="E95" s="86">
        <v>-2490</v>
      </c>
      <c r="F95" s="86">
        <v>-3535</v>
      </c>
      <c r="G95" s="89"/>
      <c r="H95" s="86">
        <v>-983</v>
      </c>
      <c r="I95" s="86">
        <v>-2086</v>
      </c>
      <c r="J95" s="97"/>
      <c r="K95" s="89"/>
      <c r="L95" s="89"/>
    </row>
    <row r="96">
      <c r="A96" s="89"/>
      <c r="B96" s="88" t="s">
        <v>488</v>
      </c>
      <c r="C96" s="86">
        <v>988</v>
      </c>
      <c r="D96" s="86">
        <v>988</v>
      </c>
      <c r="E96" s="86">
        <v>1483</v>
      </c>
      <c r="F96" s="86">
        <v>1483</v>
      </c>
      <c r="G96" s="89"/>
      <c r="H96" s="86">
        <v>495</v>
      </c>
      <c r="I96" s="86">
        <v>495</v>
      </c>
      <c r="J96" s="97"/>
      <c r="K96" s="89"/>
      <c r="L96" s="89"/>
    </row>
    <row r="97">
      <c r="A97" s="89"/>
      <c r="B97" s="88" t="s">
        <v>489</v>
      </c>
      <c r="C97" s="86">
        <v>0</v>
      </c>
      <c r="D97" s="86">
        <v>0</v>
      </c>
      <c r="E97" s="86">
        <v>-1000</v>
      </c>
      <c r="F97" s="86">
        <v>-1000</v>
      </c>
      <c r="G97" s="89"/>
      <c r="H97" s="86">
        <v>0</v>
      </c>
      <c r="I97" s="86">
        <v>-583</v>
      </c>
      <c r="J97" s="97"/>
      <c r="K97" s="89"/>
      <c r="L97" s="89"/>
    </row>
    <row r="98" ht="23.25">
      <c r="A98" s="89"/>
      <c r="B98" s="187" t="s">
        <v>490</v>
      </c>
      <c r="C98" s="86">
        <v>-414</v>
      </c>
      <c r="D98" s="86">
        <v>-792</v>
      </c>
      <c r="E98" s="86">
        <v>-1269</v>
      </c>
      <c r="F98" s="86">
        <v>-1685</v>
      </c>
      <c r="G98" s="89"/>
      <c r="H98" s="86">
        <v>-434</v>
      </c>
      <c r="I98" s="86">
        <v>-887</v>
      </c>
      <c r="J98" s="97"/>
      <c r="K98" s="89"/>
      <c r="L98" s="94" t="s">
        <v>511</v>
      </c>
    </row>
    <row r="99">
      <c r="A99" s="89"/>
      <c r="B99" s="88" t="s">
        <v>491</v>
      </c>
      <c r="C99" s="86">
        <v>7</v>
      </c>
      <c r="D99" s="86">
        <v>22</v>
      </c>
      <c r="E99" s="86">
        <v>24</v>
      </c>
      <c r="F99" s="86">
        <v>0</v>
      </c>
      <c r="G99" s="89"/>
      <c r="H99" s="86">
        <v>-6</v>
      </c>
      <c r="I99" s="86">
        <v>-3</v>
      </c>
      <c r="J99" s="97"/>
      <c r="K99" s="89"/>
      <c r="L99" s="89"/>
    </row>
    <row r="100" ht="23.25">
      <c r="A100" s="89"/>
      <c r="B100" s="187" t="s">
        <v>512</v>
      </c>
      <c r="C100" s="86">
        <v>21100</v>
      </c>
      <c r="D100" s="86">
        <v>54405</v>
      </c>
      <c r="E100" s="86">
        <v>23841</v>
      </c>
      <c r="F100" s="86">
        <v>39714</v>
      </c>
      <c r="G100" s="89"/>
      <c r="H100" s="86">
        <v>88303</v>
      </c>
      <c r="I100" s="86">
        <v>49521</v>
      </c>
      <c r="J100" s="97"/>
      <c r="K100" s="89"/>
      <c r="L100" s="89"/>
    </row>
    <row r="101">
      <c r="A101" s="89"/>
      <c r="B101" s="88" t="s">
        <v>513</v>
      </c>
      <c r="C101" s="86">
        <v>126</v>
      </c>
      <c r="D101" s="86">
        <v>273</v>
      </c>
      <c r="E101" s="86">
        <v>201</v>
      </c>
      <c r="F101" s="86">
        <v>221</v>
      </c>
      <c r="G101" s="89"/>
      <c r="H101" s="86">
        <v>-40</v>
      </c>
      <c r="I101" s="86">
        <v>-33</v>
      </c>
      <c r="J101" s="97"/>
      <c r="K101" s="89"/>
      <c r="L101" s="89"/>
    </row>
    <row r="102" ht="23.25">
      <c r="A102" s="89"/>
      <c r="B102" s="187" t="s">
        <v>514</v>
      </c>
      <c r="C102" s="86">
        <v>2834</v>
      </c>
      <c r="D102" s="86">
        <v>2737</v>
      </c>
      <c r="E102" s="86">
        <v>2067</v>
      </c>
      <c r="F102" s="86">
        <v>2382</v>
      </c>
      <c r="G102" s="89"/>
      <c r="H102" s="86">
        <v>1527</v>
      </c>
      <c r="I102" s="86">
        <v>3425</v>
      </c>
      <c r="J102" s="97"/>
      <c r="K102" s="89"/>
      <c r="L102" s="89"/>
    </row>
    <row r="103" ht="23.25">
      <c r="A103" s="89"/>
      <c r="B103" s="187" t="s">
        <v>515</v>
      </c>
      <c r="C103" s="86">
        <v>5577</v>
      </c>
      <c r="D103" s="86">
        <v>5577</v>
      </c>
      <c r="E103" s="86">
        <v>5577</v>
      </c>
      <c r="F103" s="86">
        <v>5577</v>
      </c>
      <c r="G103" s="89"/>
      <c r="H103" s="86">
        <v>7959</v>
      </c>
      <c r="I103" s="86">
        <v>7959</v>
      </c>
      <c r="J103" s="97"/>
      <c r="K103" s="89"/>
      <c r="L103" s="89"/>
    </row>
    <row r="104" ht="23.25">
      <c r="A104" s="89"/>
      <c r="B104" s="187" t="s">
        <v>516</v>
      </c>
      <c r="C104" s="86">
        <v>8411</v>
      </c>
      <c r="D104" s="86">
        <v>8314</v>
      </c>
      <c r="E104" s="86">
        <v>7644</v>
      </c>
      <c r="F104" s="86">
        <v>7959</v>
      </c>
      <c r="G104" s="89"/>
      <c r="H104" s="86">
        <v>9486</v>
      </c>
      <c r="I104" s="86">
        <v>11384</v>
      </c>
      <c r="J104" s="97"/>
      <c r="K104" s="89"/>
      <c r="L104" s="89"/>
    </row>
    <row r="105" ht="23.25">
      <c r="A105" s="89"/>
      <c r="B105" s="187" t="s">
        <v>517</v>
      </c>
      <c r="C105" s="86">
        <v>3057</v>
      </c>
      <c r="D105" s="86">
        <v>2615</v>
      </c>
      <c r="E105" s="86">
        <v>2589</v>
      </c>
      <c r="F105" s="86">
        <v>2848</v>
      </c>
      <c r="G105" s="89"/>
      <c r="H105" s="86">
        <v>3096</v>
      </c>
      <c r="I105" s="86">
        <v>3901</v>
      </c>
      <c r="J105" s="97"/>
      <c r="K105" s="89"/>
      <c r="L105" s="89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4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518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519</v>
      </c>
      <c r="C10" s="89"/>
      <c r="D10" s="89"/>
      <c r="E10" s="89"/>
      <c r="F10" s="89"/>
      <c r="G10" s="89"/>
      <c r="H10" s="89"/>
      <c r="I10" s="89"/>
      <c r="J10" s="97"/>
      <c r="K10" s="89"/>
      <c r="L10" s="89"/>
    </row>
    <row r="11">
      <c r="A11" s="89"/>
      <c r="B11" s="104" t="s">
        <v>18</v>
      </c>
      <c r="C11" s="111">
        <f>'Income Statement'!C163</f>
        <v>4792</v>
      </c>
      <c r="D11" s="111">
        <f>'Income Statement'!D163</f>
        <v>5028</v>
      </c>
      <c r="E11" s="111">
        <f>'Income Statement'!E163</f>
        <v>5081</v>
      </c>
      <c r="F11" s="111">
        <f>'Income Statement'!F163</f>
        <v>5179</v>
      </c>
      <c r="G11" s="111">
        <f>'Income Statement'!G163</f>
        <v>20080</v>
      </c>
      <c r="H11" s="111">
        <f>'Income Statement'!H163</f>
        <v>5409</v>
      </c>
      <c r="I11" s="111">
        <f>'Income Statement'!I163</f>
        <v>5698</v>
      </c>
      <c r="J11" s="134">
        <f>'Income Statement'!J163</f>
        <v>5576.653724673817</v>
      </c>
      <c r="K11" s="89"/>
      <c r="L11" s="89"/>
    </row>
    <row r="12" ht="23.24853515625">
      <c r="A12" s="89"/>
      <c r="B12" s="190" t="s">
        <v>520</v>
      </c>
      <c r="C12" s="96">
        <v>0.33</v>
      </c>
      <c r="D12" s="96">
        <v>0.36</v>
      </c>
      <c r="E12" s="96">
        <v>0.35</v>
      </c>
      <c r="F12" s="96">
        <v>0.36</v>
      </c>
      <c r="G12" s="92">
        <f>G15/G11</f>
        <v>0.3503102589641434</v>
      </c>
      <c r="H12" s="96">
        <v>0.36</v>
      </c>
      <c r="I12" s="96">
        <v>0.37</v>
      </c>
      <c r="J12" s="148">
        <v>0.36</v>
      </c>
      <c r="K12" s="89"/>
      <c r="L12" s="94" t="s">
        <v>521</v>
      </c>
    </row>
    <row r="13">
      <c r="A13" s="89"/>
      <c r="B13" s="88" t="s">
        <v>108</v>
      </c>
      <c r="C13" s="103" t="s">
        <v>51</v>
      </c>
      <c r="D13" s="103">
        <f>(D12-C12)*10000</f>
        <v>299.9999999999997</v>
      </c>
      <c r="E13" s="103">
        <f>(E12-D12)*10000</f>
        <v>-100.00000000000009</v>
      </c>
      <c r="F13" s="103">
        <f>(F12-E12)*10000</f>
        <v>100.00000000000009</v>
      </c>
      <c r="G13" s="103" t="s">
        <v>51</v>
      </c>
      <c r="H13" s="103">
        <f>(H12-F12)*10000</f>
        <v>0</v>
      </c>
      <c r="I13" s="103">
        <f>(I12-H12)*10000</f>
        <v>100.00000000000009</v>
      </c>
      <c r="J13" s="128">
        <f>(J12-I12)*10000</f>
        <v>-100.00000000000009</v>
      </c>
      <c r="K13" s="89"/>
      <c r="L13" s="89"/>
    </row>
    <row r="14">
      <c r="A14" s="89"/>
      <c r="B14" s="88" t="s">
        <v>109</v>
      </c>
      <c r="C14" s="103" t="s">
        <v>51</v>
      </c>
      <c r="D14" s="103" t="s">
        <v>51</v>
      </c>
      <c r="E14" s="103" t="s">
        <v>51</v>
      </c>
      <c r="F14" s="103" t="s">
        <v>51</v>
      </c>
      <c r="G14" s="103" t="s">
        <v>51</v>
      </c>
      <c r="H14" s="103">
        <f>(H12-C12)*10000</f>
        <v>299.9999999999997</v>
      </c>
      <c r="I14" s="103">
        <f>(I12-D12)*10000</f>
        <v>100.00000000000009</v>
      </c>
      <c r="J14" s="128">
        <f>(J12-E12)*10000</f>
        <v>100.00000000000009</v>
      </c>
      <c r="K14" s="89"/>
      <c r="L14" s="89"/>
    </row>
    <row r="15">
      <c r="A15" s="89"/>
      <c r="B15" s="88" t="s">
        <v>522</v>
      </c>
      <c r="C15" s="95">
        <f>C11*C12</f>
        <v>1581.3600000000001</v>
      </c>
      <c r="D15" s="95">
        <f>D11*D12</f>
        <v>1810.08</v>
      </c>
      <c r="E15" s="95">
        <f>E11*E12</f>
        <v>1778.35</v>
      </c>
      <c r="F15" s="95">
        <f>F11*F12</f>
        <v>1864.4399999999998</v>
      </c>
      <c r="G15" s="95">
        <f>SUM(C15:F15)</f>
        <v>7034.23</v>
      </c>
      <c r="H15" s="95">
        <f>H11*H12</f>
        <v>1947.24</v>
      </c>
      <c r="I15" s="95">
        <f>I11*I12</f>
        <v>2108.2599999999998</v>
      </c>
      <c r="J15" s="121">
        <f>J11*J12</f>
        <v>2007.5953408825742</v>
      </c>
      <c r="K15" s="89"/>
      <c r="L15" s="89"/>
    </row>
    <row r="16">
      <c r="A16" s="89"/>
      <c r="B16" s="87" t="s">
        <v>63</v>
      </c>
      <c r="C16" s="92" t="s">
        <v>51</v>
      </c>
      <c r="D16" s="92" t="s">
        <v>51</v>
      </c>
      <c r="E16" s="92" t="s">
        <v>51</v>
      </c>
      <c r="F16" s="92" t="s">
        <v>51</v>
      </c>
      <c r="G16" s="92" t="s">
        <v>51</v>
      </c>
      <c r="H16" s="92">
        <f>IF(C15&lt;=0,"n.m.",H15/C15-1)</f>
        <v>0.23137046592806176</v>
      </c>
      <c r="I16" s="92">
        <f>IF(D15&lt;=0,"n.m.",I15/D15-1)</f>
        <v>0.1647330504729072</v>
      </c>
      <c r="J16" s="91">
        <f>IF(E15&lt;=0,"n.m.",J15/E15-1)</f>
        <v>0.12890901165832047</v>
      </c>
      <c r="K16" s="89"/>
      <c r="L16" s="89"/>
    </row>
    <row r="17">
      <c r="A17" s="89"/>
      <c r="B17" s="87" t="s">
        <v>64</v>
      </c>
      <c r="C17" s="92" t="s">
        <v>51</v>
      </c>
      <c r="D17" s="92">
        <f>IF(C15&lt;=0,"n.m.",D15/C15-1)</f>
        <v>0.14463499772347843</v>
      </c>
      <c r="E17" s="92">
        <f>IF(D15&lt;=0,"n.m.",E15/D15-1)</f>
        <v>-0.017529611950853008</v>
      </c>
      <c r="F17" s="92">
        <f>IF(E15&lt;=0,"n.m.",F15/E15-1)</f>
        <v>0.0484100430174037</v>
      </c>
      <c r="G17" s="92" t="s">
        <v>51</v>
      </c>
      <c r="H17" s="92">
        <f>IF(F15&lt;=0,"n.m.",H15/F15-1)</f>
        <v>0.04441011778335602</v>
      </c>
      <c r="I17" s="92">
        <f>IF(H15&lt;=0,"n.m.",I15/H15-1)</f>
        <v>0.08269139910848167</v>
      </c>
      <c r="J17" s="91">
        <f>IF(I15&lt;=0,"n.m.",J15/I15-1)</f>
        <v>-0.047747744166955486</v>
      </c>
      <c r="K17" s="89"/>
      <c r="L17" s="89"/>
    </row>
    <row r="18">
      <c r="A18" s="89"/>
      <c r="B18" s="87" t="s">
        <v>65</v>
      </c>
      <c r="C18" s="92">
        <f>IF(C11=0,"n.m.",C15/C11)</f>
        <v>0.33</v>
      </c>
      <c r="D18" s="92">
        <f>IF(D11=0,"n.m.",D15/D11)</f>
        <v>0.36</v>
      </c>
      <c r="E18" s="92">
        <f>IF(E11=0,"n.m.",E15/E11)</f>
        <v>0.35</v>
      </c>
      <c r="F18" s="92">
        <f>IF(F11=0,"n.m.",F15/F11)</f>
        <v>0.36</v>
      </c>
      <c r="G18" s="92">
        <f>IF(G11=0,"n.m.",G15/G11)</f>
        <v>0.3503102589641434</v>
      </c>
      <c r="H18" s="92">
        <f>IF(H11=0,"n.m.",H15/H11)</f>
        <v>0.36</v>
      </c>
      <c r="I18" s="92">
        <f>IF(I11=0,"n.m.",I15/I11)</f>
        <v>0.36999999999999994</v>
      </c>
      <c r="J18" s="91">
        <f>IF(J11=0,"n.m.",J15/J11)</f>
        <v>0.36</v>
      </c>
      <c r="K18" s="89"/>
      <c r="L18" s="89"/>
    </row>
    <row r="19">
      <c r="A19" s="89"/>
      <c r="B19" s="87" t="s">
        <v>66</v>
      </c>
      <c r="C19" s="92" t="s">
        <v>67</v>
      </c>
      <c r="D19" s="92" t="s">
        <v>67</v>
      </c>
      <c r="E19" s="92" t="s">
        <v>67</v>
      </c>
      <c r="F19" s="92" t="s">
        <v>67</v>
      </c>
      <c r="G19" s="92" t="s">
        <v>67</v>
      </c>
      <c r="H19" s="92" t="s">
        <v>67</v>
      </c>
      <c r="I19" s="92" t="s">
        <v>67</v>
      </c>
      <c r="J19" s="91" t="s">
        <v>67</v>
      </c>
      <c r="K19" s="89"/>
      <c r="L19" s="94" t="s">
        <v>68</v>
      </c>
    </row>
    <row r="20">
      <c r="A20" s="89"/>
      <c r="B20" s="87" t="s">
        <v>69</v>
      </c>
      <c r="C20" s="92" t="s">
        <v>67</v>
      </c>
      <c r="D20" s="92" t="s">
        <v>67</v>
      </c>
      <c r="E20" s="92" t="s">
        <v>67</v>
      </c>
      <c r="F20" s="92" t="s">
        <v>67</v>
      </c>
      <c r="G20" s="92" t="s">
        <v>67</v>
      </c>
      <c r="H20" s="92" t="s">
        <v>67</v>
      </c>
      <c r="I20" s="92" t="s">
        <v>67</v>
      </c>
      <c r="J20" s="91" t="s">
        <v>67</v>
      </c>
      <c r="K20" s="89"/>
      <c r="L20" s="94" t="s">
        <v>70</v>
      </c>
    </row>
    <row r="21">
      <c r="A21" s="89"/>
      <c r="B21" s="87" t="s">
        <v>71</v>
      </c>
      <c r="C21" s="92" t="s">
        <v>67</v>
      </c>
      <c r="D21" s="92" t="s">
        <v>67</v>
      </c>
      <c r="E21" s="92" t="s">
        <v>67</v>
      </c>
      <c r="F21" s="92" t="s">
        <v>67</v>
      </c>
      <c r="G21" s="92" t="s">
        <v>67</v>
      </c>
      <c r="H21" s="92" t="s">
        <v>67</v>
      </c>
      <c r="I21" s="92" t="s">
        <v>67</v>
      </c>
      <c r="J21" s="91" t="s">
        <v>67</v>
      </c>
      <c r="K21" s="89"/>
      <c r="L21" s="94" t="s">
        <v>72</v>
      </c>
    </row>
    <row r="22">
      <c r="A22" s="89"/>
      <c r="B22" s="88" t="s">
        <v>523</v>
      </c>
      <c r="C22" s="95">
        <f>C11-C15</f>
        <v>3210.64</v>
      </c>
      <c r="D22" s="95">
        <f>D11-D15</f>
        <v>3217.92</v>
      </c>
      <c r="E22" s="95">
        <f>E11-E15</f>
        <v>3302.65</v>
      </c>
      <c r="F22" s="95">
        <f>F11-F15</f>
        <v>3314.5600000000004</v>
      </c>
      <c r="G22" s="95">
        <f>G11-G15</f>
        <v>13045.77</v>
      </c>
      <c r="H22" s="95">
        <f>H11-H15</f>
        <v>3461.76</v>
      </c>
      <c r="I22" s="95">
        <f>I11-I15</f>
        <v>3589.7400000000002</v>
      </c>
      <c r="J22" s="121">
        <f>J11-J15</f>
        <v>3569.0583837912427</v>
      </c>
      <c r="K22" s="89"/>
      <c r="L22" s="89"/>
    </row>
    <row r="23">
      <c r="A23" s="89"/>
      <c r="B23" s="87" t="s">
        <v>63</v>
      </c>
      <c r="C23" s="92" t="s">
        <v>51</v>
      </c>
      <c r="D23" s="92" t="s">
        <v>51</v>
      </c>
      <c r="E23" s="92" t="s">
        <v>51</v>
      </c>
      <c r="F23" s="92" t="s">
        <v>51</v>
      </c>
      <c r="G23" s="92" t="s">
        <v>51</v>
      </c>
      <c r="H23" s="92">
        <f>IF(C22&lt;=0,"n.m.",H22/C22-1)</f>
        <v>0.07821493533999457</v>
      </c>
      <c r="I23" s="92">
        <f>IF(D22&lt;=0,"n.m.",I22/D22-1)</f>
        <v>0.11554668854415273</v>
      </c>
      <c r="J23" s="91">
        <f>IF(E22&lt;=0,"n.m.",J22/E22-1)</f>
        <v>0.08066503680112724</v>
      </c>
      <c r="K23" s="89"/>
      <c r="L23" s="89"/>
    </row>
    <row r="24">
      <c r="A24" s="89"/>
      <c r="B24" s="87" t="s">
        <v>64</v>
      </c>
      <c r="C24" s="92" t="s">
        <v>51</v>
      </c>
      <c r="D24" s="92">
        <f>IF(C22&lt;=0,"n.m.",D22/C22-1)</f>
        <v>0.002267460693195167</v>
      </c>
      <c r="E24" s="92">
        <f>IF(D22&lt;=0,"n.m.",E22/D22-1)</f>
        <v>0.02633067322991245</v>
      </c>
      <c r="F24" s="92">
        <f>IF(E22&lt;=0,"n.m.",F22/E22-1)</f>
        <v>0.003606195025207093</v>
      </c>
      <c r="G24" s="92" t="s">
        <v>51</v>
      </c>
      <c r="H24" s="92">
        <f>IF(F22&lt;=0,"n.m.",H22/F22-1)</f>
        <v>0.044410117783355796</v>
      </c>
      <c r="I24" s="92">
        <f>IF(H22&lt;=0,"n.m.",I22/H22-1)</f>
        <v>0.03696963394342756</v>
      </c>
      <c r="J24" s="91">
        <f>IF(I22&lt;=0,"n.m.",J22/I22-1)</f>
        <v>-0.005761313133752721</v>
      </c>
      <c r="K24" s="89"/>
      <c r="L24" s="89"/>
    </row>
    <row r="25">
      <c r="A25" s="89"/>
      <c r="B25" s="87" t="s">
        <v>65</v>
      </c>
      <c r="C25" s="92">
        <f>IF(C11=0,"n.m.",C22/C11)</f>
        <v>0.6699999999999999</v>
      </c>
      <c r="D25" s="92">
        <f>IF(D11=0,"n.m.",D22/D11)</f>
        <v>0.64</v>
      </c>
      <c r="E25" s="92">
        <f>IF(E11=0,"n.m.",E22/E11)</f>
        <v>0.65</v>
      </c>
      <c r="F25" s="92">
        <f>IF(F11=0,"n.m.",F22/F11)</f>
        <v>0.6400000000000001</v>
      </c>
      <c r="G25" s="92">
        <f>IF(G11=0,"n.m.",G22/G11)</f>
        <v>0.6496897410358566</v>
      </c>
      <c r="H25" s="92">
        <f>IF(H11=0,"n.m.",H22/H11)</f>
        <v>0.64</v>
      </c>
      <c r="I25" s="92">
        <f>IF(I11=0,"n.m.",I22/I11)</f>
        <v>0.63</v>
      </c>
      <c r="J25" s="91">
        <f>IF(J11=0,"n.m.",J22/J11)</f>
        <v>0.6399999999999999</v>
      </c>
      <c r="K25" s="89"/>
      <c r="L25" s="89"/>
    </row>
    <row r="26">
      <c r="A26" s="89"/>
      <c r="B26" s="87" t="s">
        <v>66</v>
      </c>
      <c r="C26" s="92" t="s">
        <v>67</v>
      </c>
      <c r="D26" s="92" t="s">
        <v>67</v>
      </c>
      <c r="E26" s="92" t="s">
        <v>67</v>
      </c>
      <c r="F26" s="92" t="s">
        <v>67</v>
      </c>
      <c r="G26" s="92" t="s">
        <v>67</v>
      </c>
      <c r="H26" s="92" t="s">
        <v>67</v>
      </c>
      <c r="I26" s="92" t="s">
        <v>67</v>
      </c>
      <c r="J26" s="91" t="s">
        <v>67</v>
      </c>
      <c r="K26" s="89"/>
      <c r="L26" s="94" t="s">
        <v>68</v>
      </c>
    </row>
    <row r="27">
      <c r="A27" s="89"/>
      <c r="B27" s="87" t="s">
        <v>69</v>
      </c>
      <c r="C27" s="92" t="s">
        <v>67</v>
      </c>
      <c r="D27" s="92" t="s">
        <v>67</v>
      </c>
      <c r="E27" s="92" t="s">
        <v>67</v>
      </c>
      <c r="F27" s="92" t="s">
        <v>67</v>
      </c>
      <c r="G27" s="92" t="s">
        <v>67</v>
      </c>
      <c r="H27" s="92" t="s">
        <v>67</v>
      </c>
      <c r="I27" s="92" t="s">
        <v>67</v>
      </c>
      <c r="J27" s="91" t="s">
        <v>67</v>
      </c>
      <c r="K27" s="89"/>
      <c r="L27" s="94" t="s">
        <v>70</v>
      </c>
    </row>
    <row r="28">
      <c r="A28" s="89"/>
      <c r="B28" s="87" t="s">
        <v>71</v>
      </c>
      <c r="C28" s="92" t="s">
        <v>67</v>
      </c>
      <c r="D28" s="92" t="s">
        <v>67</v>
      </c>
      <c r="E28" s="92" t="s">
        <v>67</v>
      </c>
      <c r="F28" s="92" t="s">
        <v>67</v>
      </c>
      <c r="G28" s="92" t="s">
        <v>67</v>
      </c>
      <c r="H28" s="92" t="s">
        <v>67</v>
      </c>
      <c r="I28" s="92" t="s">
        <v>67</v>
      </c>
      <c r="J28" s="91" t="s">
        <v>67</v>
      </c>
      <c r="K28" s="89"/>
      <c r="L28" s="94" t="s">
        <v>72</v>
      </c>
    </row>
    <row r="29">
      <c r="A29" s="89"/>
      <c r="B29" s="104" t="s">
        <v>524</v>
      </c>
      <c r="C29" s="90">
        <f>C22+C15</f>
        <v>4792</v>
      </c>
      <c r="D29" s="90">
        <f>D22+D15</f>
        <v>5028</v>
      </c>
      <c r="E29" s="90">
        <f>E22+E15</f>
        <v>5081</v>
      </c>
      <c r="F29" s="90">
        <f>F22+F15</f>
        <v>5179</v>
      </c>
      <c r="G29" s="90">
        <f>G22+G15</f>
        <v>20080</v>
      </c>
      <c r="H29" s="90">
        <f>H22+H15</f>
        <v>5409</v>
      </c>
      <c r="I29" s="90">
        <f>I22+I15</f>
        <v>5698</v>
      </c>
      <c r="J29" s="135">
        <f>J22+J15</f>
        <v>5576.653724673817</v>
      </c>
      <c r="K29" s="89"/>
      <c r="L29" s="89"/>
    </row>
    <row r="30" ht="23.25">
      <c r="A30" s="89"/>
      <c r="B30" s="187" t="s">
        <v>525</v>
      </c>
      <c r="C30" s="99" t="b">
        <f>ABS(C29-C11)&lt;0.5</f>
        <v>1</v>
      </c>
      <c r="D30" s="99" t="b">
        <f>ABS(D29-D11)&lt;0.5</f>
        <v>1</v>
      </c>
      <c r="E30" s="99" t="b">
        <f>ABS(E29-E11)&lt;0.5</f>
        <v>1</v>
      </c>
      <c r="F30" s="99" t="b">
        <f>ABS(F29-F11)&lt;0.5</f>
        <v>1</v>
      </c>
      <c r="G30" s="99" t="b">
        <f>ABS(G29-G11)&lt;0.5</f>
        <v>1</v>
      </c>
      <c r="H30" s="99" t="b">
        <f>ABS(H29-H11)&lt;0.5</f>
        <v>1</v>
      </c>
      <c r="I30" s="99" t="b">
        <f>ABS(I29-I11)&lt;0.5</f>
        <v>1</v>
      </c>
      <c r="J30" s="139" t="b">
        <f>ABS(J29-J11)&lt;0.5</f>
        <v>1</v>
      </c>
      <c r="K30" s="89"/>
      <c r="L30" s="181" t="s">
        <v>526</v>
      </c>
    </row>
    <row r="31" ht="23.24853515625">
      <c r="A31" s="89"/>
      <c r="B31" s="190" t="s">
        <v>527</v>
      </c>
      <c r="C31" s="89"/>
      <c r="D31" s="89"/>
      <c r="E31" s="89"/>
      <c r="F31" s="89"/>
      <c r="G31" s="96">
        <v>0.35</v>
      </c>
      <c r="H31" s="89"/>
      <c r="I31" s="89"/>
      <c r="J31" s="97"/>
      <c r="K31" s="89"/>
      <c r="L31" s="89"/>
    </row>
    <row r="32" ht="23.24853515625">
      <c r="A32" s="89"/>
      <c r="B32" s="187" t="s">
        <v>528</v>
      </c>
      <c r="C32" s="89"/>
      <c r="D32" s="89"/>
      <c r="E32" s="89"/>
      <c r="F32" s="89"/>
      <c r="G32" s="99" t="b">
        <f>ABS(G12-G31)&lt;0.01</f>
        <v>1</v>
      </c>
      <c r="H32" s="89"/>
      <c r="I32" s="89"/>
      <c r="J32" s="97"/>
      <c r="K32" s="89"/>
      <c r="L32" s="89"/>
    </row>
    <row r="33">
      <c r="A33" s="89"/>
      <c r="B33" s="89"/>
      <c r="C33" s="89"/>
      <c r="D33" s="89"/>
      <c r="E33" s="89"/>
      <c r="F33" s="89"/>
      <c r="G33" s="89"/>
      <c r="H33" s="89"/>
      <c r="I33" s="89"/>
      <c r="J33" s="97"/>
      <c r="K33" s="89"/>
      <c r="L33" s="89"/>
    </row>
    <row r="34">
      <c r="A34" s="89"/>
      <c r="B34" s="104" t="s">
        <v>529</v>
      </c>
      <c r="C34" s="89"/>
      <c r="D34" s="89"/>
      <c r="E34" s="89"/>
      <c r="F34" s="89"/>
      <c r="G34" s="89"/>
      <c r="H34" s="89"/>
      <c r="I34" s="89"/>
      <c r="J34" s="97"/>
      <c r="K34" s="89"/>
      <c r="L34" s="89"/>
    </row>
    <row r="35">
      <c r="A35" s="89"/>
      <c r="B35" s="88" t="s">
        <v>530</v>
      </c>
      <c r="C35" s="95" t="s">
        <v>67</v>
      </c>
      <c r="D35" s="95" t="s">
        <v>67</v>
      </c>
      <c r="E35" s="95" t="s">
        <v>67</v>
      </c>
      <c r="F35" s="95" t="s">
        <v>67</v>
      </c>
      <c r="G35" s="86">
        <v>4565</v>
      </c>
      <c r="H35" s="95" t="s">
        <v>67</v>
      </c>
      <c r="I35" s="95" t="s">
        <v>67</v>
      </c>
      <c r="J35" s="121" t="s">
        <v>67</v>
      </c>
      <c r="K35" s="89"/>
      <c r="L35" s="94" t="s">
        <v>531</v>
      </c>
    </row>
    <row r="36">
      <c r="A36" s="89"/>
      <c r="B36" s="88" t="s">
        <v>532</v>
      </c>
      <c r="C36" s="95" t="s">
        <v>67</v>
      </c>
      <c r="D36" s="95" t="s">
        <v>67</v>
      </c>
      <c r="E36" s="95" t="s">
        <v>67</v>
      </c>
      <c r="F36" s="95" t="s">
        <v>67</v>
      </c>
      <c r="G36" s="86">
        <v>1393</v>
      </c>
      <c r="H36" s="95" t="s">
        <v>67</v>
      </c>
      <c r="I36" s="95" t="s">
        <v>67</v>
      </c>
      <c r="J36" s="121" t="s">
        <v>67</v>
      </c>
      <c r="K36" s="89"/>
      <c r="L36" s="89"/>
    </row>
    <row r="37">
      <c r="A37" s="89"/>
      <c r="B37" s="88" t="s">
        <v>533</v>
      </c>
      <c r="C37" s="95" t="s">
        <v>67</v>
      </c>
      <c r="D37" s="95" t="s">
        <v>67</v>
      </c>
      <c r="E37" s="95" t="s">
        <v>67</v>
      </c>
      <c r="F37" s="95" t="s">
        <v>67</v>
      </c>
      <c r="G37" s="86">
        <v>1126</v>
      </c>
      <c r="H37" s="95" t="s">
        <v>67</v>
      </c>
      <c r="I37" s="95" t="s">
        <v>67</v>
      </c>
      <c r="J37" s="121" t="s">
        <v>67</v>
      </c>
      <c r="K37" s="89"/>
      <c r="L37" s="89"/>
    </row>
    <row r="38">
      <c r="A38" s="89"/>
      <c r="B38" s="104" t="s">
        <v>534</v>
      </c>
      <c r="C38" s="90" t="s">
        <v>67</v>
      </c>
      <c r="D38" s="90" t="s">
        <v>67</v>
      </c>
      <c r="E38" s="90" t="s">
        <v>67</v>
      </c>
      <c r="F38" s="90" t="s">
        <v>67</v>
      </c>
      <c r="G38" s="90">
        <f>G35+G36+G37</f>
        <v>7084</v>
      </c>
      <c r="H38" s="90" t="s">
        <v>67</v>
      </c>
      <c r="I38" s="90" t="s">
        <v>67</v>
      </c>
      <c r="J38" s="135" t="s">
        <v>67</v>
      </c>
      <c r="K38" s="89"/>
      <c r="L38" s="89"/>
    </row>
    <row r="39">
      <c r="A39" s="89"/>
      <c r="B39" s="88" t="s">
        <v>535</v>
      </c>
      <c r="C39" s="95" t="s">
        <v>67</v>
      </c>
      <c r="D39" s="95" t="s">
        <v>67</v>
      </c>
      <c r="E39" s="95" t="s">
        <v>67</v>
      </c>
      <c r="F39" s="95" t="s">
        <v>67</v>
      </c>
      <c r="G39" s="86">
        <v>12996</v>
      </c>
      <c r="H39" s="95" t="s">
        <v>67</v>
      </c>
      <c r="I39" s="95" t="s">
        <v>67</v>
      </c>
      <c r="J39" s="121" t="s">
        <v>67</v>
      </c>
      <c r="K39" s="89"/>
      <c r="L39" s="89"/>
    </row>
    <row r="40">
      <c r="A40" s="89"/>
      <c r="B40" s="104" t="s">
        <v>536</v>
      </c>
      <c r="C40" s="90" t="s">
        <v>67</v>
      </c>
      <c r="D40" s="90" t="s">
        <v>67</v>
      </c>
      <c r="E40" s="90" t="s">
        <v>67</v>
      </c>
      <c r="F40" s="90" t="s">
        <v>67</v>
      </c>
      <c r="G40" s="90">
        <f>G38+G39</f>
        <v>20080</v>
      </c>
      <c r="H40" s="90" t="s">
        <v>67</v>
      </c>
      <c r="I40" s="90" t="s">
        <v>67</v>
      </c>
      <c r="J40" s="135" t="s">
        <v>67</v>
      </c>
      <c r="K40" s="89"/>
      <c r="L40" s="89"/>
    </row>
    <row r="41" ht="23.25">
      <c r="A41" s="89"/>
      <c r="B41" s="187" t="s">
        <v>537</v>
      </c>
      <c r="C41" s="89"/>
      <c r="D41" s="89"/>
      <c r="E41" s="89"/>
      <c r="F41" s="89"/>
      <c r="G41" s="99" t="b">
        <f>ABS(G40-G11)&lt;0.5</f>
        <v>1</v>
      </c>
      <c r="H41" s="89"/>
      <c r="I41" s="89"/>
      <c r="J41" s="97"/>
      <c r="K41" s="89"/>
      <c r="L41" s="89"/>
    </row>
    <row r="42" ht="34.5">
      <c r="A42" s="89"/>
      <c r="B42" s="190" t="s">
        <v>538</v>
      </c>
      <c r="C42" s="89"/>
      <c r="D42" s="89"/>
      <c r="E42" s="89"/>
      <c r="F42" s="89"/>
      <c r="G42" s="146">
        <f>G38-G15</f>
        <v>49.77000000000044</v>
      </c>
      <c r="H42" s="89"/>
      <c r="I42" s="89"/>
      <c r="J42" s="97"/>
      <c r="K42" s="89"/>
      <c r="L42" s="89"/>
    </row>
  </sheetData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7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539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540</v>
      </c>
      <c r="C10" s="89"/>
      <c r="D10" s="89"/>
      <c r="E10" s="89"/>
      <c r="F10" s="89"/>
      <c r="G10" s="89"/>
      <c r="H10" s="89"/>
      <c r="I10" s="89"/>
      <c r="J10" s="97"/>
      <c r="K10" s="89"/>
      <c r="L10" s="89"/>
    </row>
    <row r="11">
      <c r="A11" s="89"/>
      <c r="B11" s="88" t="s">
        <v>541</v>
      </c>
      <c r="C11" s="86">
        <v>717.68</v>
      </c>
      <c r="D11" s="95">
        <f>C17</f>
        <v>715.434</v>
      </c>
      <c r="E11" s="95">
        <f>D17</f>
        <v>705.241</v>
      </c>
      <c r="F11" s="95">
        <f>E17</f>
        <v>697.349</v>
      </c>
      <c r="G11" s="95">
        <f>C11</f>
        <v>717.68</v>
      </c>
      <c r="H11" s="95">
        <f>F17</f>
        <v>688.236</v>
      </c>
      <c r="I11" s="95">
        <f>H17</f>
        <v>686.379</v>
      </c>
      <c r="J11" s="121">
        <f>I17</f>
        <v>678.504</v>
      </c>
      <c r="K11" s="89"/>
      <c r="L11" s="89"/>
    </row>
    <row r="12">
      <c r="A12" s="89"/>
      <c r="B12" s="88" t="s">
        <v>542</v>
      </c>
      <c r="C12" s="86">
        <v>8.664</v>
      </c>
      <c r="D12" s="86">
        <v>10.387</v>
      </c>
      <c r="E12" s="86">
        <v>8.276</v>
      </c>
      <c r="F12" s="86">
        <v>9.45</v>
      </c>
      <c r="G12" s="95">
        <f>SUM(C12:F12)</f>
        <v>36.777</v>
      </c>
      <c r="H12" s="86">
        <v>8.257</v>
      </c>
      <c r="I12" s="86">
        <v>8.016</v>
      </c>
      <c r="J12" s="121">
        <f>J22/J25</f>
        <v>7.096774193548387</v>
      </c>
      <c r="K12" s="89"/>
      <c r="L12" s="89"/>
    </row>
    <row r="13">
      <c r="A13" s="89"/>
      <c r="B13" s="88" t="s">
        <v>543</v>
      </c>
      <c r="C13" s="86">
        <v>6.419</v>
      </c>
      <c r="D13" s="86">
        <v>0.193</v>
      </c>
      <c r="E13" s="86">
        <v>0.384</v>
      </c>
      <c r="F13" s="86">
        <v>0.337</v>
      </c>
      <c r="G13" s="95">
        <f>SUM(C13:F13)</f>
        <v>7.332999999999999</v>
      </c>
      <c r="H13" s="86">
        <v>6.4</v>
      </c>
      <c r="I13" s="86">
        <v>0.141</v>
      </c>
      <c r="J13" s="136">
        <v>0.3</v>
      </c>
      <c r="K13" s="89"/>
      <c r="L13" s="94" t="s">
        <v>544</v>
      </c>
    </row>
    <row r="14">
      <c r="A14" s="89"/>
      <c r="B14" s="88" t="s">
        <v>178</v>
      </c>
      <c r="C14" s="95" t="s">
        <v>51</v>
      </c>
      <c r="D14" s="95" t="s">
        <v>51</v>
      </c>
      <c r="E14" s="95" t="s">
        <v>51</v>
      </c>
      <c r="F14" s="95" t="s">
        <v>51</v>
      </c>
      <c r="G14" s="95" t="s">
        <v>51</v>
      </c>
      <c r="H14" s="95">
        <f>H13-C13</f>
        <v>-0.01899999999999924</v>
      </c>
      <c r="I14" s="95">
        <f>I13-D13</f>
        <v>-0.05200000000000002</v>
      </c>
      <c r="J14" s="121">
        <f>J13-E13</f>
        <v>-0.08400000000000002</v>
      </c>
      <c r="K14" s="89"/>
      <c r="L14" s="89"/>
    </row>
    <row r="15">
      <c r="A15" s="89"/>
      <c r="B15" s="88" t="s">
        <v>94</v>
      </c>
      <c r="C15" s="95" t="s">
        <v>51</v>
      </c>
      <c r="D15" s="95">
        <f>D13-C13</f>
        <v>-6.226</v>
      </c>
      <c r="E15" s="95">
        <f>E13-D13</f>
        <v>0.191</v>
      </c>
      <c r="F15" s="95">
        <f>F13-E13</f>
        <v>-0.046999999999999986</v>
      </c>
      <c r="G15" s="95" t="s">
        <v>51</v>
      </c>
      <c r="H15" s="95">
        <f>H13-F13</f>
        <v>6.063000000000001</v>
      </c>
      <c r="I15" s="95">
        <f>I13-H13</f>
        <v>-6.259</v>
      </c>
      <c r="J15" s="121">
        <f>J13-I13</f>
        <v>0.159</v>
      </c>
      <c r="K15" s="89"/>
      <c r="L15" s="89"/>
    </row>
    <row r="16">
      <c r="A16" s="89"/>
      <c r="B16" s="88" t="s">
        <v>545</v>
      </c>
      <c r="C16" s="95">
        <f>C17-C11+C12-C13</f>
        <v>-0.000999999999980794</v>
      </c>
      <c r="D16" s="95">
        <f>D17-D11+D12-D13</f>
        <v>0.0010000000000168208</v>
      </c>
      <c r="E16" s="95">
        <f>E17-E11+E12-E13</f>
        <v>0.00000000000006072919944699606</v>
      </c>
      <c r="F16" s="95">
        <f>F17-F11+F12-F13</f>
        <v>-0.0000000000000571209746169643</v>
      </c>
      <c r="G16" s="95">
        <f>SUM(C16:F16)</f>
        <v>0.00000000000003963496197911809</v>
      </c>
      <c r="H16" s="95">
        <f>H17-H11+H12-H13</f>
        <v>0</v>
      </c>
      <c r="I16" s="95">
        <f>I17-I11+I12-I13</f>
        <v>0</v>
      </c>
      <c r="J16" s="136">
        <v>0</v>
      </c>
      <c r="K16" s="89"/>
      <c r="L16" s="89"/>
    </row>
    <row r="17">
      <c r="A17" s="89"/>
      <c r="B17" s="104" t="s">
        <v>546</v>
      </c>
      <c r="C17" s="153">
        <v>715.434</v>
      </c>
      <c r="D17" s="153">
        <v>705.241</v>
      </c>
      <c r="E17" s="153">
        <v>697.349</v>
      </c>
      <c r="F17" s="153">
        <v>688.236</v>
      </c>
      <c r="G17" s="90">
        <f>F17</f>
        <v>688.236</v>
      </c>
      <c r="H17" s="153">
        <v>686.379</v>
      </c>
      <c r="I17" s="153">
        <v>678.504</v>
      </c>
      <c r="J17" s="135">
        <f>J11-J12+J13+J16</f>
        <v>671.7072258064516</v>
      </c>
      <c r="K17" s="89"/>
      <c r="L17" s="89"/>
    </row>
    <row r="18">
      <c r="A18" s="89"/>
      <c r="B18" s="87" t="s">
        <v>93</v>
      </c>
      <c r="C18" s="92" t="s">
        <v>51</v>
      </c>
      <c r="D18" s="92" t="s">
        <v>51</v>
      </c>
      <c r="E18" s="92" t="s">
        <v>51</v>
      </c>
      <c r="F18" s="92" t="s">
        <v>51</v>
      </c>
      <c r="G18" s="92" t="s">
        <v>51</v>
      </c>
      <c r="H18" s="92">
        <f>IF(C17&lt;=0,"n.m.",H17/C17-1)</f>
        <v>-0.04061171261080676</v>
      </c>
      <c r="I18" s="92">
        <f>IF(D17&lt;=0,"n.m.",I17/D17-1)</f>
        <v>-0.03791186275329994</v>
      </c>
      <c r="J18" s="91">
        <f>IF(E17&lt;=0,"n.m.",J17/E17-1)</f>
        <v>-0.03677036059928174</v>
      </c>
      <c r="K18" s="89"/>
      <c r="L18" s="89"/>
    </row>
    <row r="19">
      <c r="A19" s="89"/>
      <c r="B19" s="88" t="s">
        <v>94</v>
      </c>
      <c r="C19" s="95" t="s">
        <v>51</v>
      </c>
      <c r="D19" s="95">
        <f>D17-C17</f>
        <v>-10.192999999999984</v>
      </c>
      <c r="E19" s="95">
        <f>E17-D17</f>
        <v>-7.891999999999939</v>
      </c>
      <c r="F19" s="95">
        <f>F17-E17</f>
        <v>-9.113000000000056</v>
      </c>
      <c r="G19" s="95" t="s">
        <v>51</v>
      </c>
      <c r="H19" s="95">
        <f>H17-F17</f>
        <v>-1.856999999999971</v>
      </c>
      <c r="I19" s="95">
        <f>I17-H17</f>
        <v>-7.875</v>
      </c>
      <c r="J19" s="121">
        <f>J17-I17</f>
        <v>-6.796774193548458</v>
      </c>
      <c r="K19" s="89"/>
      <c r="L19" s="89"/>
    </row>
    <row r="20">
      <c r="A20" s="89"/>
      <c r="B20" s="89"/>
      <c r="C20" s="89"/>
      <c r="D20" s="89"/>
      <c r="E20" s="89"/>
      <c r="F20" s="89"/>
      <c r="G20" s="89"/>
      <c r="H20" s="89"/>
      <c r="I20" s="89"/>
      <c r="J20" s="97"/>
      <c r="K20" s="89"/>
      <c r="L20" s="89"/>
    </row>
    <row r="21">
      <c r="A21" s="89"/>
      <c r="B21" s="104" t="s">
        <v>547</v>
      </c>
      <c r="C21" s="89"/>
      <c r="D21" s="89"/>
      <c r="E21" s="89"/>
      <c r="F21" s="89"/>
      <c r="G21" s="89"/>
      <c r="H21" s="89"/>
      <c r="I21" s="89"/>
      <c r="J21" s="97"/>
      <c r="K21" s="89"/>
      <c r="L21" s="89"/>
    </row>
    <row r="22">
      <c r="A22" s="89"/>
      <c r="B22" s="88" t="s">
        <v>548</v>
      </c>
      <c r="C22" s="86">
        <v>746</v>
      </c>
      <c r="D22" s="86">
        <v>895</v>
      </c>
      <c r="E22" s="86">
        <v>849</v>
      </c>
      <c r="F22" s="86">
        <v>1045</v>
      </c>
      <c r="G22" s="95">
        <f>SUM(C22:F22)</f>
        <v>3535</v>
      </c>
      <c r="H22" s="86">
        <v>983</v>
      </c>
      <c r="I22" s="86">
        <v>1103</v>
      </c>
      <c r="J22" s="136">
        <v>1100</v>
      </c>
      <c r="K22" s="89"/>
      <c r="L22" s="94" t="s">
        <v>549</v>
      </c>
    </row>
    <row r="23">
      <c r="A23" s="89"/>
      <c r="B23" s="87" t="s">
        <v>93</v>
      </c>
      <c r="C23" s="92" t="s">
        <v>51</v>
      </c>
      <c r="D23" s="92" t="s">
        <v>51</v>
      </c>
      <c r="E23" s="92" t="s">
        <v>51</v>
      </c>
      <c r="F23" s="92" t="s">
        <v>51</v>
      </c>
      <c r="G23" s="92" t="s">
        <v>51</v>
      </c>
      <c r="H23" s="92">
        <f>IF(C22&lt;=0,"n.m.",H22/C22-1)</f>
        <v>0.31769436997319045</v>
      </c>
      <c r="I23" s="92">
        <f>IF(D22&lt;=0,"n.m.",I22/D22-1)</f>
        <v>0.23240223463687149</v>
      </c>
      <c r="J23" s="91">
        <f>IF(E22&lt;=0,"n.m.",J22/E22-1)</f>
        <v>0.2956419316843346</v>
      </c>
      <c r="K23" s="89"/>
      <c r="L23" s="89"/>
    </row>
    <row r="24">
      <c r="A24" s="89"/>
      <c r="B24" s="87" t="s">
        <v>64</v>
      </c>
      <c r="C24" s="92" t="s">
        <v>51</v>
      </c>
      <c r="D24" s="92">
        <f>IF(C22&lt;=0,"n.m.",D22/C22-1)</f>
        <v>0.1997319034852547</v>
      </c>
      <c r="E24" s="92">
        <f>IF(D22&lt;=0,"n.m.",E22/D22-1)</f>
        <v>-0.05139664804469268</v>
      </c>
      <c r="F24" s="92">
        <f>IF(E22&lt;=0,"n.m.",F22/E22-1)</f>
        <v>0.23085983510011787</v>
      </c>
      <c r="G24" s="92" t="s">
        <v>51</v>
      </c>
      <c r="H24" s="92">
        <f>IF(F22&lt;=0,"n.m.",H22/F22-1)</f>
        <v>-0.0593301435406699</v>
      </c>
      <c r="I24" s="92">
        <f>IF(H22&lt;=0,"n.m.",I22/H22-1)</f>
        <v>0.12207527975584953</v>
      </c>
      <c r="J24" s="91">
        <f>IF(I22&lt;=0,"n.m.",J22/I22-1)</f>
        <v>-0.0027198549410698547</v>
      </c>
      <c r="K24" s="89"/>
      <c r="L24" s="89"/>
    </row>
    <row r="25">
      <c r="A25" s="89"/>
      <c r="B25" s="88" t="s">
        <v>550</v>
      </c>
      <c r="C25" s="155">
        <f>C22/C12</f>
        <v>86.10341643582642</v>
      </c>
      <c r="D25" s="155">
        <f>D22/D12</f>
        <v>86.16539905651294</v>
      </c>
      <c r="E25" s="155">
        <f>E22/E12</f>
        <v>102.58579023682938</v>
      </c>
      <c r="F25" s="155">
        <f>F22/F12</f>
        <v>110.5820105820106</v>
      </c>
      <c r="G25" s="155">
        <f>G22/G12</f>
        <v>96.11985751964542</v>
      </c>
      <c r="H25" s="155">
        <f>H22/H12</f>
        <v>119.05050260385129</v>
      </c>
      <c r="I25" s="155">
        <f>I22/I12</f>
        <v>137.5998003992016</v>
      </c>
      <c r="J25" s="168">
        <v>155</v>
      </c>
      <c r="K25" s="89"/>
      <c r="L25" s="94" t="s">
        <v>551</v>
      </c>
    </row>
    <row r="26">
      <c r="A26" s="89"/>
      <c r="B26" s="87" t="s">
        <v>93</v>
      </c>
      <c r="C26" s="92" t="s">
        <v>51</v>
      </c>
      <c r="D26" s="92" t="s">
        <v>51</v>
      </c>
      <c r="E26" s="92" t="s">
        <v>51</v>
      </c>
      <c r="F26" s="92" t="s">
        <v>51</v>
      </c>
      <c r="G26" s="92" t="s">
        <v>51</v>
      </c>
      <c r="H26" s="92">
        <f>IF(C25&lt;=0,"n.m.",H25/C25-1)</f>
        <v>0.3826455154956667</v>
      </c>
      <c r="I26" s="92">
        <f>IF(D25&lt;=0,"n.m.",I25/D25-1)</f>
        <v>0.5969263985994493</v>
      </c>
      <c r="J26" s="91">
        <f>IF(E25&lt;=0,"n.m.",J25/E25-1)</f>
        <v>0.5109305064782097</v>
      </c>
      <c r="K26" s="89"/>
      <c r="L26" s="89"/>
    </row>
    <row r="27">
      <c r="A27" s="89"/>
      <c r="B27" s="88" t="s">
        <v>94</v>
      </c>
      <c r="C27" s="155" t="s">
        <v>51</v>
      </c>
      <c r="D27" s="155">
        <f>D25-C25</f>
        <v>0.06198262068652127</v>
      </c>
      <c r="E27" s="155">
        <f>E25-D25</f>
        <v>16.420391180316443</v>
      </c>
      <c r="F27" s="155">
        <f>F25-E25</f>
        <v>7.996220345181214</v>
      </c>
      <c r="G27" s="155" t="s">
        <v>51</v>
      </c>
      <c r="H27" s="155">
        <f>H25-F25</f>
        <v>8.468492021840689</v>
      </c>
      <c r="I27" s="155">
        <f>I25-H25</f>
        <v>18.549297795350313</v>
      </c>
      <c r="J27" s="163">
        <f>J25-I25</f>
        <v>17.400199600798402</v>
      </c>
      <c r="K27" s="89"/>
      <c r="L27" s="89"/>
    </row>
    <row r="28">
      <c r="A28" s="89"/>
      <c r="B28" s="89"/>
      <c r="C28" s="89"/>
      <c r="D28" s="89"/>
      <c r="E28" s="89"/>
      <c r="F28" s="89"/>
      <c r="G28" s="89"/>
      <c r="H28" s="89"/>
      <c r="I28" s="89"/>
      <c r="J28" s="97"/>
      <c r="K28" s="89"/>
      <c r="L28" s="89"/>
    </row>
    <row r="29">
      <c r="A29" s="89"/>
      <c r="B29" s="104" t="s">
        <v>552</v>
      </c>
      <c r="C29" s="89"/>
      <c r="D29" s="89"/>
      <c r="E29" s="89"/>
      <c r="F29" s="89"/>
      <c r="G29" s="89"/>
      <c r="H29" s="89"/>
      <c r="I29" s="89"/>
      <c r="J29" s="97"/>
      <c r="K29" s="89"/>
      <c r="L29" s="89"/>
    </row>
    <row r="30" ht="23.25">
      <c r="A30" s="89"/>
      <c r="B30" s="187" t="s">
        <v>553</v>
      </c>
      <c r="C30" s="95">
        <f>(C11+C17)/2</f>
        <v>716.557</v>
      </c>
      <c r="D30" s="95">
        <f>(D11+D17)/2</f>
        <v>710.3375</v>
      </c>
      <c r="E30" s="95">
        <f>(E11+E17)/2</f>
        <v>701.2950000000001</v>
      </c>
      <c r="F30" s="95">
        <f>(F11+F17)/2</f>
        <v>692.7925</v>
      </c>
      <c r="G30" s="95" t="s">
        <v>51</v>
      </c>
      <c r="H30" s="95">
        <f>(H11+H17)/2</f>
        <v>687.3075</v>
      </c>
      <c r="I30" s="95">
        <f>(I11+I17)/2</f>
        <v>682.4415</v>
      </c>
      <c r="J30" s="121">
        <f>(J11+J17)/2</f>
        <v>675.1056129032258</v>
      </c>
      <c r="K30" s="89"/>
      <c r="L30" s="89"/>
    </row>
    <row r="31" ht="34.5">
      <c r="A31" s="89"/>
      <c r="B31" s="187" t="s">
        <v>554</v>
      </c>
      <c r="C31" s="95">
        <f>C34-C30</f>
        <v>4.3940000000000055</v>
      </c>
      <c r="D31" s="95">
        <f>D34-D30</f>
        <v>4.461500000000001</v>
      </c>
      <c r="E31" s="95">
        <f>E34-E30</f>
        <v>4.5779999999999745</v>
      </c>
      <c r="F31" s="95">
        <f>F34-F30</f>
        <v>4.747499999999945</v>
      </c>
      <c r="G31" s="95" t="s">
        <v>51</v>
      </c>
      <c r="H31" s="95">
        <f>H34-H30</f>
        <v>3.8704999999999927</v>
      </c>
      <c r="I31" s="95">
        <f>I34-I30</f>
        <v>3.683499999999981</v>
      </c>
      <c r="J31" s="121">
        <f>AVERAGE(E31,F31,H31,I31)</f>
        <v>4.219874999999973</v>
      </c>
      <c r="K31" s="89"/>
      <c r="L31" s="94" t="s">
        <v>555</v>
      </c>
    </row>
    <row r="32">
      <c r="A32" s="89"/>
      <c r="B32" s="88" t="s">
        <v>94</v>
      </c>
      <c r="C32" s="95" t="s">
        <v>51</v>
      </c>
      <c r="D32" s="95">
        <f>D31-C31</f>
        <v>0.06749999999999545</v>
      </c>
      <c r="E32" s="95">
        <f>E31-D31</f>
        <v>0.11649999999997362</v>
      </c>
      <c r="F32" s="95">
        <f>F31-E31</f>
        <v>0.1694999999999709</v>
      </c>
      <c r="G32" s="95" t="s">
        <v>51</v>
      </c>
      <c r="H32" s="95">
        <f>H31-F31</f>
        <v>-0.8769999999999527</v>
      </c>
      <c r="I32" s="95">
        <f>I31-H31</f>
        <v>-0.18700000000001182</v>
      </c>
      <c r="J32" s="121">
        <f>J31-I31</f>
        <v>0.5363749999999925</v>
      </c>
      <c r="K32" s="89"/>
      <c r="L32" s="89"/>
    </row>
    <row r="33">
      <c r="A33" s="89"/>
      <c r="B33" s="88" t="s">
        <v>178</v>
      </c>
      <c r="C33" s="95" t="s">
        <v>51</v>
      </c>
      <c r="D33" s="95" t="s">
        <v>51</v>
      </c>
      <c r="E33" s="95" t="s">
        <v>51</v>
      </c>
      <c r="F33" s="95" t="s">
        <v>51</v>
      </c>
      <c r="G33" s="95" t="s">
        <v>51</v>
      </c>
      <c r="H33" s="95">
        <f>H31-C31</f>
        <v>-0.5235000000000127</v>
      </c>
      <c r="I33" s="95">
        <f>I31-D31</f>
        <v>-0.77800000000002</v>
      </c>
      <c r="J33" s="121">
        <f>J31-E31</f>
        <v>-0.35812500000000114</v>
      </c>
      <c r="K33" s="89"/>
      <c r="L33" s="89"/>
    </row>
    <row r="34">
      <c r="A34" s="89"/>
      <c r="B34" s="104" t="s">
        <v>352</v>
      </c>
      <c r="C34" s="153">
        <v>720.951</v>
      </c>
      <c r="D34" s="153">
        <v>714.799</v>
      </c>
      <c r="E34" s="153">
        <v>705.873</v>
      </c>
      <c r="F34" s="153">
        <v>697.54</v>
      </c>
      <c r="G34" s="153">
        <v>710.177</v>
      </c>
      <c r="H34" s="153">
        <v>691.178</v>
      </c>
      <c r="I34" s="153">
        <v>686.125</v>
      </c>
      <c r="J34" s="135">
        <f>J30+J31</f>
        <v>679.3254879032258</v>
      </c>
      <c r="K34" s="89"/>
      <c r="L34" s="89"/>
    </row>
    <row r="35">
      <c r="A35" s="89"/>
      <c r="B35" s="87" t="s">
        <v>93</v>
      </c>
      <c r="C35" s="92" t="s">
        <v>51</v>
      </c>
      <c r="D35" s="92" t="s">
        <v>51</v>
      </c>
      <c r="E35" s="92" t="s">
        <v>51</v>
      </c>
      <c r="F35" s="92" t="s">
        <v>51</v>
      </c>
      <c r="G35" s="92" t="s">
        <v>51</v>
      </c>
      <c r="H35" s="92">
        <f>IF(C34&lt;=0,"n.m.",H34/C34-1)</f>
        <v>-0.04129684264256517</v>
      </c>
      <c r="I35" s="92">
        <f>IF(D34&lt;=0,"n.m.",I34/D34-1)</f>
        <v>-0.04011477352374582</v>
      </c>
      <c r="J35" s="91">
        <f>IF(E34&lt;=0,"n.m.",J34/E34-1)</f>
        <v>-0.037609473795957915</v>
      </c>
      <c r="K35" s="89"/>
      <c r="L35" s="89"/>
    </row>
    <row r="36">
      <c r="A36" s="89"/>
      <c r="B36" s="88" t="s">
        <v>94</v>
      </c>
      <c r="C36" s="95" t="s">
        <v>51</v>
      </c>
      <c r="D36" s="95">
        <f>D34-C34</f>
        <v>-6.152000000000044</v>
      </c>
      <c r="E36" s="95">
        <f>E34-D34</f>
        <v>-8.92599999999993</v>
      </c>
      <c r="F36" s="95">
        <f>F34-E34</f>
        <v>-8.333000000000084</v>
      </c>
      <c r="G36" s="95" t="s">
        <v>51</v>
      </c>
      <c r="H36" s="95">
        <f>H34-F34</f>
        <v>-6.361999999999966</v>
      </c>
      <c r="I36" s="95">
        <f>I34-H34</f>
        <v>-5.052999999999997</v>
      </c>
      <c r="J36" s="121">
        <f>J34-I34</f>
        <v>-6.799512096774151</v>
      </c>
      <c r="K36" s="89"/>
      <c r="L36" s="89"/>
    </row>
    <row r="37" ht="23.25">
      <c r="A37" s="89"/>
      <c r="B37" s="187" t="s">
        <v>556</v>
      </c>
      <c r="C37" s="95">
        <f>C40-C34</f>
        <v>6.447000000000003</v>
      </c>
      <c r="D37" s="95">
        <f>D40-D34</f>
        <v>5.20799999999997</v>
      </c>
      <c r="E37" s="95">
        <f>E40-E34</f>
        <v>6.9809999999999945</v>
      </c>
      <c r="F37" s="95">
        <f>F40-F34</f>
        <v>7.600000000000023</v>
      </c>
      <c r="G37" s="95">
        <f>G40-G34</f>
        <v>6.54099999999994</v>
      </c>
      <c r="H37" s="95">
        <f>H40-H34</f>
        <v>6.98599999999999</v>
      </c>
      <c r="I37" s="95">
        <f>I40-I34</f>
        <v>6.097999999999956</v>
      </c>
      <c r="J37" s="121">
        <f>I37</f>
        <v>6.097999999999956</v>
      </c>
      <c r="K37" s="89"/>
      <c r="L37" s="94" t="s">
        <v>557</v>
      </c>
    </row>
    <row r="38">
      <c r="A38" s="89"/>
      <c r="B38" s="87" t="s">
        <v>93</v>
      </c>
      <c r="C38" s="92" t="s">
        <v>51</v>
      </c>
      <c r="D38" s="92" t="s">
        <v>51</v>
      </c>
      <c r="E38" s="92" t="s">
        <v>51</v>
      </c>
      <c r="F38" s="92" t="s">
        <v>51</v>
      </c>
      <c r="G38" s="92" t="s">
        <v>51</v>
      </c>
      <c r="H38" s="92">
        <f>IF(C37&lt;=0,"n.m.",H37/C37-1)</f>
        <v>0.08360477741585037</v>
      </c>
      <c r="I38" s="92">
        <f>IF(D37&lt;=0,"n.m.",I37/D37-1)</f>
        <v>0.1708909370199676</v>
      </c>
      <c r="J38" s="91">
        <f>IF(E37&lt;=0,"n.m.",J37/E37-1)</f>
        <v>-0.126486176765512</v>
      </c>
      <c r="K38" s="89"/>
      <c r="L38" s="89"/>
    </row>
    <row r="39">
      <c r="A39" s="89"/>
      <c r="B39" s="88" t="s">
        <v>94</v>
      </c>
      <c r="C39" s="95" t="s">
        <v>51</v>
      </c>
      <c r="D39" s="95">
        <f>D37-C37</f>
        <v>-1.2390000000000327</v>
      </c>
      <c r="E39" s="95">
        <f>E37-D37</f>
        <v>1.7730000000000246</v>
      </c>
      <c r="F39" s="95">
        <f>F37-E37</f>
        <v>0.6190000000000282</v>
      </c>
      <c r="G39" s="95" t="s">
        <v>51</v>
      </c>
      <c r="H39" s="95">
        <f>H37-F37</f>
        <v>-0.6140000000000327</v>
      </c>
      <c r="I39" s="95">
        <f>I37-H37</f>
        <v>-0.8880000000000337</v>
      </c>
      <c r="J39" s="121">
        <f>J37-I37</f>
        <v>0</v>
      </c>
      <c r="K39" s="89"/>
      <c r="L39" s="89"/>
    </row>
    <row r="40" ht="23.24853515625">
      <c r="A40" s="89"/>
      <c r="B40" s="186" t="s">
        <v>558</v>
      </c>
      <c r="C40" s="153">
        <v>727.398</v>
      </c>
      <c r="D40" s="153">
        <v>720.007</v>
      </c>
      <c r="E40" s="153">
        <v>712.854</v>
      </c>
      <c r="F40" s="153">
        <v>705.14</v>
      </c>
      <c r="G40" s="153">
        <v>716.718</v>
      </c>
      <c r="H40" s="153">
        <v>698.164</v>
      </c>
      <c r="I40" s="153">
        <v>692.223</v>
      </c>
      <c r="J40" s="135">
        <f>J34+J37</f>
        <v>685.4234879032258</v>
      </c>
      <c r="K40" s="89"/>
      <c r="L40" s="89"/>
    </row>
    <row r="41">
      <c r="A41" s="89"/>
      <c r="B41" s="87" t="s">
        <v>93</v>
      </c>
      <c r="C41" s="92" t="s">
        <v>51</v>
      </c>
      <c r="D41" s="92" t="s">
        <v>51</v>
      </c>
      <c r="E41" s="92" t="s">
        <v>51</v>
      </c>
      <c r="F41" s="92" t="s">
        <v>51</v>
      </c>
      <c r="G41" s="92" t="s">
        <v>51</v>
      </c>
      <c r="H41" s="92">
        <f>IF(C40&lt;=0,"n.m.",H40/C40-1)</f>
        <v>-0.04018982730224718</v>
      </c>
      <c r="I41" s="92">
        <f>IF(D40&lt;=0,"n.m.",I40/D40-1)</f>
        <v>-0.03858851372278327</v>
      </c>
      <c r="J41" s="91">
        <f>IF(E40&lt;=0,"n.m.",J40/E40-1)</f>
        <v>-0.03847984593868348</v>
      </c>
      <c r="K41" s="89"/>
      <c r="L41" s="89"/>
    </row>
    <row r="42">
      <c r="A42" s="89"/>
      <c r="B42" s="88" t="s">
        <v>94</v>
      </c>
      <c r="C42" s="95" t="s">
        <v>51</v>
      </c>
      <c r="D42" s="95">
        <f>D40-C40</f>
        <v>-7.391000000000076</v>
      </c>
      <c r="E42" s="95">
        <f>E40-D40</f>
        <v>-7.152999999999906</v>
      </c>
      <c r="F42" s="95">
        <f>F40-E40</f>
        <v>-7.7140000000000555</v>
      </c>
      <c r="G42" s="95" t="s">
        <v>51</v>
      </c>
      <c r="H42" s="95">
        <f>H40-F40</f>
        <v>-6.975999999999999</v>
      </c>
      <c r="I42" s="95">
        <f>I40-H40</f>
        <v>-5.941000000000031</v>
      </c>
      <c r="J42" s="121">
        <f>J40-I40</f>
        <v>-6.799512096774151</v>
      </c>
      <c r="K42" s="89"/>
      <c r="L42" s="89"/>
    </row>
    <row r="43" ht="14.624267578125">
      <c r="A43" s="89"/>
      <c r="B43" s="187" t="s">
        <v>559</v>
      </c>
      <c r="C43" s="99" t="b">
        <f>ABS(C40-C34-C37)&lt;0.001</f>
        <v>1</v>
      </c>
      <c r="D43" s="99" t="b">
        <f>ABS(D40-D34-D37)&lt;0.001</f>
        <v>1</v>
      </c>
      <c r="E43" s="99" t="b">
        <f>ABS(E40-E34-E37)&lt;0.001</f>
        <v>1</v>
      </c>
      <c r="F43" s="99" t="b">
        <f>ABS(F40-F34-F37)&lt;0.001</f>
        <v>1</v>
      </c>
      <c r="G43" s="99" t="b">
        <f>ABS(G40-G34-G37)&lt;0.001</f>
        <v>1</v>
      </c>
      <c r="H43" s="99" t="b">
        <f>ABS(H40-H34-H37)&lt;0.001</f>
        <v>1</v>
      </c>
      <c r="I43" s="99" t="b">
        <f>ABS(I40-I34-I37)&lt;0.001</f>
        <v>1</v>
      </c>
      <c r="J43" s="139" t="b">
        <f>ABS(J40-J34-J37)&lt;0.001</f>
        <v>1</v>
      </c>
      <c r="K43" s="89"/>
      <c r="L43" s="181" t="s">
        <v>560</v>
      </c>
    </row>
    <row r="44">
      <c r="A44" s="89"/>
      <c r="B44" s="89"/>
      <c r="C44" s="89"/>
      <c r="D44" s="89"/>
      <c r="E44" s="89"/>
      <c r="F44" s="89"/>
      <c r="G44" s="89"/>
      <c r="H44" s="89"/>
      <c r="I44" s="89"/>
      <c r="J44" s="97"/>
      <c r="K44" s="89"/>
      <c r="L44" s="89"/>
    </row>
    <row r="45">
      <c r="A45" s="89"/>
      <c r="B45" s="104" t="s">
        <v>561</v>
      </c>
      <c r="C45" s="89"/>
      <c r="D45" s="89"/>
      <c r="E45" s="89"/>
      <c r="F45" s="89"/>
      <c r="G45" s="89"/>
      <c r="H45" s="89"/>
      <c r="I45" s="89"/>
      <c r="J45" s="97"/>
      <c r="K45" s="89"/>
      <c r="L45" s="89"/>
    </row>
    <row r="46">
      <c r="A46" s="89"/>
      <c r="B46" s="88" t="s">
        <v>562</v>
      </c>
      <c r="C46" s="159">
        <v>0.47</v>
      </c>
      <c r="D46" s="159">
        <v>0.47</v>
      </c>
      <c r="E46" s="159">
        <v>0.53</v>
      </c>
      <c r="F46" s="159">
        <v>0.53</v>
      </c>
      <c r="G46" s="155">
        <f>SUM(C46:F46)</f>
        <v>2</v>
      </c>
      <c r="H46" s="159">
        <v>0.53</v>
      </c>
      <c r="I46" s="159">
        <v>0.53</v>
      </c>
      <c r="J46" s="168">
        <v>0.63</v>
      </c>
      <c r="K46" s="89"/>
      <c r="L46" s="89"/>
    </row>
    <row r="47">
      <c r="A47" s="89"/>
      <c r="B47" s="87" t="s">
        <v>93</v>
      </c>
      <c r="C47" s="92" t="s">
        <v>51</v>
      </c>
      <c r="D47" s="92" t="s">
        <v>51</v>
      </c>
      <c r="E47" s="92" t="s">
        <v>51</v>
      </c>
      <c r="F47" s="92" t="s">
        <v>51</v>
      </c>
      <c r="G47" s="92" t="s">
        <v>51</v>
      </c>
      <c r="H47" s="92">
        <f>IF(C46&lt;=0,"n.m.",H46/C46-1)</f>
        <v>0.1276595744680853</v>
      </c>
      <c r="I47" s="92">
        <f>IF(D46&lt;=0,"n.m.",I46/D46-1)</f>
        <v>0.1276595744680853</v>
      </c>
      <c r="J47" s="91">
        <f>IF(E46&lt;=0,"n.m.",J46/E46-1)</f>
        <v>0.18867924528301883</v>
      </c>
      <c r="K47" s="89"/>
      <c r="L47" s="89"/>
    </row>
    <row r="48">
      <c r="A48" s="89"/>
      <c r="B48" s="88" t="s">
        <v>94</v>
      </c>
      <c r="C48" s="155" t="s">
        <v>51</v>
      </c>
      <c r="D48" s="155">
        <f>D46-C46</f>
        <v>0</v>
      </c>
      <c r="E48" s="155">
        <f>E46-D46</f>
        <v>0.06000000000000005</v>
      </c>
      <c r="F48" s="155">
        <f>F46-E46</f>
        <v>0</v>
      </c>
      <c r="G48" s="155" t="s">
        <v>51</v>
      </c>
      <c r="H48" s="155">
        <f>H46-F46</f>
        <v>0</v>
      </c>
      <c r="I48" s="155">
        <f>I46-H46</f>
        <v>0</v>
      </c>
      <c r="J48" s="163">
        <f>J46-I46</f>
        <v>0.09999999999999998</v>
      </c>
      <c r="K48" s="89"/>
      <c r="L48" s="89"/>
    </row>
    <row r="49" ht="23.24853515625">
      <c r="A49" s="89"/>
      <c r="B49" s="187" t="s">
        <v>563</v>
      </c>
      <c r="C49" s="199">
        <f>C52/(C46*C34)</f>
        <v>1.0122563586742417</v>
      </c>
      <c r="D49" s="199">
        <f>D52/(D46*D34)</f>
        <v>1.029898213016467</v>
      </c>
      <c r="E49" s="199">
        <f>E52/(E46*E34)</f>
        <v>1.0184097203438889</v>
      </c>
      <c r="F49" s="199">
        <f>F52/(F46*F34)</f>
        <v>1.0197562214596743</v>
      </c>
      <c r="G49" s="154" t="s">
        <v>51</v>
      </c>
      <c r="H49" s="199">
        <f>H52/(H46*H34)</f>
        <v>1.0264128231282694</v>
      </c>
      <c r="I49" s="199">
        <f>I52/(I46*I34)</f>
        <v>1.0202222627072326</v>
      </c>
      <c r="J49" s="200">
        <f>AVERAGE(E49,F49,H49,I49)</f>
        <v>1.0212002569097662</v>
      </c>
      <c r="K49" s="89"/>
      <c r="L49" s="94" t="s">
        <v>555</v>
      </c>
    </row>
    <row r="50">
      <c r="A50" s="89"/>
      <c r="B50" s="88" t="s">
        <v>94</v>
      </c>
      <c r="C50" s="154" t="s">
        <v>51</v>
      </c>
      <c r="D50" s="199">
        <f>D49-C49</f>
        <v>0.017641854342225205</v>
      </c>
      <c r="E50" s="199">
        <f>E49-D49</f>
        <v>-0.01148849267257801</v>
      </c>
      <c r="F50" s="199">
        <f>F49-E49</f>
        <v>0.0013465011157853812</v>
      </c>
      <c r="G50" s="154" t="s">
        <v>51</v>
      </c>
      <c r="H50" s="199">
        <f>H49-F49</f>
        <v>0.0066566016685951634</v>
      </c>
      <c r="I50" s="199">
        <f>I49-H49</f>
        <v>-0.006190560421036828</v>
      </c>
      <c r="J50" s="200">
        <f>J49-I49</f>
        <v>0.0009779942025336386</v>
      </c>
      <c r="K50" s="89"/>
      <c r="L50" s="89"/>
    </row>
    <row r="51">
      <c r="A51" s="89"/>
      <c r="B51" s="88" t="s">
        <v>178</v>
      </c>
      <c r="C51" s="154" t="s">
        <v>51</v>
      </c>
      <c r="D51" s="154" t="s">
        <v>51</v>
      </c>
      <c r="E51" s="154" t="s">
        <v>51</v>
      </c>
      <c r="F51" s="154" t="s">
        <v>51</v>
      </c>
      <c r="G51" s="154" t="s">
        <v>51</v>
      </c>
      <c r="H51" s="199">
        <f>H49-C49</f>
        <v>0.01415646445402774</v>
      </c>
      <c r="I51" s="199">
        <f>I49-D49</f>
        <v>-0.009675950309234294</v>
      </c>
      <c r="J51" s="200">
        <f>J49-E49</f>
        <v>0.002790536565877355</v>
      </c>
      <c r="K51" s="89"/>
      <c r="L51" s="89"/>
    </row>
    <row r="52" ht="23.25">
      <c r="A52" s="89"/>
      <c r="B52" s="187" t="s">
        <v>564</v>
      </c>
      <c r="C52" s="86">
        <v>343</v>
      </c>
      <c r="D52" s="86">
        <v>346</v>
      </c>
      <c r="E52" s="86">
        <v>381</v>
      </c>
      <c r="F52" s="86">
        <v>377</v>
      </c>
      <c r="G52" s="95">
        <f>SUM(C52:F52)</f>
        <v>1447</v>
      </c>
      <c r="H52" s="86">
        <v>376</v>
      </c>
      <c r="I52" s="86">
        <v>371</v>
      </c>
      <c r="J52" s="121">
        <f>J46*J34*J49</f>
        <v>437.04823854643973</v>
      </c>
      <c r="K52" s="89"/>
      <c r="L52" s="89"/>
    </row>
    <row r="53">
      <c r="A53" s="89"/>
      <c r="B53" s="87" t="s">
        <v>93</v>
      </c>
      <c r="C53" s="92" t="s">
        <v>51</v>
      </c>
      <c r="D53" s="92" t="s">
        <v>51</v>
      </c>
      <c r="E53" s="92" t="s">
        <v>51</v>
      </c>
      <c r="F53" s="92" t="s">
        <v>51</v>
      </c>
      <c r="G53" s="92" t="s">
        <v>51</v>
      </c>
      <c r="H53" s="92">
        <f>IF(C52&lt;=0,"n.m.",H52/C52-1)</f>
        <v>0.09620991253644307</v>
      </c>
      <c r="I53" s="92">
        <f>IF(D52&lt;=0,"n.m.",I52/D52-1)</f>
        <v>0.07225433526011571</v>
      </c>
      <c r="J53" s="91">
        <f>IF(E52&lt;=0,"n.m.",J52/E52-1)</f>
        <v>0.1471082376546975</v>
      </c>
      <c r="K53" s="89"/>
      <c r="L53" s="89"/>
    </row>
    <row r="54">
      <c r="A54" s="89"/>
      <c r="B54" s="89"/>
      <c r="C54" s="89"/>
      <c r="D54" s="89"/>
      <c r="E54" s="89"/>
      <c r="F54" s="89"/>
      <c r="G54" s="89"/>
      <c r="H54" s="89"/>
      <c r="I54" s="89"/>
      <c r="J54" s="97"/>
      <c r="K54" s="89"/>
      <c r="L54" s="89"/>
    </row>
    <row r="55">
      <c r="A55" s="89"/>
      <c r="B55" s="104" t="s">
        <v>565</v>
      </c>
      <c r="C55" s="89"/>
      <c r="D55" s="89"/>
      <c r="E55" s="89"/>
      <c r="F55" s="89"/>
      <c r="G55" s="89"/>
      <c r="H55" s="89"/>
      <c r="I55" s="89"/>
      <c r="J55" s="97"/>
      <c r="K55" s="89"/>
      <c r="L55" s="89"/>
    </row>
    <row r="56" ht="23.24853515625">
      <c r="A56" s="89"/>
      <c r="B56" s="187" t="s">
        <v>566</v>
      </c>
      <c r="C56" s="89"/>
      <c r="D56" s="89"/>
      <c r="E56" s="89"/>
      <c r="F56" s="89"/>
      <c r="G56" s="89"/>
      <c r="H56" s="89"/>
      <c r="I56" s="89"/>
      <c r="J56" s="160">
        <v>5001</v>
      </c>
      <c r="K56" s="89"/>
      <c r="L56" s="94" t="s">
        <v>567</v>
      </c>
    </row>
    <row r="57" ht="23.24853515625">
      <c r="A57" s="89"/>
      <c r="B57" s="187" t="s">
        <v>568</v>
      </c>
      <c r="C57" s="89"/>
      <c r="D57" s="89"/>
      <c r="E57" s="89"/>
      <c r="F57" s="89"/>
      <c r="G57" s="89"/>
      <c r="H57" s="89"/>
      <c r="I57" s="89"/>
      <c r="J57" s="136">
        <v>1143.21</v>
      </c>
      <c r="K57" s="89"/>
      <c r="L57" s="94" t="s">
        <v>569</v>
      </c>
    </row>
    <row r="58" ht="23.25">
      <c r="A58" s="89"/>
      <c r="B58" s="187" t="s">
        <v>570</v>
      </c>
      <c r="C58" s="89"/>
      <c r="D58" s="89"/>
      <c r="E58" s="89"/>
      <c r="F58" s="89"/>
      <c r="G58" s="89"/>
      <c r="H58" s="89"/>
      <c r="I58" s="89"/>
      <c r="J58" s="121">
        <f>J56*J57/1000000</f>
        <v>5.71719321</v>
      </c>
      <c r="K58" s="89"/>
      <c r="L58" s="89"/>
    </row>
    <row r="59" ht="23.24853515625">
      <c r="A59" s="89"/>
      <c r="B59" s="187" t="s">
        <v>571</v>
      </c>
      <c r="C59" s="89"/>
      <c r="D59" s="89"/>
      <c r="E59" s="89"/>
      <c r="F59" s="89"/>
      <c r="G59" s="89"/>
      <c r="H59" s="89"/>
      <c r="I59" s="89"/>
      <c r="J59" s="160">
        <v>10000</v>
      </c>
      <c r="K59" s="89"/>
      <c r="L59" s="89"/>
    </row>
    <row r="60" ht="23.24853515625">
      <c r="A60" s="89"/>
      <c r="B60" s="187" t="s">
        <v>572</v>
      </c>
      <c r="C60" s="89"/>
      <c r="D60" s="89"/>
      <c r="E60" s="89"/>
      <c r="F60" s="89"/>
      <c r="G60" s="89"/>
      <c r="H60" s="89"/>
      <c r="I60" s="89"/>
      <c r="J60" s="136">
        <v>2312.5</v>
      </c>
      <c r="K60" s="89"/>
      <c r="L60" s="89"/>
    </row>
    <row r="61" ht="23.25">
      <c r="A61" s="89"/>
      <c r="B61" s="187" t="s">
        <v>573</v>
      </c>
      <c r="C61" s="89"/>
      <c r="D61" s="89"/>
      <c r="E61" s="89"/>
      <c r="F61" s="89"/>
      <c r="G61" s="89"/>
      <c r="H61" s="89"/>
      <c r="I61" s="89"/>
      <c r="J61" s="121">
        <f>J59*J60/1000000</f>
        <v>23.125</v>
      </c>
      <c r="K61" s="89"/>
      <c r="L61" s="89"/>
    </row>
    <row r="62" ht="23.24853515625">
      <c r="A62" s="89"/>
      <c r="B62" s="187" t="s">
        <v>574</v>
      </c>
      <c r="C62" s="89"/>
      <c r="D62" s="89"/>
      <c r="E62" s="89"/>
      <c r="F62" s="89"/>
      <c r="G62" s="89"/>
      <c r="H62" s="89"/>
      <c r="I62" s="89"/>
      <c r="J62" s="160">
        <v>13000</v>
      </c>
      <c r="K62" s="89"/>
      <c r="L62" s="89"/>
    </row>
    <row r="63" ht="23.25">
      <c r="A63" s="89"/>
      <c r="B63" s="187" t="s">
        <v>575</v>
      </c>
      <c r="C63" s="89"/>
      <c r="D63" s="89"/>
      <c r="E63" s="89"/>
      <c r="F63" s="89"/>
      <c r="G63" s="89"/>
      <c r="H63" s="89"/>
      <c r="I63" s="89"/>
      <c r="J63" s="136">
        <v>937.5</v>
      </c>
      <c r="K63" s="89"/>
      <c r="L63" s="89"/>
    </row>
    <row r="64">
      <c r="A64" s="89"/>
      <c r="B64" s="88" t="s">
        <v>576</v>
      </c>
      <c r="C64" s="89"/>
      <c r="D64" s="89"/>
      <c r="E64" s="89"/>
      <c r="F64" s="89"/>
      <c r="G64" s="89"/>
      <c r="H64" s="89"/>
      <c r="I64" s="89"/>
      <c r="J64" s="121">
        <f>J62*J63/1000000</f>
        <v>12.1875</v>
      </c>
      <c r="K64" s="89"/>
      <c r="L64" s="89"/>
    </row>
    <row r="65" ht="23.24853515625">
      <c r="A65" s="89"/>
      <c r="B65" s="187" t="s">
        <v>577</v>
      </c>
      <c r="C65" s="89"/>
      <c r="D65" s="89"/>
      <c r="E65" s="89"/>
      <c r="F65" s="89"/>
      <c r="G65" s="89"/>
      <c r="H65" s="89"/>
      <c r="I65" s="89"/>
      <c r="J65" s="160">
        <v>5000</v>
      </c>
      <c r="K65" s="89"/>
      <c r="L65" s="89"/>
    </row>
    <row r="66" ht="23.24853515625">
      <c r="A66" s="89"/>
      <c r="B66" s="187" t="s">
        <v>578</v>
      </c>
      <c r="C66" s="89"/>
      <c r="D66" s="89"/>
      <c r="E66" s="89"/>
      <c r="F66" s="89"/>
      <c r="G66" s="89"/>
      <c r="H66" s="89"/>
      <c r="I66" s="89"/>
      <c r="J66" s="136">
        <v>3150</v>
      </c>
      <c r="K66" s="89"/>
      <c r="L66" s="89"/>
    </row>
    <row r="67" ht="23.25">
      <c r="A67" s="89"/>
      <c r="B67" s="187" t="s">
        <v>579</v>
      </c>
      <c r="C67" s="89"/>
      <c r="D67" s="89"/>
      <c r="E67" s="89"/>
      <c r="F67" s="89"/>
      <c r="G67" s="89"/>
      <c r="H67" s="89"/>
      <c r="I67" s="89"/>
      <c r="J67" s="121">
        <f>J65*J66/1000000</f>
        <v>15.75</v>
      </c>
      <c r="K67" s="89"/>
      <c r="L67" s="89"/>
    </row>
    <row r="68" ht="23.24853515625">
      <c r="A68" s="89"/>
      <c r="B68" s="187" t="s">
        <v>580</v>
      </c>
      <c r="C68" s="89"/>
      <c r="D68" s="89"/>
      <c r="E68" s="89"/>
      <c r="F68" s="89"/>
      <c r="G68" s="89"/>
      <c r="H68" s="89"/>
      <c r="I68" s="89"/>
      <c r="J68" s="160">
        <v>5000</v>
      </c>
      <c r="K68" s="89"/>
      <c r="L68" s="89"/>
    </row>
    <row r="69" ht="23.25">
      <c r="A69" s="89"/>
      <c r="B69" s="187" t="s">
        <v>581</v>
      </c>
      <c r="C69" s="89"/>
      <c r="D69" s="89"/>
      <c r="E69" s="89"/>
      <c r="F69" s="89"/>
      <c r="G69" s="89"/>
      <c r="H69" s="89"/>
      <c r="I69" s="89"/>
      <c r="J69" s="136">
        <v>1537.5</v>
      </c>
      <c r="K69" s="89"/>
      <c r="L69" s="89"/>
    </row>
    <row r="70">
      <c r="A70" s="89"/>
      <c r="B70" s="88" t="s">
        <v>582</v>
      </c>
      <c r="C70" s="89"/>
      <c r="D70" s="89"/>
      <c r="E70" s="89"/>
      <c r="F70" s="89"/>
      <c r="G70" s="89"/>
      <c r="H70" s="89"/>
      <c r="I70" s="89"/>
      <c r="J70" s="121">
        <f>J68*J69/1000000</f>
        <v>7.6875</v>
      </c>
      <c r="K70" s="89"/>
      <c r="L70" s="89"/>
    </row>
    <row r="71" ht="23.24853515625">
      <c r="A71" s="89"/>
      <c r="B71" s="187" t="s">
        <v>583</v>
      </c>
      <c r="C71" s="89"/>
      <c r="D71" s="89"/>
      <c r="E71" s="89"/>
      <c r="F71" s="89"/>
      <c r="G71" s="89"/>
      <c r="H71" s="89"/>
      <c r="I71" s="89"/>
      <c r="J71" s="160">
        <v>5000</v>
      </c>
      <c r="K71" s="89"/>
      <c r="L71" s="89"/>
    </row>
    <row r="72" ht="23.25">
      <c r="A72" s="89"/>
      <c r="B72" s="187" t="s">
        <v>584</v>
      </c>
      <c r="C72" s="89"/>
      <c r="D72" s="89"/>
      <c r="E72" s="89"/>
      <c r="F72" s="89"/>
      <c r="G72" s="89"/>
      <c r="H72" s="89"/>
      <c r="I72" s="89"/>
      <c r="J72" s="136">
        <v>1406.25</v>
      </c>
      <c r="K72" s="89"/>
      <c r="L72" s="89"/>
    </row>
    <row r="73">
      <c r="A73" s="89"/>
      <c r="B73" s="88" t="s">
        <v>585</v>
      </c>
      <c r="C73" s="89"/>
      <c r="D73" s="89"/>
      <c r="E73" s="89"/>
      <c r="F73" s="89"/>
      <c r="G73" s="89"/>
      <c r="H73" s="89"/>
      <c r="I73" s="89"/>
      <c r="J73" s="121">
        <f>J71*J72/1000000</f>
        <v>7.03125</v>
      </c>
      <c r="K73" s="89"/>
      <c r="L73" s="89"/>
    </row>
    <row r="74">
      <c r="A74" s="89"/>
      <c r="B74" s="104" t="s">
        <v>586</v>
      </c>
      <c r="C74" s="111">
        <f>-'Income Statement'!C235</f>
        <v>71</v>
      </c>
      <c r="D74" s="111">
        <f>-'Income Statement'!D235</f>
        <v>32</v>
      </c>
      <c r="E74" s="111">
        <f>-'Income Statement'!E235</f>
        <v>106</v>
      </c>
      <c r="F74" s="111">
        <f>-'Income Statement'!F235</f>
        <v>34</v>
      </c>
      <c r="G74" s="90">
        <f>SUM(C74:F74)</f>
        <v>243</v>
      </c>
      <c r="H74" s="111">
        <f>-'Income Statement'!H235</f>
        <v>70</v>
      </c>
      <c r="I74" s="111">
        <f>-'Income Statement'!I235</f>
        <v>65</v>
      </c>
      <c r="J74" s="135">
        <f>J58+J61+J64+J67+J70+J73</f>
        <v>71.49844321</v>
      </c>
      <c r="K74" s="89"/>
      <c r="L74" s="202" t="s">
        <v>587</v>
      </c>
    </row>
    <row r="75">
      <c r="A75" s="89"/>
      <c r="B75" s="89"/>
      <c r="C75" s="89"/>
      <c r="D75" s="89"/>
      <c r="E75" s="89"/>
      <c r="F75" s="89"/>
      <c r="G75" s="89"/>
      <c r="H75" s="89"/>
      <c r="I75" s="89"/>
      <c r="J75" s="97"/>
      <c r="K75" s="89"/>
      <c r="L75" s="89"/>
    </row>
    <row r="76">
      <c r="A76" s="89"/>
      <c r="B76" s="104" t="s">
        <v>588</v>
      </c>
      <c r="C76" s="89"/>
      <c r="D76" s="89"/>
      <c r="E76" s="89"/>
      <c r="F76" s="89"/>
      <c r="G76" s="89"/>
      <c r="H76" s="89"/>
      <c r="I76" s="89"/>
      <c r="J76" s="97"/>
      <c r="K76" s="89"/>
      <c r="L76" s="89"/>
    </row>
    <row r="77">
      <c r="A77" s="89"/>
      <c r="B77" s="88" t="s">
        <v>589</v>
      </c>
      <c r="C77" s="159">
        <v>83.87</v>
      </c>
      <c r="D77" s="159">
        <v>91.11</v>
      </c>
      <c r="E77" s="159">
        <v>108.96</v>
      </c>
      <c r="F77" s="159">
        <v>116.09</v>
      </c>
      <c r="G77" s="155">
        <f>F77</f>
        <v>116.09</v>
      </c>
      <c r="H77" s="159">
        <v>118.63</v>
      </c>
      <c r="I77" s="159">
        <v>144.61</v>
      </c>
      <c r="J77" s="163" t="s">
        <v>129</v>
      </c>
      <c r="K77" s="89"/>
      <c r="L77" s="89"/>
    </row>
    <row r="78">
      <c r="A78" s="89"/>
      <c r="B78" s="88" t="s">
        <v>590</v>
      </c>
      <c r="C78" s="86">
        <v>60003</v>
      </c>
      <c r="D78" s="86">
        <v>64254</v>
      </c>
      <c r="E78" s="86">
        <v>75983</v>
      </c>
      <c r="F78" s="86">
        <v>79897</v>
      </c>
      <c r="G78" s="95">
        <f>F78</f>
        <v>79897</v>
      </c>
      <c r="H78" s="86">
        <v>81425</v>
      </c>
      <c r="I78" s="86">
        <v>98118</v>
      </c>
      <c r="J78" s="121" t="s">
        <v>129</v>
      </c>
      <c r="K78" s="89"/>
      <c r="L78" s="89"/>
    </row>
    <row r="79">
      <c r="A79" s="89"/>
      <c r="B79" s="87" t="s">
        <v>93</v>
      </c>
      <c r="C79" s="92" t="s">
        <v>51</v>
      </c>
      <c r="D79" s="92" t="s">
        <v>51</v>
      </c>
      <c r="E79" s="92" t="s">
        <v>51</v>
      </c>
      <c r="F79" s="92" t="s">
        <v>51</v>
      </c>
      <c r="G79" s="92" t="s">
        <v>51</v>
      </c>
      <c r="H79" s="92">
        <f>IF(C78&lt;=0,"n.m.",H78/C78-1)</f>
        <v>0.35701548255920534</v>
      </c>
      <c r="I79" s="92">
        <f>IF(D78&lt;=0,"n.m.",I78/D78-1)</f>
        <v>0.52703333644598</v>
      </c>
      <c r="J79" s="91" t="s">
        <v>51</v>
      </c>
      <c r="K79" s="89"/>
      <c r="L79" s="89"/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5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591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592</v>
      </c>
      <c r="C10" s="89"/>
      <c r="D10" s="89"/>
      <c r="E10" s="89"/>
      <c r="F10" s="89"/>
      <c r="G10" s="89"/>
      <c r="H10" s="89"/>
      <c r="I10" s="89"/>
      <c r="J10" s="97"/>
      <c r="K10" s="89"/>
      <c r="L10" s="89"/>
    </row>
    <row r="11" ht="23.25">
      <c r="A11" s="89"/>
      <c r="B11" s="190" t="s">
        <v>593</v>
      </c>
      <c r="C11" s="89"/>
      <c r="D11" s="89"/>
      <c r="E11" s="89"/>
      <c r="F11" s="89"/>
      <c r="G11" s="89"/>
      <c r="H11" s="89"/>
      <c r="I11" s="89"/>
      <c r="J11" s="91">
        <f>E42</f>
        <v>0.1</v>
      </c>
      <c r="K11" s="89"/>
      <c r="L11" s="89"/>
    </row>
    <row r="12" ht="23.25">
      <c r="A12" s="89"/>
      <c r="B12" s="190" t="s">
        <v>594</v>
      </c>
      <c r="C12" s="89"/>
      <c r="D12" s="89"/>
      <c r="E12" s="89"/>
      <c r="F12" s="89"/>
      <c r="G12" s="89"/>
      <c r="H12" s="89"/>
      <c r="I12" s="89"/>
      <c r="J12" s="91">
        <f>F42</f>
        <v>0.11</v>
      </c>
      <c r="K12" s="89"/>
      <c r="L12" s="89"/>
    </row>
    <row r="13">
      <c r="A13" s="89"/>
      <c r="B13" s="104" t="s">
        <v>595</v>
      </c>
      <c r="C13" s="125"/>
      <c r="D13" s="125"/>
      <c r="E13" s="125"/>
      <c r="F13" s="125"/>
      <c r="G13" s="111">
        <f>'Income Statement'!G262</f>
        <v>20028</v>
      </c>
      <c r="H13" s="111">
        <f>'Income Statement'!H262</f>
        <v>5409</v>
      </c>
      <c r="I13" s="111">
        <f>'Income Statement'!I262</f>
        <v>5698</v>
      </c>
      <c r="J13" s="135">
        <f>(G13*(1+(J11+J12)/2)-H13-I13)/2</f>
        <v>5511.969999999999</v>
      </c>
      <c r="K13" s="89"/>
      <c r="L13" s="94" t="s">
        <v>596</v>
      </c>
    </row>
    <row r="14">
      <c r="A14" s="89"/>
      <c r="B14" s="87" t="s">
        <v>597</v>
      </c>
      <c r="C14" s="89"/>
      <c r="D14" s="89"/>
      <c r="E14" s="89"/>
      <c r="F14" s="89"/>
      <c r="G14" s="89"/>
      <c r="H14" s="89"/>
      <c r="I14" s="89"/>
      <c r="J14" s="91">
        <f>E43</f>
        <v>0.12</v>
      </c>
      <c r="K14" s="89"/>
      <c r="L14" s="89"/>
    </row>
    <row r="15">
      <c r="A15" s="89"/>
      <c r="B15" s="87" t="s">
        <v>598</v>
      </c>
      <c r="C15" s="89"/>
      <c r="D15" s="89"/>
      <c r="E15" s="89"/>
      <c r="F15" s="89"/>
      <c r="G15" s="89"/>
      <c r="H15" s="89"/>
      <c r="I15" s="89"/>
      <c r="J15" s="91">
        <f>F43</f>
        <v>0.13</v>
      </c>
      <c r="K15" s="89"/>
      <c r="L15" s="89"/>
    </row>
    <row r="16">
      <c r="A16" s="89"/>
      <c r="B16" s="88" t="s">
        <v>86</v>
      </c>
      <c r="C16" s="89"/>
      <c r="D16" s="89"/>
      <c r="E16" s="89"/>
      <c r="F16" s="89"/>
      <c r="G16" s="101">
        <f>'Income Statement'!G156</f>
        <v>4944</v>
      </c>
      <c r="H16" s="101">
        <f>'Income Statement'!H156</f>
        <v>1370</v>
      </c>
      <c r="I16" s="101">
        <f>'Income Statement'!I156</f>
        <v>1446</v>
      </c>
      <c r="J16" s="121">
        <f>(G16*(1+(J14+J15)/2)-H16-I16)/2</f>
        <v>1373</v>
      </c>
      <c r="K16" s="89"/>
      <c r="L16" s="89"/>
    </row>
    <row r="17" ht="23.25">
      <c r="A17" s="89"/>
      <c r="B17" s="190" t="s">
        <v>599</v>
      </c>
      <c r="C17" s="89"/>
      <c r="D17" s="89"/>
      <c r="E17" s="89"/>
      <c r="F17" s="89"/>
      <c r="G17" s="89"/>
      <c r="H17" s="89"/>
      <c r="I17" s="89"/>
      <c r="J17" s="91">
        <f>E44</f>
        <v>0.06</v>
      </c>
      <c r="K17" s="89"/>
      <c r="L17" s="89"/>
    </row>
    <row r="18" ht="23.25">
      <c r="A18" s="89"/>
      <c r="B18" s="190" t="s">
        <v>600</v>
      </c>
      <c r="C18" s="89"/>
      <c r="D18" s="89"/>
      <c r="E18" s="89"/>
      <c r="F18" s="89"/>
      <c r="G18" s="89"/>
      <c r="H18" s="89"/>
      <c r="I18" s="89"/>
      <c r="J18" s="91">
        <f>F44</f>
        <v>0.07</v>
      </c>
      <c r="K18" s="89"/>
      <c r="L18" s="89"/>
    </row>
    <row r="19">
      <c r="A19" s="89"/>
      <c r="B19" s="88" t="s">
        <v>601</v>
      </c>
      <c r="C19" s="89"/>
      <c r="D19" s="89"/>
      <c r="E19" s="89"/>
      <c r="F19" s="89"/>
      <c r="G19" s="101">
        <f>'Income Statement'!G263</f>
        <v>12912</v>
      </c>
      <c r="H19" s="101">
        <f>'Income Statement'!H263</f>
        <v>3386</v>
      </c>
      <c r="I19" s="101">
        <f>'Income Statement'!I263</f>
        <v>3431</v>
      </c>
      <c r="J19" s="121">
        <f>(G19*(1+(J17+J18)/2)-H19-I19)/2</f>
        <v>3467.1399999999994</v>
      </c>
      <c r="K19" s="89"/>
      <c r="L19" s="89"/>
    </row>
    <row r="20" ht="23.24853515625">
      <c r="A20" s="89"/>
      <c r="B20" s="187" t="s">
        <v>602</v>
      </c>
      <c r="C20" s="89"/>
      <c r="D20" s="89"/>
      <c r="E20" s="89"/>
      <c r="F20" s="89"/>
      <c r="G20" s="89"/>
      <c r="H20" s="89"/>
      <c r="I20" s="89"/>
      <c r="J20" s="136">
        <v>0</v>
      </c>
      <c r="K20" s="89"/>
      <c r="L20" s="89"/>
    </row>
    <row r="21">
      <c r="A21" s="89"/>
      <c r="B21" s="104" t="s">
        <v>603</v>
      </c>
      <c r="C21" s="125"/>
      <c r="D21" s="125"/>
      <c r="E21" s="125"/>
      <c r="F21" s="125"/>
      <c r="G21" s="125"/>
      <c r="H21" s="125"/>
      <c r="I21" s="125"/>
      <c r="J21" s="135">
        <f>J13-J19-J20</f>
        <v>2044.83</v>
      </c>
      <c r="K21" s="89"/>
      <c r="L21" s="89"/>
    </row>
    <row r="22">
      <c r="A22" s="89"/>
      <c r="B22" s="87" t="s">
        <v>604</v>
      </c>
      <c r="C22" s="89"/>
      <c r="D22" s="89"/>
      <c r="E22" s="89"/>
      <c r="F22" s="89"/>
      <c r="G22" s="89"/>
      <c r="H22" s="89"/>
      <c r="I22" s="89"/>
      <c r="J22" s="91">
        <f>E45</f>
        <v>0.23</v>
      </c>
      <c r="K22" s="89"/>
      <c r="L22" s="89"/>
    </row>
    <row r="23">
      <c r="A23" s="89"/>
      <c r="B23" s="88" t="s">
        <v>605</v>
      </c>
      <c r="C23" s="89"/>
      <c r="D23" s="89"/>
      <c r="E23" s="89"/>
      <c r="F23" s="89"/>
      <c r="G23" s="89"/>
      <c r="H23" s="89"/>
      <c r="I23" s="89"/>
      <c r="J23" s="121">
        <f>J21*(1-J22)</f>
        <v>1574.5191</v>
      </c>
      <c r="K23" s="89"/>
      <c r="L23" s="89"/>
    </row>
    <row r="24" ht="23.25">
      <c r="A24" s="89"/>
      <c r="B24" s="187" t="s">
        <v>606</v>
      </c>
      <c r="C24" s="89"/>
      <c r="D24" s="89"/>
      <c r="E24" s="89"/>
      <c r="F24" s="89"/>
      <c r="G24" s="89"/>
      <c r="H24" s="89"/>
      <c r="I24" s="89"/>
      <c r="J24" s="117">
        <f>'Income Statement'!J234+'Income Statement'!J235</f>
        <v>-81.49844321</v>
      </c>
      <c r="K24" s="89"/>
      <c r="L24" s="89"/>
    </row>
    <row r="25">
      <c r="A25" s="89"/>
      <c r="B25" s="104" t="s">
        <v>607</v>
      </c>
      <c r="C25" s="125"/>
      <c r="D25" s="125"/>
      <c r="E25" s="125"/>
      <c r="F25" s="125"/>
      <c r="G25" s="125"/>
      <c r="H25" s="125"/>
      <c r="I25" s="125"/>
      <c r="J25" s="135">
        <f>J23+J24</f>
        <v>1493.02065679</v>
      </c>
      <c r="K25" s="89"/>
      <c r="L25" s="89"/>
    </row>
    <row r="26">
      <c r="A26" s="89"/>
      <c r="B26" s="88" t="s">
        <v>608</v>
      </c>
      <c r="C26" s="89"/>
      <c r="D26" s="89"/>
      <c r="E26" s="89"/>
      <c r="F26" s="89"/>
      <c r="G26" s="89"/>
      <c r="H26" s="89"/>
      <c r="I26" s="89"/>
      <c r="J26" s="117">
        <f>'Share Count'!J40</f>
        <v>685.4234879032258</v>
      </c>
      <c r="K26" s="89"/>
      <c r="L26" s="89"/>
    </row>
    <row r="27">
      <c r="A27" s="89"/>
      <c r="B27" s="104" t="s">
        <v>609</v>
      </c>
      <c r="C27" s="122"/>
      <c r="D27" s="122"/>
      <c r="E27" s="122"/>
      <c r="F27" s="122"/>
      <c r="G27" s="122"/>
      <c r="H27" s="122"/>
      <c r="I27" s="122"/>
      <c r="J27" s="162">
        <f>J25/J26</f>
        <v>2.178245541828876</v>
      </c>
      <c r="K27" s="89"/>
      <c r="L27" s="89"/>
    </row>
    <row r="28">
      <c r="A28" s="89"/>
      <c r="B28" s="88" t="s">
        <v>610</v>
      </c>
      <c r="C28" s="89"/>
      <c r="D28" s="89"/>
      <c r="E28" s="89"/>
      <c r="F28" s="89"/>
      <c r="G28" s="89"/>
      <c r="H28" s="89"/>
      <c r="I28" s="89"/>
      <c r="J28" s="129">
        <f>'Income Statement'!J281</f>
        <v>2.3067366233279856</v>
      </c>
      <c r="K28" s="89"/>
      <c r="L28" s="89"/>
    </row>
    <row r="29">
      <c r="A29" s="89"/>
      <c r="B29" s="87" t="s">
        <v>611</v>
      </c>
      <c r="C29" s="89"/>
      <c r="D29" s="89"/>
      <c r="E29" s="89"/>
      <c r="F29" s="89"/>
      <c r="G29" s="89"/>
      <c r="H29" s="89"/>
      <c r="I29" s="89"/>
      <c r="J29" s="158">
        <f>J28-J27</f>
        <v>0.1284910814991096</v>
      </c>
      <c r="K29" s="89"/>
      <c r="L29" s="94" t="s">
        <v>612</v>
      </c>
    </row>
    <row r="30">
      <c r="A30" s="89"/>
      <c r="B30" s="89"/>
      <c r="C30" s="89"/>
      <c r="D30" s="89"/>
      <c r="E30" s="89"/>
      <c r="F30" s="89"/>
      <c r="G30" s="89"/>
      <c r="H30" s="89"/>
      <c r="I30" s="89"/>
      <c r="J30" s="97"/>
      <c r="K30" s="89"/>
      <c r="L30" s="89"/>
    </row>
    <row r="31">
      <c r="A31" s="89"/>
      <c r="B31" s="104" t="s">
        <v>613</v>
      </c>
      <c r="C31" s="89"/>
      <c r="D31" s="89"/>
      <c r="E31" s="89"/>
      <c r="F31" s="89"/>
      <c r="G31" s="89"/>
      <c r="H31" s="89"/>
      <c r="I31" s="89"/>
      <c r="J31" s="97"/>
      <c r="K31" s="89"/>
      <c r="L31" s="193" t="s">
        <v>614</v>
      </c>
    </row>
    <row r="32">
      <c r="A32" s="89"/>
      <c r="B32" s="104" t="s">
        <v>615</v>
      </c>
      <c r="C32" s="113" t="s">
        <v>616</v>
      </c>
      <c r="D32" s="113" t="s">
        <v>5</v>
      </c>
      <c r="E32" s="113" t="s">
        <v>617</v>
      </c>
      <c r="F32" s="113" t="s">
        <v>618</v>
      </c>
      <c r="G32" s="113" t="s">
        <v>619</v>
      </c>
      <c r="H32" s="113" t="s">
        <v>620</v>
      </c>
      <c r="I32" s="113" t="s">
        <v>621</v>
      </c>
      <c r="J32" s="133"/>
      <c r="K32" s="89"/>
      <c r="L32" s="89"/>
    </row>
    <row r="33" ht="23.24853515625">
      <c r="A33" s="89"/>
      <c r="B33" s="187" t="s">
        <v>622</v>
      </c>
      <c r="C33" s="95" t="s">
        <v>623</v>
      </c>
      <c r="D33" s="95" t="s">
        <v>624</v>
      </c>
      <c r="E33" s="101">
        <f>'Income Statement'!E156</f>
        <v>1236</v>
      </c>
      <c r="F33" s="101">
        <f>'Income Statement'!E156</f>
        <v>1236</v>
      </c>
      <c r="G33" s="95">
        <f>AVERAGE(E33:F33)</f>
        <v>1236</v>
      </c>
      <c r="H33" s="101">
        <f>'Income Statement'!F156</f>
        <v>1346</v>
      </c>
      <c r="I33" s="95" t="str">
        <f>IF(ISNUMBER(H33),IF(H33&gt;F33,"Beat",IF(H33&gt;=E33,"In range","Miss")),"Pending")</f>
        <v>Beat</v>
      </c>
      <c r="J33" s="97"/>
      <c r="K33" s="89"/>
      <c r="L33" s="94" t="s">
        <v>625</v>
      </c>
    </row>
    <row r="34">
      <c r="A34" s="89"/>
      <c r="B34" s="87" t="s">
        <v>626</v>
      </c>
      <c r="C34" s="92" t="s">
        <v>623</v>
      </c>
      <c r="D34" s="92" t="s">
        <v>627</v>
      </c>
      <c r="E34" s="96">
        <v>0.12</v>
      </c>
      <c r="F34" s="96">
        <v>0.12</v>
      </c>
      <c r="G34" s="92">
        <f>AVERAGE(E34:F34)</f>
        <v>0.12</v>
      </c>
      <c r="H34" s="147">
        <f>'Income Statement'!G156/H46-1</f>
        <v>0.14656771799628943</v>
      </c>
      <c r="I34" s="92" t="str">
        <f>IF(ISNUMBER(H34),IF(H34&gt;F34,"Beat",IF(H34&gt;=E34,"In range","Miss")),"Pending")</f>
        <v>Beat</v>
      </c>
      <c r="J34" s="97"/>
      <c r="K34" s="89"/>
      <c r="L34" s="94" t="s">
        <v>628</v>
      </c>
    </row>
    <row r="35">
      <c r="A35" s="89"/>
      <c r="B35" s="87" t="s">
        <v>629</v>
      </c>
      <c r="C35" s="92" t="s">
        <v>623</v>
      </c>
      <c r="D35" s="92" t="s">
        <v>627</v>
      </c>
      <c r="E35" s="96">
        <v>0.03</v>
      </c>
      <c r="F35" s="96">
        <v>0.03</v>
      </c>
      <c r="G35" s="92">
        <f>AVERAGE(E35:F35)</f>
        <v>0.03</v>
      </c>
      <c r="H35" s="147">
        <f>'Income Statement'!G263/H47-1</f>
        <v>0.034615384615384714</v>
      </c>
      <c r="I35" s="92" t="str">
        <f>IF(ISNUMBER(H35),IF(H35&lt;E35,"Beat",IF(H35&lt;=F35,"In range","Miss")),"Pending")</f>
        <v>Miss</v>
      </c>
      <c r="J35" s="97"/>
      <c r="K35" s="89"/>
      <c r="L35" s="94" t="s">
        <v>630</v>
      </c>
    </row>
    <row r="36">
      <c r="A36" s="89"/>
      <c r="B36" s="87" t="s">
        <v>631</v>
      </c>
      <c r="C36" s="92" t="s">
        <v>623</v>
      </c>
      <c r="D36" s="92" t="s">
        <v>624</v>
      </c>
      <c r="E36" s="96">
        <v>0.21</v>
      </c>
      <c r="F36" s="96">
        <v>0.21</v>
      </c>
      <c r="G36" s="92">
        <f>AVERAGE(E36:F36)</f>
        <v>0.21</v>
      </c>
      <c r="H36" s="147">
        <f>'Income Statement'!F227</f>
        <v>0.2037940379403794</v>
      </c>
      <c r="I36" s="92" t="str">
        <f>IF(ISNUMBER(H36),IF(H36&lt;E36,"Beat",IF(H36&lt;=F36,"In range","Miss")),"Pending")</f>
        <v>Beat</v>
      </c>
      <c r="J36" s="97"/>
      <c r="K36" s="89"/>
      <c r="L36" s="94" t="s">
        <v>625</v>
      </c>
    </row>
    <row r="37" ht="23.24853515625">
      <c r="A37" s="89"/>
      <c r="B37" s="190" t="s">
        <v>632</v>
      </c>
      <c r="C37" s="92" t="s">
        <v>633</v>
      </c>
      <c r="D37" s="92" t="s">
        <v>634</v>
      </c>
      <c r="E37" s="96">
        <v>0.05</v>
      </c>
      <c r="F37" s="96">
        <v>0.05</v>
      </c>
      <c r="G37" s="92">
        <f>AVERAGE(E37:F37)</f>
        <v>0.05</v>
      </c>
      <c r="H37" s="92" t="s">
        <v>51</v>
      </c>
      <c r="I37" s="92" t="str">
        <f>IF(ISNUMBER(H37),IF(H37&gt;F37,"Beat",IF(H37&gt;=E37,"In range","Miss")),"Pending")</f>
        <v>Pending</v>
      </c>
      <c r="J37" s="97"/>
      <c r="K37" s="89"/>
      <c r="L37" s="94" t="s">
        <v>635</v>
      </c>
    </row>
    <row r="38" ht="23.25">
      <c r="A38" s="89"/>
      <c r="B38" s="190" t="s">
        <v>636</v>
      </c>
      <c r="C38" s="92" t="s">
        <v>633</v>
      </c>
      <c r="D38" s="92" t="s">
        <v>634</v>
      </c>
      <c r="E38" s="96">
        <v>0.03</v>
      </c>
      <c r="F38" s="96">
        <v>0.04</v>
      </c>
      <c r="G38" s="92">
        <f>AVERAGE(E38:F38)</f>
        <v>0.035</v>
      </c>
      <c r="H38" s="92" t="s">
        <v>51</v>
      </c>
      <c r="I38" s="92" t="str">
        <f>IF(ISNUMBER(H38),IF(H38&lt;E38,"Beat",IF(H38&lt;=F38,"In range","Miss")),"Pending")</f>
        <v>Pending</v>
      </c>
      <c r="J38" s="97"/>
      <c r="K38" s="89"/>
      <c r="L38" s="94" t="s">
        <v>637</v>
      </c>
    </row>
    <row r="39" ht="23.24853515625">
      <c r="A39" s="89"/>
      <c r="B39" s="190" t="s">
        <v>638</v>
      </c>
      <c r="C39" s="92" t="s">
        <v>639</v>
      </c>
      <c r="D39" s="92" t="s">
        <v>634</v>
      </c>
      <c r="E39" s="96">
        <v>0.06</v>
      </c>
      <c r="F39" s="96">
        <v>0.06</v>
      </c>
      <c r="G39" s="92">
        <f>AVERAGE(E39:F39)</f>
        <v>0.06</v>
      </c>
      <c r="H39" s="92" t="s">
        <v>51</v>
      </c>
      <c r="I39" s="92" t="str">
        <f>IF(ISNUMBER(H39),IF(H39&gt;F39,"Beat",IF(H39&gt;=E39,"In range","Miss")),"Pending")</f>
        <v>Pending</v>
      </c>
      <c r="J39" s="97"/>
      <c r="K39" s="89"/>
      <c r="L39" s="94" t="s">
        <v>640</v>
      </c>
    </row>
    <row r="40" ht="23.24853515625">
      <c r="A40" s="89"/>
      <c r="B40" s="190" t="s">
        <v>641</v>
      </c>
      <c r="C40" s="92" t="s">
        <v>639</v>
      </c>
      <c r="D40" s="92" t="s">
        <v>634</v>
      </c>
      <c r="E40" s="96">
        <v>0.1</v>
      </c>
      <c r="F40" s="96">
        <v>0.1</v>
      </c>
      <c r="G40" s="92">
        <f>AVERAGE(E40:F40)</f>
        <v>0.1</v>
      </c>
      <c r="H40" s="92" t="s">
        <v>51</v>
      </c>
      <c r="I40" s="92" t="str">
        <f>IF(ISNUMBER(H40),IF(H40&gt;F40,"Beat",IF(H40&gt;=E40,"In range","Miss")),"Pending")</f>
        <v>Pending</v>
      </c>
      <c r="J40" s="97"/>
      <c r="K40" s="89"/>
      <c r="L40" s="94" t="s">
        <v>640</v>
      </c>
    </row>
    <row r="41" ht="23.24853515625">
      <c r="A41" s="89"/>
      <c r="B41" s="190" t="s">
        <v>642</v>
      </c>
      <c r="C41" s="92" t="s">
        <v>639</v>
      </c>
      <c r="D41" s="92" t="s">
        <v>643</v>
      </c>
      <c r="E41" s="96">
        <v>0.23</v>
      </c>
      <c r="F41" s="96">
        <v>0.23</v>
      </c>
      <c r="G41" s="92">
        <f>AVERAGE(E41:F41)</f>
        <v>0.23</v>
      </c>
      <c r="H41" s="147">
        <f>'Income Statement'!I227</f>
        <v>0.20952801058667844</v>
      </c>
      <c r="I41" s="92" t="str">
        <f>IF(ISNUMBER(H41),IF(H41&lt;E41,"Beat",IF(H41&lt;=F41,"In range","Miss")),"Pending")</f>
        <v>Beat</v>
      </c>
      <c r="J41" s="97"/>
      <c r="K41" s="89"/>
      <c r="L41" s="94" t="s">
        <v>644</v>
      </c>
    </row>
    <row r="42" ht="23.24853515625">
      <c r="A42" s="89"/>
      <c r="B42" s="190" t="s">
        <v>645</v>
      </c>
      <c r="C42" s="92" t="s">
        <v>646</v>
      </c>
      <c r="D42" s="92" t="s">
        <v>634</v>
      </c>
      <c r="E42" s="96">
        <v>0.1</v>
      </c>
      <c r="F42" s="96">
        <v>0.11</v>
      </c>
      <c r="G42" s="92">
        <f>AVERAGE(E42:F42)</f>
        <v>0.10500000000000001</v>
      </c>
      <c r="H42" s="92" t="s">
        <v>51</v>
      </c>
      <c r="I42" s="92" t="str">
        <f>IF(ISNUMBER(H42),IF(H42&gt;F42,"Beat",IF(H42&gt;=E42,"In range","Miss")),"Pending")</f>
        <v>Pending</v>
      </c>
      <c r="J42" s="97"/>
      <c r="K42" s="89"/>
      <c r="L42" s="94" t="s">
        <v>647</v>
      </c>
    </row>
    <row r="43" ht="23.25">
      <c r="A43" s="89"/>
      <c r="B43" s="190" t="s">
        <v>648</v>
      </c>
      <c r="C43" s="92" t="s">
        <v>646</v>
      </c>
      <c r="D43" s="92" t="s">
        <v>634</v>
      </c>
      <c r="E43" s="96">
        <v>0.12</v>
      </c>
      <c r="F43" s="96">
        <v>0.13</v>
      </c>
      <c r="G43" s="92">
        <f>AVERAGE(E43:F43)</f>
        <v>0.125</v>
      </c>
      <c r="H43" s="92" t="s">
        <v>51</v>
      </c>
      <c r="I43" s="92" t="str">
        <f>IF(ISNUMBER(H43),IF(H43&gt;F43,"Beat",IF(H43&gt;=E43,"In range","Miss")),"Pending")</f>
        <v>Pending</v>
      </c>
      <c r="J43" s="97"/>
      <c r="K43" s="89"/>
      <c r="L43" s="94" t="s">
        <v>649</v>
      </c>
    </row>
    <row r="44" ht="23.25">
      <c r="A44" s="89"/>
      <c r="B44" s="190" t="s">
        <v>650</v>
      </c>
      <c r="C44" s="92" t="s">
        <v>646</v>
      </c>
      <c r="D44" s="92" t="s">
        <v>634</v>
      </c>
      <c r="E44" s="96">
        <v>0.06</v>
      </c>
      <c r="F44" s="96">
        <v>0.07</v>
      </c>
      <c r="G44" s="92">
        <f>AVERAGE(E44:F44)</f>
        <v>0.065</v>
      </c>
      <c r="H44" s="92" t="s">
        <v>51</v>
      </c>
      <c r="I44" s="92" t="str">
        <f>IF(ISNUMBER(H44),IF(H44&lt;E44,"Beat",IF(H44&lt;=F44,"In range","Miss")),"Pending")</f>
        <v>Pending</v>
      </c>
      <c r="J44" s="97"/>
      <c r="K44" s="89"/>
      <c r="L44" s="94" t="s">
        <v>651</v>
      </c>
    </row>
    <row r="45" ht="23.24853515625">
      <c r="A45" s="89"/>
      <c r="B45" s="190" t="s">
        <v>652</v>
      </c>
      <c r="C45" s="92" t="s">
        <v>646</v>
      </c>
      <c r="D45" s="92" t="s">
        <v>653</v>
      </c>
      <c r="E45" s="96">
        <v>0.23</v>
      </c>
      <c r="F45" s="96">
        <v>0.23</v>
      </c>
      <c r="G45" s="92">
        <f>AVERAGE(E45:F45)</f>
        <v>0.23</v>
      </c>
      <c r="H45" s="92" t="s">
        <v>51</v>
      </c>
      <c r="I45" s="92" t="str">
        <f>IF(ISNUMBER(H45),IF(H45&lt;E45,"Beat",IF(H45&lt;=F45,"In range","Miss")),"Pending")</f>
        <v>Pending</v>
      </c>
      <c r="J45" s="97"/>
      <c r="K45" s="89"/>
      <c r="L45" s="94" t="s">
        <v>654</v>
      </c>
    </row>
    <row r="46" ht="23.24853515625">
      <c r="A46" s="89"/>
      <c r="B46" s="187" t="s">
        <v>655</v>
      </c>
      <c r="C46" s="89"/>
      <c r="D46" s="89"/>
      <c r="E46" s="89"/>
      <c r="F46" s="89"/>
      <c r="G46" s="89"/>
      <c r="H46" s="86">
        <v>4312</v>
      </c>
      <c r="I46" s="89"/>
      <c r="J46" s="97"/>
      <c r="K46" s="89"/>
      <c r="L46" s="89"/>
    </row>
    <row r="47" ht="23.24853515625">
      <c r="A47" s="89"/>
      <c r="B47" s="187" t="s">
        <v>656</v>
      </c>
      <c r="C47" s="89"/>
      <c r="D47" s="89"/>
      <c r="E47" s="89"/>
      <c r="F47" s="89"/>
      <c r="G47" s="89"/>
      <c r="H47" s="86">
        <v>12480</v>
      </c>
      <c r="I47" s="89"/>
      <c r="J47" s="97"/>
      <c r="K47" s="89"/>
      <c r="L47" s="89"/>
    </row>
    <row r="48">
      <c r="A48" s="89"/>
      <c r="B48" s="87" t="s">
        <v>657</v>
      </c>
      <c r="C48" s="89"/>
      <c r="D48" s="89"/>
      <c r="E48" s="89"/>
      <c r="F48" s="89"/>
      <c r="G48" s="89"/>
      <c r="H48" s="89"/>
      <c r="I48" s="89"/>
      <c r="J48" s="97"/>
      <c r="K48" s="89"/>
      <c r="L48" s="89"/>
    </row>
    <row r="49">
      <c r="A49" s="89"/>
      <c r="B49" s="87" t="s">
        <v>658</v>
      </c>
      <c r="C49" s="89"/>
      <c r="D49" s="89"/>
      <c r="E49" s="89"/>
      <c r="F49" s="89"/>
      <c r="G49" s="89"/>
      <c r="H49" s="89"/>
      <c r="I49" s="89"/>
      <c r="J49" s="97"/>
      <c r="K49" s="89"/>
      <c r="L49" s="89"/>
    </row>
    <row r="50">
      <c r="A50" s="89"/>
      <c r="B50" s="87" t="s">
        <v>659</v>
      </c>
      <c r="C50" s="89"/>
      <c r="D50" s="89"/>
      <c r="E50" s="89"/>
      <c r="F50" s="89"/>
      <c r="G50" s="89"/>
      <c r="H50" s="89"/>
      <c r="I50" s="89"/>
      <c r="J50" s="97"/>
      <c r="K50" s="89"/>
      <c r="L50" s="89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L3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660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661</v>
      </c>
      <c r="C10" s="89"/>
      <c r="D10" s="89"/>
      <c r="E10" s="89"/>
      <c r="F10" s="89"/>
      <c r="G10" s="89"/>
      <c r="H10" s="89"/>
      <c r="I10" s="89"/>
      <c r="J10" s="97"/>
      <c r="K10" s="89"/>
      <c r="L10" s="193" t="s">
        <v>662</v>
      </c>
    </row>
    <row r="11">
      <c r="A11" s="89"/>
      <c r="B11" s="104" t="s">
        <v>663</v>
      </c>
      <c r="C11" s="192" t="s">
        <v>664</v>
      </c>
      <c r="D11" s="132" t="s">
        <v>665</v>
      </c>
      <c r="E11" s="102"/>
      <c r="F11" s="132" t="s">
        <v>666</v>
      </c>
      <c r="G11" s="102"/>
      <c r="H11" s="102"/>
      <c r="I11" s="102"/>
      <c r="J11" s="133"/>
      <c r="K11" s="89"/>
      <c r="L11" s="94" t="s">
        <v>667</v>
      </c>
    </row>
    <row r="12">
      <c r="A12" s="89"/>
      <c r="B12" s="88" t="s">
        <v>668</v>
      </c>
      <c r="C12" s="191" t="s">
        <v>646</v>
      </c>
      <c r="D12" s="120" t="s">
        <v>669</v>
      </c>
      <c r="E12" s="89"/>
      <c r="F12" s="120" t="s">
        <v>670</v>
      </c>
      <c r="G12" s="89"/>
      <c r="H12" s="89"/>
      <c r="I12" s="89"/>
      <c r="J12" s="97"/>
      <c r="K12" s="89"/>
      <c r="L12" s="94" t="s">
        <v>671</v>
      </c>
    </row>
    <row r="13">
      <c r="A13" s="89"/>
      <c r="B13" s="88" t="s">
        <v>672</v>
      </c>
      <c r="C13" s="191" t="s">
        <v>646</v>
      </c>
      <c r="D13" s="120" t="s">
        <v>669</v>
      </c>
      <c r="E13" s="89"/>
      <c r="F13" s="120" t="s">
        <v>673</v>
      </c>
      <c r="G13" s="89"/>
      <c r="H13" s="89"/>
      <c r="I13" s="89"/>
      <c r="J13" s="97"/>
      <c r="K13" s="89"/>
      <c r="L13" s="94" t="s">
        <v>674</v>
      </c>
    </row>
    <row r="14">
      <c r="A14" s="89"/>
      <c r="B14" s="88" t="s">
        <v>675</v>
      </c>
      <c r="C14" s="191" t="s">
        <v>639</v>
      </c>
      <c r="D14" s="120" t="s">
        <v>669</v>
      </c>
      <c r="E14" s="89"/>
      <c r="F14" s="120" t="s">
        <v>676</v>
      </c>
      <c r="G14" s="89"/>
      <c r="H14" s="89"/>
      <c r="I14" s="89"/>
      <c r="J14" s="97"/>
      <c r="K14" s="89"/>
      <c r="L14" s="94" t="s">
        <v>677</v>
      </c>
    </row>
    <row r="15">
      <c r="A15" s="89"/>
      <c r="B15" s="88" t="s">
        <v>678</v>
      </c>
      <c r="C15" s="191" t="s">
        <v>633</v>
      </c>
      <c r="D15" s="120" t="s">
        <v>669</v>
      </c>
      <c r="E15" s="89"/>
      <c r="F15" s="120" t="s">
        <v>679</v>
      </c>
      <c r="G15" s="89"/>
      <c r="H15" s="89"/>
      <c r="I15" s="89"/>
      <c r="J15" s="97"/>
      <c r="K15" s="89"/>
      <c r="L15" s="94" t="s">
        <v>680</v>
      </c>
    </row>
    <row r="16">
      <c r="A16" s="89"/>
      <c r="B16" s="88" t="s">
        <v>681</v>
      </c>
      <c r="C16" s="191" t="s">
        <v>633</v>
      </c>
      <c r="D16" s="120" t="s">
        <v>669</v>
      </c>
      <c r="E16" s="89"/>
      <c r="F16" s="120" t="s">
        <v>682</v>
      </c>
      <c r="G16" s="89"/>
      <c r="H16" s="89"/>
      <c r="I16" s="89"/>
      <c r="J16" s="97"/>
      <c r="K16" s="89"/>
      <c r="L16" s="94" t="s">
        <v>683</v>
      </c>
    </row>
    <row r="17">
      <c r="A17" s="89"/>
      <c r="B17" s="88" t="s">
        <v>684</v>
      </c>
      <c r="C17" s="191" t="s">
        <v>646</v>
      </c>
      <c r="D17" s="120" t="s">
        <v>669</v>
      </c>
      <c r="E17" s="89"/>
      <c r="F17" s="120" t="s">
        <v>685</v>
      </c>
      <c r="G17" s="89"/>
      <c r="H17" s="89"/>
      <c r="I17" s="89"/>
      <c r="J17" s="97"/>
      <c r="K17" s="89"/>
      <c r="L17" s="94" t="s">
        <v>686</v>
      </c>
    </row>
    <row r="18">
      <c r="A18" s="89"/>
      <c r="B18" s="88" t="s">
        <v>687</v>
      </c>
      <c r="C18" s="191" t="s">
        <v>623</v>
      </c>
      <c r="D18" s="120" t="s">
        <v>688</v>
      </c>
      <c r="E18" s="89"/>
      <c r="F18" s="120" t="s">
        <v>689</v>
      </c>
      <c r="G18" s="89"/>
      <c r="H18" s="89"/>
      <c r="I18" s="89"/>
      <c r="J18" s="97"/>
      <c r="K18" s="89"/>
      <c r="L18" s="94" t="s">
        <v>690</v>
      </c>
    </row>
    <row r="19">
      <c r="A19" s="89"/>
      <c r="B19" s="88" t="s">
        <v>691</v>
      </c>
      <c r="C19" s="191" t="s">
        <v>639</v>
      </c>
      <c r="D19" s="120" t="s">
        <v>692</v>
      </c>
      <c r="E19" s="89"/>
      <c r="F19" s="120" t="s">
        <v>693</v>
      </c>
      <c r="G19" s="89"/>
      <c r="H19" s="89"/>
      <c r="I19" s="89"/>
      <c r="J19" s="97"/>
      <c r="K19" s="89"/>
      <c r="L19" s="94" t="s">
        <v>694</v>
      </c>
    </row>
    <row r="20">
      <c r="A20" s="89"/>
      <c r="B20" s="88" t="s">
        <v>695</v>
      </c>
      <c r="C20" s="191" t="s">
        <v>696</v>
      </c>
      <c r="D20" s="185" t="s">
        <v>697</v>
      </c>
      <c r="E20" s="89"/>
      <c r="F20" s="120" t="s">
        <v>698</v>
      </c>
      <c r="G20" s="89"/>
      <c r="H20" s="89"/>
      <c r="I20" s="89"/>
      <c r="J20" s="97"/>
      <c r="K20" s="89"/>
      <c r="L20" s="94" t="s">
        <v>699</v>
      </c>
    </row>
    <row r="21">
      <c r="A21" s="89"/>
      <c r="B21" s="88" t="s">
        <v>700</v>
      </c>
      <c r="C21" s="191" t="s">
        <v>646</v>
      </c>
      <c r="D21" s="120" t="s">
        <v>701</v>
      </c>
      <c r="E21" s="89"/>
      <c r="F21" s="120" t="s">
        <v>702</v>
      </c>
      <c r="G21" s="89"/>
      <c r="H21" s="89"/>
      <c r="I21" s="89"/>
      <c r="J21" s="97"/>
      <c r="K21" s="89"/>
      <c r="L21" s="94" t="s">
        <v>703</v>
      </c>
    </row>
    <row r="22">
      <c r="A22" s="89"/>
      <c r="B22" s="88" t="s">
        <v>704</v>
      </c>
      <c r="C22" s="191" t="s">
        <v>705</v>
      </c>
      <c r="D22" s="120" t="s">
        <v>706</v>
      </c>
      <c r="E22" s="89"/>
      <c r="F22" s="120" t="s">
        <v>707</v>
      </c>
      <c r="G22" s="89"/>
      <c r="H22" s="89"/>
      <c r="I22" s="89"/>
      <c r="J22" s="97"/>
      <c r="K22" s="89"/>
      <c r="L22" s="94" t="s">
        <v>708</v>
      </c>
    </row>
    <row r="23">
      <c r="A23" s="89"/>
      <c r="B23" s="88" t="s">
        <v>709</v>
      </c>
      <c r="C23" s="191" t="s">
        <v>710</v>
      </c>
      <c r="D23" s="120" t="s">
        <v>669</v>
      </c>
      <c r="E23" s="89"/>
      <c r="F23" s="120" t="s">
        <v>711</v>
      </c>
      <c r="G23" s="89"/>
      <c r="H23" s="89"/>
      <c r="I23" s="89"/>
      <c r="J23" s="97"/>
      <c r="K23" s="89"/>
      <c r="L23" s="94" t="s">
        <v>712</v>
      </c>
    </row>
    <row r="24">
      <c r="A24" s="89"/>
      <c r="B24" s="88" t="s">
        <v>713</v>
      </c>
      <c r="C24" s="191" t="s">
        <v>714</v>
      </c>
      <c r="D24" s="120" t="s">
        <v>669</v>
      </c>
      <c r="E24" s="89"/>
      <c r="F24" s="120" t="s">
        <v>715</v>
      </c>
      <c r="G24" s="89"/>
      <c r="H24" s="89"/>
      <c r="I24" s="89"/>
      <c r="J24" s="97"/>
      <c r="K24" s="89"/>
      <c r="L24" s="94" t="s">
        <v>716</v>
      </c>
    </row>
    <row r="25">
      <c r="A25" s="89"/>
      <c r="B25" s="88" t="s">
        <v>717</v>
      </c>
      <c r="C25" s="191" t="s">
        <v>718</v>
      </c>
      <c r="D25" s="120" t="s">
        <v>669</v>
      </c>
      <c r="E25" s="89"/>
      <c r="F25" s="120" t="s">
        <v>719</v>
      </c>
      <c r="G25" s="89"/>
      <c r="H25" s="89"/>
      <c r="I25" s="89"/>
      <c r="J25" s="97"/>
      <c r="K25" s="89"/>
      <c r="L25" s="94" t="s">
        <v>720</v>
      </c>
    </row>
    <row r="26">
      <c r="A26" s="89"/>
      <c r="B26" s="88" t="s">
        <v>721</v>
      </c>
      <c r="C26" s="191" t="s">
        <v>722</v>
      </c>
      <c r="D26" s="120" t="s">
        <v>669</v>
      </c>
      <c r="E26" s="89"/>
      <c r="F26" s="120" t="s">
        <v>723</v>
      </c>
      <c r="G26" s="89"/>
      <c r="H26" s="89"/>
      <c r="I26" s="89"/>
      <c r="J26" s="97"/>
      <c r="K26" s="89"/>
      <c r="L26" s="94" t="s">
        <v>724</v>
      </c>
    </row>
    <row r="27">
      <c r="A27" s="89"/>
      <c r="B27" s="88" t="s">
        <v>725</v>
      </c>
      <c r="C27" s="191" t="s">
        <v>726</v>
      </c>
      <c r="D27" s="120" t="s">
        <v>727</v>
      </c>
      <c r="E27" s="89"/>
      <c r="F27" s="120" t="s">
        <v>728</v>
      </c>
      <c r="G27" s="89"/>
      <c r="H27" s="89"/>
      <c r="I27" s="89"/>
      <c r="J27" s="97"/>
      <c r="K27" s="89"/>
      <c r="L27" s="94" t="s">
        <v>729</v>
      </c>
    </row>
    <row r="28">
      <c r="A28" s="89"/>
      <c r="B28" s="88" t="s">
        <v>730</v>
      </c>
      <c r="C28" s="191" t="s">
        <v>731</v>
      </c>
      <c r="D28" s="120" t="s">
        <v>732</v>
      </c>
      <c r="E28" s="89"/>
      <c r="F28" s="120" t="s">
        <v>733</v>
      </c>
      <c r="G28" s="89"/>
      <c r="H28" s="89"/>
      <c r="I28" s="89"/>
      <c r="J28" s="97"/>
      <c r="K28" s="89"/>
      <c r="L28" s="94" t="s">
        <v>734</v>
      </c>
    </row>
    <row r="29">
      <c r="A29" s="89"/>
      <c r="B29" s="88" t="s">
        <v>735</v>
      </c>
      <c r="C29" s="191" t="s">
        <v>736</v>
      </c>
      <c r="D29" s="120" t="s">
        <v>737</v>
      </c>
      <c r="E29" s="89"/>
      <c r="F29" s="120" t="s">
        <v>738</v>
      </c>
      <c r="G29" s="89"/>
      <c r="H29" s="89"/>
      <c r="I29" s="89"/>
      <c r="J29" s="97"/>
      <c r="K29" s="89"/>
      <c r="L29" s="94" t="s">
        <v>739</v>
      </c>
    </row>
    <row r="30">
      <c r="A30" s="89"/>
      <c r="B30" s="88" t="s">
        <v>740</v>
      </c>
      <c r="C30" s="191" t="s">
        <v>741</v>
      </c>
      <c r="D30" s="120" t="s">
        <v>742</v>
      </c>
      <c r="E30" s="89"/>
      <c r="F30" s="120" t="s">
        <v>743</v>
      </c>
      <c r="G30" s="89"/>
      <c r="H30" s="89"/>
      <c r="I30" s="89"/>
      <c r="J30" s="97"/>
      <c r="K30" s="89"/>
      <c r="L30" s="94" t="s">
        <v>744</v>
      </c>
    </row>
    <row r="31">
      <c r="A31" s="89"/>
      <c r="B31" s="88" t="s">
        <v>745</v>
      </c>
      <c r="C31" s="191" t="s">
        <v>746</v>
      </c>
      <c r="D31" s="120" t="s">
        <v>747</v>
      </c>
      <c r="E31" s="89"/>
      <c r="F31" s="120" t="s">
        <v>748</v>
      </c>
      <c r="G31" s="89"/>
      <c r="H31" s="89"/>
      <c r="I31" s="89"/>
      <c r="J31" s="97"/>
      <c r="K31" s="89"/>
      <c r="L31" s="94" t="s">
        <v>749</v>
      </c>
    </row>
    <row r="32">
      <c r="A32" s="89"/>
      <c r="B32" s="88" t="s">
        <v>750</v>
      </c>
      <c r="C32" s="191" t="s">
        <v>751</v>
      </c>
      <c r="D32" s="120" t="s">
        <v>752</v>
      </c>
      <c r="E32" s="89"/>
      <c r="F32" s="120" t="s">
        <v>753</v>
      </c>
      <c r="G32" s="89"/>
      <c r="H32" s="89"/>
      <c r="I32" s="89"/>
      <c r="J32" s="97"/>
      <c r="K32" s="89"/>
      <c r="L32" s="94" t="s">
        <v>754</v>
      </c>
    </row>
    <row r="33">
      <c r="A33" s="89"/>
      <c r="B33" s="88" t="s">
        <v>755</v>
      </c>
      <c r="C33" s="191" t="s">
        <v>756</v>
      </c>
      <c r="D33" s="120" t="s">
        <v>757</v>
      </c>
      <c r="E33" s="89"/>
      <c r="F33" s="120" t="s">
        <v>758</v>
      </c>
      <c r="G33" s="89"/>
      <c r="H33" s="89"/>
      <c r="I33" s="89"/>
      <c r="J33" s="97"/>
      <c r="K33" s="89"/>
      <c r="L33" s="94" t="s">
        <v>759</v>
      </c>
    </row>
    <row r="34">
      <c r="A34" s="89"/>
      <c r="B34" s="88" t="s">
        <v>760</v>
      </c>
      <c r="C34" s="191" t="s">
        <v>761</v>
      </c>
      <c r="D34" s="120" t="s">
        <v>762</v>
      </c>
      <c r="E34" s="89"/>
      <c r="F34" s="120" t="s">
        <v>763</v>
      </c>
      <c r="G34" s="89"/>
      <c r="H34" s="89"/>
      <c r="I34" s="89"/>
      <c r="J34" s="97"/>
      <c r="K34" s="89"/>
      <c r="L34" s="94" t="s">
        <v>764</v>
      </c>
    </row>
    <row r="35">
      <c r="A35" s="89"/>
      <c r="B35" s="88" t="s">
        <v>765</v>
      </c>
      <c r="C35" s="191" t="s">
        <v>710</v>
      </c>
      <c r="D35" s="120" t="s">
        <v>669</v>
      </c>
      <c r="E35" s="89"/>
      <c r="F35" s="120" t="s">
        <v>766</v>
      </c>
      <c r="G35" s="89"/>
      <c r="H35" s="89"/>
      <c r="I35" s="89"/>
      <c r="J35" s="97"/>
      <c r="K35" s="89"/>
      <c r="L35" s="94" t="s">
        <v>767</v>
      </c>
    </row>
    <row r="36">
      <c r="A36" s="89"/>
      <c r="B36" s="89"/>
      <c r="C36" s="89"/>
      <c r="D36" s="89"/>
      <c r="E36" s="89"/>
      <c r="F36" s="89"/>
      <c r="G36" s="89"/>
      <c r="H36" s="89"/>
      <c r="I36" s="89"/>
      <c r="J36" s="97"/>
      <c r="K36" s="89"/>
      <c r="L36" s="89"/>
    </row>
    <row r="37">
      <c r="A37" s="89"/>
      <c r="B37" s="87" t="s">
        <v>768</v>
      </c>
      <c r="C37" s="89"/>
      <c r="D37" s="89"/>
      <c r="E37" s="89"/>
      <c r="F37" s="89"/>
      <c r="G37" s="89"/>
      <c r="H37" s="89"/>
      <c r="I37" s="89"/>
      <c r="J37" s="97"/>
      <c r="K37" s="89"/>
      <c r="L37" s="89"/>
    </row>
    <row r="38">
      <c r="A38" s="89"/>
      <c r="B38" s="87" t="s">
        <v>769</v>
      </c>
      <c r="C38" s="89"/>
      <c r="D38" s="89"/>
      <c r="E38" s="89"/>
      <c r="F38" s="89"/>
      <c r="G38" s="89"/>
      <c r="H38" s="89"/>
      <c r="I38" s="89"/>
      <c r="J38" s="97"/>
      <c r="K38" s="89"/>
      <c r="L38" s="89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dimension ref="A1:L13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60" customWidth="1"/>
  </cols>
  <sheetData>
    <row r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>
      <c r="A2" s="89"/>
      <c r="B2" s="114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>
      <c r="A3" s="89"/>
      <c r="B3" s="105" t="s">
        <v>770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>
      <c r="A4" s="89"/>
      <c r="B4" s="141" t="s">
        <v>3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>
      <c r="A6" s="89"/>
      <c r="B6" s="131" t="s">
        <v>5</v>
      </c>
      <c r="C6" s="93" t="s">
        <v>6</v>
      </c>
      <c r="D6" s="93" t="s">
        <v>7</v>
      </c>
      <c r="E6" s="93" t="s">
        <v>8</v>
      </c>
      <c r="F6" s="93" t="s">
        <v>9</v>
      </c>
      <c r="G6" s="93" t="s">
        <v>10</v>
      </c>
      <c r="H6" s="93" t="s">
        <v>11</v>
      </c>
      <c r="I6" s="93" t="s">
        <v>12</v>
      </c>
      <c r="J6" s="138" t="s">
        <v>13</v>
      </c>
      <c r="K6" s="89"/>
      <c r="L6" s="140" t="s">
        <v>14</v>
      </c>
    </row>
    <row r="7">
      <c r="A7" s="89"/>
      <c r="B7" s="98" t="s">
        <v>15</v>
      </c>
      <c r="C7" s="107">
        <v>45747</v>
      </c>
      <c r="D7" s="107">
        <v>45838</v>
      </c>
      <c r="E7" s="107">
        <v>45930</v>
      </c>
      <c r="F7" s="107">
        <v>46022</v>
      </c>
      <c r="G7" s="107">
        <v>46022</v>
      </c>
      <c r="H7" s="107">
        <v>46112</v>
      </c>
      <c r="I7" s="107">
        <v>46203</v>
      </c>
      <c r="J7" s="100">
        <v>46295</v>
      </c>
      <c r="K7" s="89"/>
      <c r="L7" s="89"/>
    </row>
    <row r="8">
      <c r="A8" s="89"/>
      <c r="B8" s="143" t="s">
        <v>16</v>
      </c>
      <c r="C8" s="110">
        <v>90</v>
      </c>
      <c r="D8" s="110">
        <v>91</v>
      </c>
      <c r="E8" s="110">
        <v>92</v>
      </c>
      <c r="F8" s="110">
        <v>92</v>
      </c>
      <c r="G8" s="110">
        <v>365</v>
      </c>
      <c r="H8" s="110">
        <v>90</v>
      </c>
      <c r="I8" s="110">
        <v>91</v>
      </c>
      <c r="J8" s="123">
        <v>92</v>
      </c>
      <c r="K8" s="89"/>
      <c r="L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>
      <c r="A10" s="89"/>
      <c r="B10" s="104" t="s">
        <v>771</v>
      </c>
      <c r="C10" s="89"/>
      <c r="D10" s="89"/>
      <c r="E10" s="89"/>
      <c r="F10" s="89"/>
      <c r="G10" s="89"/>
      <c r="H10" s="89"/>
      <c r="I10" s="89"/>
      <c r="J10" s="97"/>
      <c r="K10" s="89"/>
      <c r="L10" s="181" t="s">
        <v>772</v>
      </c>
    </row>
    <row r="11">
      <c r="A11" s="89"/>
      <c r="B11" s="88" t="s">
        <v>773</v>
      </c>
      <c r="C11" s="120" t="s">
        <v>774</v>
      </c>
      <c r="D11" s="89"/>
      <c r="E11" s="89"/>
      <c r="F11" s="89"/>
      <c r="G11" s="89"/>
      <c r="H11" s="89"/>
      <c r="I11" s="89"/>
      <c r="J11" s="97"/>
      <c r="K11" s="89"/>
      <c r="L11" s="89"/>
    </row>
    <row r="12">
      <c r="A12" s="89"/>
      <c r="B12" s="88" t="s">
        <v>775</v>
      </c>
      <c r="C12" s="120" t="s">
        <v>24</v>
      </c>
      <c r="D12" s="89"/>
      <c r="E12" s="89"/>
      <c r="F12" s="89"/>
      <c r="G12" s="89"/>
      <c r="H12" s="89"/>
      <c r="I12" s="89"/>
      <c r="J12" s="97"/>
      <c r="K12" s="89"/>
      <c r="L12" s="89"/>
    </row>
    <row r="13">
      <c r="A13" s="89"/>
      <c r="B13" s="88" t="s">
        <v>776</v>
      </c>
      <c r="C13" s="120" t="s">
        <v>777</v>
      </c>
      <c r="D13" s="89"/>
      <c r="E13" s="89"/>
      <c r="F13" s="89"/>
      <c r="G13" s="89"/>
      <c r="H13" s="89"/>
      <c r="I13" s="89"/>
      <c r="J13" s="97"/>
      <c r="K13" s="89"/>
      <c r="L13" s="89"/>
    </row>
    <row r="14">
      <c r="A14" s="89"/>
      <c r="B14" s="88" t="s">
        <v>778</v>
      </c>
      <c r="C14" s="120" t="s">
        <v>779</v>
      </c>
      <c r="D14" s="89"/>
      <c r="E14" s="89"/>
      <c r="F14" s="89"/>
      <c r="G14" s="89"/>
      <c r="H14" s="89"/>
      <c r="I14" s="89"/>
      <c r="J14" s="97"/>
      <c r="K14" s="89"/>
      <c r="L14" s="89"/>
    </row>
    <row r="15">
      <c r="A15" s="89"/>
      <c r="B15" s="88" t="s">
        <v>780</v>
      </c>
      <c r="C15" s="120" t="s">
        <v>781</v>
      </c>
      <c r="D15" s="89"/>
      <c r="E15" s="89"/>
      <c r="F15" s="89"/>
      <c r="G15" s="89"/>
      <c r="H15" s="89"/>
      <c r="I15" s="89"/>
      <c r="J15" s="97"/>
      <c r="K15" s="89"/>
      <c r="L15" s="89"/>
    </row>
    <row r="16">
      <c r="A16" s="89"/>
      <c r="B16" s="88" t="s">
        <v>782</v>
      </c>
      <c r="C16" s="89"/>
      <c r="D16" s="89"/>
      <c r="E16" s="89"/>
      <c r="F16" s="89"/>
      <c r="G16" s="89"/>
      <c r="H16" s="89"/>
      <c r="I16" s="89"/>
      <c r="J16" s="97"/>
      <c r="K16" s="89"/>
      <c r="L16" s="94" t="s">
        <v>783</v>
      </c>
    </row>
    <row r="17">
      <c r="A17" s="89"/>
      <c r="B17" s="88" t="s">
        <v>784</v>
      </c>
      <c r="C17" s="120" t="s">
        <v>785</v>
      </c>
      <c r="D17" s="89"/>
      <c r="E17" s="89"/>
      <c r="F17" s="89"/>
      <c r="G17" s="89"/>
      <c r="H17" s="89"/>
      <c r="I17" s="89"/>
      <c r="J17" s="97"/>
      <c r="K17" s="89"/>
      <c r="L17" s="89"/>
    </row>
    <row r="18">
      <c r="A18" s="89"/>
      <c r="B18" s="88" t="s">
        <v>786</v>
      </c>
      <c r="C18" s="120" t="s">
        <v>726</v>
      </c>
      <c r="D18" s="89"/>
      <c r="E18" s="89"/>
      <c r="F18" s="89"/>
      <c r="G18" s="89"/>
      <c r="H18" s="89"/>
      <c r="I18" s="89"/>
      <c r="J18" s="97"/>
      <c r="K18" s="89"/>
      <c r="L18" s="89"/>
    </row>
    <row r="19">
      <c r="A19" s="89"/>
      <c r="B19" s="88" t="s">
        <v>787</v>
      </c>
      <c r="C19" s="120" t="s">
        <v>788</v>
      </c>
      <c r="D19" s="89"/>
      <c r="E19" s="89"/>
      <c r="F19" s="89"/>
      <c r="G19" s="89"/>
      <c r="H19" s="89"/>
      <c r="I19" s="89"/>
      <c r="J19" s="97"/>
      <c r="K19" s="89"/>
      <c r="L19" s="89"/>
    </row>
    <row r="20">
      <c r="A20" s="89"/>
      <c r="B20" s="88" t="s">
        <v>789</v>
      </c>
      <c r="C20" s="120" t="s">
        <v>790</v>
      </c>
      <c r="D20" s="89"/>
      <c r="E20" s="89"/>
      <c r="F20" s="89"/>
      <c r="G20" s="89"/>
      <c r="H20" s="89"/>
      <c r="I20" s="89"/>
      <c r="J20" s="97"/>
      <c r="K20" s="89"/>
      <c r="L20" s="89"/>
    </row>
    <row r="21">
      <c r="A21" s="89"/>
      <c r="B21" s="88" t="s">
        <v>791</v>
      </c>
      <c r="C21" s="165">
        <v>17</v>
      </c>
      <c r="D21" s="89"/>
      <c r="E21" s="89"/>
      <c r="F21" s="89"/>
      <c r="G21" s="89"/>
      <c r="H21" s="89"/>
      <c r="I21" s="89"/>
      <c r="J21" s="97"/>
      <c r="K21" s="89"/>
      <c r="L21" s="89"/>
    </row>
    <row r="22">
      <c r="A22" s="89"/>
      <c r="B22" s="88" t="s">
        <v>792</v>
      </c>
      <c r="C22" s="165">
        <v>2.26</v>
      </c>
      <c r="D22" s="89"/>
      <c r="E22" s="89"/>
      <c r="F22" s="89"/>
      <c r="G22" s="89"/>
      <c r="H22" s="89"/>
      <c r="I22" s="89"/>
      <c r="J22" s="97"/>
      <c r="K22" s="89"/>
      <c r="L22" s="89"/>
    </row>
    <row r="23">
      <c r="A23" s="89"/>
      <c r="B23" s="88" t="s">
        <v>793</v>
      </c>
      <c r="C23" s="165">
        <v>2.26</v>
      </c>
      <c r="D23" s="89"/>
      <c r="E23" s="89"/>
      <c r="F23" s="89"/>
      <c r="G23" s="89"/>
      <c r="H23" s="89"/>
      <c r="I23" s="89"/>
      <c r="J23" s="97"/>
      <c r="K23" s="89"/>
      <c r="L23" s="89"/>
    </row>
    <row r="24">
      <c r="A24" s="89"/>
      <c r="B24" s="88" t="s">
        <v>794</v>
      </c>
      <c r="C24" s="165">
        <v>2.33</v>
      </c>
      <c r="D24" s="89"/>
      <c r="E24" s="89"/>
      <c r="F24" s="89"/>
      <c r="G24" s="89"/>
      <c r="H24" s="89"/>
      <c r="I24" s="89"/>
      <c r="J24" s="97"/>
      <c r="K24" s="89"/>
      <c r="L24" s="89"/>
    </row>
    <row r="25">
      <c r="A25" s="89"/>
      <c r="B25" s="88" t="s">
        <v>795</v>
      </c>
      <c r="C25" s="165">
        <v>2.16</v>
      </c>
      <c r="D25" s="89"/>
      <c r="E25" s="89"/>
      <c r="F25" s="89"/>
      <c r="G25" s="89"/>
      <c r="H25" s="89"/>
      <c r="I25" s="89"/>
      <c r="J25" s="97"/>
      <c r="K25" s="89"/>
      <c r="L25" s="89"/>
    </row>
    <row r="26">
      <c r="A26" s="89"/>
      <c r="B26" s="88" t="s">
        <v>796</v>
      </c>
      <c r="C26" s="165">
        <v>0.04</v>
      </c>
      <c r="D26" s="89"/>
      <c r="E26" s="89"/>
      <c r="F26" s="89"/>
      <c r="G26" s="89"/>
      <c r="H26" s="89"/>
      <c r="I26" s="89"/>
      <c r="J26" s="97"/>
      <c r="K26" s="89"/>
      <c r="L26" s="89"/>
    </row>
    <row r="27">
      <c r="A27" s="89"/>
      <c r="B27" s="88" t="s">
        <v>797</v>
      </c>
      <c r="C27" s="165">
        <v>12</v>
      </c>
      <c r="D27" s="89"/>
      <c r="E27" s="89"/>
      <c r="F27" s="89"/>
      <c r="G27" s="89"/>
      <c r="H27" s="89"/>
      <c r="I27" s="89"/>
      <c r="J27" s="97"/>
      <c r="K27" s="89"/>
      <c r="L27" s="89"/>
    </row>
    <row r="28">
      <c r="A28" s="89"/>
      <c r="B28" s="88" t="s">
        <v>798</v>
      </c>
      <c r="C28" s="89"/>
      <c r="D28" s="89"/>
      <c r="E28" s="89"/>
      <c r="F28" s="89"/>
      <c r="G28" s="89"/>
      <c r="H28" s="89"/>
      <c r="I28" s="89"/>
      <c r="J28" s="97"/>
      <c r="K28" s="89"/>
      <c r="L28" s="94" t="s">
        <v>783</v>
      </c>
    </row>
    <row r="29">
      <c r="A29" s="89"/>
      <c r="B29" s="88" t="s">
        <v>799</v>
      </c>
      <c r="C29" s="89"/>
      <c r="D29" s="89"/>
      <c r="E29" s="89"/>
      <c r="F29" s="89"/>
      <c r="G29" s="89"/>
      <c r="H29" s="89"/>
      <c r="I29" s="89"/>
      <c r="J29" s="97"/>
      <c r="K29" s="89"/>
      <c r="L29" s="94" t="s">
        <v>783</v>
      </c>
    </row>
    <row r="30">
      <c r="A30" s="89"/>
      <c r="B30" s="88" t="s">
        <v>800</v>
      </c>
      <c r="C30" s="89"/>
      <c r="D30" s="89"/>
      <c r="E30" s="89"/>
      <c r="F30" s="89"/>
      <c r="G30" s="89"/>
      <c r="H30" s="89"/>
      <c r="I30" s="89"/>
      <c r="J30" s="97"/>
      <c r="K30" s="89"/>
      <c r="L30" s="94" t="s">
        <v>783</v>
      </c>
    </row>
    <row r="31">
      <c r="A31" s="89"/>
      <c r="B31" s="88" t="s">
        <v>801</v>
      </c>
      <c r="C31" s="165">
        <v>2.27</v>
      </c>
      <c r="D31" s="89"/>
      <c r="E31" s="89"/>
      <c r="F31" s="89"/>
      <c r="G31" s="89"/>
      <c r="H31" s="89"/>
      <c r="I31" s="89"/>
      <c r="J31" s="97"/>
      <c r="K31" s="89"/>
      <c r="L31" s="89"/>
    </row>
    <row r="32">
      <c r="A32" s="89"/>
      <c r="B32" s="88" t="s">
        <v>802</v>
      </c>
      <c r="C32" s="165">
        <v>2.26</v>
      </c>
      <c r="D32" s="89"/>
      <c r="E32" s="89"/>
      <c r="F32" s="89"/>
      <c r="G32" s="89"/>
      <c r="H32" s="89"/>
      <c r="I32" s="89"/>
      <c r="J32" s="97"/>
      <c r="K32" s="89"/>
      <c r="L32" s="89"/>
    </row>
    <row r="33">
      <c r="A33" s="89"/>
      <c r="B33" s="88" t="s">
        <v>803</v>
      </c>
      <c r="C33" s="165">
        <v>2.33</v>
      </c>
      <c r="D33" s="89"/>
      <c r="E33" s="89"/>
      <c r="F33" s="89"/>
      <c r="G33" s="89"/>
      <c r="H33" s="89"/>
      <c r="I33" s="89"/>
      <c r="J33" s="97"/>
      <c r="K33" s="89"/>
      <c r="L33" s="89"/>
    </row>
    <row r="34">
      <c r="A34" s="89"/>
      <c r="B34" s="88" t="s">
        <v>804</v>
      </c>
      <c r="C34" s="165">
        <v>2.23</v>
      </c>
      <c r="D34" s="89"/>
      <c r="E34" s="89"/>
      <c r="F34" s="89"/>
      <c r="G34" s="89"/>
      <c r="H34" s="89"/>
      <c r="I34" s="89"/>
      <c r="J34" s="97"/>
      <c r="K34" s="89"/>
      <c r="L34" s="89"/>
    </row>
    <row r="35">
      <c r="A35" s="89"/>
      <c r="B35" s="88" t="s">
        <v>805</v>
      </c>
      <c r="C35" s="165">
        <v>0.03</v>
      </c>
      <c r="D35" s="89"/>
      <c r="E35" s="89"/>
      <c r="F35" s="89"/>
      <c r="G35" s="89"/>
      <c r="H35" s="89"/>
      <c r="I35" s="89"/>
      <c r="J35" s="97"/>
      <c r="K35" s="89"/>
      <c r="L35" s="89"/>
    </row>
    <row r="36">
      <c r="A36" s="89"/>
      <c r="B36" s="88" t="s">
        <v>806</v>
      </c>
      <c r="C36" s="165">
        <v>8</v>
      </c>
      <c r="D36" s="89"/>
      <c r="E36" s="89"/>
      <c r="F36" s="89"/>
      <c r="G36" s="89"/>
      <c r="H36" s="89"/>
      <c r="I36" s="89"/>
      <c r="J36" s="97"/>
      <c r="K36" s="89"/>
      <c r="L36" s="89"/>
    </row>
    <row r="37">
      <c r="A37" s="89"/>
      <c r="B37" s="88" t="s">
        <v>807</v>
      </c>
      <c r="C37" s="89"/>
      <c r="D37" s="89"/>
      <c r="E37" s="89"/>
      <c r="F37" s="89"/>
      <c r="G37" s="89"/>
      <c r="H37" s="89"/>
      <c r="I37" s="89"/>
      <c r="J37" s="97"/>
      <c r="K37" s="89"/>
      <c r="L37" s="94" t="s">
        <v>783</v>
      </c>
    </row>
    <row r="38">
      <c r="A38" s="89"/>
      <c r="B38" s="88" t="s">
        <v>808</v>
      </c>
      <c r="C38" s="165">
        <v>5560.95</v>
      </c>
      <c r="D38" s="89"/>
      <c r="E38" s="89"/>
      <c r="F38" s="89"/>
      <c r="G38" s="89"/>
      <c r="H38" s="89"/>
      <c r="I38" s="89"/>
      <c r="J38" s="97"/>
      <c r="K38" s="89"/>
      <c r="L38" s="89"/>
    </row>
    <row r="39">
      <c r="A39" s="89"/>
      <c r="B39" s="88" t="s">
        <v>809</v>
      </c>
      <c r="C39" s="165">
        <v>5549</v>
      </c>
      <c r="D39" s="89"/>
      <c r="E39" s="89"/>
      <c r="F39" s="89"/>
      <c r="G39" s="89"/>
      <c r="H39" s="89"/>
      <c r="I39" s="89"/>
      <c r="J39" s="97"/>
      <c r="K39" s="89"/>
      <c r="L39" s="89"/>
    </row>
    <row r="40">
      <c r="A40" s="89"/>
      <c r="B40" s="88" t="s">
        <v>810</v>
      </c>
      <c r="C40" s="165">
        <v>5612</v>
      </c>
      <c r="D40" s="89"/>
      <c r="E40" s="89"/>
      <c r="F40" s="89"/>
      <c r="G40" s="89"/>
      <c r="H40" s="89"/>
      <c r="I40" s="89"/>
      <c r="J40" s="97"/>
      <c r="K40" s="89"/>
      <c r="L40" s="89"/>
    </row>
    <row r="41">
      <c r="A41" s="89"/>
      <c r="B41" s="88" t="s">
        <v>811</v>
      </c>
      <c r="C41" s="165">
        <v>5498.37</v>
      </c>
      <c r="D41" s="89"/>
      <c r="E41" s="89"/>
      <c r="F41" s="89"/>
      <c r="G41" s="89"/>
      <c r="H41" s="89"/>
      <c r="I41" s="89"/>
      <c r="J41" s="97"/>
      <c r="K41" s="89"/>
      <c r="L41" s="89"/>
    </row>
    <row r="42">
      <c r="A42" s="89"/>
      <c r="B42" s="88" t="s">
        <v>812</v>
      </c>
      <c r="C42" s="165">
        <v>35.12</v>
      </c>
      <c r="D42" s="89"/>
      <c r="E42" s="89"/>
      <c r="F42" s="89"/>
      <c r="G42" s="89"/>
      <c r="H42" s="89"/>
      <c r="I42" s="89"/>
      <c r="J42" s="97"/>
      <c r="K42" s="89"/>
      <c r="L42" s="89"/>
    </row>
    <row r="43">
      <c r="A43" s="89"/>
      <c r="B43" s="88" t="s">
        <v>813</v>
      </c>
      <c r="C43" s="165">
        <v>9</v>
      </c>
      <c r="D43" s="89"/>
      <c r="E43" s="89"/>
      <c r="F43" s="89"/>
      <c r="G43" s="89"/>
      <c r="H43" s="89"/>
      <c r="I43" s="89"/>
      <c r="J43" s="97"/>
      <c r="K43" s="89"/>
      <c r="L43" s="89"/>
    </row>
    <row r="44">
      <c r="A44" s="89"/>
      <c r="B44" s="88" t="s">
        <v>814</v>
      </c>
      <c r="C44" s="89"/>
      <c r="D44" s="89"/>
      <c r="E44" s="89"/>
      <c r="F44" s="89"/>
      <c r="G44" s="89"/>
      <c r="H44" s="89"/>
      <c r="I44" s="89"/>
      <c r="J44" s="97"/>
      <c r="K44" s="89"/>
      <c r="L44" s="94" t="s">
        <v>783</v>
      </c>
    </row>
    <row r="45">
      <c r="A45" s="89"/>
      <c r="B45" s="88" t="s">
        <v>815</v>
      </c>
      <c r="C45" s="89"/>
      <c r="D45" s="89"/>
      <c r="E45" s="89"/>
      <c r="F45" s="89"/>
      <c r="G45" s="89"/>
      <c r="H45" s="89"/>
      <c r="I45" s="89"/>
      <c r="J45" s="97"/>
      <c r="K45" s="89"/>
      <c r="L45" s="94" t="s">
        <v>783</v>
      </c>
    </row>
    <row r="46">
      <c r="A46" s="89"/>
      <c r="B46" s="88" t="s">
        <v>816</v>
      </c>
      <c r="C46" s="89"/>
      <c r="D46" s="89"/>
      <c r="E46" s="89"/>
      <c r="F46" s="89"/>
      <c r="G46" s="89"/>
      <c r="H46" s="89"/>
      <c r="I46" s="89"/>
      <c r="J46" s="97"/>
      <c r="K46" s="89"/>
      <c r="L46" s="94" t="s">
        <v>783</v>
      </c>
    </row>
    <row r="47">
      <c r="A47" s="89"/>
      <c r="B47" s="88" t="s">
        <v>817</v>
      </c>
      <c r="C47" s="89"/>
      <c r="D47" s="89"/>
      <c r="E47" s="89"/>
      <c r="F47" s="89"/>
      <c r="G47" s="89"/>
      <c r="H47" s="89"/>
      <c r="I47" s="89"/>
      <c r="J47" s="97"/>
      <c r="K47" s="89"/>
      <c r="L47" s="94" t="s">
        <v>783</v>
      </c>
    </row>
    <row r="48">
      <c r="A48" s="89"/>
      <c r="B48" s="88" t="s">
        <v>818</v>
      </c>
      <c r="C48" s="165">
        <v>2142.71</v>
      </c>
      <c r="D48" s="89"/>
      <c r="E48" s="89"/>
      <c r="F48" s="89"/>
      <c r="G48" s="89"/>
      <c r="H48" s="89"/>
      <c r="I48" s="89"/>
      <c r="J48" s="97"/>
      <c r="K48" s="89"/>
      <c r="L48" s="89"/>
    </row>
    <row r="49">
      <c r="A49" s="89"/>
      <c r="B49" s="88" t="s">
        <v>819</v>
      </c>
      <c r="C49" s="165">
        <v>2127.5</v>
      </c>
      <c r="D49" s="89"/>
      <c r="E49" s="89"/>
      <c r="F49" s="89"/>
      <c r="G49" s="89"/>
      <c r="H49" s="89"/>
      <c r="I49" s="89"/>
      <c r="J49" s="97"/>
      <c r="K49" s="89"/>
      <c r="L49" s="89"/>
    </row>
    <row r="50">
      <c r="A50" s="89"/>
      <c r="B50" s="88" t="s">
        <v>820</v>
      </c>
      <c r="C50" s="165">
        <v>2125.87</v>
      </c>
      <c r="D50" s="89"/>
      <c r="E50" s="89"/>
      <c r="F50" s="89"/>
      <c r="G50" s="89"/>
      <c r="H50" s="89"/>
      <c r="I50" s="89"/>
      <c r="J50" s="97"/>
      <c r="K50" s="89"/>
      <c r="L50" s="89"/>
    </row>
    <row r="51">
      <c r="A51" s="89"/>
      <c r="B51" s="88" t="s">
        <v>821</v>
      </c>
      <c r="C51" s="165">
        <v>1550.68</v>
      </c>
      <c r="D51" s="89"/>
      <c r="E51" s="89"/>
      <c r="F51" s="89"/>
      <c r="G51" s="89"/>
      <c r="H51" s="89"/>
      <c r="I51" s="89"/>
      <c r="J51" s="97"/>
      <c r="K51" s="89"/>
      <c r="L51" s="89"/>
    </row>
    <row r="52">
      <c r="A52" s="89"/>
      <c r="B52" s="88" t="s">
        <v>822</v>
      </c>
      <c r="C52" s="165">
        <v>1555.24</v>
      </c>
      <c r="D52" s="89"/>
      <c r="E52" s="89"/>
      <c r="F52" s="89"/>
      <c r="G52" s="89"/>
      <c r="H52" s="89"/>
      <c r="I52" s="89"/>
      <c r="J52" s="97"/>
      <c r="K52" s="89"/>
      <c r="L52" s="89"/>
    </row>
    <row r="53">
      <c r="A53" s="89"/>
      <c r="B53" s="88" t="s">
        <v>823</v>
      </c>
      <c r="C53" s="165">
        <v>1.43</v>
      </c>
      <c r="D53" s="89"/>
      <c r="E53" s="89"/>
      <c r="F53" s="89"/>
      <c r="G53" s="89"/>
      <c r="H53" s="89"/>
      <c r="I53" s="89"/>
      <c r="J53" s="97"/>
      <c r="K53" s="89"/>
      <c r="L53" s="89"/>
    </row>
    <row r="54">
      <c r="A54" s="89"/>
      <c r="B54" s="88" t="s">
        <v>824</v>
      </c>
      <c r="C54" s="165">
        <v>22.9</v>
      </c>
      <c r="D54" s="89"/>
      <c r="E54" s="89"/>
      <c r="F54" s="89"/>
      <c r="G54" s="89"/>
      <c r="H54" s="89"/>
      <c r="I54" s="89"/>
      <c r="J54" s="97"/>
      <c r="K54" s="89"/>
      <c r="L54" s="89"/>
    </row>
    <row r="55">
      <c r="A55" s="89"/>
      <c r="B55" s="88" t="s">
        <v>825</v>
      </c>
      <c r="C55" s="89"/>
      <c r="D55" s="89"/>
      <c r="E55" s="89"/>
      <c r="F55" s="89"/>
      <c r="G55" s="89"/>
      <c r="H55" s="89"/>
      <c r="I55" s="89"/>
      <c r="J55" s="97"/>
      <c r="K55" s="89"/>
      <c r="L55" s="94" t="s">
        <v>783</v>
      </c>
    </row>
    <row r="56">
      <c r="A56" s="89"/>
      <c r="B56" s="88" t="s">
        <v>826</v>
      </c>
      <c r="C56" s="89"/>
      <c r="D56" s="89"/>
      <c r="E56" s="89"/>
      <c r="F56" s="89"/>
      <c r="G56" s="89"/>
      <c r="H56" s="89"/>
      <c r="I56" s="89"/>
      <c r="J56" s="97"/>
      <c r="K56" s="89"/>
      <c r="L56" s="94" t="s">
        <v>783</v>
      </c>
    </row>
    <row r="57">
      <c r="A57" s="89"/>
      <c r="B57" s="88" t="s">
        <v>827</v>
      </c>
      <c r="C57" s="89"/>
      <c r="D57" s="89"/>
      <c r="E57" s="89"/>
      <c r="F57" s="89"/>
      <c r="G57" s="89"/>
      <c r="H57" s="89"/>
      <c r="I57" s="89"/>
      <c r="J57" s="97"/>
      <c r="K57" s="89"/>
      <c r="L57" s="94" t="s">
        <v>783</v>
      </c>
    </row>
    <row r="58">
      <c r="A58" s="89"/>
      <c r="B58" s="88" t="s">
        <v>828</v>
      </c>
      <c r="C58" s="89"/>
      <c r="D58" s="89"/>
      <c r="E58" s="89"/>
      <c r="F58" s="89"/>
      <c r="G58" s="89"/>
      <c r="H58" s="89"/>
      <c r="I58" s="89"/>
      <c r="J58" s="97"/>
      <c r="K58" s="89"/>
      <c r="L58" s="94" t="s">
        <v>783</v>
      </c>
    </row>
    <row r="59">
      <c r="A59" s="89"/>
      <c r="B59" s="88" t="s">
        <v>829</v>
      </c>
      <c r="C59" s="89"/>
      <c r="D59" s="89"/>
      <c r="E59" s="89"/>
      <c r="F59" s="89"/>
      <c r="G59" s="89"/>
      <c r="H59" s="89"/>
      <c r="I59" s="89"/>
      <c r="J59" s="97"/>
      <c r="K59" s="89"/>
      <c r="L59" s="94" t="s">
        <v>783</v>
      </c>
    </row>
    <row r="60">
      <c r="A60" s="89"/>
      <c r="B60" s="88" t="s">
        <v>830</v>
      </c>
      <c r="C60" s="89"/>
      <c r="D60" s="89"/>
      <c r="E60" s="89"/>
      <c r="F60" s="89"/>
      <c r="G60" s="89"/>
      <c r="H60" s="89"/>
      <c r="I60" s="89"/>
      <c r="J60" s="97"/>
      <c r="K60" s="89"/>
      <c r="L60" s="94" t="s">
        <v>783</v>
      </c>
    </row>
    <row r="61">
      <c r="A61" s="89"/>
      <c r="B61" s="88" t="s">
        <v>831</v>
      </c>
      <c r="C61" s="89"/>
      <c r="D61" s="89"/>
      <c r="E61" s="89"/>
      <c r="F61" s="89"/>
      <c r="G61" s="89"/>
      <c r="H61" s="89"/>
      <c r="I61" s="89"/>
      <c r="J61" s="97"/>
      <c r="K61" s="89"/>
      <c r="L61" s="94" t="s">
        <v>783</v>
      </c>
    </row>
    <row r="62">
      <c r="A62" s="89"/>
      <c r="B62" s="88" t="s">
        <v>832</v>
      </c>
      <c r="C62" s="89"/>
      <c r="D62" s="89"/>
      <c r="E62" s="89"/>
      <c r="F62" s="89"/>
      <c r="G62" s="89"/>
      <c r="H62" s="89"/>
      <c r="I62" s="89"/>
      <c r="J62" s="97"/>
      <c r="K62" s="89"/>
      <c r="L62" s="94" t="s">
        <v>783</v>
      </c>
    </row>
    <row r="63">
      <c r="A63" s="89"/>
      <c r="B63" s="88" t="s">
        <v>833</v>
      </c>
      <c r="C63" s="89"/>
      <c r="D63" s="89"/>
      <c r="E63" s="89"/>
      <c r="F63" s="89"/>
      <c r="G63" s="89"/>
      <c r="H63" s="89"/>
      <c r="I63" s="89"/>
      <c r="J63" s="97"/>
      <c r="K63" s="89"/>
      <c r="L63" s="94" t="s">
        <v>783</v>
      </c>
    </row>
    <row r="64">
      <c r="A64" s="89"/>
      <c r="B64" s="88" t="s">
        <v>834</v>
      </c>
      <c r="C64" s="165">
        <v>22111</v>
      </c>
      <c r="D64" s="89"/>
      <c r="E64" s="89"/>
      <c r="F64" s="89"/>
      <c r="G64" s="89"/>
      <c r="H64" s="89"/>
      <c r="I64" s="89"/>
      <c r="J64" s="97"/>
      <c r="K64" s="89"/>
      <c r="L64" s="89"/>
    </row>
    <row r="65">
      <c r="A65" s="89"/>
      <c r="B65" s="88" t="s">
        <v>835</v>
      </c>
      <c r="C65" s="89"/>
      <c r="D65" s="89"/>
      <c r="E65" s="89"/>
      <c r="F65" s="89"/>
      <c r="G65" s="89"/>
      <c r="H65" s="89"/>
      <c r="I65" s="89"/>
      <c r="J65" s="97"/>
      <c r="K65" s="89"/>
      <c r="L65" s="94" t="s">
        <v>783</v>
      </c>
    </row>
    <row r="66">
      <c r="A66" s="89"/>
      <c r="B66" s="88" t="s">
        <v>836</v>
      </c>
      <c r="C66" s="165">
        <v>15.46</v>
      </c>
      <c r="D66" s="89"/>
      <c r="E66" s="89"/>
      <c r="F66" s="89"/>
      <c r="G66" s="89"/>
      <c r="H66" s="89"/>
      <c r="I66" s="89"/>
      <c r="J66" s="97"/>
      <c r="K66" s="89"/>
      <c r="L66" s="89"/>
    </row>
    <row r="67">
      <c r="A67" s="89"/>
      <c r="B67" s="88" t="s">
        <v>837</v>
      </c>
      <c r="C67" s="165">
        <v>163.47</v>
      </c>
      <c r="D67" s="89"/>
      <c r="E67" s="89"/>
      <c r="F67" s="89"/>
      <c r="G67" s="89"/>
      <c r="H67" s="89"/>
      <c r="I67" s="89"/>
      <c r="J67" s="97"/>
      <c r="K67" s="89"/>
      <c r="L67" s="89"/>
    </row>
    <row r="68">
      <c r="A68" s="89"/>
      <c r="B68" s="88" t="s">
        <v>838</v>
      </c>
      <c r="C68" s="165">
        <v>161</v>
      </c>
      <c r="D68" s="89"/>
      <c r="E68" s="89"/>
      <c r="F68" s="89"/>
      <c r="G68" s="89"/>
      <c r="H68" s="89"/>
      <c r="I68" s="89"/>
      <c r="J68" s="97"/>
      <c r="K68" s="89"/>
      <c r="L68" s="89"/>
    </row>
    <row r="69">
      <c r="A69" s="89"/>
      <c r="B69" s="88" t="s">
        <v>839</v>
      </c>
      <c r="C69" s="165">
        <v>182</v>
      </c>
      <c r="D69" s="89"/>
      <c r="E69" s="89"/>
      <c r="F69" s="89"/>
      <c r="G69" s="89"/>
      <c r="H69" s="89"/>
      <c r="I69" s="89"/>
      <c r="J69" s="97"/>
      <c r="K69" s="89"/>
      <c r="L69" s="89"/>
    </row>
    <row r="70">
      <c r="A70" s="89"/>
      <c r="B70" s="88" t="s">
        <v>840</v>
      </c>
      <c r="C70" s="165">
        <v>135</v>
      </c>
      <c r="D70" s="89"/>
      <c r="E70" s="89"/>
      <c r="F70" s="89"/>
      <c r="G70" s="89"/>
      <c r="H70" s="89"/>
      <c r="I70" s="89"/>
      <c r="J70" s="97"/>
      <c r="K70" s="89"/>
      <c r="L70" s="89"/>
    </row>
    <row r="71">
      <c r="A71" s="89"/>
      <c r="B71" s="88" t="s">
        <v>841</v>
      </c>
      <c r="C71" s="165">
        <v>12</v>
      </c>
      <c r="D71" s="89"/>
      <c r="E71" s="89"/>
      <c r="F71" s="89"/>
      <c r="G71" s="89"/>
      <c r="H71" s="89"/>
      <c r="I71" s="89"/>
      <c r="J71" s="97"/>
      <c r="K71" s="89"/>
      <c r="L71" s="89"/>
    </row>
    <row r="72">
      <c r="A72" s="89"/>
      <c r="B72" s="88" t="s">
        <v>842</v>
      </c>
      <c r="C72" s="165">
        <v>15</v>
      </c>
      <c r="D72" s="89"/>
      <c r="E72" s="89"/>
      <c r="F72" s="89"/>
      <c r="G72" s="89"/>
      <c r="H72" s="89"/>
      <c r="I72" s="89"/>
      <c r="J72" s="97"/>
      <c r="K72" s="89"/>
      <c r="L72" s="89"/>
    </row>
    <row r="73">
      <c r="A73" s="89"/>
      <c r="B73" s="88" t="s">
        <v>843</v>
      </c>
      <c r="C73" s="120" t="s">
        <v>844</v>
      </c>
      <c r="D73" s="89"/>
      <c r="E73" s="89"/>
      <c r="F73" s="89"/>
      <c r="G73" s="89"/>
      <c r="H73" s="89"/>
      <c r="I73" s="89"/>
      <c r="J73" s="97"/>
      <c r="K73" s="89"/>
      <c r="L73" s="89"/>
    </row>
    <row r="74">
      <c r="A74" s="89"/>
      <c r="B74" s="88" t="s">
        <v>845</v>
      </c>
      <c r="C74" s="165">
        <v>2.12</v>
      </c>
      <c r="D74" s="89"/>
      <c r="E74" s="89"/>
      <c r="F74" s="89"/>
      <c r="G74" s="89"/>
      <c r="H74" s="89"/>
      <c r="I74" s="89"/>
      <c r="J74" s="97"/>
      <c r="K74" s="89"/>
      <c r="L74" s="89"/>
    </row>
    <row r="75">
      <c r="A75" s="89"/>
      <c r="B75" s="88" t="s">
        <v>846</v>
      </c>
      <c r="C75" s="165">
        <v>142.71</v>
      </c>
      <c r="D75" s="89"/>
      <c r="E75" s="89"/>
      <c r="F75" s="89"/>
      <c r="G75" s="89"/>
      <c r="H75" s="89"/>
      <c r="I75" s="89"/>
      <c r="J75" s="97"/>
      <c r="K75" s="89"/>
      <c r="L75" s="89"/>
    </row>
    <row r="76">
      <c r="A76" s="89"/>
      <c r="B76" s="88" t="s">
        <v>847</v>
      </c>
      <c r="C76" s="120" t="s">
        <v>848</v>
      </c>
      <c r="D76" s="89"/>
      <c r="E76" s="89"/>
      <c r="F76" s="89"/>
      <c r="G76" s="89"/>
      <c r="H76" s="89"/>
      <c r="I76" s="89"/>
      <c r="J76" s="97"/>
      <c r="K76" s="89"/>
      <c r="L76" s="89"/>
    </row>
    <row r="77">
      <c r="A77" s="89"/>
      <c r="B77" s="88" t="s">
        <v>849</v>
      </c>
      <c r="C77" s="120" t="s">
        <v>850</v>
      </c>
      <c r="D77" s="89"/>
      <c r="E77" s="89"/>
      <c r="F77" s="89"/>
      <c r="G77" s="89"/>
      <c r="H77" s="89"/>
      <c r="I77" s="89"/>
      <c r="J77" s="97"/>
      <c r="K77" s="89"/>
      <c r="L77" s="89"/>
    </row>
    <row r="78">
      <c r="A78" s="89"/>
      <c r="B78" s="88" t="s">
        <v>851</v>
      </c>
      <c r="C78" s="120" t="s">
        <v>852</v>
      </c>
      <c r="D78" s="89"/>
      <c r="E78" s="89"/>
      <c r="F78" s="89"/>
      <c r="G78" s="89"/>
      <c r="H78" s="89"/>
      <c r="I78" s="89"/>
      <c r="J78" s="97"/>
      <c r="K78" s="89"/>
      <c r="L78" s="89"/>
    </row>
    <row r="79">
      <c r="A79" s="89"/>
      <c r="B79" s="88" t="s">
        <v>853</v>
      </c>
      <c r="C79" s="120" t="s">
        <v>756</v>
      </c>
      <c r="D79" s="89"/>
      <c r="E79" s="89"/>
      <c r="F79" s="89"/>
      <c r="G79" s="89"/>
      <c r="H79" s="89"/>
      <c r="I79" s="89"/>
      <c r="J79" s="97"/>
      <c r="K79" s="89"/>
      <c r="L79" s="89"/>
    </row>
    <row r="80">
      <c r="A80" s="89"/>
      <c r="B80" s="88" t="s">
        <v>854</v>
      </c>
      <c r="C80" s="120" t="s">
        <v>855</v>
      </c>
      <c r="D80" s="89"/>
      <c r="E80" s="89"/>
      <c r="F80" s="89"/>
      <c r="G80" s="89"/>
      <c r="H80" s="89"/>
      <c r="I80" s="89"/>
      <c r="J80" s="97"/>
      <c r="K80" s="89"/>
      <c r="L80" s="89"/>
    </row>
    <row r="81">
      <c r="A81" s="89"/>
      <c r="B81" s="89"/>
      <c r="C81" s="89"/>
      <c r="D81" s="89"/>
      <c r="E81" s="89"/>
      <c r="F81" s="89"/>
      <c r="G81" s="89"/>
      <c r="H81" s="89"/>
      <c r="I81" s="89"/>
      <c r="J81" s="97"/>
      <c r="K81" s="89"/>
      <c r="L81" s="89"/>
    </row>
    <row r="82">
      <c r="A82" s="89"/>
      <c r="B82" s="104" t="s">
        <v>856</v>
      </c>
      <c r="C82" s="89"/>
      <c r="D82" s="89"/>
      <c r="E82" s="89"/>
      <c r="F82" s="89"/>
      <c r="G82" s="89"/>
      <c r="H82" s="89"/>
      <c r="I82" s="89"/>
      <c r="J82" s="97"/>
      <c r="K82" s="89"/>
      <c r="L82" s="181" t="s">
        <v>857</v>
      </c>
    </row>
    <row r="83">
      <c r="A83" s="89"/>
      <c r="B83" s="88" t="s">
        <v>858</v>
      </c>
      <c r="C83" s="120" t="s">
        <v>859</v>
      </c>
      <c r="D83" s="89"/>
      <c r="E83" s="89"/>
      <c r="F83" s="89"/>
      <c r="G83" s="89"/>
      <c r="H83" s="89"/>
      <c r="I83" s="89"/>
      <c r="J83" s="97"/>
      <c r="K83" s="89"/>
      <c r="L83" s="89"/>
    </row>
    <row r="84">
      <c r="A84" s="89"/>
      <c r="B84" s="88" t="s">
        <v>773</v>
      </c>
      <c r="C84" s="120" t="s">
        <v>774</v>
      </c>
      <c r="D84" s="89"/>
      <c r="E84" s="89"/>
      <c r="F84" s="89"/>
      <c r="G84" s="89"/>
      <c r="H84" s="89"/>
      <c r="I84" s="89"/>
      <c r="J84" s="97"/>
      <c r="K84" s="89"/>
      <c r="L84" s="89"/>
    </row>
    <row r="85">
      <c r="A85" s="89"/>
      <c r="B85" s="88" t="s">
        <v>860</v>
      </c>
      <c r="C85" s="120" t="s">
        <v>785</v>
      </c>
      <c r="D85" s="89"/>
      <c r="E85" s="89"/>
      <c r="F85" s="89"/>
      <c r="G85" s="89"/>
      <c r="H85" s="89"/>
      <c r="I85" s="89"/>
      <c r="J85" s="97"/>
      <c r="K85" s="89"/>
      <c r="L85" s="89"/>
    </row>
    <row r="86">
      <c r="A86" s="89"/>
      <c r="B86" s="88" t="s">
        <v>861</v>
      </c>
      <c r="C86" s="120" t="s">
        <v>726</v>
      </c>
      <c r="D86" s="89"/>
      <c r="E86" s="89"/>
      <c r="F86" s="89"/>
      <c r="G86" s="89"/>
      <c r="H86" s="89"/>
      <c r="I86" s="89"/>
      <c r="J86" s="97"/>
      <c r="K86" s="89"/>
      <c r="L86" s="89"/>
    </row>
    <row r="87">
      <c r="A87" s="89"/>
      <c r="B87" s="88" t="s">
        <v>862</v>
      </c>
      <c r="C87" s="120" t="s">
        <v>756</v>
      </c>
      <c r="D87" s="89"/>
      <c r="E87" s="89"/>
      <c r="F87" s="89"/>
      <c r="G87" s="89"/>
      <c r="H87" s="89"/>
      <c r="I87" s="89"/>
      <c r="J87" s="97"/>
      <c r="K87" s="89"/>
      <c r="L87" s="89"/>
    </row>
    <row r="88">
      <c r="A88" s="89"/>
      <c r="B88" s="88" t="s">
        <v>863</v>
      </c>
      <c r="C88" s="165">
        <v>12</v>
      </c>
      <c r="D88" s="89"/>
      <c r="E88" s="89"/>
      <c r="F88" s="89"/>
      <c r="G88" s="89"/>
      <c r="H88" s="89"/>
      <c r="I88" s="89"/>
      <c r="J88" s="97"/>
      <c r="K88" s="89"/>
      <c r="L88" s="89"/>
    </row>
    <row r="89">
      <c r="A89" s="89"/>
      <c r="B89" s="88" t="s">
        <v>864</v>
      </c>
      <c r="C89" s="165">
        <v>2.26</v>
      </c>
      <c r="D89" s="89"/>
      <c r="E89" s="89"/>
      <c r="F89" s="89"/>
      <c r="G89" s="89"/>
      <c r="H89" s="89"/>
      <c r="I89" s="89"/>
      <c r="J89" s="97"/>
      <c r="K89" s="89"/>
      <c r="L89" s="89"/>
    </row>
    <row r="90">
      <c r="A90" s="89"/>
      <c r="B90" s="88" t="s">
        <v>865</v>
      </c>
      <c r="C90" s="120" t="s">
        <v>866</v>
      </c>
      <c r="D90" s="89"/>
      <c r="E90" s="89"/>
      <c r="F90" s="89"/>
      <c r="G90" s="89"/>
      <c r="H90" s="89"/>
      <c r="I90" s="89"/>
      <c r="J90" s="97"/>
      <c r="K90" s="89"/>
      <c r="L90" s="89"/>
    </row>
    <row r="91">
      <c r="A91" s="89"/>
      <c r="B91" s="88" t="s">
        <v>867</v>
      </c>
      <c r="C91" s="165">
        <v>5560.95</v>
      </c>
      <c r="D91" s="89"/>
      <c r="E91" s="89"/>
      <c r="F91" s="89"/>
      <c r="G91" s="89"/>
      <c r="H91" s="89"/>
      <c r="I91" s="89"/>
      <c r="J91" s="97"/>
      <c r="K91" s="89"/>
      <c r="L91" s="89"/>
    </row>
    <row r="92">
      <c r="A92" s="89"/>
      <c r="B92" s="88" t="s">
        <v>849</v>
      </c>
      <c r="C92" s="120" t="s">
        <v>850</v>
      </c>
      <c r="D92" s="89"/>
      <c r="E92" s="89"/>
      <c r="F92" s="89"/>
      <c r="G92" s="89"/>
      <c r="H92" s="89"/>
      <c r="I92" s="89"/>
      <c r="J92" s="97"/>
      <c r="K92" s="89"/>
      <c r="L92" s="89"/>
    </row>
    <row r="93">
      <c r="A93" s="89"/>
      <c r="B93" s="88" t="s">
        <v>868</v>
      </c>
      <c r="C93" s="120" t="s">
        <v>869</v>
      </c>
      <c r="D93" s="89"/>
      <c r="E93" s="89"/>
      <c r="F93" s="89"/>
      <c r="G93" s="89"/>
      <c r="H93" s="89"/>
      <c r="I93" s="89"/>
      <c r="J93" s="97"/>
      <c r="K93" s="89"/>
      <c r="L93" s="89"/>
    </row>
    <row r="94">
      <c r="A94" s="89"/>
      <c r="B94" s="88" t="s">
        <v>870</v>
      </c>
      <c r="C94" s="120" t="s">
        <v>871</v>
      </c>
      <c r="D94" s="89"/>
      <c r="E94" s="89"/>
      <c r="F94" s="89"/>
      <c r="G94" s="89"/>
      <c r="H94" s="89"/>
      <c r="I94" s="89"/>
      <c r="J94" s="97"/>
      <c r="K94" s="89"/>
      <c r="L94" s="89"/>
    </row>
    <row r="95">
      <c r="A95" s="89"/>
      <c r="B95" s="89"/>
      <c r="C95" s="89"/>
      <c r="D95" s="89"/>
      <c r="E95" s="89"/>
      <c r="F95" s="89"/>
      <c r="G95" s="89"/>
      <c r="H95" s="89"/>
      <c r="I95" s="89"/>
      <c r="J95" s="97"/>
      <c r="K95" s="89"/>
      <c r="L95" s="89"/>
    </row>
    <row r="96">
      <c r="A96" s="89"/>
      <c r="B96" s="104" t="s">
        <v>872</v>
      </c>
      <c r="C96" s="89"/>
      <c r="D96" s="89"/>
      <c r="E96" s="89"/>
      <c r="F96" s="89"/>
      <c r="G96" s="89"/>
      <c r="H96" s="89"/>
      <c r="I96" s="89"/>
      <c r="J96" s="97"/>
      <c r="K96" s="89"/>
      <c r="L96" s="89"/>
    </row>
    <row r="97">
      <c r="A97" s="89"/>
      <c r="B97" s="88" t="s">
        <v>861</v>
      </c>
      <c r="C97" s="182" t="s">
        <v>873</v>
      </c>
      <c r="D97" s="182" t="s">
        <v>874</v>
      </c>
      <c r="E97" s="182" t="s">
        <v>875</v>
      </c>
      <c r="F97" s="182" t="s">
        <v>876</v>
      </c>
      <c r="G97" s="183"/>
      <c r="H97" s="182" t="s">
        <v>877</v>
      </c>
      <c r="I97" s="182" t="s">
        <v>878</v>
      </c>
      <c r="J97" s="97"/>
      <c r="K97" s="89"/>
      <c r="L97" s="89"/>
    </row>
    <row r="98">
      <c r="A98" s="89"/>
      <c r="B98" s="88" t="s">
        <v>879</v>
      </c>
      <c r="C98" s="182" t="s">
        <v>880</v>
      </c>
      <c r="D98" s="182" t="s">
        <v>881</v>
      </c>
      <c r="E98" s="182" t="s">
        <v>623</v>
      </c>
      <c r="F98" s="182" t="s">
        <v>633</v>
      </c>
      <c r="G98" s="183"/>
      <c r="H98" s="182" t="s">
        <v>639</v>
      </c>
      <c r="I98" s="182" t="s">
        <v>646</v>
      </c>
      <c r="J98" s="97"/>
      <c r="K98" s="89"/>
      <c r="L98" s="89"/>
    </row>
    <row r="99">
      <c r="A99" s="89"/>
      <c r="B99" s="88" t="s">
        <v>882</v>
      </c>
      <c r="C99" s="159">
        <v>1.49</v>
      </c>
      <c r="D99" s="159">
        <v>1.76</v>
      </c>
      <c r="E99" s="159">
        <v>1.77</v>
      </c>
      <c r="F99" s="159">
        <v>1.98</v>
      </c>
      <c r="G99" s="89"/>
      <c r="H99" s="159">
        <v>1.93</v>
      </c>
      <c r="I99" s="159">
        <v>2.22</v>
      </c>
      <c r="J99" s="97"/>
      <c r="K99" s="89"/>
      <c r="L99" s="89"/>
    </row>
    <row r="100">
      <c r="A100" s="89"/>
      <c r="B100" s="88" t="s">
        <v>883</v>
      </c>
      <c r="C100" s="159">
        <v>1.58</v>
      </c>
      <c r="D100" s="159">
        <v>1.94</v>
      </c>
      <c r="E100" s="159">
        <v>1.91</v>
      </c>
      <c r="F100" s="159">
        <v>2.08</v>
      </c>
      <c r="G100" s="89"/>
      <c r="H100" s="159">
        <v>2.25</v>
      </c>
      <c r="I100" s="159">
        <v>2.46</v>
      </c>
      <c r="J100" s="97"/>
      <c r="K100" s="89"/>
      <c r="L100" s="89"/>
    </row>
    <row r="101">
      <c r="A101" s="89"/>
      <c r="B101" s="88" t="s">
        <v>884</v>
      </c>
      <c r="C101" s="159">
        <v>1.51</v>
      </c>
      <c r="D101" s="159">
        <v>1.75</v>
      </c>
      <c r="E101" s="159">
        <v>1.76</v>
      </c>
      <c r="F101" s="159">
        <v>1.9</v>
      </c>
      <c r="G101" s="89"/>
      <c r="H101" s="159">
        <v>1.93</v>
      </c>
      <c r="I101" s="159">
        <v>2.24</v>
      </c>
      <c r="J101" s="97"/>
      <c r="K101" s="89"/>
      <c r="L101" s="89"/>
    </row>
    <row r="102">
      <c r="A102" s="89"/>
      <c r="B102" s="88" t="s">
        <v>885</v>
      </c>
      <c r="C102" s="159">
        <v>1.58</v>
      </c>
      <c r="D102" s="159">
        <v>1.93</v>
      </c>
      <c r="E102" s="159">
        <v>1.88</v>
      </c>
      <c r="F102" s="159">
        <v>2.02</v>
      </c>
      <c r="G102" s="89"/>
      <c r="H102" s="159">
        <v>2.24</v>
      </c>
      <c r="I102" s="159">
        <v>2.45</v>
      </c>
      <c r="J102" s="97"/>
      <c r="K102" s="89"/>
      <c r="L102" s="89"/>
    </row>
    <row r="103">
      <c r="A103" s="89"/>
      <c r="B103" s="88" t="s">
        <v>886</v>
      </c>
      <c r="C103" s="86">
        <v>4773.27</v>
      </c>
      <c r="D103" s="86">
        <v>4834.49</v>
      </c>
      <c r="E103" s="86">
        <v>4976.72</v>
      </c>
      <c r="F103" s="86">
        <v>5146.22</v>
      </c>
      <c r="G103" s="89"/>
      <c r="H103" s="86">
        <v>5193.3</v>
      </c>
      <c r="I103" s="86">
        <v>5413.02</v>
      </c>
      <c r="J103" s="97"/>
      <c r="K103" s="89"/>
      <c r="L103" s="89"/>
    </row>
    <row r="104">
      <c r="A104" s="89"/>
      <c r="B104" s="88" t="s">
        <v>887</v>
      </c>
      <c r="C104" s="86">
        <v>4792</v>
      </c>
      <c r="D104" s="86">
        <v>5028</v>
      </c>
      <c r="E104" s="86">
        <v>5081</v>
      </c>
      <c r="F104" s="86">
        <v>5179</v>
      </c>
      <c r="G104" s="89"/>
      <c r="H104" s="86">
        <v>5409</v>
      </c>
      <c r="I104" s="86">
        <v>5698</v>
      </c>
      <c r="J104" s="97"/>
      <c r="K104" s="89"/>
      <c r="L104" s="89"/>
    </row>
    <row r="105" ht="23.25">
      <c r="A105" s="89"/>
      <c r="B105" s="190" t="s">
        <v>888</v>
      </c>
      <c r="C105" s="166">
        <f>C100-C99</f>
        <v>0.09000000000000008</v>
      </c>
      <c r="D105" s="166">
        <f>D100-D99</f>
        <v>0.17999999999999994</v>
      </c>
      <c r="E105" s="166">
        <f>E100-E99</f>
        <v>0.1399999999999999</v>
      </c>
      <c r="F105" s="166">
        <f>F100-F99</f>
        <v>0.10000000000000009</v>
      </c>
      <c r="G105" s="89"/>
      <c r="H105" s="166">
        <f>H100-H99</f>
        <v>0.32000000000000006</v>
      </c>
      <c r="I105" s="166">
        <f>I100-I99</f>
        <v>0.23999999999999977</v>
      </c>
      <c r="J105" s="97"/>
      <c r="K105" s="89"/>
      <c r="L105" s="89"/>
    </row>
    <row r="106">
      <c r="A106" s="89"/>
      <c r="B106" s="88" t="s">
        <v>889</v>
      </c>
      <c r="C106" s="99" t="b">
        <f>C100&gt;C99</f>
        <v>1</v>
      </c>
      <c r="D106" s="99" t="b">
        <f>D100&gt;D99</f>
        <v>1</v>
      </c>
      <c r="E106" s="99" t="b">
        <f>E100&gt;E99</f>
        <v>1</v>
      </c>
      <c r="F106" s="99" t="b">
        <f>F100&gt;F99</f>
        <v>1</v>
      </c>
      <c r="G106" s="89"/>
      <c r="H106" s="99" t="b">
        <f>H100&gt;H99</f>
        <v>1</v>
      </c>
      <c r="I106" s="99" t="b">
        <f>I100&gt;I99</f>
        <v>1</v>
      </c>
      <c r="J106" s="97"/>
      <c r="K106" s="89"/>
      <c r="L106" s="89"/>
    </row>
    <row r="107">
      <c r="A107" s="89"/>
      <c r="B107" s="87" t="s">
        <v>890</v>
      </c>
      <c r="C107" s="146">
        <f>C104-C103</f>
        <v>18.729999999999563</v>
      </c>
      <c r="D107" s="146">
        <f>D104-D103</f>
        <v>193.51000000000022</v>
      </c>
      <c r="E107" s="146">
        <f>E104-E103</f>
        <v>104.27999999999975</v>
      </c>
      <c r="F107" s="146">
        <f>F104-F103</f>
        <v>32.779999999999745</v>
      </c>
      <c r="G107" s="89"/>
      <c r="H107" s="146">
        <f>H104-H103</f>
        <v>215.69999999999982</v>
      </c>
      <c r="I107" s="146">
        <f>I104-I103</f>
        <v>284.97999999999956</v>
      </c>
      <c r="J107" s="97"/>
      <c r="K107" s="89"/>
      <c r="L107" s="89"/>
    </row>
    <row r="108">
      <c r="A108" s="89"/>
      <c r="B108" s="89"/>
      <c r="C108" s="89"/>
      <c r="D108" s="89"/>
      <c r="E108" s="89"/>
      <c r="F108" s="89"/>
      <c r="G108" s="89"/>
      <c r="H108" s="89"/>
      <c r="I108" s="89"/>
      <c r="J108" s="97"/>
      <c r="K108" s="89"/>
      <c r="L108" s="89"/>
    </row>
    <row r="109">
      <c r="A109" s="89"/>
      <c r="B109" s="104" t="s">
        <v>891</v>
      </c>
      <c r="C109" s="89"/>
      <c r="D109" s="89"/>
      <c r="E109" s="89"/>
      <c r="F109" s="89"/>
      <c r="G109" s="89"/>
      <c r="H109" s="89"/>
      <c r="I109" s="89"/>
      <c r="J109" s="97"/>
      <c r="K109" s="89"/>
      <c r="L109" s="181" t="s">
        <v>892</v>
      </c>
    </row>
    <row r="110" ht="23.24853515625">
      <c r="A110" s="89"/>
      <c r="B110" s="187" t="s">
        <v>893</v>
      </c>
      <c r="C110" s="101">
        <f>'Share Count'!I78</f>
        <v>98118</v>
      </c>
      <c r="D110" s="89"/>
      <c r="E110" s="89"/>
      <c r="F110" s="89"/>
      <c r="G110" s="89"/>
      <c r="H110" s="89"/>
      <c r="I110" s="89"/>
      <c r="J110" s="97"/>
      <c r="K110" s="89"/>
      <c r="L110" s="184" t="s">
        <v>894</v>
      </c>
    </row>
    <row r="111" ht="23.24853515625">
      <c r="A111" s="89"/>
      <c r="B111" s="187" t="s">
        <v>895</v>
      </c>
      <c r="C111" s="101">
        <f>C75*'Share Count'!I17</f>
        <v>96829.30584</v>
      </c>
      <c r="D111" s="89"/>
      <c r="E111" s="89"/>
      <c r="F111" s="89"/>
      <c r="G111" s="89"/>
      <c r="H111" s="89"/>
      <c r="I111" s="89"/>
      <c r="J111" s="97"/>
      <c r="K111" s="89"/>
      <c r="L111" s="94" t="s">
        <v>896</v>
      </c>
    </row>
    <row r="112" ht="23.24853515625">
      <c r="A112" s="89"/>
      <c r="B112" s="187" t="s">
        <v>897</v>
      </c>
      <c r="C112" s="99" t="str">
        <f>IF(C110&gt;10000,"Large",IF(C110&gt;2000,"Mid","Small"))</f>
        <v>Large</v>
      </c>
      <c r="D112" s="89"/>
      <c r="E112" s="89"/>
      <c r="F112" s="89"/>
      <c r="G112" s="89"/>
      <c r="H112" s="89"/>
      <c r="I112" s="89"/>
      <c r="J112" s="97"/>
      <c r="K112" s="89"/>
      <c r="L112" s="89"/>
    </row>
    <row r="113">
      <c r="A113" s="89"/>
      <c r="B113" s="88" t="s">
        <v>898</v>
      </c>
      <c r="C113" s="99" t="str">
        <f>C15</f>
        <v>Y</v>
      </c>
      <c r="D113" s="89"/>
      <c r="E113" s="89"/>
      <c r="F113" s="89"/>
      <c r="G113" s="89"/>
      <c r="H113" s="89"/>
      <c r="I113" s="89"/>
      <c r="J113" s="97"/>
      <c r="K113" s="89"/>
      <c r="L113" s="89"/>
    </row>
    <row r="114" ht="23.25">
      <c r="A114" s="89"/>
      <c r="B114" s="190" t="s">
        <v>899</v>
      </c>
      <c r="C114" s="96">
        <v>0.78</v>
      </c>
      <c r="D114" s="89"/>
      <c r="E114" s="89"/>
      <c r="F114" s="89"/>
      <c r="G114" s="89"/>
      <c r="H114" s="89"/>
      <c r="I114" s="89"/>
      <c r="J114" s="97"/>
      <c r="K114" s="89"/>
      <c r="L114" s="181" t="s">
        <v>900</v>
      </c>
    </row>
    <row r="115">
      <c r="A115" s="89"/>
      <c r="B115" s="87" t="s">
        <v>901</v>
      </c>
      <c r="C115" s="96">
        <v>0.7</v>
      </c>
      <c r="D115" s="89"/>
      <c r="E115" s="89"/>
      <c r="F115" s="89"/>
      <c r="G115" s="89"/>
      <c r="H115" s="89"/>
      <c r="I115" s="89"/>
      <c r="J115" s="97"/>
      <c r="K115" s="89"/>
      <c r="L115" s="89"/>
    </row>
    <row r="116">
      <c r="A116" s="89"/>
      <c r="B116" s="87" t="s">
        <v>902</v>
      </c>
      <c r="C116" s="96">
        <v>0.6</v>
      </c>
      <c r="D116" s="89"/>
      <c r="E116" s="89"/>
      <c r="F116" s="89"/>
      <c r="G116" s="89"/>
      <c r="H116" s="89"/>
      <c r="I116" s="89"/>
      <c r="J116" s="97"/>
      <c r="K116" s="89"/>
      <c r="L116" s="89"/>
    </row>
    <row r="117" ht="23.24853515625">
      <c r="A117" s="89"/>
      <c r="B117" s="190" t="s">
        <v>903</v>
      </c>
      <c r="C117" s="92">
        <f>IF(OR(C112="Large",C113="Y"),C114,IF(C112="Mid",C115,C116))</f>
        <v>0.78</v>
      </c>
      <c r="D117" s="89"/>
      <c r="E117" s="89"/>
      <c r="F117" s="89"/>
      <c r="G117" s="89"/>
      <c r="H117" s="89"/>
      <c r="I117" s="89"/>
      <c r="J117" s="97"/>
      <c r="K117" s="89"/>
      <c r="L117" s="89"/>
    </row>
    <row r="118">
      <c r="A118" s="89"/>
      <c r="B118" s="88" t="s">
        <v>904</v>
      </c>
      <c r="C118" s="103">
        <f>SUMPRODUCT(--(C100:I100&gt;C99:I99))</f>
        <v>6</v>
      </c>
      <c r="D118" s="89"/>
      <c r="E118" s="89"/>
      <c r="F118" s="89"/>
      <c r="G118" s="89"/>
      <c r="H118" s="89"/>
      <c r="I118" s="89"/>
      <c r="J118" s="97"/>
      <c r="K118" s="89"/>
      <c r="L118" s="89"/>
    </row>
    <row r="119" ht="23.24853515625">
      <c r="A119" s="89"/>
      <c r="B119" s="187" t="s">
        <v>905</v>
      </c>
      <c r="C119" s="103">
        <f>COUNT(C100:I100)</f>
        <v>6</v>
      </c>
      <c r="D119" s="89"/>
      <c r="E119" s="89"/>
      <c r="F119" s="89"/>
      <c r="G119" s="89"/>
      <c r="H119" s="89"/>
      <c r="I119" s="89"/>
      <c r="J119" s="97"/>
      <c r="K119" s="89"/>
      <c r="L119" s="89"/>
    </row>
    <row r="120">
      <c r="A120" s="89"/>
      <c r="B120" s="88" t="s">
        <v>906</v>
      </c>
      <c r="C120" s="161">
        <v>8</v>
      </c>
      <c r="D120" s="89"/>
      <c r="E120" s="89"/>
      <c r="F120" s="89"/>
      <c r="G120" s="89"/>
      <c r="H120" s="89"/>
      <c r="I120" s="89"/>
      <c r="J120" s="97"/>
      <c r="K120" s="89"/>
      <c r="L120" s="89"/>
    </row>
    <row r="121" ht="23.25">
      <c r="A121" s="89"/>
      <c r="B121" s="190" t="s">
        <v>907</v>
      </c>
      <c r="C121" s="92">
        <f>(C120*C117+C118)/(C120+C119)</f>
        <v>0.8742857142857143</v>
      </c>
      <c r="D121" s="89"/>
      <c r="E121" s="89"/>
      <c r="F121" s="89"/>
      <c r="G121" s="89"/>
      <c r="H121" s="89"/>
      <c r="I121" s="89"/>
      <c r="J121" s="97"/>
      <c r="K121" s="89"/>
      <c r="L121" s="89"/>
    </row>
    <row r="122">
      <c r="A122" s="89"/>
      <c r="B122" s="87" t="s">
        <v>908</v>
      </c>
      <c r="C122" s="96">
        <v>-0.024</v>
      </c>
      <c r="D122" s="89"/>
      <c r="E122" s="89"/>
      <c r="F122" s="89"/>
      <c r="G122" s="89"/>
      <c r="H122" s="89"/>
      <c r="I122" s="89"/>
      <c r="J122" s="97"/>
      <c r="K122" s="89"/>
      <c r="L122" s="94" t="s">
        <v>909</v>
      </c>
    </row>
    <row r="123">
      <c r="A123" s="89"/>
      <c r="B123" s="119" t="s">
        <v>910</v>
      </c>
      <c r="C123" s="175">
        <f>C121+C122</f>
        <v>0.8502857142857143</v>
      </c>
      <c r="D123" s="170"/>
      <c r="E123" s="170"/>
      <c r="F123" s="170"/>
      <c r="G123" s="170"/>
      <c r="H123" s="170"/>
      <c r="I123" s="170"/>
      <c r="J123" s="169"/>
      <c r="K123" s="89"/>
      <c r="L123" s="89"/>
    </row>
    <row r="124" ht="23.25">
      <c r="A124" s="89"/>
      <c r="B124" s="187" t="s">
        <v>911</v>
      </c>
      <c r="C124" s="155">
        <f>AVERAGE(C105:I105)</f>
        <v>0.17833333333333332</v>
      </c>
      <c r="D124" s="89"/>
      <c r="E124" s="89"/>
      <c r="F124" s="89"/>
      <c r="G124" s="89"/>
      <c r="H124" s="89"/>
      <c r="I124" s="89"/>
      <c r="J124" s="97"/>
      <c r="K124" s="89"/>
      <c r="L124" s="89"/>
    </row>
    <row r="125" ht="23.25">
      <c r="A125" s="89"/>
      <c r="B125" s="187" t="s">
        <v>912</v>
      </c>
      <c r="C125" s="155">
        <f>E105</f>
        <v>0.1399999999999999</v>
      </c>
      <c r="D125" s="89"/>
      <c r="E125" s="89"/>
      <c r="F125" s="89"/>
      <c r="G125" s="89"/>
      <c r="H125" s="89"/>
      <c r="I125" s="89"/>
      <c r="J125" s="97"/>
      <c r="K125" s="89"/>
      <c r="L125" s="89"/>
    </row>
    <row r="126">
      <c r="A126" s="89"/>
      <c r="B126" s="89"/>
      <c r="C126" s="89"/>
      <c r="D126" s="89"/>
      <c r="E126" s="89"/>
      <c r="F126" s="89"/>
      <c r="G126" s="89"/>
      <c r="H126" s="89"/>
      <c r="I126" s="89"/>
      <c r="J126" s="97"/>
      <c r="K126" s="89"/>
      <c r="L126" s="89"/>
    </row>
    <row r="127">
      <c r="A127" s="89"/>
      <c r="B127" s="104" t="s">
        <v>913</v>
      </c>
      <c r="C127" s="89"/>
      <c r="D127" s="89"/>
      <c r="E127" s="89"/>
      <c r="F127" s="89"/>
      <c r="G127" s="89"/>
      <c r="H127" s="89"/>
      <c r="I127" s="89"/>
      <c r="J127" s="97"/>
      <c r="K127" s="89"/>
      <c r="L127" s="89"/>
    </row>
    <row r="128">
      <c r="A128" s="89"/>
      <c r="B128" s="88" t="s">
        <v>914</v>
      </c>
      <c r="C128" s="89"/>
      <c r="D128" s="89"/>
      <c r="E128" s="89"/>
      <c r="F128" s="89"/>
      <c r="G128" s="89"/>
      <c r="H128" s="89"/>
      <c r="I128" s="89"/>
      <c r="J128" s="97"/>
      <c r="K128" s="89"/>
      <c r="L128" s="89"/>
    </row>
    <row r="129">
      <c r="A129" s="89"/>
      <c r="B129" s="88" t="s">
        <v>915</v>
      </c>
      <c r="C129" s="89"/>
      <c r="D129" s="89"/>
      <c r="E129" s="89"/>
      <c r="F129" s="89"/>
      <c r="G129" s="89"/>
      <c r="H129" s="89"/>
      <c r="I129" s="89"/>
      <c r="J129" s="97"/>
      <c r="K129" s="89"/>
      <c r="L129" s="89"/>
    </row>
    <row r="130">
      <c r="A130" s="89"/>
      <c r="B130" s="88" t="s">
        <v>916</v>
      </c>
      <c r="C130" s="89"/>
      <c r="D130" s="89"/>
      <c r="E130" s="89"/>
      <c r="F130" s="89"/>
      <c r="G130" s="89"/>
      <c r="H130" s="89"/>
      <c r="I130" s="89"/>
      <c r="J130" s="97"/>
      <c r="K130" s="89"/>
      <c r="L130" s="89"/>
    </row>
    <row r="131">
      <c r="A131" s="89"/>
      <c r="B131" s="88" t="s">
        <v>917</v>
      </c>
      <c r="C131" s="89"/>
      <c r="D131" s="89"/>
      <c r="E131" s="89"/>
      <c r="F131" s="89"/>
      <c r="G131" s="89"/>
      <c r="H131" s="89"/>
      <c r="I131" s="89"/>
      <c r="J131" s="97"/>
      <c r="K131" s="89"/>
      <c r="L131" s="89"/>
    </row>
    <row r="132">
      <c r="A132" s="89"/>
      <c r="B132" s="88" t="s">
        <v>918</v>
      </c>
      <c r="C132" s="89"/>
      <c r="D132" s="89"/>
      <c r="E132" s="89"/>
      <c r="F132" s="89"/>
      <c r="G132" s="89"/>
      <c r="H132" s="89"/>
      <c r="I132" s="89"/>
      <c r="J132" s="97"/>
      <c r="K132" s="89"/>
      <c r="L132" s="89"/>
    </row>
  </sheetData>
</worksheet>
</file>