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Services" sheetId="3" r:id="rId4"/>
    <sheet name="Segment - Markets" sheetId="4" r:id="rId5"/>
    <sheet name="Segment - Banking" sheetId="5" r:id="rId6"/>
    <sheet name="Segment - Wealth" sheetId="6" r:id="rId7"/>
    <sheet name="Segment - USCC" sheetId="7" r:id="rId8"/>
    <sheet name="Segment - All Other" sheetId="8" r:id="rId9"/>
    <sheet name="Income Statement" sheetId="9" r:id="rId10"/>
    <sheet name="Balance Sheet" sheetId="10" r:id="rId11"/>
    <sheet name="Cash Flow Statement" sheetId="11" r:id="rId12"/>
    <sheet name="Geo" sheetId="12" r:id="rId13"/>
    <sheet name="Share Count" sheetId="13" r:id="rId14"/>
    <sheet name="Guidance" sheetId="14" r:id="rId15"/>
    <sheet name="Sources" sheetId="15" r:id="rId16"/>
    <sheet name="Inputs" sheetId="16" r:id="rId17"/>
  </sheets>
  <calcPr calcId="0"/>
</workbook>
</file>

<file path=xl/sharedStrings.xml><?xml version="1.0" encoding="utf-8"?>
<sst xmlns="http://schemas.openxmlformats.org/spreadsheetml/2006/main" count="2828" uniqueCount="970">
  <si>
    <t>Citigroup Inc. (NYSE: C)</t>
  </si>
  <si>
    <t>Cover</t>
  </si>
  <si>
    <t>$ millions, except per share</t>
  </si>
  <si>
    <t>Fiscal 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</si>
  <si>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</si>
  <si>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</si>
  <si>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</si>
  <si>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</si>
  <si>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</si>
  <si>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</si>
  <si>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</si>
  <si>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</si>
  <si>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Notes</t>
  </si>
  <si>
    <t>Period end</t>
  </si>
  <si>
    <t>Days in period</t>
  </si>
  <si>
    <t>Company Model — built by Shortcut</t>
  </si>
  <si>
    <t>Author: Shortcut</t>
  </si>
  <si>
    <t>Company</t>
  </si>
  <si>
    <t>Citigroup Inc.</t>
  </si>
  <si>
    <t>Ticker / exchange</t>
  </si>
  <si>
    <t>C / New York Stock Exchange (NYSE:C)</t>
  </si>
  <si>
    <t>Fiscal year end</t>
  </si>
  <si>
    <t>Calendar year (ends 31 December)</t>
  </si>
  <si>
    <t>Reporting currency</t>
  </si>
  <si>
    <t>USD</t>
  </si>
  <si>
    <t>EPS basis</t>
  </si>
  <si>
    <t>Normalized diluted EPS per common share (CapIQ basis = GAAP excl. divestiture-related items, plus six-quarter average empirical CapIQ residual of -$0.0118/share, Income Statement J102; residual's economic cause is unexplained, so normalization comparability is assumed, not proven)</t>
  </si>
  <si>
    <t>Forecast period</t>
  </si>
  <si>
    <t>FQ3 2026 (3Q26E): fiscal quarter ended 30-Sep-2026; supplied label 2026-09-30 matches issuer quarter end</t>
  </si>
  <si>
    <t>Information cutoff</t>
  </si>
  <si>
    <t>2026-10-11 22:24 UTC</t>
  </si>
  <si>
    <t>Expected report date</t>
  </si>
  <si>
    <t>2026-10-13, ~8:00 a.m. ET (confirmed by Citi release 2-Oct-2026, S13)</t>
  </si>
  <si>
    <t>Consensus snapshot</t>
  </si>
  <si>
    <t>S&amp;P Capital IQ, captured 2026-10-11 (8 normalized EPS estimates; frozen scoring baseline)</t>
  </si>
  <si>
    <t>Headline - 3Q26E</t>
  </si>
  <si>
    <t>Estimate</t>
  </si>
  <si>
    <t>Consensus</t>
  </si>
  <si>
    <t>Variance</t>
  </si>
  <si>
    <t>Variance %</t>
  </si>
  <si>
    <t>Guidance mid</t>
  </si>
  <si>
    <t>Other cons.</t>
  </si>
  <si>
    <t>Link identity</t>
  </si>
  <si>
    <t>Total revenue ($M)</t>
  </si>
  <si>
    <t>Not guided</t>
  </si>
  <si>
    <t>Other consensus: Zacks via MetaTrader 8-Oct-26 (S15), not used for scoring</t>
  </si>
  <si>
    <t>NI to common, normalized ($M)</t>
  </si>
  <si>
    <t>n/m</t>
  </si>
  <si>
    <t>n/a</t>
  </si>
  <si>
    <t>Consensus D25 = frozen raw CapIQ net_income_excl_excep_m (4,475.57). NI attribution basis (pre/post preferred dividends, participating securities, normalization) is unverified, so E25:F25 variance is withheld (n/m) as not like-for-like. Not scored.</t>
  </si>
  <si>
    <t>Net income to common, GAAP ($M)</t>
  </si>
  <si>
    <t>Consensus D26 = frozen raw CapIQ net_income_gaap_m (4,491.64). NI attribution basis (pre/post preferred dividends, participating securities) is unverified; implied shares 4,491.64/2.65 = 1,695m vs 4,475.57/2.62 = 1,708m. E26:F26 variance withheld (n/m). Not scored.</t>
  </si>
  <si>
    <t>Normalized diluted EPS ($)</t>
  </si>
  <si>
    <t>GAAP diluted EPS ($)</t>
  </si>
  <si>
    <t>P(beat consensus EPS)</t>
  </si>
  <si>
    <t>Confidence</t>
  </si>
  <si>
    <t>Model check (history + CF ties)</t>
  </si>
  <si>
    <t>PASS = no failed tie; it is not acceptance evidence. Genuine checks: history ties (segment vs IS revenue, BS, CF YTD, NIR by type, geography, reported EPS); 3Q26E CF J60 cash tie (CF lines vs BS changes, independent of the J12 plug). Identities by construction, not independent: 3Q26E IS J57 (IS lines are sums of segment builds), IS J86, I24:I28 links, BS J63 (J12 plug), RS J75, Geo J53 and segment geography J checks (residual International lines).</t>
  </si>
  <si>
    <t>Key forecast lines (3Q26E vs 3Q25A)</t>
  </si>
  <si>
    <t>Net interest income</t>
  </si>
  <si>
    <t>Non-interest revenue</t>
  </si>
  <si>
    <t>Operating expenses</t>
  </si>
  <si>
    <t>Provisions for credit losses</t>
  </si>
  <si>
    <t>Pretax income</t>
  </si>
  <si>
    <t>Efficiency ratio</t>
  </si>
  <si>
    <t>Diluted shares (m)</t>
  </si>
  <si>
    <t>Columns above: C = 3Q26E, D = 3Q25A</t>
  </si>
  <si>
    <t>Revenue summary</t>
  </si>
  <si>
    <t>Revenue by reported segment</t>
  </si>
  <si>
    <t>Services</t>
  </si>
  <si>
    <t xml:space="preserve">   % Y/Y (total)</t>
  </si>
  <si>
    <t xml:space="preserve">   Q/Q change</t>
  </si>
  <si>
    <t xml:space="preserve">   % Q/Q</t>
  </si>
  <si>
    <t xml:space="preserve">   % of total revenue</t>
  </si>
  <si>
    <t xml:space="preserve">   M&amp;A / scope impact</t>
  </si>
  <si>
    <t>Citi does not disclose segment-level FX or M&amp;A impacts</t>
  </si>
  <si>
    <t xml:space="preserve">   FX impact</t>
  </si>
  <si>
    <t xml:space="preserve">   Organic growth</t>
  </si>
  <si>
    <t>Organic = (1+Y/Y)/((1+M&amp;A)*(1+FX))-1; unavailable because components are not disclosed</t>
  </si>
  <si>
    <t>Markets</t>
  </si>
  <si>
    <t>Banking</t>
  </si>
  <si>
    <t>Wealth</t>
  </si>
  <si>
    <t>U.S. Consumer Cards (USCC)</t>
  </si>
  <si>
    <t>All Other (managed basis)</t>
  </si>
  <si>
    <t xml:space="preserve">   % Q/Q (n/m if base ≤ 0)</t>
  </si>
  <si>
    <t>Not meaningful / not disclosed: volatile base (4Q25 Russia loss)</t>
  </si>
  <si>
    <t>Reconciling items (divestitures)</t>
  </si>
  <si>
    <t xml:space="preserve">   % Y/Y (n/m if sign flips or base ≤ 0)</t>
  </si>
  <si>
    <t>3Q26E +400% is a small-base divestiture effect ($10M vs $2M in 3Q25, ~0.04% of revenue, J62); arithmetically valid on a positive base, not a meaningful growth signal</t>
  </si>
  <si>
    <t>Not meaningful: one-off divestiture items</t>
  </si>
  <si>
    <t>Total revenues, net of int. exp.</t>
  </si>
  <si>
    <t xml:space="preserve">   % Y/Y (total, reported)</t>
  </si>
  <si>
    <t xml:space="preserve">   FX adj. to prior-year revenue</t>
  </si>
  <si>
    <t>QFDS FX page: 1Q25 at 1Q26 rates +512 (S4); 2Q25 at 2Q26 rates +176 (S3); 3Q26 FX not available pre-release</t>
  </si>
  <si>
    <t xml:space="preserve">   M&amp;A / scope impact (divestitures)</t>
  </si>
  <si>
    <t>Scope = reported growth vs growth excluding Citi-disclosed divestiture-related revenue impacts</t>
  </si>
  <si>
    <t>Organic = (1+Y/Y)/((1+M&amp;A)*(1+FX))-1; 3Q26E unavailable because FX is not forecast</t>
  </si>
  <si>
    <t xml:space="preserve">   Ex-FX growth (issuer non-GAAP)</t>
  </si>
  <si>
    <t>Check: segments - IS revenue (= 0)</t>
  </si>
  <si>
    <t>History: genuine tie. 3Q26E J75 = 0 by construction (IS J22 = RS J66 - IS J13): identity, not an independent check</t>
  </si>
  <si>
    <t>Memo: CapIQ revenue actual</t>
  </si>
  <si>
    <t xml:space="preserve">   Difference vs model</t>
  </si>
  <si>
    <t>Memo: CapIQ revenue consensus</t>
  </si>
  <si>
    <t xml:space="preserve">   Revenue surprise vs consensus</t>
  </si>
  <si>
    <t>Net interest income and balance-sheet drivers</t>
  </si>
  <si>
    <t>Net interest income (IS)</t>
  </si>
  <si>
    <t xml:space="preserve">   Less: Markets NII</t>
  </si>
  <si>
    <t>NII ex-Markets (guided metric)</t>
  </si>
  <si>
    <t xml:space="preserve">   % Y/Y</t>
  </si>
  <si>
    <t>Avg interest-earning assets ($B)</t>
  </si>
  <si>
    <t>QFDS average balances page (S3/S4/S5); forecast 2,740 = +1.1% Q/Q vs 2Q26 (judgmental input); Zacks consensus $2,704.26B (S15) is reference only, not the input</t>
  </si>
  <si>
    <t>Taxable-equivalent adjustment</t>
  </si>
  <si>
    <t>NII, taxable-equivalent basis</t>
  </si>
  <si>
    <t>Net interest margin (ann., TE)</t>
  </si>
  <si>
    <t xml:space="preserve">   Y/Y change (bps)</t>
  </si>
  <si>
    <t xml:space="preserve">   Q/Q change (bps)</t>
  </si>
  <si>
    <t xml:space="preserve">   Memo: NIM as reported</t>
  </si>
  <si>
    <t>Avg loans: sum of segments ($B)</t>
  </si>
  <si>
    <t xml:space="preserve">   Other / unallocated avg loans ($B)</t>
  </si>
  <si>
    <t>History derived (total less segment drivers); forecast held at 2Q26 level</t>
  </si>
  <si>
    <t>Average loans, total ($B)</t>
  </si>
  <si>
    <t>Avg deposits: Services + Wealth ($B)</t>
  </si>
  <si>
    <t xml:space="preserve">   Other average deposits ($B)</t>
  </si>
  <si>
    <t>Markets, Banking, Legacy Franchises and Corporate/Other; forecast held at 2Q26 level</t>
  </si>
  <si>
    <t>Average deposits, total ($B)</t>
  </si>
  <si>
    <t>Avg loans / avg deposits</t>
  </si>
  <si>
    <t>Geography: revenue is reported across North America and International - see Geo tab</t>
  </si>
  <si>
    <t>Segment - Services</t>
  </si>
  <si>
    <t>Treasury and Trade Solutions (TTS) - drivers</t>
  </si>
  <si>
    <t xml:space="preserve">   Opening: prior-qtr average</t>
  </si>
  <si>
    <t xml:space="preserve">   + Change in average balance</t>
  </si>
  <si>
    <t>History derived (average less prior average); 3Q26E is the assumption</t>
  </si>
  <si>
    <t>TTS average deposits ($B)</t>
  </si>
  <si>
    <t>Forecast: +$13B (+1.5% Q/Q); deposit growth normalizing per CFO (Barclays, 14-Sep-26)</t>
  </si>
  <si>
    <t>TTS NII yield on avg deposits (ann.)</t>
  </si>
  <si>
    <t>TTS net interest income</t>
  </si>
  <si>
    <t>S3/S4: Citi QFDS 2Q26 (2Q25-2Q26) and 1Q26 (1Q25), $M</t>
  </si>
  <si>
    <t>Not disclosed by Citi at this level</t>
  </si>
  <si>
    <t>Cross-border transaction value ($B)</t>
  </si>
  <si>
    <t>Forecast +12% Y/Y vs +13% in 2Q26</t>
  </si>
  <si>
    <t>USD clearing volume (millions)</t>
  </si>
  <si>
    <t>Commercial card spend volume ($B)</t>
  </si>
  <si>
    <t>TTS NIR per $B cross-border ($M)</t>
  </si>
  <si>
    <t>TTS non-interest revenue</t>
  </si>
  <si>
    <t>Treasury and Trade Solutions revenue</t>
  </si>
  <si>
    <t>Securities Services - drivers</t>
  </si>
  <si>
    <t>SS average deposits ($B)</t>
  </si>
  <si>
    <t>SS NII yield on avg deposits (ann.)</t>
  </si>
  <si>
    <t>Securities Services NII</t>
  </si>
  <si>
    <t>AUC/AUA, end of period ($T)</t>
  </si>
  <si>
    <t>SS NIR fee rate on AUC (bps, ann.)</t>
  </si>
  <si>
    <t>FY25 G67 denominator = Dec-25 year-end AUC (G64), not an average balance; retained methodology (quarters use period-end AUC)</t>
  </si>
  <si>
    <t>Securities Services NIR</t>
  </si>
  <si>
    <t>4Q25 includes part of the $356M Russia-sale offset booked in Services</t>
  </si>
  <si>
    <t>Securities Services revenue</t>
  </si>
  <si>
    <t>Services revenue</t>
  </si>
  <si>
    <t>Total Services revenue</t>
  </si>
  <si>
    <t>Non-interest revenue by type (as reported)</t>
  </si>
  <si>
    <t>Commissions and fees</t>
  </si>
  <si>
    <t>Admin. and fiduciary fees</t>
  </si>
  <si>
    <t>Total fee revenue</t>
  </si>
  <si>
    <t>Principal transactions</t>
  </si>
  <si>
    <t>All other</t>
  </si>
  <si>
    <t>Total non-interest revenue (by type)</t>
  </si>
  <si>
    <t>Check: NIR by type - by LoB (= 0)</t>
  </si>
  <si>
    <t>Balance drivers</t>
  </si>
  <si>
    <t>Average loans ($B)</t>
  </si>
  <si>
    <t xml:space="preserve">   Opening EOP balance</t>
  </si>
  <si>
    <t xml:space="preserve">   + Net change in EOP balance</t>
  </si>
  <si>
    <t>History derived (closing less opening); 3Q26E is the assumption</t>
  </si>
  <si>
    <t>Closing TTS EOP deposits ($B)</t>
  </si>
  <si>
    <t>Closing SS EOP deposits ($B)</t>
  </si>
  <si>
    <t>2Q26 EOP elevated by seasonal custody inflows</t>
  </si>
  <si>
    <t>Closing EOP corporate loans ($B)</t>
  </si>
  <si>
    <t>Segment P&amp;L</t>
  </si>
  <si>
    <t>Total operating expenses</t>
  </si>
  <si>
    <t>Net credit losses on loans</t>
  </si>
  <si>
    <t>Reserve build / (release), loans</t>
  </si>
  <si>
    <t>Unfunded commitments provision</t>
  </si>
  <si>
    <t>Other provisions (HTM, other, PBC)</t>
  </si>
  <si>
    <t>Provisions (credit losses, PBC)</t>
  </si>
  <si>
    <t>Income before taxes (continuing ops)</t>
  </si>
  <si>
    <t>Income taxes</t>
  </si>
  <si>
    <t>Forecast taxes modeled at consolidated level (Income Statement ETR assumption)</t>
  </si>
  <si>
    <t>Income from continuing operations</t>
  </si>
  <si>
    <t>Noncontrolling interests</t>
  </si>
  <si>
    <t>Net income</t>
  </si>
  <si>
    <t>Returns and efficiency</t>
  </si>
  <si>
    <t>Efficiency ratio (opex / revenue)</t>
  </si>
  <si>
    <t>Pretax margin</t>
  </si>
  <si>
    <t>Average allocated TCE ($B)</t>
  </si>
  <si>
    <t>RoTCE (ann. NI / allocated TCE)</t>
  </si>
  <si>
    <t>NCLs % of avg loans (ann.)</t>
  </si>
  <si>
    <t>Revenue by managed geography</t>
  </si>
  <si>
    <t>North America</t>
  </si>
  <si>
    <t>Forecast holds the 2Q26 North America mix</t>
  </si>
  <si>
    <t>International</t>
  </si>
  <si>
    <t>Total by geography</t>
  </si>
  <si>
    <t xml:space="preserve">   North America % of revenue</t>
  </si>
  <si>
    <t>Check: geography - segment (= 0)</t>
  </si>
  <si>
    <t>History: genuine tie. 3Q26E J = 0 by construction (International line is the residual of segment revenue): identity, not an independent check</t>
  </si>
  <si>
    <t>Segment - Markets</t>
  </si>
  <si>
    <t>Fixed Income Markets</t>
  </si>
  <si>
    <t>Rates &amp; Currencies Y/Y assumption</t>
  </si>
  <si>
    <t>Guidance 14-Sep-26: Markets up mid-single digits Y/Y; FX/corporate flows strong; rates weaker in 1H26</t>
  </si>
  <si>
    <t>Rates and Currencies</t>
  </si>
  <si>
    <t>Spread Products Y/Y assumption</t>
  </si>
  <si>
    <t>Financing/securitization momentum (CFO, 14-Sep-26); 2Q26 +25% Y/Y</t>
  </si>
  <si>
    <t>Spread Products / Other Fixed Income</t>
  </si>
  <si>
    <t>Fixed Income Markets revenue</t>
  </si>
  <si>
    <t>Equity Markets</t>
  </si>
  <si>
    <t>Equity Markets Y/Y assumption</t>
  </si>
  <si>
    <t>Prime balances/derivatives momentum; 2Q26 +45% Y/Y, 1Q26 +39%</t>
  </si>
  <si>
    <t>Equity Markets revenue</t>
  </si>
  <si>
    <t>Markets revenue</t>
  </si>
  <si>
    <t>Total Markets revenue</t>
  </si>
  <si>
    <t xml:space="preserve">   Memo: revenue at guide mid (+5%)</t>
  </si>
  <si>
    <t>Guidance tab: Markets up mid-single digits (14-Sep-26)</t>
  </si>
  <si>
    <t xml:space="preserve">   Fixed income % of Markets revenue</t>
  </si>
  <si>
    <t>NII / NIR split</t>
  </si>
  <si>
    <t>Forecast: between 1Q26 and 2Q26 levels; Markets NII/NIR split is volatile</t>
  </si>
  <si>
    <t xml:space="preserve">   Brokerage and fees</t>
  </si>
  <si>
    <t xml:space="preserve">   Investment banking fees</t>
  </si>
  <si>
    <t xml:space="preserve">   Other fees</t>
  </si>
  <si>
    <t xml:space="preserve">   Total fee revenue</t>
  </si>
  <si>
    <t xml:space="preserve">   Principal transactions</t>
  </si>
  <si>
    <t xml:space="preserve">   All other</t>
  </si>
  <si>
    <t xml:space="preserve">   Total NIR (by type)</t>
  </si>
  <si>
    <t>Check: NIR by type - NIR (= 0)</t>
  </si>
  <si>
    <t>Avg trading account assets ($B)</t>
  </si>
  <si>
    <t>Revenue / avg trading assets (ann.)</t>
  </si>
  <si>
    <t>Forecast = revenue x efficiency-ratio assumption</t>
  </si>
  <si>
    <t xml:space="preserve">   Efficiency ratio assumption</t>
  </si>
  <si>
    <t>Segment - Banking</t>
  </si>
  <si>
    <t>Investment Banking revenue (Citi revenue definition from 2Q26)</t>
  </si>
  <si>
    <t>Advisory Y/Y growth assumption</t>
  </si>
  <si>
    <t>M&amp;A active but sponsors muted (CFO 14-Sep-26); LSEG Q3 M&amp;A fees -18% Q/Q</t>
  </si>
  <si>
    <t>Advisory</t>
  </si>
  <si>
    <t>1Q25 split not restated on the 2Q26 revenue definition (unavailable)</t>
  </si>
  <si>
    <t>ECM Y/Y growth assumption</t>
  </si>
  <si>
    <t>ECM strong (CFO 14-Sep-26); 2Q26 +92%</t>
  </si>
  <si>
    <t>Equity underwriting (ECM)</t>
  </si>
  <si>
    <t>DCM Y/Y growth assumption</t>
  </si>
  <si>
    <t>DCM healthy but moderated vs 1H26 (CFO 14-Sep-26)</t>
  </si>
  <si>
    <t>Debt underwriting (DCM)</t>
  </si>
  <si>
    <t>Total Investment Banking revenue</t>
  </si>
  <si>
    <t>1Q25 total as reported (component split unavailable on new definition)</t>
  </si>
  <si>
    <t xml:space="preserve">   Memo: IB at guide mid (+2%)</t>
  </si>
  <si>
    <t>Corporate Lending</t>
  </si>
  <si>
    <t>Corp. Lending yield (ann.)</t>
  </si>
  <si>
    <t>Forecast yield ~2Q26 level (1.85%)</t>
  </si>
  <si>
    <t>Corporate Lending (ex loan hedges)</t>
  </si>
  <si>
    <t>Gain / (loss) on loan hedges</t>
  </si>
  <si>
    <t>Forecast = average of last four quarters (mark-to-market, not predictable)</t>
  </si>
  <si>
    <t xml:space="preserve">   % Y/Y (total; n/m if sign flips or base ≤ 0)</t>
  </si>
  <si>
    <t>Not meaningful / not disclosed: volatile or negative base</t>
  </si>
  <si>
    <t>Banking revenue</t>
  </si>
  <si>
    <t>Total Banking revenue</t>
  </si>
  <si>
    <t xml:space="preserve">   IB fees (fee metric)</t>
  </si>
  <si>
    <t>Segment - Wealth</t>
  </si>
  <si>
    <t>Client investment assets roll-forward ($B)</t>
  </si>
  <si>
    <t>Opening client investment assets</t>
  </si>
  <si>
    <t>1Q25 opening (Dec-24) not in model</t>
  </si>
  <si>
    <t xml:space="preserve">   + Net new investment assets</t>
  </si>
  <si>
    <t>Forecast: in line with 1Q26-2Q26 run-rate (~9% organic growth, CFO 14-Sep-26)</t>
  </si>
  <si>
    <t xml:space="preserve">   + Market, FX and other (derived)</t>
  </si>
  <si>
    <t>Derived = closing - opening - NNIA; 1Q26 includes ~$10B insurance policies newly reported; forecast assumption</t>
  </si>
  <si>
    <t>Closing client investment assets</t>
  </si>
  <si>
    <t>Avg client investment assets</t>
  </si>
  <si>
    <t>FY25 n/a: 1Q25 average (C17) needs the Dec-24 opening balance, which is not in the model; a 2Q-4Q average is not shown as FY</t>
  </si>
  <si>
    <t>EOP deposits ($B)</t>
  </si>
  <si>
    <t>EOP loans ($B)</t>
  </si>
  <si>
    <t>Total client balances ($B)</t>
  </si>
  <si>
    <t>NII build</t>
  </si>
  <si>
    <t>Average deposits ($B)</t>
  </si>
  <si>
    <t>Forecast = average of opening and closing EOP deposits</t>
  </si>
  <si>
    <t>NII yield on average deposits (ann.)</t>
  </si>
  <si>
    <t>NIR build</t>
  </si>
  <si>
    <t>NIR fee rate on avg CIA (bps, ann.)</t>
  </si>
  <si>
    <t>Retained discretionary judgment: 53.4 bps is ~4.0 bps below 3Q25 (57.4) and ~5.0 bps below 2Q26 (58.4); not a calendar-seasonality adjustment verified from two Q3s (3Q25 is itself a Q3). FY25 G43 n/a (full-year NIR over an incomplete average would mix periods)</t>
  </si>
  <si>
    <t xml:space="preserve">   Commissions and fees</t>
  </si>
  <si>
    <t xml:space="preserve">   Other fees (fiduciary/admin.)</t>
  </si>
  <si>
    <t xml:space="preserve">   All other (principal txns, FX)</t>
  </si>
  <si>
    <t>Revenue by line of business</t>
  </si>
  <si>
    <t>Total Wealth revenue</t>
  </si>
  <si>
    <t>History = sum of lines of business; 3Q26E = NII build + NIR build</t>
  </si>
  <si>
    <t xml:space="preserve">   Citigold &amp; Retail % of revenue</t>
  </si>
  <si>
    <t>Forecast mix ~2Q26 (68.6%) adjusted for 3Q Private Bank seasonality</t>
  </si>
  <si>
    <t>Citigold and Retail Banking</t>
  </si>
  <si>
    <t xml:space="preserve">   Private Bank % of revenue</t>
  </si>
  <si>
    <t>3Q is seasonally soft for Private Bank (3Q25 -10% Q/Q)</t>
  </si>
  <si>
    <t>Private Bank</t>
  </si>
  <si>
    <t>Wealth at Work</t>
  </si>
  <si>
    <t>Revenue / client bal. (ann., bps)</t>
  </si>
  <si>
    <t>FY25 G90 denominator = Dec-25 year-end client balances (G26), not an average balance; retained methodology (quarters use period-end balances)</t>
  </si>
  <si>
    <t>Other drivers</t>
  </si>
  <si>
    <t>U.S. retail banking branches (#)</t>
  </si>
  <si>
    <t>Segment - U.S. Consumer Cards</t>
  </si>
  <si>
    <t>Accounts and spend</t>
  </si>
  <si>
    <t>New GPCC accounts (000s)</t>
  </si>
  <si>
    <t>Citi discloses gross new accounts only; opening/closing account base and attrition are not disclosed (unavailable)</t>
  </si>
  <si>
    <t>New PLCC accounts (000s)</t>
  </si>
  <si>
    <t>GPCC spend volume ($B)</t>
  </si>
  <si>
    <t>Forecast: ~6% organic spend growth (CFO 14-Sep-26) plus full-quarter AA portfolio</t>
  </si>
  <si>
    <t>PLCC spend volume ($B)</t>
  </si>
  <si>
    <t>Total card spend volume ($B)</t>
  </si>
  <si>
    <t>Loan roll-forward, total USCC ($B)</t>
  </si>
  <si>
    <t>Opening EOP loans</t>
  </si>
  <si>
    <t>1Q25 opening not in model</t>
  </si>
  <si>
    <t xml:space="preserve">   - Net credit losses (charge-offs)</t>
  </si>
  <si>
    <t xml:space="preserve">   + Portfolio acquisitions</t>
  </si>
  <si>
    <t>2Q26: $6.6B American Airlines co-brand portfolio acquired 24-Apr-26 (QFDS 2Q26 p.10); none in other quarters</t>
  </si>
  <si>
    <t xml:space="preserve">   + Net new lending (derived)</t>
  </si>
  <si>
    <t>Derived = closing - opening - charge-offs - acquisitions</t>
  </si>
  <si>
    <t>Closing EOP loans</t>
  </si>
  <si>
    <t xml:space="preserve">   EOP GPCC loans</t>
  </si>
  <si>
    <t xml:space="preserve">   EOP PLCC loans</t>
  </si>
  <si>
    <t xml:space="preserve">   EOP installment lending</t>
  </si>
  <si>
    <t xml:space="preserve">   GPCC % of EOP loans</t>
  </si>
  <si>
    <t>Average GPCC loans</t>
  </si>
  <si>
    <t>Average PLCC loans</t>
  </si>
  <si>
    <t>Average installment lending</t>
  </si>
  <si>
    <t>Average loans, total</t>
  </si>
  <si>
    <t>Revenue build</t>
  </si>
  <si>
    <t>NII % of avg loans (ann.)</t>
  </si>
  <si>
    <t>Interchange as % of spend</t>
  </si>
  <si>
    <t>Interchange fees</t>
  </si>
  <si>
    <t>Rewards % of interchange</t>
  </si>
  <si>
    <t>Forecast keeps USCC NIR near the 2Q26 absolute level, per guidance (14-Jul-26)</t>
  </si>
  <si>
    <t>Card rewards and partner payments</t>
  </si>
  <si>
    <t>Other fees</t>
  </si>
  <si>
    <t>Not meaningful / not disclosed: negative base</t>
  </si>
  <si>
    <t>All other (network incentives)</t>
  </si>
  <si>
    <t xml:space="preserve">   Memo: guide - NIR at 2Q26 level</t>
  </si>
  <si>
    <t>Total USCC revenue</t>
  </si>
  <si>
    <t>Revenue rate (% avg loans, ann.)</t>
  </si>
  <si>
    <t>Credit quality</t>
  </si>
  <si>
    <t>NCL rate, total (annualized)</t>
  </si>
  <si>
    <t>Guidance: FY26 U.S. cards NCL rate 4.0%-4.5%; 3Q25 4.05%</t>
  </si>
  <si>
    <t xml:space="preserve">   NCL rate, GPCC</t>
  </si>
  <si>
    <t xml:space="preserve">   NCL rate, PLCC</t>
  </si>
  <si>
    <t xml:space="preserve">   NCL rate, installment</t>
  </si>
  <si>
    <t xml:space="preserve">   90+ DPD, GPCC (% EOP loans)</t>
  </si>
  <si>
    <t xml:space="preserve">   90+ DPD, PLCC (% EOP loans)</t>
  </si>
  <si>
    <t xml:space="preserve">   30-89 DPD, GPCC (% EOP loans)</t>
  </si>
  <si>
    <t xml:space="preserve">   30-89 DPD, PLCC (% EOP loans)</t>
  </si>
  <si>
    <t>Revenue by geography: USCC is entirely U.S. (North America) - see Geo tab</t>
  </si>
  <si>
    <t>Segment - All Other (managed basis)</t>
  </si>
  <si>
    <t>Legacy Franchises - Mexico (Banamex)</t>
  </si>
  <si>
    <t>Mexico avg loans ($B)</t>
  </si>
  <si>
    <t>Closing Mexico EOP loans ($B)</t>
  </si>
  <si>
    <t>Mexico EOP deposits ($B)</t>
  </si>
  <si>
    <t>Revenue yield on avg loans (ann.)</t>
  </si>
  <si>
    <t>Forecast assumes flat MXN vs 2Q26 average (Q3 FX path not modeled)</t>
  </si>
  <si>
    <t>Mexico Consumer/SBMM revenue</t>
  </si>
  <si>
    <t>QFDS FX page: 1Q25 restated at 1Q26 rates (+220); 2Q25 at 2Q26 rates (+135); 3Q26 not available pre-release</t>
  </si>
  <si>
    <t>Not disclosed for Mexico Consumer/SBMM</t>
  </si>
  <si>
    <t>M&amp;A component not disclosed, so organic is unavailable</t>
  </si>
  <si>
    <t>Mexico Consumer NCL rate</t>
  </si>
  <si>
    <t>Legacy Franchises - other</t>
  </si>
  <si>
    <t>Closing Asia EOP loans ($B)</t>
  </si>
  <si>
    <t>Asia Consumer avg loans ($B)</t>
  </si>
  <si>
    <t>Exit portfolios running off</t>
  </si>
  <si>
    <t>Asia revenue yield (ann.)</t>
  </si>
  <si>
    <t>2Q26 14.0%; 4Q25 distorted by Russia HFS loss</t>
  </si>
  <si>
    <t>Asia Consumer (incl. Poland, Russia)</t>
  </si>
  <si>
    <t>4Q25 includes ~$1.56B Russia held-for-sale loss (notable item)</t>
  </si>
  <si>
    <t>Legacy Holdings Assets</t>
  </si>
  <si>
    <t>Assumption: nil (portfolio largely exited)</t>
  </si>
  <si>
    <t>Legacy Franchises revenue</t>
  </si>
  <si>
    <t xml:space="preserve">   Legacy Franchises NII</t>
  </si>
  <si>
    <t xml:space="preserve">   Legacy Franchises NIR</t>
  </si>
  <si>
    <t>Corporate/Other (treasury and unallocated)</t>
  </si>
  <si>
    <t xml:space="preserve">   Corporate/Other NII</t>
  </si>
  <si>
    <t>Funding drag rising with rates; forecast slightly below 2Q26</t>
  </si>
  <si>
    <t>Not meaningful / not disclosed: treasury line with volatile, negative base</t>
  </si>
  <si>
    <t xml:space="preserve">   Corporate/Other NIR</t>
  </si>
  <si>
    <t>Forecast below 2Q26 (+231) which had elevated gains</t>
  </si>
  <si>
    <t>Corporate/Other revenue</t>
  </si>
  <si>
    <t>All Other revenue</t>
  </si>
  <si>
    <t>Total All Other revenue (managed)</t>
  </si>
  <si>
    <t>All Other net interest income</t>
  </si>
  <si>
    <t>All Other non-interest revenue</t>
  </si>
  <si>
    <t>Legacy Franchises P&amp;L</t>
  </si>
  <si>
    <t>LF operating expenses</t>
  </si>
  <si>
    <t>LF net credit losses</t>
  </si>
  <si>
    <t>LF credit reserve build / (release)</t>
  </si>
  <si>
    <t>LF unfunded commitments provision</t>
  </si>
  <si>
    <t>LF other provisions</t>
  </si>
  <si>
    <t>LF provisions</t>
  </si>
  <si>
    <t>LF income before taxes</t>
  </si>
  <si>
    <t>Corporate/Other P&amp;L</t>
  </si>
  <si>
    <t>Corporate/Other operating expenses</t>
  </si>
  <si>
    <t>Forecast includes part of the ~$500M H2 investment/severance pull-forward (CFO 14-Sep-26)</t>
  </si>
  <si>
    <t>Corporate/Other provisions</t>
  </si>
  <si>
    <t>Corporate/Other income before taxes</t>
  </si>
  <si>
    <t>All Other P&amp;L (managed basis)</t>
  </si>
  <si>
    <t>Income (loss) before taxes</t>
  </si>
  <si>
    <t>Income taxes (benefits)</t>
  </si>
  <si>
    <t>Discontinued ops, net of taxes</t>
  </si>
  <si>
    <t>Rising with Banamex stake sales (25.0% Dec-25, 22.6% 2Q26)</t>
  </si>
  <si>
    <t>Net income (loss), managed basis</t>
  </si>
  <si>
    <t>Reconciling items - divestiture-related impacts (outside managed basis)</t>
  </si>
  <si>
    <t>Revenue impact</t>
  </si>
  <si>
    <t>2Q25: Poland sale loss (-$186M); forecast small gains in line with 1Q26-2Q26</t>
  </si>
  <si>
    <t>Operating expense impact</t>
  </si>
  <si>
    <t>3Q25 includes $726M Banamex goodwill impairment; forecast Mexico separation costs at 2Q26 run-rate</t>
  </si>
  <si>
    <t>Provision impact</t>
  </si>
  <si>
    <t>Issuer line allocation (S3 reconciling-items page): 1Q25 -11 in reserve build; 2Q25 +5, 3Q25 -3, 1Q26 +1, 2Q26 -2 in NCLs; 4Q25 -2 NCL / +1 reserve build. 3Q26E 0 placed in IS other provisions (J36); total unaffected</t>
  </si>
  <si>
    <t>Pretax impact</t>
  </si>
  <si>
    <t xml:space="preserve">   Tax rate on reconciling items</t>
  </si>
  <si>
    <t>27% is the retained original judgmental assumption; it is not a blend of the 1Q26 (36.8%, H150) and 2Q26 (33.3%, I150) observed rates, and its derivation is undocumented (at 35% EPS would be ~$0.0007 lower). GAAP tax (IS J61) applies the 25% consolidated rate to this item; bridge difference disclosed in IS K93.</t>
  </si>
  <si>
    <t>Tax impact</t>
  </si>
  <si>
    <t>After-tax impact (net income)</t>
  </si>
  <si>
    <t>Geography: Mexico and Asia Consumer are International; LHA, Corporate/Other and reconciling items unallocated (Geo tab)</t>
  </si>
  <si>
    <t>Income Statement</t>
  </si>
  <si>
    <t>Revenues</t>
  </si>
  <si>
    <t>Interest income (incl. dividends)</t>
  </si>
  <si>
    <t>Interest expense</t>
  </si>
  <si>
    <t>Forecast = sum of segment NII builds</t>
  </si>
  <si>
    <t xml:space="preserve">   Admin. and fiduciary fees</t>
  </si>
  <si>
    <t xml:space="preserve">   Realized gains on investments</t>
  </si>
  <si>
    <t xml:space="preserve">   Impairment losses on investments</t>
  </si>
  <si>
    <t xml:space="preserve">   Other revenue (loss)</t>
  </si>
  <si>
    <t>4Q25 includes Russia held-for-sale loss</t>
  </si>
  <si>
    <t>Total non-interest revenues</t>
  </si>
  <si>
    <t>Forecast = segment revenue build less NII (NIR by type not forecast)</t>
  </si>
  <si>
    <t xml:space="preserve">   NIR % of revenue</t>
  </si>
  <si>
    <t>Provisions for credit losses and for benefits and claims</t>
  </si>
  <si>
    <t xml:space="preserve">   Provision for HTM debt securities</t>
  </si>
  <si>
    <t xml:space="preserve">   Provision for other assets</t>
  </si>
  <si>
    <t xml:space="preserve">   Policyholder benefits and claims</t>
  </si>
  <si>
    <t>Total provisions</t>
  </si>
  <si>
    <t xml:space="preserve">   Compensation and benefits</t>
  </si>
  <si>
    <t xml:space="preserve">   Technology / communication</t>
  </si>
  <si>
    <t xml:space="preserve">   Transactional / product servicing</t>
  </si>
  <si>
    <t xml:space="preserve">   Premises and equipment</t>
  </si>
  <si>
    <t xml:space="preserve">   Professional services</t>
  </si>
  <si>
    <t xml:space="preserve">   Advertising and marketing</t>
  </si>
  <si>
    <t xml:space="preserve">   Restructuring</t>
  </si>
  <si>
    <t xml:space="preserve">   Other operating</t>
  </si>
  <si>
    <t>3Q25 includes $726M Banamex goodwill impairment</t>
  </si>
  <si>
    <t>Forecast = sum of segment expense builds + divestiture-related costs</t>
  </si>
  <si>
    <t>Pre-provision net revenue</t>
  </si>
  <si>
    <t>Check: EBT - segment EBT sum (= 0)</t>
  </si>
  <si>
    <t>History C57:I57 (and FY G57): genuine tie of reported IS EBT to reported segment EBT. 3Q26E J57: identity by construction (IS NII, NIR, opex and provision lines are sums of the segment builds), not independent evidence.</t>
  </si>
  <si>
    <t>Effective tax rate</t>
  </si>
  <si>
    <t>Forecast 25.0%: 2Q26 25.0%, 3Q25 ex-goodwill ~25.5%; CapIQ consensus 24.9%</t>
  </si>
  <si>
    <t>Provision for income taxes</t>
  </si>
  <si>
    <t>No discontinued operations expected</t>
  </si>
  <si>
    <t>Banamex NCI ~49% after Q3 sell-down (CFO 14-Sep-26): ~$165M plus ~$35M other; BS/CF effects of the sell-down (proceeds, NCI/APIC) not modeled</t>
  </si>
  <si>
    <t>Citigroup's net income</t>
  </si>
  <si>
    <t>Preferred dividends</t>
  </si>
  <si>
    <t>Net income available to common</t>
  </si>
  <si>
    <t xml:space="preserve">   Memo: diluted NI as reported</t>
  </si>
  <si>
    <t>Participating securities allocation</t>
  </si>
  <si>
    <t xml:space="preserve">   % of NI available to common</t>
  </si>
  <si>
    <t>NI to common for diluted EPS (GAAP)</t>
  </si>
  <si>
    <t>Net income to common for basic EPS</t>
  </si>
  <si>
    <t>Shares and EPS</t>
  </si>
  <si>
    <t>Weighted avg basic shares (m)</t>
  </si>
  <si>
    <t>Weighted avg diluted shares (m)</t>
  </si>
  <si>
    <t>Basic EPS (GAAP)</t>
  </si>
  <si>
    <t>Diluted EPS (GAAP)</t>
  </si>
  <si>
    <t xml:space="preserve">   Memo: diluted EPS as reported</t>
  </si>
  <si>
    <t>FY25 $6.99 per 4Q25 earnings presentation; FY model EPS uses day-weighted average of quarterly diluted shares</t>
  </si>
  <si>
    <t>Check: EPS = NI / shares (TRUE)</t>
  </si>
  <si>
    <t>History C86:I86: genuine (EPS recomputed and tied to reported EPS, row 85). 3Q26E J86: self-calculation identity (J83 is defined as J77/J81), not independent evidence.</t>
  </si>
  <si>
    <t>GAAP to normalized (consensus basis) bridge</t>
  </si>
  <si>
    <t>GAAP net income to common (diluted)</t>
  </si>
  <si>
    <t xml:space="preserve">   Divestiture revenue (pretax)</t>
  </si>
  <si>
    <t xml:space="preserve">   Divestiture expenses (pretax)</t>
  </si>
  <si>
    <t xml:space="preserve">   Divestiture provisions (pretax)</t>
  </si>
  <si>
    <t xml:space="preserve">   Tax on divestiture-related items</t>
  </si>
  <si>
    <t>Add back: divestitures, after tax</t>
  </si>
  <si>
    <t>3Q26E: the add-back taxes the -$15M divestiture item at 27% (All Other J150, retained original judgmental input), while GAAP tax J61 applies the 25% consolidated rate (J58) to J54, which includes the item. A 25%-consistent add-back would be 11.25 vs 10.95 (+$0.30M, about +$0.0002/share). Both rates retained; difference disclosed, not harmonized.</t>
  </si>
  <si>
    <t>Normalized NI to common (diluted)</t>
  </si>
  <si>
    <t xml:space="preserve">   Divestiture adj. per share</t>
  </si>
  <si>
    <t>Normalized diluted EPS (ex divest.)</t>
  </si>
  <si>
    <t>CapIQ normalized actuals match GAAP excl. Citi divestiture-related reconciling items within $0.01 for all six history quarters</t>
  </si>
  <si>
    <t xml:space="preserve">   Memo: CapIQ normalized EPS (actuals; 3Q26E = frozen consensus)</t>
  </si>
  <si>
    <t>3Q26E column shows frozen CapIQ normalized consensus</t>
  </si>
  <si>
    <t xml:space="preserve">   Memo: CapIQ GAAP EPS (actuals; 3Q26E = frozen consensus)</t>
  </si>
  <si>
    <t>3Q26E column shows frozen CapIQ GAAP consensus (not an actual)</t>
  </si>
  <si>
    <t xml:space="preserve">   Memo: Russia item, after tax</t>
  </si>
  <si>
    <t xml:space="preserve">   Memo: Citi EPS ex-notable items</t>
  </si>
  <si>
    <t>CapIQ basis residual per share</t>
  </si>
  <si>
    <t>CapIQ normalized actuals ran $0.010-$0.014 below GAAP-ex-divestiture EPS in all six history quarters; forecast applies the 6-quarter average (retained). Economic cause unexplained (CapIQ adjustment detail unavailable): comparability is assumed, not proven.</t>
  </si>
  <si>
    <t>Normalized EPS, CapIQ basis</t>
  </si>
  <si>
    <t>History C103:F103 and H103:I103 = C96 + (C98 - C96) reproduce the CapIQ actuals by construction: a definitional fit, not validation of the residual. 3Q26E J103 = J96 + J102 (empirical residual assumption, unchanged).</t>
  </si>
  <si>
    <t>Normalized NI to common, CapIQ basis</t>
  </si>
  <si>
    <t>Margins and returns</t>
  </si>
  <si>
    <t>Net income margin</t>
  </si>
  <si>
    <t>Provisions / revenue</t>
  </si>
  <si>
    <t>Average TCE ($B)</t>
  </si>
  <si>
    <t>RoTCE (ann. NI to common / avg TCE)</t>
  </si>
  <si>
    <t>Balance Sheet</t>
  </si>
  <si>
    <t>Assets</t>
  </si>
  <si>
    <t>Cash and due from banks</t>
  </si>
  <si>
    <t>Deposits with banks</t>
  </si>
  <si>
    <t>Forecast balancing item (non-evidentiary residual): all other forecast flows settle in deposits with banks, including the unmodeled Banamex Q3 sell-down (K60) and the CF zero placeholders; J63 = 0 by construction.</t>
  </si>
  <si>
    <t>Securities borrowed / resale agr.</t>
  </si>
  <si>
    <t>Brokerage receivables</t>
  </si>
  <si>
    <t>Trading account assets</t>
  </si>
  <si>
    <t xml:space="preserve">   AFS debt securities</t>
  </si>
  <si>
    <t xml:space="preserve">   Held-to-maturity debt securities</t>
  </si>
  <si>
    <t xml:space="preserve">   Equity securities</t>
  </si>
  <si>
    <t>Total investments</t>
  </si>
  <si>
    <t xml:space="preserve">   Consumer loans</t>
  </si>
  <si>
    <t>Forecast: change in USCC, Wealth, Mexico and Asia EOP loan ladders; other consumer loans flat</t>
  </si>
  <si>
    <t xml:space="preserve">   Corporate loans</t>
  </si>
  <si>
    <t>Forecast: change in Services, Markets and Banking EOP loan ladders (segment tabs); other corporate loans flat</t>
  </si>
  <si>
    <t>Loans, net of unearned income</t>
  </si>
  <si>
    <t xml:space="preserve">   Allowance for loan losses</t>
  </si>
  <si>
    <t>Total loans, net</t>
  </si>
  <si>
    <t>Goodwill</t>
  </si>
  <si>
    <t>Intangible assets (including MSRs)</t>
  </si>
  <si>
    <t>Premises and equipment, net</t>
  </si>
  <si>
    <t>Other assets</t>
  </si>
  <si>
    <t>Total assets</t>
  </si>
  <si>
    <t>Liabilities</t>
  </si>
  <si>
    <t xml:space="preserve">   Deposit growth Q/Q (segments)</t>
  </si>
  <si>
    <t>Services TTS/SS and Wealth EOP deposit changes spread pro rata; other deposits flat</t>
  </si>
  <si>
    <t xml:space="preserve">   Non-int.-bearing, U.S. offices</t>
  </si>
  <si>
    <t xml:space="preserve">   Interest-bearing, U.S. offices</t>
  </si>
  <si>
    <t xml:space="preserve">   Total U.S. deposits</t>
  </si>
  <si>
    <t xml:space="preserve">   Non-interest-bearing, non-U.S.</t>
  </si>
  <si>
    <t xml:space="preserve">   Interest-bearing, non-U.S.</t>
  </si>
  <si>
    <t xml:space="preserve">   Total international deposits</t>
  </si>
  <si>
    <t>Total deposits</t>
  </si>
  <si>
    <t>Securities loaned / repo agr.</t>
  </si>
  <si>
    <t>Brokerage payables</t>
  </si>
  <si>
    <t>Trading account liabilities</t>
  </si>
  <si>
    <t>Short-term borrowings</t>
  </si>
  <si>
    <t>Long-term debt</t>
  </si>
  <si>
    <t>Other liabilities, plus allowances</t>
  </si>
  <si>
    <t>Forecast: non-loan provisions accrue to other liabilities</t>
  </si>
  <si>
    <t>Total liabilities</t>
  </si>
  <si>
    <t>Stockholders' equity</t>
  </si>
  <si>
    <t>Preferred stock</t>
  </si>
  <si>
    <t>Common stock</t>
  </si>
  <si>
    <t>Additional paid-in capital</t>
  </si>
  <si>
    <t>Retained earnings</t>
  </si>
  <si>
    <t>Treasury stock, at cost</t>
  </si>
  <si>
    <t>Accumulated OCI</t>
  </si>
  <si>
    <t>Forecast held flat: Q3 AOCI move not forecast (unavailable)</t>
  </si>
  <si>
    <t>Total common equity</t>
  </si>
  <si>
    <t>Total Citigroup stockholders' equity</t>
  </si>
  <si>
    <t>3Q26E adds NCI income only; Banamex Q3 stake sell-down (IS K64) proceeds and NCI/APIC equity entries are not modeled (unavailable); omission affects only the J12 plug, not EPS</t>
  </si>
  <si>
    <t>Total equity</t>
  </si>
  <si>
    <t>Total liabilities and equity</t>
  </si>
  <si>
    <t>Check: A - L - E (= 0)</t>
  </si>
  <si>
    <t>History: genuine. 3Q26E J63 = 0 by construction (J12 deposits with banks is the balancing plug); the independent forecast tie is CF J60</t>
  </si>
  <si>
    <t>Memo</t>
  </si>
  <si>
    <t>Cash and deposits with banks</t>
  </si>
  <si>
    <t>Book value per share ($)</t>
  </si>
  <si>
    <t>Total assets / total equity</t>
  </si>
  <si>
    <t>Cash Flow Statement</t>
  </si>
  <si>
    <t>Quarterly cash flow (derived from year-to-date filings below; 3Q26E modeled)</t>
  </si>
  <si>
    <t>Operating activities</t>
  </si>
  <si>
    <t>Income from cont. ops excl. NCI</t>
  </si>
  <si>
    <t xml:space="preserve">   Loss (gain) on disposals</t>
  </si>
  <si>
    <t>0 = placeholder: not forecast (not an assumed zero flow)</t>
  </si>
  <si>
    <t xml:space="preserve">   Depreciation and amortization</t>
  </si>
  <si>
    <t>Forecast D&amp;A set equal to capex (J39) so PP&amp;E is held flat; not a sourced D&amp;A assumption (2Q26 actual 1,147)</t>
  </si>
  <si>
    <t xml:space="preserve">   Deferred income taxes</t>
  </si>
  <si>
    <t xml:space="preserve">   Provisions for credit losses</t>
  </si>
  <si>
    <t xml:space="preserve">   Goodwill impairment</t>
  </si>
  <si>
    <t>0 = assumed zero flow: no goodwill impairment in the 3Q26E forecast (BS J27 goodwill held flat)</t>
  </si>
  <si>
    <t xml:space="preserve">   Change in trading account assets</t>
  </si>
  <si>
    <t>0 = mechanical placeholder: BS trading account assets (J15) held flat; not a forecast of zero flow</t>
  </si>
  <si>
    <t xml:space="preserve">   Change in trading liabilities</t>
  </si>
  <si>
    <t>0 = mechanical placeholder: BS trading account liabilities (J46) held flat; not a forecast of zero flow</t>
  </si>
  <si>
    <t xml:space="preserve">   Change in net brokerage rec.</t>
  </si>
  <si>
    <t>0 = mechanical placeholder: BS brokerage receivables/payables (J14, J45) held flat; not a forecast of zero flow</t>
  </si>
  <si>
    <t xml:space="preserve">   Change in loans held-for-sale</t>
  </si>
  <si>
    <t>0 = mechanical placeholder: loans held-for-sale not forecast (balance implicitly held flat); not a forecast of zero flow</t>
  </si>
  <si>
    <t xml:space="preserve">   Change in other assets</t>
  </si>
  <si>
    <t>0 = mechanical placeholder: BS other assets (J30) held flat; not a forecast of zero flow</t>
  </si>
  <si>
    <t xml:space="preserve">   Change in other liabilities</t>
  </si>
  <si>
    <t>0 = mechanical placeholder: BS other liabilities (J49) held flat apart from non-loan provisions, which flow through J16; not a forecast of zero flow</t>
  </si>
  <si>
    <t xml:space="preserve">   Other, net</t>
  </si>
  <si>
    <t>Net cash from operating activities</t>
  </si>
  <si>
    <t>3Q26E CFO is mechanical, low confidence: J13, J15, J18 and J19 are zero placeholders (not forecast); J20:J25 are zero because the related BS balances are held flat (mechanical, not a zero-flow forecast); J17 is an assumed zero flow (no impairment); J14 D&amp;A = capex (K14).</t>
  </si>
  <si>
    <t>Investing activities</t>
  </si>
  <si>
    <t xml:space="preserve">   Change in resale agreements</t>
  </si>
  <si>
    <t>0 = mechanical placeholder: BS securities borrowed/resale agreements (J13) held flat; not a forecast of zero flow</t>
  </si>
  <si>
    <t xml:space="preserve">   Change in loans</t>
  </si>
  <si>
    <t xml:space="preserve">   Proceeds from divestitures</t>
  </si>
  <si>
    <t>0 = placeholder: not forecast (unmodeled divestiture proceeds; not an assumed zero flow)</t>
  </si>
  <si>
    <t xml:space="preserve">   Purchase of consumer loan portfolio</t>
  </si>
  <si>
    <t>0 = placeholder: not forecast; net loan growth is captured in J30 (not an assumed zero flow)</t>
  </si>
  <si>
    <t xml:space="preserve">   Proceeds from loan sales</t>
  </si>
  <si>
    <t xml:space="preserve">   AFS purchases</t>
  </si>
  <si>
    <t>0 = mechanical placeholder: BS AFS securities (J16) held flat; gross purchases not forecast</t>
  </si>
  <si>
    <t xml:space="preserve">   AFS sales proceeds</t>
  </si>
  <si>
    <t>0 = mechanical placeholder: BS AFS securities (J16) held flat; gross sales not forecast</t>
  </si>
  <si>
    <t xml:space="preserve">   AFS maturities proceeds</t>
  </si>
  <si>
    <t>0 = mechanical placeholder: BS AFS securities (J16) held flat; gross maturities not forecast</t>
  </si>
  <si>
    <t xml:space="preserve">   HTM purchases</t>
  </si>
  <si>
    <t>0 = mechanical placeholder: BS HTM securities (J17) held flat; gross purchases not forecast</t>
  </si>
  <si>
    <t xml:space="preserve">   HTM maturities proceeds</t>
  </si>
  <si>
    <t>0 = mechanical placeholder: BS HTM securities (J17) held flat; gross maturities not forecast</t>
  </si>
  <si>
    <t xml:space="preserve">   Capital expenditures</t>
  </si>
  <si>
    <t xml:space="preserve">   Proceeds from premises sales</t>
  </si>
  <si>
    <t>Net cash from investing activities</t>
  </si>
  <si>
    <t>Financing activities</t>
  </si>
  <si>
    <t xml:space="preserve">   Dividends paid (common + pref.)</t>
  </si>
  <si>
    <t xml:space="preserve">   Issuance of preferred stock</t>
  </si>
  <si>
    <t>0 = mechanical placeholder: BS preferred stock (J52) held flat; no issuance modeled</t>
  </si>
  <si>
    <t xml:space="preserve">   Redemption of preferred stock</t>
  </si>
  <si>
    <t>0 = mechanical placeholder: BS preferred stock (J52) held flat; no redemption modeled</t>
  </si>
  <si>
    <t xml:space="preserve">   Treasury stock acquired</t>
  </si>
  <si>
    <t xml:space="preserve">   Stock withheld for taxes</t>
  </si>
  <si>
    <t>0 = placeholder: not forecast; BS APIC (J54) held flat</t>
  </si>
  <si>
    <t xml:space="preserve">   Divestiture proceeds (Banamex)</t>
  </si>
  <si>
    <t>3Q26E: Banamex Q3 sell-down proceeds not modeled (unavailable); omission flows to BS J12 plug</t>
  </si>
  <si>
    <t xml:space="preserve">   Change in repurchase agreements</t>
  </si>
  <si>
    <t>0 = mechanical placeholder: BS securities loaned/repo (J44) held flat; not a forecast of zero flow</t>
  </si>
  <si>
    <t xml:space="preserve">   Issuance of long-term debt</t>
  </si>
  <si>
    <t>0 = mechanical placeholder: BS long-term debt (J48) held flat; gross issuance not forecast</t>
  </si>
  <si>
    <t xml:space="preserve">   Repayments of long-term debt</t>
  </si>
  <si>
    <t>0 = mechanical placeholder: BS long-term debt (J48) held flat; gross repayments not forecast</t>
  </si>
  <si>
    <t xml:space="preserve">   Change in deposits</t>
  </si>
  <si>
    <t xml:space="preserve">   Change in short-term borrowings</t>
  </si>
  <si>
    <t>0 = mechanical placeholder: BS short-term borrowings (J47) held flat; not a forecast of zero flow</t>
  </si>
  <si>
    <t>Net cash from financing activities</t>
  </si>
  <si>
    <t>FX effect on cash</t>
  </si>
  <si>
    <t>0 = placeholder: FX effect not forecast (BS AOCI J57 held flat)</t>
  </si>
  <si>
    <t>Change in cash and bank deposits</t>
  </si>
  <si>
    <t>Cash at beginning of period</t>
  </si>
  <si>
    <t>1Q25/FY25 opening cash per 2025 10-K (Dec-24 balance)</t>
  </si>
  <si>
    <t>Cash at end of period</t>
  </si>
  <si>
    <t>Check: CF cash - BS cash (= 0)</t>
  </si>
  <si>
    <t>3Q26E: articulation check (CF lines vs BS changes, independent of the J12 plug); can fail if a BS movement lacks a CF line, though both sides use the same forecast deltas</t>
  </si>
  <si>
    <t>Cash-flow metrics</t>
  </si>
  <si>
    <t>Operating cash flow</t>
  </si>
  <si>
    <t>3Q26E mechanical (see K27); low confidence</t>
  </si>
  <si>
    <t>Capital expenditures</t>
  </si>
  <si>
    <t>Free cash flow: not an issuer-defined metric for Citigroup (not applicable)</t>
  </si>
  <si>
    <t>As reported, year-to-date (3M25, 6M25, 9M25, FY25, 3M26, 6M26)</t>
  </si>
  <si>
    <t xml:space="preserve">   Memo: as reported</t>
  </si>
  <si>
    <t xml:space="preserve">   Check: lines - reported (= 0)</t>
  </si>
  <si>
    <t>Change in cash (YTD)</t>
  </si>
  <si>
    <t>Revenue by geography</t>
  </si>
  <si>
    <t xml:space="preserve">   Services</t>
  </si>
  <si>
    <t xml:space="preserve">      % Y/Y</t>
  </si>
  <si>
    <t xml:space="preserve">   Markets</t>
  </si>
  <si>
    <t xml:space="preserve">   Banking</t>
  </si>
  <si>
    <t xml:space="preserve">   Wealth</t>
  </si>
  <si>
    <t xml:space="preserve">   U.S. Consumer Cards (all U.S.)</t>
  </si>
  <si>
    <t>Total North America</t>
  </si>
  <si>
    <t>Citi does not disclose FX or M&amp;A impacts by region</t>
  </si>
  <si>
    <t xml:space="preserve">   Mexico Consumer/SBMM (Legacy)</t>
  </si>
  <si>
    <t xml:space="preserve">   Asia Consumer (Legacy Franchises)</t>
  </si>
  <si>
    <t>Total International</t>
  </si>
  <si>
    <t>Not allocated to a region</t>
  </si>
  <si>
    <t xml:space="preserve">   Legacy Holdings Assets</t>
  </si>
  <si>
    <t xml:space="preserve">   Corporate/Other</t>
  </si>
  <si>
    <t xml:space="preserve">   Divestiture reconciling items</t>
  </si>
  <si>
    <t>Total not allocated</t>
  </si>
  <si>
    <t>Total revenue</t>
  </si>
  <si>
    <t>Check: Geo - revenue total (= 0)</t>
  </si>
  <si>
    <t>History: genuine. 3Q26E J53 = 0 by construction (International lines are residuals): identity, not an independent check</t>
  </si>
  <si>
    <t>Share Count</t>
  </si>
  <si>
    <t>Common shares (millions)</t>
  </si>
  <si>
    <t>Common shares outstanding, EOP</t>
  </si>
  <si>
    <t xml:space="preserve">   Net change in EOP shares</t>
  </si>
  <si>
    <t>Share repurchases ($M)</t>
  </si>
  <si>
    <t>Forecast $4.0B = 2Q26 pace; 2026 buybacks guided above 2025 (~$13B); CET1 ~stable (CFO 14-Sep-26)</t>
  </si>
  <si>
    <t xml:space="preserve">   Avg repurchase price ($)</t>
  </si>
  <si>
    <t>Approx. 3Q26 average share price (stock ~$126-148 in quarter; 2Q26 end $139.96)</t>
  </si>
  <si>
    <t xml:space="preserve">   Shares repurchased (m)</t>
  </si>
  <si>
    <t xml:space="preserve">   Shares issued, net (m)</t>
  </si>
  <si>
    <t>3Q is a light vesting quarter; ~1m implied by 3Q25 share change</t>
  </si>
  <si>
    <t>Weighted avg basic shares</t>
  </si>
  <si>
    <t>FY = day-weighted average of quarters (weights C8:F8)</t>
  </si>
  <si>
    <t xml:space="preserve">   Timing factor (avg vs EOP)</t>
  </si>
  <si>
    <t>Dilutive securities</t>
  </si>
  <si>
    <t>Weighted avg diluted shares</t>
  </si>
  <si>
    <t>Dividends and payout</t>
  </si>
  <si>
    <t>Common dividend per share ($)</t>
  </si>
  <si>
    <t>$0.67 declared 21-Jul-26 (S14)</t>
  </si>
  <si>
    <t>Common dividends ($M; hist. est.)</t>
  </si>
  <si>
    <t>History C35:I35 are estimates (DPS x weighted basic shares), not reported amounts; e.g. 3Q25 reported common ~1,096 (CF E44 1,370 - preferred IS E70 274) vs 1,092.2 est.</t>
  </si>
  <si>
    <t>Payout (divs + buybacks) / NI</t>
  </si>
  <si>
    <t>Share count behind forecast EPS</t>
  </si>
  <si>
    <t>Diluted shares used for 3Q26E EPS</t>
  </si>
  <si>
    <t>Guidance</t>
  </si>
  <si>
    <t>Appendix table: no period columns (see table headers below)</t>
  </si>
  <si>
    <t>Metric</t>
  </si>
  <si>
    <t>Date given</t>
  </si>
  <si>
    <t>Period</t>
  </si>
  <si>
    <t>Low</t>
  </si>
  <si>
    <t>High</t>
  </si>
  <si>
    <t>Midpoint</t>
  </si>
  <si>
    <t>Actual / model</t>
  </si>
  <si>
    <t>Beat / miss</t>
  </si>
  <si>
    <t>Source</t>
  </si>
  <si>
    <t>Markets revenue Y/Y</t>
  </si>
  <si>
    <t>3Q25</t>
  </si>
  <si>
    <t>S20/S24</t>
  </si>
  <si>
    <t>Actual +15% (3Q25 release)</t>
  </si>
  <si>
    <t>Investment banking fees Y/Y</t>
  </si>
  <si>
    <t>Actual +17%</t>
  </si>
  <si>
    <t>2Q26</t>
  </si>
  <si>
    <t>S21/S3</t>
  </si>
  <si>
    <t>Mid-teens guide</t>
  </si>
  <si>
    <t>High-single to low-double digits</t>
  </si>
  <si>
    <t>NII ex-Markets growth</t>
  </si>
  <si>
    <t>FY26</t>
  </si>
  <si>
    <t>Pending</t>
  </si>
  <si>
    <t>S6</t>
  </si>
  <si>
    <t>FY not yet reported</t>
  </si>
  <si>
    <t>RoTCE</t>
  </si>
  <si>
    <t>YTD 1H26 13.1%</t>
  </si>
  <si>
    <t>Efficiency ratio (~60%)</t>
  </si>
  <si>
    <t>YTD 1H26 57.7%</t>
  </si>
  <si>
    <t>U.S. cards NCL rate</t>
  </si>
  <si>
    <t>1Q26 4.12%, 2Q26 4.19%</t>
  </si>
  <si>
    <t>USCC NIR ($M), flat vs 2Q26</t>
  </si>
  <si>
    <t>3Q26</t>
  </si>
  <si>
    <t>Model estimate, not actual</t>
  </si>
  <si>
    <t>Markets revenue Y/Y (MSD)</t>
  </si>
  <si>
    <t>S8</t>
  </si>
  <si>
    <t>Model estimate; Citi beat this style of guide in 3Q25 and 2Q26</t>
  </si>
  <si>
    <t>IB revenue Y/Y (LSD)</t>
  </si>
  <si>
    <t>Model estimate</t>
  </si>
  <si>
    <t>RoTCE (raised: a bit above 11%)</t>
  </si>
  <si>
    <t>Raised from 10%-11%</t>
  </si>
  <si>
    <t>NII ex-Mkts growth (top end+)</t>
  </si>
  <si>
    <t>Raised</t>
  </si>
  <si>
    <t>Efficiency ratio (better than 60%)</t>
  </si>
  <si>
    <t>Includes ~$500M pull-forward</t>
  </si>
  <si>
    <t>Investment pull-forward ($M)</t>
  </si>
  <si>
    <t>2H26</t>
  </si>
  <si>
    <t>Within $5B 3-year plan</t>
  </si>
  <si>
    <t>Common DPS ($)</t>
  </si>
  <si>
    <t>S27/S14</t>
  </si>
  <si>
    <t>Plan announced 24-Jun-26 (S27); $0.67 declared 21-Jul-26 (S14), linked from Share Count</t>
  </si>
  <si>
    <t>Citi gives no quarterly revenue, net income or EPS guidance; Cover shows "Not guided" for those midpoints.</t>
  </si>
  <si>
    <t>Track record: Citi beat its own mid-quarter Markets/IB guide midpoints by ~8-26pp in 3Q25 and 2Q26 (7.7pp to 26pp; rows above).</t>
  </si>
  <si>
    <t>Sources</t>
  </si>
  <si>
    <t>ID</t>
  </si>
  <si>
    <t>Published</t>
  </si>
  <si>
    <t>Publisher</t>
  </si>
  <si>
    <t>Feeds</t>
  </si>
  <si>
    <t>URL or file</t>
  </si>
  <si>
    <t>S1</t>
  </si>
  <si>
    <t>S&amp;P Capital IQ (supplied)</t>
  </si>
  <si>
    <t>Inputs summary row; Cover frozen consensus</t>
  </si>
  <si>
    <t>C_consensus.json (workspace file)</t>
  </si>
  <si>
    <t>S2</t>
  </si>
  <si>
    <t>Inputs history; beat-rate calibration</t>
  </si>
  <si>
    <t>C_history.csv (workspace file)</t>
  </si>
  <si>
    <t>S3</t>
  </si>
  <si>
    <t>Citi (QFDS 2Q26)</t>
  </si>
  <si>
    <t>2Q25-2Q26 IS, BS, segments, NIM, FX page</t>
  </si>
  <si>
    <t>https://www.citigroup.com/rcs/citigpa/storage/public/Earnings/Q22026/2026fsqtr2rslt.pdf</t>
  </si>
  <si>
    <t>S4</t>
  </si>
  <si>
    <t>Citi (QFDS 1Q26, SEC Ex.99.2)</t>
  </si>
  <si>
    <t>1Q25 column (recast); 1Q26 FX; NIM</t>
  </si>
  <si>
    <t>https://www.sec.gov/Archives/edgar/data/831001/000110465926042942/c-20260414xex99d2.htm</t>
  </si>
  <si>
    <t>S5</t>
  </si>
  <si>
    <t>Citi (QFDS 3Q25)</t>
  </si>
  <si>
    <t>3Q25 NIM and average interest-earning assets</t>
  </si>
  <si>
    <t>https://www.citigroup.com/rcs/citigpa/storage/public/Earnings/Q32025/2025fsqtr3rslt.pdf</t>
  </si>
  <si>
    <t>Citi (2Q26 call transcript)</t>
  </si>
  <si>
    <t>FY26 guidance (RoTCE, NII, efficiency, cards)</t>
  </si>
  <si>
    <t>https://www.citigroup.com/rcs/citigpa/storage/public/2026psqtr2-transcript.pdf</t>
  </si>
  <si>
    <t>S7</t>
  </si>
  <si>
    <t>Citi (2Q26 release, Ex.99.1)</t>
  </si>
  <si>
    <t>Capital return, BVPS, CET1 context</t>
  </si>
  <si>
    <t>https://www.sec.gov/Archives/edgar/data/831001/000110465926083383/c-20260714xex99d1.htm</t>
  </si>
  <si>
    <t>Citi (Barclays conf. transcript)</t>
  </si>
  <si>
    <t>3Q26 Markets/IB guide; FY26 updates</t>
  </si>
  <si>
    <t>https://www.citigroup.com/rcs/citigpa/storage/public/2026-citigroup-barclays-global-financial-services-conference-transcript.pdf</t>
  </si>
  <si>
    <t>S9</t>
  </si>
  <si>
    <t>Citi (2Q26 10-Q, XBRL R8)</t>
  </si>
  <si>
    <t>Cash flow 6M26 and 6M25</t>
  </si>
  <si>
    <t>https://www.sec.gov/Archives/edgar/data/831001/000083100126000045/R8.htm</t>
  </si>
  <si>
    <t>S10</t>
  </si>
  <si>
    <t>Citi (1Q26 10-Q, XBRL R8)</t>
  </si>
  <si>
    <t>Cash flow 3M26 and 3M25</t>
  </si>
  <si>
    <t>https://www.sec.gov/Archives/edgar/data/831001/000083100126000019/R8.htm</t>
  </si>
  <si>
    <t>S11</t>
  </si>
  <si>
    <t>Citi (3Q25 10-Q, XBRL R8)</t>
  </si>
  <si>
    <t>Cash flow 9M25</t>
  </si>
  <si>
    <t>https://www.sec.gov/Archives/edgar/data/831001/000083100125000154/R8.htm</t>
  </si>
  <si>
    <t>S12</t>
  </si>
  <si>
    <t>Citi (2025 10-K, XBRL R9)</t>
  </si>
  <si>
    <t>Cash flow FY25; Dec-24 opening cash</t>
  </si>
  <si>
    <t>https://www.sec.gov/Archives/edgar/data/831001/000083100126000011/R9.htm</t>
  </si>
  <si>
    <t>S13</t>
  </si>
  <si>
    <t>Citi (earnings date release)</t>
  </si>
  <si>
    <t>Report date 13-Oct-26, ~8:00 a.m. ET</t>
  </si>
  <si>
    <t>https://www.citigroup.com/global/news/press-release/2026/citi-third-quarter-2026-earnings-call</t>
  </si>
  <si>
    <t>S14</t>
  </si>
  <si>
    <t>Citi (dividend declaration)</t>
  </si>
  <si>
    <t>3Q26 DPS $0.67</t>
  </si>
  <si>
    <t>https://www.citigroup.com/global/news/press-release/2026/citigroup-declares-common-stock-dividend-citigroup-declares-preferred-dividends-july-2026</t>
  </si>
  <si>
    <t>S15</t>
  </si>
  <si>
    <t>Zacks via MetaTrader</t>
  </si>
  <si>
    <t>Other consensus: EPS $2.66, rev. $23.66B</t>
  </si>
  <si>
    <t>https://www.metatrader.com/en/news/zacks/4360980-curious-about-citigroup-c-q3-performance-explore-wall</t>
  </si>
  <si>
    <t>S16</t>
  </si>
  <si>
    <t>Seeking Alpha (preview)</t>
  </si>
  <si>
    <t>Other consensus: EPS $2.66, revenue $23.7B</t>
  </si>
  <si>
    <t>https://seekingalpha.com/article/4953114-jpmorgan-citigroup-bac-earnings-previews-eventually-return-to-more-normal-growth</t>
  </si>
  <si>
    <t>S17</t>
  </si>
  <si>
    <t>StockAnalysis (Nasdaq Data Link)</t>
  </si>
  <si>
    <t>Market cap $217.46B (9-Oct-26) for size prior</t>
  </si>
  <si>
    <t>https://stockanalysis.com/stocks/c/market-cap/</t>
  </si>
  <si>
    <t>S18</t>
  </si>
  <si>
    <t>Federal Reserve Board</t>
  </si>
  <si>
    <t>25bp hike to 3.75%-4.00% (NII context)</t>
  </si>
  <si>
    <t>https://www.federalreserve.gov/newsevents/pressreleases/monetary20260916a.htm</t>
  </si>
  <si>
    <t>S19</t>
  </si>
  <si>
    <t>MarketBeat (JPMorgan conference)</t>
  </si>
  <si>
    <t>JPM 3Q26 IB/Markets up mid-high teens</t>
  </si>
  <si>
    <t>https://www.marketbeat.com/instant-alerts/event-jpmorgan-chase-sees-mid-teens-growth-in-q3-banking-fees-and-markets-revenue-2026-09-15/</t>
  </si>
  <si>
    <t>S20</t>
  </si>
  <si>
    <t>Reuters (Citi CFO at Barclays 2025)</t>
  </si>
  <si>
    <t>3Q25 guide (MSD) for track record</t>
  </si>
  <si>
    <t>https://www.reuters.com/business/finance/citigroup-cfo-expects-investment-banking-fees-market-revenue-grow-by-mid-single-2025-09-09/</t>
  </si>
  <si>
    <t>S21</t>
  </si>
  <si>
    <t>StockAnalysis (Citi at MS conf.)</t>
  </si>
  <si>
    <t>2Q26 guide for track record</t>
  </si>
  <si>
    <t>https://stockanalysis.com/stocks/c/transcripts/686510-morgan-stanley-us-financials-conference-2026/</t>
  </si>
  <si>
    <t>S22</t>
  </si>
  <si>
    <t>ION Analytics / Dealogic</t>
  </si>
  <si>
    <t>Industry IB fees 9M26 +16% Y/Y</t>
  </si>
  <si>
    <t>https://ionanalytics.com/insights/dealogic/investment-bankers-pocket-almost-usd-100bn-revenues-as-deal-making-soars-revenue-report/</t>
  </si>
  <si>
    <t>S23</t>
  </si>
  <si>
    <t>The Banker (LSEG data)</t>
  </si>
  <si>
    <t>Q3 M&amp;A fees -18% Q/Q (downside check)</t>
  </si>
  <si>
    <t>https://www.thebanker.com/content/c481e348-5a3b-47e6-8aea-8c6a89fcbb3e</t>
  </si>
  <si>
    <t>S24</t>
  </si>
  <si>
    <t>Citi (3Q25 press release)</t>
  </si>
  <si>
    <t>3Q25 Markets +15%, IB fees +17%</t>
  </si>
  <si>
    <t>https://www.sec.gov/Archives/edgar/data/831001/000110465925099097/c-20251014xex99d1.htm</t>
  </si>
  <si>
    <t>S25</t>
  </si>
  <si>
    <t>Citi (4Q25 presentation)</t>
  </si>
  <si>
    <t>FY25 diluted EPS $6.99</t>
  </si>
  <si>
    <t>https://www.citigroup.com/rcs/citigpa/storage/public/Earnings/Q42025/2025psqtr4rslt.pdf</t>
  </si>
  <si>
    <t>S27</t>
  </si>
  <si>
    <t>Citi (stress test release)</t>
  </si>
  <si>
    <t>Planned DPS of $0.67 from 3Q26</t>
  </si>
  <si>
    <t>https://www.citigroup.com/global/news/press-release/2026/citi-completion-annual-supervisory-stress-test-process</t>
  </si>
  <si>
    <t>S26</t>
  </si>
  <si>
    <t>TIKR (bank selloff context)</t>
  </si>
  <si>
    <t>Bank selloff on yields; no Citi catalyst</t>
  </si>
  <si>
    <t>https://www.tikr.com/blog/citigroup-reports-q3-earnings-on-october-13-after-a-yield-driven-bank-selloff-heres-what-the-stock-needs-to-show?.tsrc=rss</t>
  </si>
  <si>
    <t>Omitted tabs: none - every template tab carries content (Geo built from managed-geography disclosure in QFDS 2Q26, S3).</t>
  </si>
  <si>
    <t>Inputs tab (raw CapIQ export) is placed after Sources because it is a data appendix, not part of the house-style model.</t>
  </si>
  <si>
    <t>Retrieval: web sources fetched 2026-10-12 00:53-01:10 UTC, after the 2026-10-11 22:24 UTC cutoff; publication dates (date precision) precede the cutoff. No archived as-of-cutoff snapshots exist, so live-page content at the cutoff (e.g. S17 market cap) is unverified; size-bucket robustness does not certify page provenance.</t>
  </si>
  <si>
    <t>Target-actual exposure: no 3Q26 Citigroup results were seen (release scheduled 13-Oct-26); a Polymarket page dated after the cutoff was ignored.</t>
  </si>
  <si>
    <t>Inputs - S&amp;P Capital IQ export (raw)</t>
  </si>
  <si>
    <t>A. Summary row (C_consensus.json, summary_row; blank source values preserved as blank)</t>
  </si>
  <si>
    <t>ticker</t>
  </si>
  <si>
    <t>C</t>
  </si>
  <si>
    <t>company_name</t>
  </si>
  <si>
    <t>exchange_ticker</t>
  </si>
  <si>
    <t>NYSE:C</t>
  </si>
  <si>
    <t>capiq_company_id</t>
  </si>
  <si>
    <t>sp500_member</t>
  </si>
  <si>
    <t>Y</t>
  </si>
  <si>
    <t>market_cap_usd_m</t>
  </si>
  <si>
    <t>Blank in source (unavailable)</t>
  </si>
  <si>
    <t>fiscal_quarter</t>
  </si>
  <si>
    <t>FQ3 2026 - Sep 2026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</si>
  <si>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</si>
  <si>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</si>
  <si>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</si>
  <si>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</si>
  <si>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</si>
  <si>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</si>
  <si>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</si>
  <si>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</si>
  <si>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</si>
  <si>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</si>
  <si>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</si>
  <si>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</si>
  <si>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</si>
  <si>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</si>
  <si>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</si>
  <si>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</si>
  <si>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</si>
  <si>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</si>
  <si>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</si>
  <si>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</si>
  <si>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</si>
  <si>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</si>
  <si>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</si>
  <si>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</si>
  <si>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</si>
  <si>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</si>
  <si>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</si>
  <si>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</si>
  <si>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</si>
  <si>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</si>
  <si>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</si>
  <si>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</si>
  <si>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</si>
  <si>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</si>
  <si>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</si>
  <si>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</si>
  <si>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</si>
  <si>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</si>
  <si>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</si>
  <si>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</si>
  <si>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</si>
  <si>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</si>
  <si>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</si>
  <si>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</si>
  <si>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</si>
  <si>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</si>
  <si>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</si>
  <si>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</si>
  <si>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</si>
  <si>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</si>
  <si>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</si>
  <si>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</si>
  <si>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</si>
  <si>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</si>
  <si>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</si>
  <si>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</si>
  <si>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</si>
  <si>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</si>
  <si>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</si>
  <si>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</si>
  <si>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</si>
  <si>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147.96/93.66</t>
  </si>
  <si>
    <t>currency</t>
  </si>
  <si>
    <t>units</t>
  </si>
  <si>
    <t>per-share in USD; revenue and income in USD millions</t>
  </si>
  <si>
    <t>estimates_captured_at</t>
  </si>
  <si>
    <t>notes</t>
  </si>
  <si>
    <t>B. History rows (C_history.csv, all six rows)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</si>
  <si>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</si>
  <si>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</si>
  <si>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</si>
  <si>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</si>
  <si>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</si>
  <si>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</si>
  <si>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</si>
  <si>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</si>
  <si>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C. Beat-probability calibration (playbook v2: size and issuer history)</t>
  </si>
  <si>
    <t>Quarter</t>
  </si>
  <si>
    <t>Norm. surprise $</t>
  </si>
  <si>
    <t>Beat (1/0)</t>
  </si>
  <si>
    <t>Market cap ($M, 9-Oct-26, S17)</t>
  </si>
  <si>
    <t>CapIQ market_cap_usd_m blank; researched value from live page S17, retrieved after the cutoff (Sources B41)</t>
  </si>
  <si>
    <t>Large-cap threshold ($M, playbook)</t>
  </si>
  <si>
    <t>Mid-cap threshold ($M, playbook)</t>
  </si>
  <si>
    <t>Prior: large cap or S&amp;P 500</t>
  </si>
  <si>
    <t>Prior: mid cap</t>
  </si>
  <si>
    <t>Prior: small cap</t>
  </si>
  <si>
    <t>Size bucket</t>
  </si>
  <si>
    <t>S&amp;P 500 member</t>
  </si>
  <si>
    <t>Cohort prior</t>
  </si>
  <si>
    <t>Pseudo-observations</t>
  </si>
  <si>
    <t>Strict beats (b)</t>
  </si>
  <si>
    <t>Valid pairs (n)</t>
  </si>
  <si>
    <t>Starting probability</t>
  </si>
  <si>
    <t>Final probability (after evidence)</t>
  </si>
  <si>
    <t>Model EPS above consensus and conservative-guide track record offset by H2 expense pull-forward and macro/credit risk</t>
  </si>
  <si>
    <t>Evidence adjustment (final - start)</t>
  </si>
  <si>
    <t>medium</t>
  </si>
  <si>
    <t>Avg normalized surprise, $</t>
  </si>
</sst>
</file>

<file path=xl/styles.xml><?xml version="1.0" encoding="utf-8"?>
<styleSheet xmlns="http://schemas.openxmlformats.org/spreadsheetml/2006/main">
  <numFmts count="12">
    <numFmt numFmtId="164" formatCode="#,##0.0_);(#,##0.0);–_)"/>
    <numFmt numFmtId="165" formatCode="$0.00"/>
    <numFmt numFmtId="166" formatCode="0.0%_);(0.0%);–_)"/>
    <numFmt numFmtId="167" formatCode="@"/>
    <numFmt numFmtId="168" formatCode="0"/>
    <numFmt numFmtId="169" formatCode="0.0%"/>
    <numFmt numFmtId="170" formatCode="yyyy-mm-dd"/>
    <numFmt numFmtId="171" formatCode="0.0x"/>
    <numFmt numFmtId="172" formatCode="#,##0_);(#,##0);–_)"/>
    <numFmt numFmtId="173" formatCode="0.00%_);(0.00%);–_)"/>
    <numFmt numFmtId="174" formatCode="#,##0.00_);(#,##0.00);–_)"/>
    <numFmt numFmtId="175" formatCode="General"/>
  </numFmts>
  <fonts count="29">
    <font>
      <sz val="11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/>
      <i val="0"/>
      <strike val="0"/>
      <sz val="12"/>
      <color rgb="FF000000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/>
      <i val="0"/>
      <strike val="0"/>
      <sz val="10"/>
      <color rgb="FF0000FF"/>
      <name val="Arial"/>
    </font>
    <font>
      <b val="0"/>
      <i val="0"/>
      <strike val="0"/>
      <sz val="10"/>
      <color rgb="FF595959"/>
      <name val="Arial"/>
    </font>
    <font>
      <b/>
      <i val="0"/>
      <strike val="0"/>
      <sz val="10"/>
      <color rgb="FF595959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595959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BE9C4"/>
      </patternFill>
    </fill>
    <fill>
      <patternFill patternType="solid">
        <fgColor rgb="FFFFF5DC"/>
      </patternFill>
    </fill>
  </fills>
  <borders count="3">
    <border>
      <left/>
      <right/>
      <top/>
      <bottom/>
      <diagonal/>
    </border>
    <border>
      <top style="thin">
        <color rgb="FF808080"/>
      </top>
    </border>
    <border>
      <bottom style="thin">
        <color rgb="FF808080"/>
      </bottom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general" vertical="bottom"/>
      <protection locked="1" hidden="0"/>
    </xf>
    <xf numFmtId="165" fontId="2" fillId="0" borderId="0" xfId="0" applyNumberFormat="1" applyFont="1" applyFill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0" fontId="4" fillId="2" borderId="1" xfId="0" applyFont="1" applyFill="1" applyBorder="1" applyAlignment="1" applyProtection="1">
      <alignment horizontal="right" vertical="bottom"/>
      <protection locked="1" hidden="0"/>
    </xf>
    <xf numFmtId="0" fontId="4" fillId="0" borderId="2" xfId="0" applyFont="1" applyFill="1" applyBorder="1" applyAlignment="1" applyProtection="1">
      <alignment horizontal="right" vertical="bottom" wrapText="1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165" fontId="6" fillId="0" borderId="0" xfId="0" applyNumberFormat="1" applyFont="1" applyFill="1" applyAlignment="1" applyProtection="1">
      <alignment horizontal="general" vertical="bottom"/>
      <protection locked="1" hidden="0"/>
    </xf>
    <xf numFmtId="168" fontId="1" fillId="2" borderId="2" xfId="0" applyNumberFormat="1" applyFont="1" applyFill="1" applyBorder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169" fontId="7" fillId="0" borderId="0" xfId="0" applyNumberFormat="1" applyFont="1" applyFill="1" applyAlignment="1" applyProtection="1">
      <alignment horizontal="right" vertical="bottom"/>
      <protection locked="1" hidden="0"/>
    </xf>
    <xf numFmtId="168" fontId="6" fillId="2" borderId="2" xfId="0" applyNumberFormat="1" applyFont="1" applyFill="1" applyBorder="1" applyAlignment="1" applyProtection="1">
      <alignment horizontal="right" vertical="bottom"/>
      <protection locked="1" hidden="0"/>
    </xf>
    <xf numFmtId="170" fontId="6" fillId="2" borderId="0" xfId="0" applyNumberFormat="1" applyFont="1" applyFill="1" applyAlignment="1" applyProtection="1">
      <alignment horizontal="right" vertical="bottom"/>
      <protection locked="1" hidden="0"/>
    </xf>
    <xf numFmtId="0" fontId="1" fillId="2" borderId="2" xfId="0" applyFont="1" applyFill="1" applyBorder="1" applyAlignment="1" applyProtection="1">
      <alignment horizontal="general" vertical="bottom"/>
      <protection locked="1" hidden="0"/>
    </xf>
    <xf numFmtId="166" fontId="8" fillId="0" borderId="0" xfId="0" applyNumberFormat="1" applyFont="1" applyFill="1" applyAlignment="1" applyProtection="1">
      <alignment horizontal="general" vertical="bottom"/>
      <protection locked="1" hidden="0"/>
    </xf>
    <xf numFmtId="0" fontId="9" fillId="0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0" fontId="10" fillId="0" borderId="0" xfId="0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0" fontId="11" fillId="0" borderId="0" xfId="0" applyFont="1" applyFill="1" applyAlignment="1" applyProtection="1">
      <alignment horizontal="general" vertical="bottom"/>
      <protection locked="1" hidden="0"/>
    </xf>
    <xf numFmtId="0" fontId="12" fillId="0" borderId="0" xfId="0" applyFont="1" applyFill="1" applyAlignment="1" applyProtection="1">
      <alignment horizontal="general" vertical="bottom"/>
      <protection locked="1" hidden="0"/>
    </xf>
    <xf numFmtId="166" fontId="3" fillId="0" borderId="0" xfId="0" applyNumberFormat="1" applyFont="1" applyFill="1" applyAlignment="1" applyProtection="1">
      <alignment horizontal="general" vertical="bottom"/>
      <protection locked="1" hidden="0"/>
    </xf>
    <xf numFmtId="0" fontId="4" fillId="3" borderId="1" xfId="0" applyFont="1" applyFill="1" applyBorder="1" applyAlignment="1" applyProtection="1">
      <alignment horizontal="right" vertical="bottom"/>
      <protection locked="1" hidden="0"/>
    </xf>
    <xf numFmtId="164" fontId="4" fillId="0" borderId="1" xfId="0" applyNumberFormat="1" applyFont="1" applyFill="1" applyBorder="1" applyAlignment="1" applyProtection="1">
      <alignment horizontal="general" vertical="bottom"/>
      <protection locked="1" hidden="0"/>
    </xf>
    <xf numFmtId="164" fontId="6" fillId="0" borderId="0" xfId="0" applyNumberFormat="1" applyFont="1" applyFill="1" applyAlignment="1" applyProtection="1">
      <alignment horizontal="general" vertical="bottom"/>
      <protection locked="1" hidden="0"/>
    </xf>
    <xf numFmtId="164" fontId="1" fillId="4" borderId="0" xfId="0" applyNumberFormat="1" applyFont="1" applyFill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right" vertical="bottom"/>
      <protection locked="1" hidden="0"/>
    </xf>
    <xf numFmtId="0" fontId="1" fillId="4" borderId="0" xfId="0" applyFont="1" applyFill="1" applyAlignment="1" applyProtection="1">
      <alignment horizontal="general" vertical="bottom"/>
      <protection locked="1" hidden="0"/>
    </xf>
    <xf numFmtId="164" fontId="4" fillId="4" borderId="1" xfId="0" applyNumberFormat="1" applyFont="1" applyFill="1" applyBorder="1" applyAlignment="1" applyProtection="1">
      <alignment horizontal="general" vertical="bottom"/>
      <protection locked="1" hidden="0"/>
    </xf>
    <xf numFmtId="166" fontId="3" fillId="4" borderId="0" xfId="0" applyNumberFormat="1" applyFont="1" applyFill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general" vertical="bottom"/>
      <protection locked="1" hidden="0"/>
    </xf>
    <xf numFmtId="0" fontId="4" fillId="2" borderId="1" xfId="0" applyFont="1" applyFill="1" applyBorder="1" applyAlignment="1" applyProtection="1">
      <alignment horizontal="general" vertical="bottom"/>
      <protection locked="1" hidden="0"/>
    </xf>
    <xf numFmtId="164" fontId="2" fillId="4" borderId="0" xfId="0" applyNumberFormat="1" applyFont="1" applyFill="1" applyAlignment="1" applyProtection="1">
      <alignment horizontal="general" vertical="bottom"/>
      <protection locked="1" hidden="0"/>
    </xf>
    <xf numFmtId="170" fontId="6" fillId="3" borderId="0" xfId="0" applyNumberFormat="1" applyFont="1" applyFill="1" applyAlignment="1" applyProtection="1">
      <alignment horizontal="right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  <xf numFmtId="164" fontId="3" fillId="4" borderId="0" xfId="0" applyNumberFormat="1" applyFont="1" applyFill="1" applyAlignment="1" applyProtection="1">
      <alignment horizontal="general" vertical="bottom"/>
      <protection locked="1" hidden="0"/>
    </xf>
    <xf numFmtId="0" fontId="3" fillId="4" borderId="0" xfId="0" applyFont="1" applyFill="1" applyAlignment="1" applyProtection="1">
      <alignment horizontal="right" vertical="bottom"/>
      <protection locked="1" hidden="0"/>
    </xf>
    <xf numFmtId="164" fontId="4" fillId="0" borderId="0" xfId="0" applyNumberFormat="1" applyFont="1" applyFill="1" applyAlignment="1" applyProtection="1">
      <alignment horizontal="general" vertical="bottom"/>
      <protection locked="1" hidden="0"/>
    </xf>
    <xf numFmtId="170" fontId="6" fillId="0" borderId="0" xfId="0" applyNumberFormat="1" applyFont="1" applyFill="1" applyAlignment="1" applyProtection="1">
      <alignment horizontal="right" vertical="bottom"/>
      <protection locked="1" hidden="0"/>
    </xf>
    <xf numFmtId="171" fontId="1" fillId="0" borderId="0" xfId="0" applyNumberFormat="1" applyFont="1" applyFill="1" applyAlignment="1" applyProtection="1">
      <alignment horizontal="general" vertical="bottom"/>
      <protection locked="1" hidden="0"/>
    </xf>
    <xf numFmtId="166" fontId="6" fillId="0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0" fontId="4" fillId="0" borderId="2" xfId="0" applyFont="1" applyFill="1" applyBorder="1" applyAlignment="1" applyProtection="1">
      <alignment horizontal="general" vertical="bottom"/>
      <protection locked="1" hidden="0"/>
    </xf>
    <xf numFmtId="164" fontId="13" fillId="0" borderId="1" xfId="0" applyNumberFormat="1" applyFont="1" applyFill="1" applyBorder="1" applyAlignment="1" applyProtection="1">
      <alignment horizontal="general" vertical="bottom"/>
      <protection locked="1" hidden="0"/>
    </xf>
    <xf numFmtId="0" fontId="14" fillId="0" borderId="0" xfId="0" applyFont="1" applyFill="1" applyAlignment="1" applyProtection="1">
      <alignment horizontal="left" vertical="bottom"/>
      <protection locked="1" hidden="0"/>
    </xf>
    <xf numFmtId="170" fontId="6" fillId="0" borderId="0" xfId="0" applyNumberFormat="1" applyFont="1" applyFill="1" applyAlignment="1" applyProtection="1">
      <alignment horizontal="left" vertical="bottom"/>
      <protection locked="1" hidden="0"/>
    </xf>
    <xf numFmtId="165" fontId="2" fillId="4" borderId="0" xfId="0" applyNumberFormat="1" applyFont="1" applyFill="1" applyAlignment="1" applyProtection="1">
      <alignment horizontal="general" vertical="bottom"/>
      <protection locked="1" hidden="0"/>
    </xf>
    <xf numFmtId="168" fontId="1" fillId="3" borderId="2" xfId="0" applyNumberFormat="1" applyFont="1" applyFill="1" applyBorder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general" vertical="bottom"/>
      <protection locked="1" hidden="0"/>
    </xf>
    <xf numFmtId="164" fontId="5" fillId="4" borderId="0" xfId="0" applyNumberFormat="1" applyFont="1" applyFill="1" applyAlignment="1" applyProtection="1">
      <alignment horizontal="general" vertical="bottom"/>
      <protection locked="1" hidden="0"/>
    </xf>
    <xf numFmtId="172" fontId="3" fillId="0" borderId="0" xfId="0" applyNumberFormat="1" applyFont="1" applyFill="1" applyAlignment="1" applyProtection="1">
      <alignment horizontal="general" vertical="bottom"/>
      <protection locked="1" hidden="0"/>
    </xf>
    <xf numFmtId="164" fontId="6" fillId="4" borderId="0" xfId="0" applyNumberFormat="1" applyFont="1" applyFill="1" applyAlignment="1" applyProtection="1">
      <alignment horizontal="general" vertical="bottom"/>
      <protection locked="1" hidden="0"/>
    </xf>
    <xf numFmtId="0" fontId="15" fillId="0" borderId="2" xfId="0" applyFont="1" applyFill="1" applyBorder="1" applyAlignment="1" applyProtection="1">
      <alignment horizontal="left" vertical="bottom" wrapText="1"/>
      <protection locked="1" hidden="0"/>
    </xf>
    <xf numFmtId="172" fontId="3" fillId="4" borderId="0" xfId="0" applyNumberFormat="1" applyFont="1" applyFill="1" applyAlignment="1" applyProtection="1">
      <alignment horizontal="general" vertical="bottom"/>
      <protection locked="1" hidden="0"/>
    </xf>
    <xf numFmtId="173" fontId="3" fillId="0" borderId="0" xfId="0" applyNumberFormat="1" applyFont="1" applyFill="1" applyAlignment="1" applyProtection="1">
      <alignment horizontal="general" vertical="bottom"/>
      <protection locked="1" hidden="0"/>
    </xf>
    <xf numFmtId="165" fontId="3" fillId="0" borderId="0" xfId="0" applyNumberFormat="1" applyFont="1" applyFill="1" applyAlignment="1" applyProtection="1">
      <alignment horizontal="general" vertical="bottom"/>
      <protection locked="1" hidden="0"/>
    </xf>
    <xf numFmtId="165" fontId="4" fillId="0" borderId="1" xfId="0" applyNumberFormat="1" applyFont="1" applyFill="1" applyBorder="1" applyAlignment="1" applyProtection="1">
      <alignment horizontal="general" vertical="bottom"/>
      <protection locked="1" hidden="0"/>
    </xf>
    <xf numFmtId="0" fontId="1" fillId="4" borderId="0" xfId="0" applyFont="1" applyFill="1" applyAlignment="1" applyProtection="1">
      <alignment horizontal="right" vertical="bottom"/>
      <protection locked="1" hidden="0"/>
    </xf>
    <xf numFmtId="174" fontId="6" fillId="4" borderId="0" xfId="0" applyNumberFormat="1" applyFont="1" applyFill="1" applyAlignment="1" applyProtection="1">
      <alignment horizontal="general" vertical="bottom"/>
      <protection locked="1" hidden="0"/>
    </xf>
    <xf numFmtId="173" fontId="8" fillId="4" borderId="0" xfId="0" applyNumberFormat="1" applyFont="1" applyFill="1" applyAlignment="1" applyProtection="1">
      <alignment horizontal="general" vertical="bottom"/>
      <protection locked="1" hidden="0"/>
    </xf>
    <xf numFmtId="164" fontId="4" fillId="4" borderId="0" xfId="0" applyNumberFormat="1" applyFont="1" applyFill="1" applyAlignment="1" applyProtection="1">
      <alignment horizontal="general" vertical="bottom"/>
      <protection locked="1" hidden="0"/>
    </xf>
    <xf numFmtId="171" fontId="1" fillId="4" borderId="0" xfId="0" applyNumberFormat="1" applyFont="1" applyFill="1" applyAlignment="1" applyProtection="1">
      <alignment horizontal="general" vertical="bottom"/>
      <protection locked="1" hidden="0"/>
    </xf>
    <xf numFmtId="175" fontId="1" fillId="0" borderId="0" xfId="0" applyNumberFormat="1" applyFont="1" applyFill="1" applyAlignment="1" applyProtection="1">
      <alignment horizontal="general" vertical="bottom"/>
      <protection locked="1" hidden="0"/>
    </xf>
    <xf numFmtId="0" fontId="4" fillId="4" borderId="1" xfId="0" applyFont="1" applyFill="1" applyBorder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74" fontId="6" fillId="0" borderId="0" xfId="0" applyNumberFormat="1" applyFont="1" applyFill="1" applyAlignment="1" applyProtection="1">
      <alignment horizontal="general" vertical="bottom"/>
      <protection locked="1" hidden="0"/>
    </xf>
    <xf numFmtId="174" fontId="1" fillId="0" borderId="0" xfId="0" applyNumberFormat="1" applyFont="1" applyFill="1" applyAlignment="1" applyProtection="1">
      <alignment horizontal="general" vertical="bottom"/>
      <protection locked="1" hidden="0"/>
    </xf>
    <xf numFmtId="0" fontId="6" fillId="0" borderId="0" xfId="0" applyFont="1" applyFill="1" applyAlignment="1" applyProtection="1">
      <alignment horizontal="left" vertical="bottom"/>
      <protection locked="1" hidden="0"/>
    </xf>
    <xf numFmtId="172" fontId="6" fillId="0" borderId="0" xfId="0" applyNumberFormat="1" applyFont="1" applyFill="1" applyAlignment="1" applyProtection="1">
      <alignment horizontal="general" vertical="bottom"/>
      <protection locked="1" hidden="0"/>
    </xf>
    <xf numFmtId="174" fontId="6" fillId="0" borderId="0" xfId="0" applyNumberFormat="1" applyFont="1" applyFill="1" applyAlignment="1" applyProtection="1">
      <alignment horizontal="right" vertical="bottom"/>
      <protection locked="1" hidden="0"/>
    </xf>
    <xf numFmtId="164" fontId="6" fillId="0" borderId="0" xfId="0" applyNumberFormat="1" applyFont="1" applyFill="1" applyAlignment="1" applyProtection="1">
      <alignment horizontal="right" vertical="bottom"/>
      <protection locked="1" hidden="0"/>
    </xf>
    <xf numFmtId="174" fontId="3" fillId="0" borderId="0" xfId="0" applyNumberFormat="1" applyFont="1" applyFill="1" applyAlignment="1" applyProtection="1">
      <alignment horizontal="general" vertical="bottom"/>
      <protection locked="1" hidden="0"/>
    </xf>
    <xf numFmtId="166" fontId="16" fillId="4" borderId="0" xfId="0" applyNumberFormat="1" applyFont="1" applyFill="1" applyAlignment="1" applyProtection="1">
      <alignment horizontal="general" vertical="bottom"/>
      <protection locked="1" hidden="0"/>
    </xf>
    <xf numFmtId="170" fontId="1" fillId="0" borderId="0" xfId="0" applyNumberFormat="1" applyFont="1" applyFill="1" applyAlignment="1" applyProtection="1">
      <alignment horizontal="left" vertical="bottom"/>
      <protection locked="1" hidden="0"/>
    </xf>
    <xf numFmtId="173" fontId="16" fillId="4" borderId="0" xfId="0" applyNumberFormat="1" applyFont="1" applyFill="1" applyAlignment="1" applyProtection="1">
      <alignment horizontal="general" vertical="bottom"/>
      <protection locked="1" hidden="0"/>
    </xf>
    <xf numFmtId="173" fontId="3" fillId="4" borderId="0" xfId="0" applyNumberFormat="1" applyFont="1" applyFill="1" applyAlignment="1" applyProtection="1">
      <alignment horizontal="general" vertical="bottom"/>
      <protection locked="1" hidden="0"/>
    </xf>
    <xf numFmtId="173" fontId="16" fillId="0" borderId="0" xfId="0" applyNumberFormat="1" applyFont="1" applyFill="1" applyAlignment="1" applyProtection="1">
      <alignment horizontal="general" vertical="bottom"/>
      <protection locked="1" hidden="0"/>
    </xf>
    <xf numFmtId="165" fontId="1" fillId="4" borderId="0" xfId="0" applyNumberFormat="1" applyFont="1" applyFill="1" applyAlignment="1" applyProtection="1">
      <alignment horizontal="general" vertical="bottom"/>
      <protection locked="1" hidden="0"/>
    </xf>
    <xf numFmtId="0" fontId="1" fillId="4" borderId="1" xfId="0" applyFont="1" applyFill="1" applyBorder="1" applyAlignment="1" applyProtection="1">
      <alignment horizontal="general" vertical="bottom"/>
      <protection locked="1" hidden="0"/>
    </xf>
    <xf numFmtId="164" fontId="13" fillId="4" borderId="1" xfId="0" applyNumberFormat="1" applyFont="1" applyFill="1" applyBorder="1" applyAlignment="1" applyProtection="1">
      <alignment horizontal="general" vertical="bottom"/>
      <protection locked="1" hidden="0"/>
    </xf>
    <xf numFmtId="172" fontId="6" fillId="0" borderId="0" xfId="0" applyNumberFormat="1" applyFont="1" applyFill="1" applyAlignment="1" applyProtection="1">
      <alignment horizontal="right" vertical="bottom"/>
      <protection locked="1" hidden="0"/>
    </xf>
    <xf numFmtId="166" fontId="8" fillId="4" borderId="0" xfId="0" applyNumberFormat="1" applyFont="1" applyFill="1" applyAlignment="1" applyProtection="1">
      <alignment horizontal="general" vertical="bottom"/>
      <protection locked="1" hidden="0"/>
    </xf>
    <xf numFmtId="165" fontId="6" fillId="4" borderId="0" xfId="0" applyNumberFormat="1" applyFont="1" applyFill="1" applyAlignment="1" applyProtection="1">
      <alignment horizontal="general" vertical="bottom"/>
      <protection locked="1" hidden="0"/>
    </xf>
    <xf numFmtId="164" fontId="13" fillId="0" borderId="0" xfId="0" applyNumberFormat="1" applyFont="1" applyFill="1" applyAlignment="1" applyProtection="1">
      <alignment horizontal="general" vertical="bottom"/>
      <protection locked="1" hidden="0"/>
    </xf>
    <xf numFmtId="166" fontId="16" fillId="0" borderId="0" xfId="0" applyNumberFormat="1" applyFont="1" applyFill="1" applyAlignment="1" applyProtection="1">
      <alignment horizontal="right" vertical="bottom"/>
      <protection locked="1" hidden="0"/>
    </xf>
    <xf numFmtId="164" fontId="5" fillId="4" borderId="1" xfId="0" applyNumberFormat="1" applyFont="1" applyFill="1" applyBorder="1" applyAlignment="1" applyProtection="1">
      <alignment horizontal="general" vertical="bottom"/>
      <protection locked="1" hidden="0"/>
    </xf>
    <xf numFmtId="165" fontId="3" fillId="4" borderId="0" xfId="0" applyNumberFormat="1" applyFont="1" applyFill="1" applyAlignment="1" applyProtection="1">
      <alignment horizontal="general" vertical="bottom"/>
      <protection locked="1" hidden="0"/>
    </xf>
    <xf numFmtId="172" fontId="1" fillId="0" borderId="0" xfId="0" applyNumberFormat="1" applyFont="1" applyFill="1" applyAlignment="1" applyProtection="1">
      <alignment horizontal="general" vertical="bottom"/>
      <protection locked="1" hidden="0"/>
    </xf>
    <xf numFmtId="165" fontId="4" fillId="4" borderId="1" xfId="0" applyNumberFormat="1" applyFont="1" applyFill="1" applyBorder="1" applyAlignment="1" applyProtection="1">
      <alignment horizontal="general" vertical="bottom"/>
      <protection locked="1" hidden="0"/>
    </xf>
    <xf numFmtId="174" fontId="3" fillId="4" borderId="0" xfId="0" applyNumberFormat="1" applyFont="1" applyFill="1" applyAlignment="1" applyProtection="1">
      <alignment horizontal="general" vertical="bottom"/>
      <protection locked="1" hidden="0"/>
    </xf>
    <xf numFmtId="174" fontId="1" fillId="0" borderId="0" xfId="0" applyNumberFormat="1" applyFont="1" applyFill="1" applyAlignment="1" applyProtection="1">
      <alignment horizontal="right" vertical="bottom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175" fontId="1" fillId="4" borderId="0" xfId="0" applyNumberFormat="1" applyFont="1" applyFill="1" applyAlignment="1" applyProtection="1">
      <alignment horizontal="general" vertical="bottom"/>
      <protection locked="1" hidden="0"/>
    </xf>
    <xf numFmtId="0" fontId="1" fillId="0" borderId="1" xfId="0" applyFont="1" applyFill="1" applyBorder="1" applyAlignment="1" applyProtection="1">
      <alignment horizontal="general" vertical="bottom"/>
      <protection locked="1" hidden="0"/>
    </xf>
    <xf numFmtId="164" fontId="8" fillId="4" borderId="0" xfId="0" applyNumberFormat="1" applyFont="1" applyFill="1" applyAlignment="1" applyProtection="1">
      <alignment horizontal="general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75" fontId="17" fillId="0" borderId="2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67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7" fillId="0" borderId="2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165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2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5" fontId="23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5" fontId="22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75" fontId="24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75" fontId="25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6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8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26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theme" Target="theme/theme1.xml"/><Relationship Id="rId1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showGridLines="0" tabSelected="1" workbookViewId="0"/>
  </sheetViews>
  <sheetFormatPr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 ht="49.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1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15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1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8" t="s">
        <v>15</v>
      </c>
      <c r="C10" s="1"/>
      <c r="D10" s="1"/>
      <c r="E10" s="1"/>
      <c r="F10" s="1"/>
      <c r="G10" s="1"/>
      <c r="H10" s="1"/>
      <c r="I10" s="1"/>
      <c r="J10" s="1"/>
      <c r="K10" s="1"/>
    </row>
    <row r="11">
      <c r="A11" s="1"/>
      <c r="B11" s="1" t="s">
        <v>16</v>
      </c>
      <c r="C11" s="1"/>
      <c r="D11" s="1"/>
      <c r="E11" s="1"/>
      <c r="F11" s="1"/>
      <c r="G11" s="1"/>
      <c r="H11" s="1"/>
      <c r="I11" s="1"/>
      <c r="J11" s="1"/>
      <c r="K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>
      <c r="A13" s="1"/>
      <c r="B13" s="1" t="s">
        <v>17</v>
      </c>
      <c r="C13" s="12" t="s">
        <v>18</v>
      </c>
      <c r="D13" s="1"/>
      <c r="E13" s="1"/>
      <c r="F13" s="1"/>
      <c r="G13" s="1"/>
      <c r="H13" s="1"/>
      <c r="I13" s="1"/>
      <c r="J13" s="1"/>
      <c r="K13" s="1"/>
    </row>
    <row r="14">
      <c r="A14" s="1"/>
      <c r="B14" s="1" t="s">
        <v>19</v>
      </c>
      <c r="C14" s="12" t="s">
        <v>20</v>
      </c>
      <c r="D14" s="1"/>
      <c r="E14" s="1"/>
      <c r="F14" s="1"/>
      <c r="G14" s="1"/>
      <c r="H14" s="1"/>
      <c r="I14" s="1"/>
      <c r="J14" s="1"/>
      <c r="K14" s="1"/>
    </row>
    <row r="15">
      <c r="A15" s="1"/>
      <c r="B15" s="1" t="s">
        <v>21</v>
      </c>
      <c r="C15" s="12" t="s">
        <v>22</v>
      </c>
      <c r="D15" s="1"/>
      <c r="E15" s="1"/>
      <c r="F15" s="1"/>
      <c r="G15" s="1"/>
      <c r="H15" s="1"/>
      <c r="I15" s="1"/>
      <c r="J15" s="1"/>
      <c r="K15" s="1"/>
    </row>
    <row r="16">
      <c r="A16" s="1"/>
      <c r="B16" s="1" t="s">
        <v>23</v>
      </c>
      <c r="C16" s="12" t="s">
        <v>24</v>
      </c>
      <c r="D16" s="1"/>
      <c r="E16" s="1"/>
      <c r="F16" s="1"/>
      <c r="G16" s="1"/>
      <c r="H16" s="1"/>
      <c r="I16" s="1"/>
      <c r="J16" s="1"/>
      <c r="K16" s="1"/>
    </row>
    <row r="17" ht="30">
      <c r="A17" s="1"/>
      <c r="B17" s="1" t="s">
        <v>25</v>
      </c>
      <c r="C17" s="113" t="s">
        <v>26</v>
      </c>
      <c r="D17" s="111"/>
      <c r="E17" s="111"/>
      <c r="F17" s="111"/>
      <c r="G17" s="111"/>
      <c r="H17" s="111"/>
      <c r="I17" s="111"/>
      <c r="J17" s="111"/>
      <c r="K17" s="111"/>
    </row>
    <row r="18">
      <c r="A18" s="1"/>
      <c r="B18" s="1" t="s">
        <v>27</v>
      </c>
      <c r="C18" s="12" t="s">
        <v>28</v>
      </c>
      <c r="D18" s="1"/>
      <c r="E18" s="1"/>
      <c r="F18" s="1"/>
      <c r="G18" s="1"/>
      <c r="H18" s="1"/>
      <c r="I18" s="1"/>
      <c r="J18" s="1"/>
      <c r="K18" s="1"/>
    </row>
    <row r="19">
      <c r="A19" s="1"/>
      <c r="B19" s="1" t="s">
        <v>29</v>
      </c>
      <c r="C19" s="12" t="s">
        <v>30</v>
      </c>
      <c r="D19" s="1"/>
      <c r="E19" s="1"/>
      <c r="F19" s="1"/>
      <c r="G19" s="1"/>
      <c r="H19" s="1"/>
      <c r="I19" s="1"/>
      <c r="J19" s="1"/>
      <c r="K19" s="1"/>
    </row>
    <row r="20">
      <c r="A20" s="1"/>
      <c r="B20" s="1" t="s">
        <v>31</v>
      </c>
      <c r="C20" s="12" t="s">
        <v>32</v>
      </c>
      <c r="D20" s="1"/>
      <c r="E20" s="1"/>
      <c r="F20" s="1"/>
      <c r="G20" s="1"/>
      <c r="H20" s="1"/>
      <c r="I20" s="1"/>
      <c r="J20" s="1"/>
      <c r="K20" s="1"/>
    </row>
    <row r="21">
      <c r="A21" s="1"/>
      <c r="B21" s="1" t="s">
        <v>33</v>
      </c>
      <c r="C21" s="12" t="s">
        <v>34</v>
      </c>
      <c r="D21" s="1"/>
      <c r="E21" s="1"/>
      <c r="F21" s="1"/>
      <c r="G21" s="1"/>
      <c r="H21" s="1"/>
      <c r="I21" s="1"/>
      <c r="J21" s="1"/>
      <c r="K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>
      <c r="A23" s="1"/>
      <c r="B23" s="46" t="s">
        <v>35</v>
      </c>
      <c r="C23" s="6" t="s">
        <v>36</v>
      </c>
      <c r="D23" s="6" t="s">
        <v>37</v>
      </c>
      <c r="E23" s="6" t="s">
        <v>38</v>
      </c>
      <c r="F23" s="6" t="s">
        <v>39</v>
      </c>
      <c r="G23" s="6" t="s">
        <v>40</v>
      </c>
      <c r="H23" s="6" t="s">
        <v>41</v>
      </c>
      <c r="I23" s="6" t="s">
        <v>42</v>
      </c>
      <c r="J23" s="1"/>
      <c r="K23" s="1"/>
    </row>
    <row r="24" ht="27.75">
      <c r="A24" s="1"/>
      <c r="B24" s="1" t="s">
        <v>43</v>
      </c>
      <c r="C24" s="2">
        <f>'Revenue summary'!J66</f>
        <v>24014.74447671233</v>
      </c>
      <c r="D24" s="2">
        <f>Inputs!C38</f>
        <v>23719.32</v>
      </c>
      <c r="E24" s="21">
        <f>C24-D24</f>
        <v>295.42447671233094</v>
      </c>
      <c r="F24" s="7">
        <f>C24/D24-1</f>
        <v>0.012455014592000602</v>
      </c>
      <c r="G24" s="9" t="s">
        <v>44</v>
      </c>
      <c r="H24" s="28">
        <v>23660</v>
      </c>
      <c r="I24" s="2">
        <f>C24-'Revenue summary'!J66</f>
        <v>0</v>
      </c>
      <c r="J24" s="1"/>
      <c r="K24" s="112" t="s">
        <v>45</v>
      </c>
    </row>
    <row r="25" ht="66">
      <c r="A25" s="1"/>
      <c r="B25" s="1" t="s">
        <v>46</v>
      </c>
      <c r="C25" s="2">
        <f>'Income Statement'!J104</f>
        <v>4665.122226154465</v>
      </c>
      <c r="D25" s="2">
        <f>Inputs!C51</f>
        <v>4475.57</v>
      </c>
      <c r="E25" s="117" t="s">
        <v>47</v>
      </c>
      <c r="F25" s="116" t="s">
        <v>47</v>
      </c>
      <c r="G25" s="9" t="s">
        <v>44</v>
      </c>
      <c r="H25" s="9" t="s">
        <v>48</v>
      </c>
      <c r="I25" s="2">
        <f>C25-'Income Statement'!J104</f>
        <v>0</v>
      </c>
      <c r="J25" s="1"/>
      <c r="K25" s="115" t="s">
        <v>49</v>
      </c>
    </row>
    <row r="26" ht="66">
      <c r="A26" s="1"/>
      <c r="B26" s="1" t="s">
        <v>50</v>
      </c>
      <c r="C26" s="2">
        <f>'Income Statement'!J77</f>
        <v>4674.278306081405</v>
      </c>
      <c r="D26" s="2">
        <f>Inputs!C52</f>
        <v>4491.64</v>
      </c>
      <c r="E26" s="117" t="s">
        <v>47</v>
      </c>
      <c r="F26" s="116" t="s">
        <v>47</v>
      </c>
      <c r="G26" s="9" t="s">
        <v>44</v>
      </c>
      <c r="H26" s="9" t="s">
        <v>48</v>
      </c>
      <c r="I26" s="2">
        <f>C26-'Income Statement'!J77</f>
        <v>0</v>
      </c>
      <c r="J26" s="1"/>
      <c r="K26" s="115" t="s">
        <v>51</v>
      </c>
    </row>
    <row r="27" ht="27.75">
      <c r="A27" s="1"/>
      <c r="B27" s="1" t="s">
        <v>52</v>
      </c>
      <c r="C27" s="3">
        <f>'Income Statement'!J103</f>
        <v>2.738174020404161</v>
      </c>
      <c r="D27" s="3">
        <f>Inputs!C22</f>
        <v>2.62</v>
      </c>
      <c r="E27" s="45">
        <f>C27-D27</f>
        <v>0.1181740204041608</v>
      </c>
      <c r="F27" s="7">
        <f>C27/D27-1</f>
        <v>0.045104587940519414</v>
      </c>
      <c r="G27" s="9" t="s">
        <v>44</v>
      </c>
      <c r="H27" s="10">
        <v>2.66</v>
      </c>
      <c r="I27" s="3">
        <f>C27-'Income Statement'!J103</f>
        <v>0</v>
      </c>
      <c r="J27" s="1"/>
      <c r="K27" s="112" t="s">
        <v>45</v>
      </c>
    </row>
    <row r="28">
      <c r="A28" s="1"/>
      <c r="B28" s="1" t="s">
        <v>53</v>
      </c>
      <c r="C28" s="3">
        <f>'Income Statement'!J83</f>
        <v>2.7435481433036926</v>
      </c>
      <c r="D28" s="3">
        <f>Inputs!C31</f>
        <v>2.65</v>
      </c>
      <c r="E28" s="45">
        <f>C28-D28</f>
        <v>0.09354814330369265</v>
      </c>
      <c r="F28" s="7">
        <f>C28/D28-1</f>
        <v>0.035301186152336905</v>
      </c>
      <c r="G28" s="9" t="s">
        <v>44</v>
      </c>
      <c r="H28" s="9" t="s">
        <v>48</v>
      </c>
      <c r="I28" s="3">
        <f>C28-'Income Statement'!J83</f>
        <v>0</v>
      </c>
      <c r="J28" s="1"/>
      <c r="K28" s="1"/>
    </row>
    <row r="29">
      <c r="A29" s="1"/>
      <c r="B29" s="23" t="s">
        <v>54</v>
      </c>
      <c r="C29" s="13">
        <f>Inputs!C112</f>
        <v>0.77</v>
      </c>
      <c r="D29" s="1"/>
      <c r="E29" s="1"/>
      <c r="F29" s="1"/>
      <c r="G29" s="1"/>
      <c r="H29" s="1"/>
      <c r="I29" s="1"/>
      <c r="J29" s="1"/>
      <c r="K29" s="1"/>
    </row>
    <row r="30">
      <c r="A30" s="1"/>
      <c r="B30" s="22" t="s">
        <v>55</v>
      </c>
      <c r="C30" s="8" t="str">
        <f>Inputs!C114</f>
        <v>medium</v>
      </c>
      <c r="D30" s="1"/>
      <c r="E30" s="1"/>
      <c r="F30" s="1"/>
      <c r="G30" s="1"/>
      <c r="H30" s="1"/>
      <c r="I30" s="1"/>
      <c r="J30" s="1"/>
      <c r="K30" s="1"/>
    </row>
    <row r="31" ht="104.25">
      <c r="A31" s="1"/>
      <c r="B31" s="22" t="s">
        <v>56</v>
      </c>
      <c r="C31" s="101" t="str">
        <f>IF(AND((SUMIF('Revenue summary'!C75:J75,"&gt;0")-SUMIF('Revenue summary'!C75:J75,"&lt;0"))&lt;1,(SUMIF('Balance Sheet'!C63:J63,"&gt;0")-SUMIF('Balance Sheet'!C63:J63,"&lt;0"))&lt;1,(SUMIF('Cash Flow Statement'!C60:J60,"&gt;0")-SUMIF('Cash Flow Statement'!C60:J60,"&lt;0"))&lt;1,(SUMIF(Geo!C53:J53,"&gt;0")-SUMIF(Geo!C53:J53,"&lt;0"))&lt;1,(SUMIF('Income Statement'!C57:J57,"&gt;0")-SUMIF('Income Statement'!C57:J57,"&lt;0"))&lt;1,COUNTIF('Income Statement'!C86:J86,FALSE)=0,(SUMIF('Cash Flow Statement'!C85:I85,"&gt;0")-SUMIF('Cash Flow Statement'!C85:I85,"&lt;0"))&lt;1,(SUMIF('Cash Flow Statement'!C102:I102,"&gt;0")-SUMIF('Cash Flow Statement'!C102:I102,"&lt;0"))&lt;1,(SUMIF('Cash Flow Statement'!C117:I117,"&gt;0")-SUMIF('Cash Flow Statement'!C117:I117,"&lt;0"))&lt;1,(SUMIF('Cash Flow Statement'!C121:I121,"&gt;0")-SUMIF('Cash Flow Statement'!C121:I121,"&lt;0"))&lt;1,(SUMIF('Segment - Services'!C160:J160,"&gt;0")-SUMIF('Segment - Services'!C160:J160,"&lt;0"))&lt;1,(SUMIF('Segment - Services'!C99:I99,"&gt;0")-SUMIF('Segment - Services'!C99:I99,"&lt;0"))&lt;1,(SUMIF('Segment - Markets'!C118:J118,"&gt;0")-SUMIF('Segment - Markets'!C118:J118,"&lt;0"))&lt;1,(SUMIF('Segment - Markets'!C61:I61,"&gt;0")-SUMIF('Segment - Markets'!C61:I61,"&lt;0"))&lt;1,(SUMIF('Segment - Banking'!C128:J128,"&gt;0")-SUMIF('Segment - Banking'!C128:J128,"&lt;0"))&lt;1,(SUMIF('Segment - Banking'!C76:I76,"&gt;0")-SUMIF('Segment - Banking'!C76:I76,"&lt;0"))&lt;1,(SUMIF('Segment - Wealth'!C139:J139,"&gt;0")-SUMIF('Segment - Wealth'!C139:J139,"&lt;0"))&lt;1,(SUMIF('Segment - Wealth'!C57:I57,"&gt;0")-SUMIF('Segment - Wealth'!C57:I57,"&lt;0"))&lt;1,(SUMIF(I24:I28,"&gt;0")-SUMIF(I24:I28,"&lt;0"))&lt;0.001),"PASS","FAIL")</f>
        <v>PASS</v>
      </c>
      <c r="D31" s="1"/>
      <c r="E31" s="1"/>
      <c r="F31" s="1"/>
      <c r="G31" s="1"/>
      <c r="H31" s="1"/>
      <c r="I31" s="1"/>
      <c r="J31" s="1"/>
      <c r="K31" s="111" t="s">
        <v>57</v>
      </c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>
      <c r="A33" s="1"/>
      <c r="B33" s="22" t="s">
        <v>58</v>
      </c>
      <c r="C33" s="100" t="s">
        <v>11</v>
      </c>
      <c r="D33" s="100" t="s">
        <v>6</v>
      </c>
      <c r="E33" s="1"/>
      <c r="F33" s="1"/>
      <c r="G33" s="1"/>
      <c r="H33" s="1"/>
      <c r="I33" s="1"/>
      <c r="J33" s="1"/>
      <c r="K33" s="1"/>
    </row>
    <row r="34">
      <c r="A34" s="1"/>
      <c r="B34" s="1" t="s">
        <v>59</v>
      </c>
      <c r="C34" s="2">
        <f>'Income Statement'!J13</f>
        <v>16753.13424657534</v>
      </c>
      <c r="D34" s="2">
        <f>'Income Statement'!E13</f>
        <v>14940</v>
      </c>
      <c r="E34" s="1"/>
      <c r="F34" s="1"/>
      <c r="G34" s="1"/>
      <c r="H34" s="1"/>
      <c r="I34" s="1"/>
      <c r="J34" s="1"/>
      <c r="K34" s="1"/>
    </row>
    <row r="35">
      <c r="A35" s="1"/>
      <c r="B35" s="1" t="s">
        <v>60</v>
      </c>
      <c r="C35" s="2">
        <f>'Income Statement'!J22</f>
        <v>7261.61023013699</v>
      </c>
      <c r="D35" s="2">
        <f>'Income Statement'!E22</f>
        <v>7150</v>
      </c>
      <c r="E35" s="1"/>
      <c r="F35" s="1"/>
      <c r="G35" s="1"/>
      <c r="H35" s="1"/>
      <c r="I35" s="1"/>
      <c r="J35" s="1"/>
      <c r="K35" s="1"/>
    </row>
    <row r="36">
      <c r="A36" s="1"/>
      <c r="B36" s="1" t="s">
        <v>61</v>
      </c>
      <c r="C36" s="2">
        <f>'Income Statement'!J49</f>
        <v>14461.594575342466</v>
      </c>
      <c r="D36" s="2">
        <f>'Income Statement'!E49</f>
        <v>14290</v>
      </c>
      <c r="E36" s="1"/>
      <c r="F36" s="1"/>
      <c r="G36" s="1"/>
      <c r="H36" s="1"/>
      <c r="I36" s="1"/>
      <c r="J36" s="1"/>
      <c r="K36" s="1"/>
    </row>
    <row r="37">
      <c r="A37" s="1"/>
      <c r="B37" s="1" t="s">
        <v>62</v>
      </c>
      <c r="C37" s="2">
        <f>'Income Statement'!J38</f>
        <v>2584.9375342465755</v>
      </c>
      <c r="D37" s="2">
        <f>'Income Statement'!E38</f>
        <v>2450</v>
      </c>
      <c r="E37" s="1"/>
      <c r="F37" s="1"/>
      <c r="G37" s="1"/>
      <c r="H37" s="1"/>
      <c r="I37" s="1"/>
      <c r="J37" s="1"/>
      <c r="K37" s="1"/>
    </row>
    <row r="38">
      <c r="A38" s="1"/>
      <c r="B38" s="1" t="s">
        <v>63</v>
      </c>
      <c r="C38" s="2">
        <f>'Income Statement'!J54</f>
        <v>6968.212367123289</v>
      </c>
      <c r="D38" s="2">
        <f>'Income Statement'!E54</f>
        <v>5350</v>
      </c>
      <c r="E38" s="1"/>
      <c r="F38" s="1"/>
      <c r="G38" s="1"/>
      <c r="H38" s="1"/>
      <c r="I38" s="1"/>
      <c r="J38" s="1"/>
      <c r="K38" s="1"/>
    </row>
    <row r="39">
      <c r="A39" s="1"/>
      <c r="B39" s="4" t="s">
        <v>64</v>
      </c>
      <c r="C39" s="17">
        <f>'Income Statement'!J106</f>
        <v>0.602196479307378</v>
      </c>
      <c r="D39" s="17">
        <f>'Income Statement'!E106</f>
        <v>0.6468990493435944</v>
      </c>
      <c r="E39" s="1"/>
      <c r="F39" s="1"/>
      <c r="G39" s="1"/>
      <c r="H39" s="1"/>
      <c r="I39" s="1"/>
      <c r="J39" s="1"/>
      <c r="K39" s="1"/>
    </row>
    <row r="40">
      <c r="A40" s="1"/>
      <c r="B40" s="1" t="s">
        <v>65</v>
      </c>
      <c r="C40" s="2">
        <f>'Income Statement'!J81</f>
        <v>1703.7347485554926</v>
      </c>
      <c r="D40" s="2">
        <f>'Income Statement'!E81</f>
        <v>1862.6</v>
      </c>
      <c r="E40" s="1"/>
      <c r="F40" s="1"/>
      <c r="G40" s="1"/>
      <c r="H40" s="1"/>
      <c r="I40" s="1"/>
      <c r="J40" s="1"/>
      <c r="K40" s="1"/>
    </row>
    <row r="41">
      <c r="A41" s="1"/>
      <c r="B41" s="1" t="s">
        <v>66</v>
      </c>
      <c r="C41" s="1"/>
      <c r="D41" s="1"/>
      <c r="E41" s="1"/>
      <c r="F41" s="1"/>
      <c r="G41" s="1"/>
      <c r="H41" s="1"/>
      <c r="I41" s="1"/>
      <c r="J41" s="1"/>
      <c r="K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</sheetData>
  <mergeCells count="1">
    <mergeCell ref="C17:K1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67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68</v>
      </c>
      <c r="C10" s="1"/>
      <c r="D10" s="1"/>
      <c r="E10" s="1"/>
      <c r="F10" s="1"/>
      <c r="G10" s="1"/>
      <c r="H10" s="1"/>
      <c r="I10" s="1"/>
      <c r="J10" s="31"/>
      <c r="K10" s="1"/>
    </row>
    <row r="11">
      <c r="A11" s="1"/>
      <c r="B11" s="1" t="s">
        <v>69</v>
      </c>
      <c r="C11" s="2">
        <f>'Segment - Services'!C83</f>
        <v>5204</v>
      </c>
      <c r="D11" s="2">
        <f>'Segment - Services'!D83</f>
        <v>5430</v>
      </c>
      <c r="E11" s="2">
        <f>'Segment - Services'!E83</f>
        <v>5730</v>
      </c>
      <c r="F11" s="2">
        <f>'Segment - Services'!F83</f>
        <v>6272</v>
      </c>
      <c r="G11" s="2">
        <f>'Segment - Services'!G83</f>
        <v>22636</v>
      </c>
      <c r="H11" s="2">
        <f>'Segment - Services'!H83</f>
        <v>6103</v>
      </c>
      <c r="I11" s="2">
        <f>'Segment - Services'!I83</f>
        <v>6382</v>
      </c>
      <c r="J11" s="36">
        <f>'Segment - Services'!J83</f>
        <v>6514.246438356165</v>
      </c>
      <c r="K11" s="1"/>
    </row>
    <row r="12">
      <c r="A12" s="1"/>
      <c r="B12" s="4" t="s">
        <v>70</v>
      </c>
      <c r="C12" s="1"/>
      <c r="D12" s="1"/>
      <c r="E12" s="1"/>
      <c r="F12" s="1"/>
      <c r="G12" s="1"/>
      <c r="H12" s="25">
        <f>IFERROR(H11/C11-1,"n/m")</f>
        <v>0.17275172943889316</v>
      </c>
      <c r="I12" s="25">
        <f>IFERROR(I11/D11-1,"n/m")</f>
        <v>0.17532228360957647</v>
      </c>
      <c r="J12" s="33">
        <f>IFERROR(J11/E11-1,"n/m")</f>
        <v>0.13686674316861502</v>
      </c>
      <c r="K12" s="1"/>
    </row>
    <row r="13">
      <c r="A13" s="1"/>
      <c r="B13" s="4" t="s">
        <v>71</v>
      </c>
      <c r="C13" s="1"/>
      <c r="D13" s="34">
        <f>D11-C11</f>
        <v>226</v>
      </c>
      <c r="E13" s="34">
        <f>E11-D11</f>
        <v>300</v>
      </c>
      <c r="F13" s="34">
        <f>F11-E11</f>
        <v>542</v>
      </c>
      <c r="G13" s="1"/>
      <c r="H13" s="34">
        <f>H11-F11</f>
        <v>-169</v>
      </c>
      <c r="I13" s="34">
        <f>I11-H11</f>
        <v>279</v>
      </c>
      <c r="J13" s="39">
        <f>J11-I11</f>
        <v>132.24643835616462</v>
      </c>
      <c r="K13" s="1"/>
    </row>
    <row r="14">
      <c r="A14" s="1"/>
      <c r="B14" s="4" t="s">
        <v>72</v>
      </c>
      <c r="C14" s="1"/>
      <c r="D14" s="25">
        <f>IFERROR(D11/C11-1,"n/m")</f>
        <v>0.043428132205995285</v>
      </c>
      <c r="E14" s="25">
        <f>IFERROR(E11/D11-1,"n/m")</f>
        <v>0.05524861878453047</v>
      </c>
      <c r="F14" s="25">
        <f>IFERROR(F11/E11-1,"n/m")</f>
        <v>0.09458987783595108</v>
      </c>
      <c r="G14" s="1"/>
      <c r="H14" s="25">
        <f>IFERROR(H11/F11-1,"n/m")</f>
        <v>-0.02694515306122447</v>
      </c>
      <c r="I14" s="25">
        <f>IFERROR(I11/H11-1,"n/m")</f>
        <v>0.045715222021956325</v>
      </c>
      <c r="J14" s="33">
        <f>IFERROR(J11/I11-1,"n/m")</f>
        <v>0.020721786016321575</v>
      </c>
      <c r="K14" s="1"/>
    </row>
    <row r="15">
      <c r="A15" s="1"/>
      <c r="B15" s="4" t="s">
        <v>73</v>
      </c>
      <c r="C15" s="25">
        <f>IFERROR(C11/C66,"n/m")</f>
        <v>0.2409705501018707</v>
      </c>
      <c r="D15" s="25">
        <f>IFERROR(D11/D66,"n/m")</f>
        <v>0.25059996307919513</v>
      </c>
      <c r="E15" s="25">
        <f>IFERROR(E11/E66,"n/m")</f>
        <v>0.25939339067451334</v>
      </c>
      <c r="F15" s="25">
        <f>IFERROR(F11/F66,"n/m")</f>
        <v>0.31563585124050125</v>
      </c>
      <c r="G15" s="25">
        <f>IFERROR(G11/G66,"n/m")</f>
        <v>0.26560281607509534</v>
      </c>
      <c r="H15" s="25">
        <f>IFERROR(H11/H66,"n/m")</f>
        <v>0.24775707384403037</v>
      </c>
      <c r="I15" s="25">
        <f>IFERROR(I11/I66,"n/m")</f>
        <v>0.2576919970927885</v>
      </c>
      <c r="J15" s="33">
        <f>IFERROR(J11/J66,"n/m")</f>
        <v>0.27126028530818574</v>
      </c>
      <c r="K15" s="1"/>
    </row>
    <row r="16">
      <c r="A16" s="1"/>
      <c r="B16" s="4" t="s">
        <v>74</v>
      </c>
      <c r="C16" s="1"/>
      <c r="D16" s="1"/>
      <c r="E16" s="1"/>
      <c r="F16" s="1"/>
      <c r="G16" s="1"/>
      <c r="H16" s="30" t="s">
        <v>48</v>
      </c>
      <c r="I16" s="30" t="s">
        <v>48</v>
      </c>
      <c r="J16" s="40" t="s">
        <v>48</v>
      </c>
      <c r="K16" s="24" t="s">
        <v>75</v>
      </c>
    </row>
    <row r="17">
      <c r="A17" s="1"/>
      <c r="B17" s="4" t="s">
        <v>76</v>
      </c>
      <c r="C17" s="1"/>
      <c r="D17" s="1"/>
      <c r="E17" s="1"/>
      <c r="F17" s="1"/>
      <c r="G17" s="1"/>
      <c r="H17" s="30" t="s">
        <v>48</v>
      </c>
      <c r="I17" s="30" t="s">
        <v>48</v>
      </c>
      <c r="J17" s="40" t="s">
        <v>48</v>
      </c>
      <c r="K17" s="24" t="s">
        <v>75</v>
      </c>
    </row>
    <row r="18" ht="27.75">
      <c r="A18" s="1"/>
      <c r="B18" s="4" t="s">
        <v>77</v>
      </c>
      <c r="C18" s="1"/>
      <c r="D18" s="1"/>
      <c r="E18" s="1"/>
      <c r="F18" s="1"/>
      <c r="G18" s="1"/>
      <c r="H18" s="30" t="s">
        <v>48</v>
      </c>
      <c r="I18" s="30" t="s">
        <v>48</v>
      </c>
      <c r="J18" s="40" t="s">
        <v>48</v>
      </c>
      <c r="K18" s="112" t="s">
        <v>78</v>
      </c>
    </row>
    <row r="19">
      <c r="A19" s="1"/>
      <c r="B19" s="1" t="s">
        <v>79</v>
      </c>
      <c r="C19" s="2">
        <f>'Segment - Markets'!C40</f>
        <v>6075</v>
      </c>
      <c r="D19" s="2">
        <f>'Segment - Markets'!D40</f>
        <v>5980</v>
      </c>
      <c r="E19" s="2">
        <f>'Segment - Markets'!E40</f>
        <v>5745</v>
      </c>
      <c r="F19" s="2">
        <f>'Segment - Markets'!F40</f>
        <v>4609</v>
      </c>
      <c r="G19" s="2">
        <f>'Segment - Markets'!G40</f>
        <v>22409</v>
      </c>
      <c r="H19" s="2">
        <f>'Segment - Markets'!H40</f>
        <v>7246</v>
      </c>
      <c r="I19" s="2">
        <f>'Segment - Markets'!I40</f>
        <v>7007</v>
      </c>
      <c r="J19" s="36">
        <f>'Segment - Markets'!J40</f>
        <v>6200.71</v>
      </c>
      <c r="K19" s="1"/>
    </row>
    <row r="20">
      <c r="A20" s="1"/>
      <c r="B20" s="4" t="s">
        <v>70</v>
      </c>
      <c r="C20" s="1"/>
      <c r="D20" s="1"/>
      <c r="E20" s="1"/>
      <c r="F20" s="1"/>
      <c r="G20" s="1"/>
      <c r="H20" s="25">
        <f>IFERROR(H19/C19-1,"n/m")</f>
        <v>0.19275720164609056</v>
      </c>
      <c r="I20" s="25">
        <f>IFERROR(I19/D19-1,"n/m")</f>
        <v>0.17173913043478262</v>
      </c>
      <c r="J20" s="33">
        <f>IFERROR(J19/E19-1,"n/m")</f>
        <v>0.0793228894691036</v>
      </c>
      <c r="K20" s="1"/>
    </row>
    <row r="21">
      <c r="A21" s="1"/>
      <c r="B21" s="4" t="s">
        <v>71</v>
      </c>
      <c r="C21" s="1"/>
      <c r="D21" s="34">
        <f>D19-C19</f>
        <v>-95</v>
      </c>
      <c r="E21" s="34">
        <f>E19-D19</f>
        <v>-235</v>
      </c>
      <c r="F21" s="34">
        <f>F19-E19</f>
        <v>-1136</v>
      </c>
      <c r="G21" s="1"/>
      <c r="H21" s="34">
        <f>H19-F19</f>
        <v>2637</v>
      </c>
      <c r="I21" s="34">
        <f>I19-H19</f>
        <v>-239</v>
      </c>
      <c r="J21" s="39">
        <f>J19-I19</f>
        <v>-806.29</v>
      </c>
      <c r="K21" s="1"/>
    </row>
    <row r="22">
      <c r="A22" s="1"/>
      <c r="B22" s="4" t="s">
        <v>72</v>
      </c>
      <c r="C22" s="1"/>
      <c r="D22" s="25">
        <f>IFERROR(D19/C19-1,"n/m")</f>
        <v>-0.0156378600823045</v>
      </c>
      <c r="E22" s="25">
        <f>IFERROR(E19/D19-1,"n/m")</f>
        <v>-0.039297658862876284</v>
      </c>
      <c r="F22" s="25">
        <f>IFERROR(F19/E19-1,"n/m")</f>
        <v>-0.19773716275021758</v>
      </c>
      <c r="G22" s="1"/>
      <c r="H22" s="25">
        <f>IFERROR(H19/F19-1,"n/m")</f>
        <v>0.5721414623562595</v>
      </c>
      <c r="I22" s="25">
        <f>IFERROR(I19/H19-1,"n/m")</f>
        <v>-0.03298371515318799</v>
      </c>
      <c r="J22" s="33">
        <f>IFERROR(J19/I19-1,"n/m")</f>
        <v>-0.1150692164977879</v>
      </c>
      <c r="K22" s="1"/>
    </row>
    <row r="23">
      <c r="A23" s="1"/>
      <c r="B23" s="4" t="s">
        <v>73</v>
      </c>
      <c r="C23" s="25">
        <f>IFERROR(C19/C66,"n/m")</f>
        <v>0.2813020929801815</v>
      </c>
      <c r="D23" s="25">
        <f>IFERROR(D19/D66,"n/m")</f>
        <v>0.27598301642975814</v>
      </c>
      <c r="E23" s="25">
        <f>IFERROR(E19/E66,"n/m")</f>
        <v>0.2600724309642372</v>
      </c>
      <c r="F23" s="25">
        <f>IFERROR(F19/F66,"n/m")</f>
        <v>0.23194605203562982</v>
      </c>
      <c r="G23" s="25">
        <f>IFERROR(G19/G66,"n/m")</f>
        <v>0.2629392783807568</v>
      </c>
      <c r="H23" s="25">
        <f>IFERROR(H19/H66,"n/m")</f>
        <v>0.2941582430073479</v>
      </c>
      <c r="I23" s="25">
        <f>IFERROR(I19/I66,"n/m")</f>
        <v>0.282928208027134</v>
      </c>
      <c r="J23" s="33">
        <f>IFERROR(J19/J66,"n/m")</f>
        <v>0.25820428803700063</v>
      </c>
      <c r="K23" s="1"/>
    </row>
    <row r="24">
      <c r="A24" s="1"/>
      <c r="B24" s="4" t="s">
        <v>74</v>
      </c>
      <c r="C24" s="1"/>
      <c r="D24" s="1"/>
      <c r="E24" s="1"/>
      <c r="F24" s="1"/>
      <c r="G24" s="1"/>
      <c r="H24" s="30" t="s">
        <v>48</v>
      </c>
      <c r="I24" s="30" t="s">
        <v>48</v>
      </c>
      <c r="J24" s="40" t="s">
        <v>48</v>
      </c>
      <c r="K24" s="24" t="s">
        <v>75</v>
      </c>
    </row>
    <row r="25">
      <c r="A25" s="1"/>
      <c r="B25" s="4" t="s">
        <v>76</v>
      </c>
      <c r="C25" s="1"/>
      <c r="D25" s="1"/>
      <c r="E25" s="1"/>
      <c r="F25" s="1"/>
      <c r="G25" s="1"/>
      <c r="H25" s="30" t="s">
        <v>48</v>
      </c>
      <c r="I25" s="30" t="s">
        <v>48</v>
      </c>
      <c r="J25" s="40" t="s">
        <v>48</v>
      </c>
      <c r="K25" s="24" t="s">
        <v>75</v>
      </c>
    </row>
    <row r="26" ht="27.75">
      <c r="A26" s="1"/>
      <c r="B26" s="4" t="s">
        <v>77</v>
      </c>
      <c r="C26" s="1"/>
      <c r="D26" s="1"/>
      <c r="E26" s="1"/>
      <c r="F26" s="1"/>
      <c r="G26" s="1"/>
      <c r="H26" s="30" t="s">
        <v>48</v>
      </c>
      <c r="I26" s="30" t="s">
        <v>48</v>
      </c>
      <c r="J26" s="40" t="s">
        <v>48</v>
      </c>
      <c r="K26" s="112" t="s">
        <v>78</v>
      </c>
    </row>
    <row r="27">
      <c r="A27" s="1"/>
      <c r="B27" s="1" t="s">
        <v>80</v>
      </c>
      <c r="C27" s="2">
        <f>'Segment - Banking'!C56</f>
        <v>1530</v>
      </c>
      <c r="D27" s="2">
        <f>'Segment - Banking'!D56</f>
        <v>1434</v>
      </c>
      <c r="E27" s="2">
        <f>'Segment - Banking'!E56</f>
        <v>1647</v>
      </c>
      <c r="F27" s="2">
        <f>'Segment - Banking'!F56</f>
        <v>1773</v>
      </c>
      <c r="G27" s="2">
        <f>'Segment - Banking'!G56</f>
        <v>6384</v>
      </c>
      <c r="H27" s="2">
        <f>'Segment - Banking'!H56</f>
        <v>1767</v>
      </c>
      <c r="I27" s="2">
        <f>'Segment - Banking'!I56</f>
        <v>1922</v>
      </c>
      <c r="J27" s="36">
        <f>'Segment - Banking'!J56</f>
        <v>1709.3316438356164</v>
      </c>
      <c r="K27" s="1"/>
    </row>
    <row r="28">
      <c r="A28" s="1"/>
      <c r="B28" s="4" t="s">
        <v>70</v>
      </c>
      <c r="C28" s="1"/>
      <c r="D28" s="1"/>
      <c r="E28" s="1"/>
      <c r="F28" s="1"/>
      <c r="G28" s="1"/>
      <c r="H28" s="25">
        <f>IFERROR(H27/C27-1,"n/m")</f>
        <v>0.15490196078431362</v>
      </c>
      <c r="I28" s="25">
        <f>IFERROR(I27/D27-1,"n/m")</f>
        <v>0.3403068340306834</v>
      </c>
      <c r="J28" s="33">
        <f>IFERROR(J27/E27-1,"n/m")</f>
        <v>0.03784556395605132</v>
      </c>
      <c r="K28" s="1"/>
    </row>
    <row r="29">
      <c r="A29" s="1"/>
      <c r="B29" s="4" t="s">
        <v>71</v>
      </c>
      <c r="C29" s="1"/>
      <c r="D29" s="34">
        <f>D27-C27</f>
        <v>-96</v>
      </c>
      <c r="E29" s="34">
        <f>E27-D27</f>
        <v>213</v>
      </c>
      <c r="F29" s="34">
        <f>F27-E27</f>
        <v>126</v>
      </c>
      <c r="G29" s="1"/>
      <c r="H29" s="34">
        <f>H27-F27</f>
        <v>-6</v>
      </c>
      <c r="I29" s="34">
        <f>I27-H27</f>
        <v>155</v>
      </c>
      <c r="J29" s="39">
        <f>J27-I27</f>
        <v>-212.66835616438357</v>
      </c>
      <c r="K29" s="1"/>
    </row>
    <row r="30">
      <c r="A30" s="1"/>
      <c r="B30" s="4" t="s">
        <v>72</v>
      </c>
      <c r="C30" s="1"/>
      <c r="D30" s="25">
        <f>IFERROR(D27/C27-1,"n/m")</f>
        <v>-0.06274509803921569</v>
      </c>
      <c r="E30" s="25">
        <f>IFERROR(E27/D27-1,"n/m")</f>
        <v>0.14853556485355646</v>
      </c>
      <c r="F30" s="25">
        <f>IFERROR(F27/E27-1,"n/m")</f>
        <v>0.07650273224043724</v>
      </c>
      <c r="G30" s="1"/>
      <c r="H30" s="25">
        <f>IFERROR(H27/F27-1,"n/m")</f>
        <v>-0.0033840947546531774</v>
      </c>
      <c r="I30" s="25">
        <f>IFERROR(I27/H27-1,"n/m")</f>
        <v>0.08771929824561409</v>
      </c>
      <c r="J30" s="33">
        <f>IFERROR(J27/I27-1,"n/m")</f>
        <v>-0.11064950893048053</v>
      </c>
      <c r="K30" s="1"/>
    </row>
    <row r="31">
      <c r="A31" s="1"/>
      <c r="B31" s="4" t="s">
        <v>73</v>
      </c>
      <c r="C31" s="25">
        <f>IFERROR(C27/C66,"n/m")</f>
        <v>0.07084645304686053</v>
      </c>
      <c r="D31" s="25">
        <f>IFERROR(D27/D66,"n/m")</f>
        <v>0.06618054273583164</v>
      </c>
      <c r="E31" s="25">
        <f>IFERROR(E27/E66,"n/m")</f>
        <v>0.07455862381167949</v>
      </c>
      <c r="F31" s="25">
        <f>IFERROR(F27/F66,"n/m")</f>
        <v>0.08922550450405113</v>
      </c>
      <c r="G31" s="25">
        <f>IFERROR(G27/G66,"n/m")</f>
        <v>0.07490759753593429</v>
      </c>
      <c r="H31" s="25">
        <f>IFERROR(H27/H66,"n/m")</f>
        <v>0.07173304104250396</v>
      </c>
      <c r="I31" s="25">
        <f>IFERROR(I27/I66,"n/m")</f>
        <v>0.0776063958652992</v>
      </c>
      <c r="J31" s="33">
        <f>IFERROR(J27/J66,"n/m")</f>
        <v>0.07117842313472025</v>
      </c>
      <c r="K31" s="1"/>
    </row>
    <row r="32">
      <c r="A32" s="1"/>
      <c r="B32" s="4" t="s">
        <v>74</v>
      </c>
      <c r="C32" s="1"/>
      <c r="D32" s="1"/>
      <c r="E32" s="1"/>
      <c r="F32" s="1"/>
      <c r="G32" s="1"/>
      <c r="H32" s="30" t="s">
        <v>48</v>
      </c>
      <c r="I32" s="30" t="s">
        <v>48</v>
      </c>
      <c r="J32" s="40" t="s">
        <v>48</v>
      </c>
      <c r="K32" s="24" t="s">
        <v>75</v>
      </c>
    </row>
    <row r="33">
      <c r="A33" s="1"/>
      <c r="B33" s="4" t="s">
        <v>76</v>
      </c>
      <c r="C33" s="1"/>
      <c r="D33" s="1"/>
      <c r="E33" s="1"/>
      <c r="F33" s="1"/>
      <c r="G33" s="1"/>
      <c r="H33" s="30" t="s">
        <v>48</v>
      </c>
      <c r="I33" s="30" t="s">
        <v>48</v>
      </c>
      <c r="J33" s="40" t="s">
        <v>48</v>
      </c>
      <c r="K33" s="24" t="s">
        <v>75</v>
      </c>
    </row>
    <row r="34" ht="27.75">
      <c r="A34" s="1"/>
      <c r="B34" s="4" t="s">
        <v>77</v>
      </c>
      <c r="C34" s="1"/>
      <c r="D34" s="1"/>
      <c r="E34" s="1"/>
      <c r="F34" s="1"/>
      <c r="G34" s="1"/>
      <c r="H34" s="30" t="s">
        <v>48</v>
      </c>
      <c r="I34" s="30" t="s">
        <v>48</v>
      </c>
      <c r="J34" s="40" t="s">
        <v>48</v>
      </c>
      <c r="K34" s="112" t="s">
        <v>78</v>
      </c>
    </row>
    <row r="35">
      <c r="A35" s="1"/>
      <c r="B35" s="1" t="s">
        <v>81</v>
      </c>
      <c r="C35" s="2">
        <f>'Segment - Wealth'!C59</f>
        <v>2757</v>
      </c>
      <c r="D35" s="2">
        <f>'Segment - Wealth'!D59</f>
        <v>2814</v>
      </c>
      <c r="E35" s="2">
        <f>'Segment - Wealth'!E59</f>
        <v>2839</v>
      </c>
      <c r="F35" s="2">
        <f>'Segment - Wealth'!F59</f>
        <v>2862</v>
      </c>
      <c r="G35" s="2">
        <f>'Segment - Wealth'!G59</f>
        <v>11272</v>
      </c>
      <c r="H35" s="2">
        <f>'Segment - Wealth'!H59</f>
        <v>3065</v>
      </c>
      <c r="I35" s="2">
        <f>'Segment - Wealth'!I59</f>
        <v>3177</v>
      </c>
      <c r="J35" s="36">
        <f>'Segment - Wealth'!J59</f>
        <v>3178.204273972603</v>
      </c>
      <c r="K35" s="1"/>
    </row>
    <row r="36">
      <c r="A36" s="1"/>
      <c r="B36" s="4" t="s">
        <v>70</v>
      </c>
      <c r="C36" s="1"/>
      <c r="D36" s="1"/>
      <c r="E36" s="1"/>
      <c r="F36" s="1"/>
      <c r="G36" s="1"/>
      <c r="H36" s="25">
        <f>IFERROR(H35/C35-1,"n/m")</f>
        <v>0.11171563293434894</v>
      </c>
      <c r="I36" s="25">
        <f>IFERROR(I35/D35-1,"n/m")</f>
        <v>0.12899786780383793</v>
      </c>
      <c r="J36" s="33">
        <f>IFERROR(J35/E35-1,"n/m")</f>
        <v>0.11948019512948327</v>
      </c>
      <c r="K36" s="1"/>
    </row>
    <row r="37">
      <c r="A37" s="1"/>
      <c r="B37" s="4" t="s">
        <v>71</v>
      </c>
      <c r="C37" s="1"/>
      <c r="D37" s="34">
        <f>D35-C35</f>
        <v>57</v>
      </c>
      <c r="E37" s="34">
        <f>E35-D35</f>
        <v>25</v>
      </c>
      <c r="F37" s="34">
        <f>F35-E35</f>
        <v>23</v>
      </c>
      <c r="G37" s="1"/>
      <c r="H37" s="34">
        <f>H35-F35</f>
        <v>203</v>
      </c>
      <c r="I37" s="34">
        <f>I35-H35</f>
        <v>112</v>
      </c>
      <c r="J37" s="39">
        <f>J35-I35</f>
        <v>1.204273972603005</v>
      </c>
      <c r="K37" s="1"/>
    </row>
    <row r="38">
      <c r="A38" s="1"/>
      <c r="B38" s="4" t="s">
        <v>72</v>
      </c>
      <c r="C38" s="1"/>
      <c r="D38" s="25">
        <f>IFERROR(D35/C35-1,"n/m")</f>
        <v>0.020674646354733373</v>
      </c>
      <c r="E38" s="25">
        <f>IFERROR(E35/D35-1,"n/m")</f>
        <v>0.008884150675195546</v>
      </c>
      <c r="F38" s="25">
        <f>IFERROR(F35/E35-1,"n/m")</f>
        <v>0.00810144417048253</v>
      </c>
      <c r="G38" s="1"/>
      <c r="H38" s="25">
        <f>IFERROR(H35/F35-1,"n/m")</f>
        <v>0.07092941998602376</v>
      </c>
      <c r="I38" s="25">
        <f>IFERROR(I35/H35-1,"n/m")</f>
        <v>0.03654159869494289</v>
      </c>
      <c r="J38" s="33">
        <f>IFERROR(J35/I35-1,"n/m")</f>
        <v>0.0003790601109860958</v>
      </c>
      <c r="K38" s="1"/>
    </row>
    <row r="39">
      <c r="A39" s="1"/>
      <c r="B39" s="4" t="s">
        <v>73</v>
      </c>
      <c r="C39" s="25">
        <f>IFERROR(C35/C66,"n/m")</f>
        <v>0.12766253009816633</v>
      </c>
      <c r="D39" s="25">
        <f>IFERROR(D35/D66,"n/m")</f>
        <v>0.1298689311426989</v>
      </c>
      <c r="E39" s="25">
        <f>IFERROR(E35/E66,"n/m")</f>
        <v>0.128519692168402</v>
      </c>
      <c r="F39" s="25">
        <f>IFERROR(F35/F66,"n/m")</f>
        <v>0.14402898696593025</v>
      </c>
      <c r="G39" s="25">
        <f>IFERROR(G35/G66,"n/m")</f>
        <v>0.13226166031094164</v>
      </c>
      <c r="H39" s="25">
        <f>IFERROR(H35/H66,"n/m")</f>
        <v>0.12442658222709374</v>
      </c>
      <c r="I39" s="25">
        <f>IFERROR(I35/I66,"n/m")</f>
        <v>0.1282807074214649</v>
      </c>
      <c r="J39" s="33">
        <f>IFERROR(J35/J66,"n/m")</f>
        <v>0.132343872201288</v>
      </c>
      <c r="K39" s="1"/>
    </row>
    <row r="40">
      <c r="A40" s="1"/>
      <c r="B40" s="4" t="s">
        <v>74</v>
      </c>
      <c r="C40" s="1"/>
      <c r="D40" s="1"/>
      <c r="E40" s="1"/>
      <c r="F40" s="1"/>
      <c r="G40" s="1"/>
      <c r="H40" s="30" t="s">
        <v>48</v>
      </c>
      <c r="I40" s="30" t="s">
        <v>48</v>
      </c>
      <c r="J40" s="40" t="s">
        <v>48</v>
      </c>
      <c r="K40" s="24" t="s">
        <v>75</v>
      </c>
    </row>
    <row r="41">
      <c r="A41" s="1"/>
      <c r="B41" s="4" t="s">
        <v>76</v>
      </c>
      <c r="C41" s="1"/>
      <c r="D41" s="1"/>
      <c r="E41" s="1"/>
      <c r="F41" s="1"/>
      <c r="G41" s="1"/>
      <c r="H41" s="30" t="s">
        <v>48</v>
      </c>
      <c r="I41" s="30" t="s">
        <v>48</v>
      </c>
      <c r="J41" s="40" t="s">
        <v>48</v>
      </c>
      <c r="K41" s="24" t="s">
        <v>75</v>
      </c>
    </row>
    <row r="42" ht="27.75">
      <c r="A42" s="1"/>
      <c r="B42" s="4" t="s">
        <v>77</v>
      </c>
      <c r="C42" s="1"/>
      <c r="D42" s="1"/>
      <c r="E42" s="1"/>
      <c r="F42" s="1"/>
      <c r="G42" s="1"/>
      <c r="H42" s="30" t="s">
        <v>48</v>
      </c>
      <c r="I42" s="30" t="s">
        <v>48</v>
      </c>
      <c r="J42" s="40" t="s">
        <v>48</v>
      </c>
      <c r="K42" s="112" t="s">
        <v>78</v>
      </c>
    </row>
    <row r="43">
      <c r="A43" s="1"/>
      <c r="B43" s="1" t="s">
        <v>82</v>
      </c>
      <c r="C43" s="2">
        <f>'Segment - USCC'!C111</f>
        <v>4567</v>
      </c>
      <c r="D43" s="2">
        <f>'Segment - USCC'!D111</f>
        <v>4471</v>
      </c>
      <c r="E43" s="2">
        <f>'Segment - USCC'!E111</f>
        <v>4656</v>
      </c>
      <c r="F43" s="2">
        <f>'Segment - USCC'!F111</f>
        <v>4564</v>
      </c>
      <c r="G43" s="2">
        <f>'Segment - USCC'!G111</f>
        <v>18258</v>
      </c>
      <c r="H43" s="2">
        <f>'Segment - USCC'!H111</f>
        <v>4757</v>
      </c>
      <c r="I43" s="2">
        <f>'Segment - USCC'!I111</f>
        <v>4521</v>
      </c>
      <c r="J43" s="36">
        <f>'Segment - USCC'!J111</f>
        <v>4724.690476712329</v>
      </c>
      <c r="K43" s="1"/>
    </row>
    <row r="44">
      <c r="A44" s="1"/>
      <c r="B44" s="4" t="s">
        <v>70</v>
      </c>
      <c r="C44" s="1"/>
      <c r="D44" s="1"/>
      <c r="E44" s="1"/>
      <c r="F44" s="1"/>
      <c r="G44" s="1"/>
      <c r="H44" s="25">
        <f>IFERROR(H43/C43-1,"n/m")</f>
        <v>0.04160280271513028</v>
      </c>
      <c r="I44" s="25">
        <f>IFERROR(I43/D43-1,"n/m")</f>
        <v>0.011183180496533218</v>
      </c>
      <c r="J44" s="33">
        <f>IFERROR(J43/E43-1,"n/m")</f>
        <v>0.01475310925952078</v>
      </c>
      <c r="K44" s="1"/>
    </row>
    <row r="45">
      <c r="A45" s="1"/>
      <c r="B45" s="4" t="s">
        <v>71</v>
      </c>
      <c r="C45" s="1"/>
      <c r="D45" s="34">
        <f>D43-C43</f>
        <v>-96</v>
      </c>
      <c r="E45" s="34">
        <f>E43-D43</f>
        <v>185</v>
      </c>
      <c r="F45" s="34">
        <f>F43-E43</f>
        <v>-92</v>
      </c>
      <c r="G45" s="1"/>
      <c r="H45" s="34">
        <f>H43-F43</f>
        <v>193</v>
      </c>
      <c r="I45" s="34">
        <f>I43-H43</f>
        <v>-236</v>
      </c>
      <c r="J45" s="39">
        <f>J43-I43</f>
        <v>203.69047671232875</v>
      </c>
      <c r="K45" s="1"/>
    </row>
    <row r="46">
      <c r="A46" s="1"/>
      <c r="B46" s="4" t="s">
        <v>72</v>
      </c>
      <c r="C46" s="1"/>
      <c r="D46" s="25">
        <f>IFERROR(D43/C43-1,"n/m")</f>
        <v>-0.021020363477118442</v>
      </c>
      <c r="E46" s="25">
        <f>IFERROR(E43/D43-1,"n/m")</f>
        <v>0.04137776783717295</v>
      </c>
      <c r="F46" s="25">
        <f>IFERROR(F43/E43-1,"n/m")</f>
        <v>-0.019759450171821347</v>
      </c>
      <c r="G46" s="1"/>
      <c r="H46" s="25">
        <f>IFERROR(H43/F43-1,"n/m")</f>
        <v>0.042287467134092926</v>
      </c>
      <c r="I46" s="25">
        <f>IFERROR(I43/H43-1,"n/m")</f>
        <v>-0.04961109943241537</v>
      </c>
      <c r="J46" s="33">
        <f>IFERROR(J43/I43-1,"n/m")</f>
        <v>0.045054296994542886</v>
      </c>
      <c r="K46" s="1"/>
    </row>
    <row r="47">
      <c r="A47" s="1"/>
      <c r="B47" s="4" t="s">
        <v>73</v>
      </c>
      <c r="C47" s="25">
        <f>IFERROR(C43/C66,"n/m")</f>
        <v>0.21147434710131505</v>
      </c>
      <c r="D47" s="25">
        <f>IFERROR(D43/D66,"n/m")</f>
        <v>0.20634114823703156</v>
      </c>
      <c r="E47" s="25">
        <f>IFERROR(E43/E66,"n/m")</f>
        <v>0.2107741059302852</v>
      </c>
      <c r="F47" s="25">
        <f>IFERROR(F43/F66,"n/m")</f>
        <v>0.229681445322329</v>
      </c>
      <c r="G47" s="25">
        <f>IFERROR(G43/G66,"n/m")</f>
        <v>0.21423291287767673</v>
      </c>
      <c r="H47" s="25">
        <f>IFERROR(H43/H66,"n/m")</f>
        <v>0.1931149271302724</v>
      </c>
      <c r="I47" s="25">
        <f>IFERROR(I43/I66,"n/m")</f>
        <v>0.1825486554146814</v>
      </c>
      <c r="J47" s="33">
        <f>IFERROR(J43/J66,"n/m")</f>
        <v>0.19674123459002338</v>
      </c>
      <c r="K47" s="1"/>
    </row>
    <row r="48">
      <c r="A48" s="1"/>
      <c r="B48" s="4" t="s">
        <v>74</v>
      </c>
      <c r="C48" s="1"/>
      <c r="D48" s="1"/>
      <c r="E48" s="1"/>
      <c r="F48" s="1"/>
      <c r="G48" s="1"/>
      <c r="H48" s="30" t="s">
        <v>48</v>
      </c>
      <c r="I48" s="30" t="s">
        <v>48</v>
      </c>
      <c r="J48" s="40" t="s">
        <v>48</v>
      </c>
      <c r="K48" s="24" t="s">
        <v>75</v>
      </c>
    </row>
    <row r="49">
      <c r="A49" s="1"/>
      <c r="B49" s="4" t="s">
        <v>76</v>
      </c>
      <c r="C49" s="1"/>
      <c r="D49" s="1"/>
      <c r="E49" s="1"/>
      <c r="F49" s="1"/>
      <c r="G49" s="1"/>
      <c r="H49" s="30" t="s">
        <v>48</v>
      </c>
      <c r="I49" s="30" t="s">
        <v>48</v>
      </c>
      <c r="J49" s="40" t="s">
        <v>48</v>
      </c>
      <c r="K49" s="24" t="s">
        <v>75</v>
      </c>
    </row>
    <row r="50" ht="27.75">
      <c r="A50" s="1"/>
      <c r="B50" s="4" t="s">
        <v>77</v>
      </c>
      <c r="C50" s="1"/>
      <c r="D50" s="1"/>
      <c r="E50" s="1"/>
      <c r="F50" s="1"/>
      <c r="G50" s="1"/>
      <c r="H50" s="30" t="s">
        <v>48</v>
      </c>
      <c r="I50" s="30" t="s">
        <v>48</v>
      </c>
      <c r="J50" s="40" t="s">
        <v>48</v>
      </c>
      <c r="K50" s="112" t="s">
        <v>78</v>
      </c>
    </row>
    <row r="51">
      <c r="A51" s="1"/>
      <c r="B51" s="1" t="s">
        <v>83</v>
      </c>
      <c r="C51" s="2">
        <f>'Segment - All Other'!C94</f>
        <v>1463</v>
      </c>
      <c r="D51" s="2">
        <f>'Segment - All Other'!D94</f>
        <v>1716</v>
      </c>
      <c r="E51" s="2">
        <f>'Segment - All Other'!E94</f>
        <v>1471</v>
      </c>
      <c r="F51" s="2">
        <f>'Segment - All Other'!F94</f>
        <v>-208</v>
      </c>
      <c r="G51" s="2">
        <f>'Segment - All Other'!G94</f>
        <v>4442</v>
      </c>
      <c r="H51" s="2">
        <f>'Segment - All Other'!H94</f>
        <v>1682</v>
      </c>
      <c r="I51" s="2">
        <f>'Segment - All Other'!I94</f>
        <v>1737</v>
      </c>
      <c r="J51" s="36">
        <f>'Segment - All Other'!J94</f>
        <v>1677.5616438356165</v>
      </c>
      <c r="K51" s="1"/>
    </row>
    <row r="52">
      <c r="A52" s="1"/>
      <c r="B52" s="4" t="s">
        <v>70</v>
      </c>
      <c r="C52" s="1"/>
      <c r="D52" s="1"/>
      <c r="E52" s="1"/>
      <c r="F52" s="1"/>
      <c r="G52" s="1"/>
      <c r="H52" s="25">
        <f>IFERROR(H51/C51-1,"n/m")</f>
        <v>0.14969241285030765</v>
      </c>
      <c r="I52" s="25">
        <f>IFERROR(I51/D51-1,"n/m")</f>
        <v>0.012237762237762295</v>
      </c>
      <c r="J52" s="33">
        <f>IFERROR(J51/E51-1,"n/m")</f>
        <v>0.14042259948036473</v>
      </c>
      <c r="K52" s="1"/>
    </row>
    <row r="53">
      <c r="A53" s="1"/>
      <c r="B53" s="4" t="s">
        <v>71</v>
      </c>
      <c r="C53" s="1"/>
      <c r="D53" s="34">
        <f>D51-C51</f>
        <v>253</v>
      </c>
      <c r="E53" s="34">
        <f>E51-D51</f>
        <v>-245</v>
      </c>
      <c r="F53" s="34">
        <f>F51-E51</f>
        <v>-1679</v>
      </c>
      <c r="G53" s="1"/>
      <c r="H53" s="34">
        <f>H51-F51</f>
        <v>1890</v>
      </c>
      <c r="I53" s="34">
        <f>I51-H51</f>
        <v>55</v>
      </c>
      <c r="J53" s="39">
        <f>J51-I51</f>
        <v>-59.43835616438355</v>
      </c>
      <c r="K53" s="1"/>
    </row>
    <row r="54">
      <c r="A54" s="1"/>
      <c r="B54" s="4" t="s">
        <v>84</v>
      </c>
      <c r="C54" s="1"/>
      <c r="D54" s="25">
        <f>IF(C51&lt;=0,"n/m",D51/C51-1)</f>
        <v>0.1729323308270676</v>
      </c>
      <c r="E54" s="25">
        <f>IF(D51&lt;=0,"n/m",E51/D51-1)</f>
        <v>-0.14277389277389274</v>
      </c>
      <c r="F54" s="25">
        <f>IF(E51&lt;=0,"n/m",F51/E51-1)</f>
        <v>-1.141400407885792</v>
      </c>
      <c r="G54" s="1"/>
      <c r="H54" s="25" t="str">
        <f>IF(F51&lt;=0,"n/m",H51/F51-1)</f>
        <v>n/m</v>
      </c>
      <c r="I54" s="25">
        <f>IF(H51&lt;=0,"n/m",I51/H51-1)</f>
        <v>0.03269916765755054</v>
      </c>
      <c r="J54" s="33">
        <f>IF(I51&lt;=0,"n/m",J51/I51-1)</f>
        <v>-0.03421897303649024</v>
      </c>
      <c r="K54" s="1"/>
    </row>
    <row r="55">
      <c r="A55" s="1"/>
      <c r="B55" s="4" t="s">
        <v>73</v>
      </c>
      <c r="C55" s="25">
        <f>IFERROR(C51/C66,"n/m")</f>
        <v>0.06774402667160585</v>
      </c>
      <c r="D55" s="25">
        <f>IFERROR(D51/D66,"n/m")</f>
        <v>0.07919512645375669</v>
      </c>
      <c r="E55" s="25">
        <f>IFERROR(E51/E66,"n/m")</f>
        <v>0.06659121774558624</v>
      </c>
      <c r="F55" s="25">
        <f>IFERROR(F51/F66,"n/m")</f>
        <v>-0.01046751547481254</v>
      </c>
      <c r="G55" s="25">
        <f>IFERROR(G51/G66,"n/m")</f>
        <v>0.05212085655617483</v>
      </c>
      <c r="H55" s="25">
        <f>IFERROR(H51/H66,"n/m")</f>
        <v>0.06828238541793528</v>
      </c>
      <c r="I55" s="25">
        <f>IFERROR(I51/I66,"n/m")</f>
        <v>0.07013647742873294</v>
      </c>
      <c r="J55" s="33">
        <f>IFERROR(J51/J66,"n/m")</f>
        <v>0.06985548588544792</v>
      </c>
      <c r="K55" s="1"/>
    </row>
    <row r="56">
      <c r="A56" s="1"/>
      <c r="B56" s="4" t="s">
        <v>74</v>
      </c>
      <c r="C56" s="1"/>
      <c r="D56" s="1"/>
      <c r="E56" s="1"/>
      <c r="F56" s="1"/>
      <c r="G56" s="1"/>
      <c r="H56" s="30" t="s">
        <v>48</v>
      </c>
      <c r="I56" s="30" t="s">
        <v>48</v>
      </c>
      <c r="J56" s="40" t="s">
        <v>48</v>
      </c>
      <c r="K56" s="24" t="s">
        <v>85</v>
      </c>
    </row>
    <row r="57">
      <c r="A57" s="1"/>
      <c r="B57" s="4" t="s">
        <v>76</v>
      </c>
      <c r="C57" s="1"/>
      <c r="D57" s="1"/>
      <c r="E57" s="1"/>
      <c r="F57" s="1"/>
      <c r="G57" s="1"/>
      <c r="H57" s="30" t="s">
        <v>48</v>
      </c>
      <c r="I57" s="30" t="s">
        <v>48</v>
      </c>
      <c r="J57" s="40" t="s">
        <v>48</v>
      </c>
      <c r="K57" s="24" t="s">
        <v>85</v>
      </c>
    </row>
    <row r="58" ht="27.75">
      <c r="A58" s="1"/>
      <c r="B58" s="4" t="s">
        <v>77</v>
      </c>
      <c r="C58" s="1"/>
      <c r="D58" s="1"/>
      <c r="E58" s="1"/>
      <c r="F58" s="1"/>
      <c r="G58" s="1"/>
      <c r="H58" s="30" t="s">
        <v>48</v>
      </c>
      <c r="I58" s="30" t="s">
        <v>48</v>
      </c>
      <c r="J58" s="40" t="s">
        <v>48</v>
      </c>
      <c r="K58" s="112" t="s">
        <v>78</v>
      </c>
    </row>
    <row r="59">
      <c r="A59" s="1"/>
      <c r="B59" s="1" t="s">
        <v>86</v>
      </c>
      <c r="C59" s="2">
        <f>'Segment - All Other'!C141</f>
        <v>0</v>
      </c>
      <c r="D59" s="2">
        <f>'Segment - All Other'!D141</f>
        <v>-177</v>
      </c>
      <c r="E59" s="2">
        <f>'Segment - All Other'!E141</f>
        <v>2</v>
      </c>
      <c r="F59" s="2">
        <f>'Segment - All Other'!F141</f>
        <v>-1</v>
      </c>
      <c r="G59" s="2">
        <f>'Segment - All Other'!G141</f>
        <v>-176</v>
      </c>
      <c r="H59" s="2">
        <f>'Segment - All Other'!H141</f>
        <v>13</v>
      </c>
      <c r="I59" s="2">
        <f>'Segment - All Other'!I141</f>
        <v>20</v>
      </c>
      <c r="J59" s="36">
        <f>'Segment - All Other'!J141</f>
        <v>10</v>
      </c>
      <c r="K59" s="1"/>
    </row>
    <row r="60" ht="40.5">
      <c r="A60" s="1"/>
      <c r="B60" s="4" t="s">
        <v>87</v>
      </c>
      <c r="C60" s="1"/>
      <c r="D60" s="1"/>
      <c r="E60" s="1"/>
      <c r="F60" s="1"/>
      <c r="G60" s="1"/>
      <c r="H60" s="25" t="str">
        <f>IF(OR(C59&lt;=0,H59&lt;=0),"n/m",H59/C59-1)</f>
        <v>n/m</v>
      </c>
      <c r="I60" s="25" t="str">
        <f>IF(OR(D59&lt;=0,I59&lt;=0),"n/m",I59/D59-1)</f>
        <v>n/m</v>
      </c>
      <c r="J60" s="33">
        <f>IF(OR(E59&lt;=0,J59&lt;=0),"n/m",J59/E59-1)</f>
        <v>4</v>
      </c>
      <c r="K60" s="111" t="s">
        <v>88</v>
      </c>
    </row>
    <row r="61">
      <c r="A61" s="1"/>
      <c r="B61" s="4" t="s">
        <v>71</v>
      </c>
      <c r="C61" s="1"/>
      <c r="D61" s="34">
        <f>D59-C59</f>
        <v>-177</v>
      </c>
      <c r="E61" s="34">
        <f>E59-D59</f>
        <v>179</v>
      </c>
      <c r="F61" s="34">
        <f>F59-E59</f>
        <v>-3</v>
      </c>
      <c r="G61" s="1"/>
      <c r="H61" s="34">
        <f>H59-F59</f>
        <v>14</v>
      </c>
      <c r="I61" s="34">
        <f>I59-H59</f>
        <v>7</v>
      </c>
      <c r="J61" s="39">
        <f>J59-I59</f>
        <v>-10</v>
      </c>
      <c r="K61" s="1"/>
    </row>
    <row r="62">
      <c r="A62" s="1"/>
      <c r="B62" s="4" t="s">
        <v>73</v>
      </c>
      <c r="C62" s="25">
        <f>IFERROR(C59/C66,"n/m")</f>
        <v>0</v>
      </c>
      <c r="D62" s="25">
        <f>IFERROR(D59/D66,"n/m")</f>
        <v>-0.008168728078272106</v>
      </c>
      <c r="E62" s="25">
        <f>IFERROR(E59/E66,"n/m")</f>
        <v>0.00009053870529651426</v>
      </c>
      <c r="F62" s="25">
        <f>IFERROR(F59/F66,"n/m")</f>
        <v>-0.00005032459362890645</v>
      </c>
      <c r="G62" s="25">
        <f>IFERROR(G59/G66,"n/m")</f>
        <v>-0.002065121736579642</v>
      </c>
      <c r="H62" s="25">
        <f>IFERROR(H59/H66,"n/m")</f>
        <v>0.0005277473308163846</v>
      </c>
      <c r="I62" s="25">
        <f>IFERROR(I59/I66,"n/m")</f>
        <v>0.0008075587498990552</v>
      </c>
      <c r="J62" s="33">
        <f>IFERROR(J59/J66,"n/m")</f>
        <v>0.0004164108433340708</v>
      </c>
      <c r="K62" s="1"/>
    </row>
    <row r="63">
      <c r="A63" s="1"/>
      <c r="B63" s="4" t="s">
        <v>74</v>
      </c>
      <c r="C63" s="1"/>
      <c r="D63" s="1"/>
      <c r="E63" s="1"/>
      <c r="F63" s="1"/>
      <c r="G63" s="1"/>
      <c r="H63" s="30" t="s">
        <v>48</v>
      </c>
      <c r="I63" s="30" t="s">
        <v>48</v>
      </c>
      <c r="J63" s="40" t="s">
        <v>48</v>
      </c>
      <c r="K63" s="24" t="s">
        <v>89</v>
      </c>
    </row>
    <row r="64">
      <c r="A64" s="1"/>
      <c r="B64" s="4" t="s">
        <v>76</v>
      </c>
      <c r="C64" s="1"/>
      <c r="D64" s="1"/>
      <c r="E64" s="1"/>
      <c r="F64" s="1"/>
      <c r="G64" s="1"/>
      <c r="H64" s="30" t="s">
        <v>48</v>
      </c>
      <c r="I64" s="30" t="s">
        <v>48</v>
      </c>
      <c r="J64" s="40" t="s">
        <v>48</v>
      </c>
      <c r="K64" s="24" t="s">
        <v>89</v>
      </c>
    </row>
    <row r="65" ht="27.75">
      <c r="A65" s="1"/>
      <c r="B65" s="4" t="s">
        <v>77</v>
      </c>
      <c r="C65" s="1"/>
      <c r="D65" s="1"/>
      <c r="E65" s="1"/>
      <c r="F65" s="1"/>
      <c r="G65" s="1"/>
      <c r="H65" s="30" t="s">
        <v>48</v>
      </c>
      <c r="I65" s="30" t="s">
        <v>48</v>
      </c>
      <c r="J65" s="40" t="s">
        <v>48</v>
      </c>
      <c r="K65" s="112" t="s">
        <v>78</v>
      </c>
    </row>
    <row r="66">
      <c r="A66" s="1"/>
      <c r="B66" s="22" t="s">
        <v>90</v>
      </c>
      <c r="C66" s="27">
        <f>C11+C19+C27+C35+C43+C51+C59</f>
        <v>21596</v>
      </c>
      <c r="D66" s="27">
        <f>D11+D19+D27+D35+D43+D51+D59</f>
        <v>21668</v>
      </c>
      <c r="E66" s="27">
        <f>E11+E19+E27+E35+E43+E51+E59</f>
        <v>22090</v>
      </c>
      <c r="F66" s="27">
        <f>F11+F19+F27+F35+F43+F51+F59</f>
        <v>19871</v>
      </c>
      <c r="G66" s="27">
        <f>G11+G19+G27+G35+G43+G51+G59</f>
        <v>85225</v>
      </c>
      <c r="H66" s="27">
        <f>H11+H19+H27+H35+H43+H51+H59</f>
        <v>24633</v>
      </c>
      <c r="I66" s="27">
        <f>I11+I19+I27+I35+I43+I51+I59</f>
        <v>24766</v>
      </c>
      <c r="J66" s="32">
        <f>J11+J19+J27+J35+J43+J51+J59</f>
        <v>24014.74447671233</v>
      </c>
      <c r="K66" s="1"/>
    </row>
    <row r="67">
      <c r="A67" s="1"/>
      <c r="B67" s="4" t="s">
        <v>91</v>
      </c>
      <c r="C67" s="1"/>
      <c r="D67" s="1"/>
      <c r="E67" s="1"/>
      <c r="F67" s="1"/>
      <c r="G67" s="1"/>
      <c r="H67" s="25">
        <f>IFERROR(H66/C66-1,"n/m")</f>
        <v>0.14062789405445453</v>
      </c>
      <c r="I67" s="25">
        <f>IFERROR(I66/D66-1,"n/m")</f>
        <v>0.14297581687280791</v>
      </c>
      <c r="J67" s="33">
        <f>IFERROR(J66/E66-1,"n/m")</f>
        <v>0.08713193647407569</v>
      </c>
      <c r="K67" s="1"/>
    </row>
    <row r="68">
      <c r="A68" s="1"/>
      <c r="B68" s="4" t="s">
        <v>71</v>
      </c>
      <c r="C68" s="1"/>
      <c r="D68" s="34">
        <f>D66-C66</f>
        <v>72</v>
      </c>
      <c r="E68" s="34">
        <f>E66-D66</f>
        <v>422</v>
      </c>
      <c r="F68" s="34">
        <f>F66-E66</f>
        <v>-2219</v>
      </c>
      <c r="G68" s="1"/>
      <c r="H68" s="34">
        <f>H66-F66</f>
        <v>4762</v>
      </c>
      <c r="I68" s="34">
        <f>I66-H66</f>
        <v>133</v>
      </c>
      <c r="J68" s="39">
        <f>J66-I66</f>
        <v>-751.2555232876693</v>
      </c>
      <c r="K68" s="1"/>
    </row>
    <row r="69">
      <c r="A69" s="1"/>
      <c r="B69" s="4" t="s">
        <v>72</v>
      </c>
      <c r="C69" s="1"/>
      <c r="D69" s="25">
        <f>IFERROR(D66/C66-1,"n/m")</f>
        <v>0.003333950731617019</v>
      </c>
      <c r="E69" s="25">
        <f>IFERROR(E66/D66-1,"n/m")</f>
        <v>0.019475724570795716</v>
      </c>
      <c r="F69" s="25">
        <f>IFERROR(F66/E66-1,"n/m")</f>
        <v>-0.10045269352648256</v>
      </c>
      <c r="G69" s="1"/>
      <c r="H69" s="25">
        <f>IFERROR(H66/F66-1,"n/m")</f>
        <v>0.2396457148608524</v>
      </c>
      <c r="I69" s="25">
        <f>IFERROR(I66/H66-1,"n/m")</f>
        <v>0.00539926115373679</v>
      </c>
      <c r="J69" s="33">
        <f>IFERROR(J66/I66-1,"n/m")</f>
        <v>-0.030334148562047525</v>
      </c>
      <c r="K69" s="1"/>
    </row>
    <row r="70" ht="27.75">
      <c r="A70" s="1"/>
      <c r="B70" s="1" t="s">
        <v>92</v>
      </c>
      <c r="C70" s="1"/>
      <c r="D70" s="1"/>
      <c r="E70" s="1"/>
      <c r="F70" s="1"/>
      <c r="G70" s="1"/>
      <c r="H70" s="28">
        <v>512</v>
      </c>
      <c r="I70" s="28">
        <v>176</v>
      </c>
      <c r="J70" s="61" t="s">
        <v>48</v>
      </c>
      <c r="K70" s="112" t="s">
        <v>93</v>
      </c>
    </row>
    <row r="71" ht="27.75">
      <c r="A71" s="1"/>
      <c r="B71" s="4" t="s">
        <v>94</v>
      </c>
      <c r="C71" s="1"/>
      <c r="D71" s="1"/>
      <c r="E71" s="1"/>
      <c r="F71" s="1"/>
      <c r="G71" s="1"/>
      <c r="H71" s="25">
        <f>(H66/C66)/((H66-H59)/(C66-C59))-1</f>
        <v>0.0005280259951259136</v>
      </c>
      <c r="I71" s="25">
        <f>(I66/D66)/((I66-I59)/(D66-D59))-1</f>
        <v>0.00898354156576775</v>
      </c>
      <c r="J71" s="33">
        <f>(J66/E66)/((J66-J59)/(E66-E59))-1</f>
        <v>0.000326007891258584</v>
      </c>
      <c r="K71" s="112" t="s">
        <v>95</v>
      </c>
    </row>
    <row r="72">
      <c r="A72" s="1"/>
      <c r="B72" s="4" t="s">
        <v>76</v>
      </c>
      <c r="C72" s="1"/>
      <c r="D72" s="1"/>
      <c r="E72" s="1"/>
      <c r="F72" s="1"/>
      <c r="G72" s="1"/>
      <c r="H72" s="25">
        <f>H70/C66</f>
        <v>0.023708094091498426</v>
      </c>
      <c r="I72" s="25">
        <f>I70/D66</f>
        <v>0.008122577072180174</v>
      </c>
      <c r="J72" s="40" t="s">
        <v>48</v>
      </c>
      <c r="K72" s="1"/>
    </row>
    <row r="73" ht="27.75">
      <c r="A73" s="1"/>
      <c r="B73" s="4" t="s">
        <v>77</v>
      </c>
      <c r="C73" s="1"/>
      <c r="D73" s="1"/>
      <c r="E73" s="1"/>
      <c r="F73" s="1"/>
      <c r="G73" s="1"/>
      <c r="H73" s="25">
        <f>(1+(H66/C66-1))/((1+H71)*(1+H72))-1</f>
        <v>0.11362402750135692</v>
      </c>
      <c r="I73" s="25">
        <f>(1+(I66/D66-1))/((1+I71)*(1+I72))-1</f>
        <v>0.12367215389308961</v>
      </c>
      <c r="J73" s="40" t="s">
        <v>48</v>
      </c>
      <c r="K73" s="112" t="s">
        <v>96</v>
      </c>
    </row>
    <row r="74">
      <c r="A74" s="1"/>
      <c r="B74" s="4" t="s">
        <v>97</v>
      </c>
      <c r="C74" s="1"/>
      <c r="D74" s="1"/>
      <c r="E74" s="1"/>
      <c r="F74" s="1"/>
      <c r="G74" s="1"/>
      <c r="H74" s="25">
        <f>H66/(C66+H70)-1</f>
        <v>0.11421204993667455</v>
      </c>
      <c r="I74" s="25">
        <f>I66/(D66+I70)-1</f>
        <v>0.1337667093938839</v>
      </c>
      <c r="J74" s="40" t="s">
        <v>48</v>
      </c>
      <c r="K74" s="1"/>
    </row>
    <row r="75" ht="27.75">
      <c r="A75" s="1"/>
      <c r="B75" s="1" t="s">
        <v>98</v>
      </c>
      <c r="C75" s="2">
        <f>C66-'Income Statement'!C24</f>
        <v>0</v>
      </c>
      <c r="D75" s="2">
        <f>D66-'Income Statement'!D24</f>
        <v>0</v>
      </c>
      <c r="E75" s="2">
        <f>E66-'Income Statement'!E24</f>
        <v>0</v>
      </c>
      <c r="F75" s="2">
        <f>F66-'Income Statement'!F24</f>
        <v>0</v>
      </c>
      <c r="G75" s="2">
        <f>G66-'Income Statement'!G24</f>
        <v>0</v>
      </c>
      <c r="H75" s="2">
        <f>H66-'Income Statement'!H24</f>
        <v>0</v>
      </c>
      <c r="I75" s="2">
        <f>I66-'Income Statement'!I24</f>
        <v>0</v>
      </c>
      <c r="J75" s="36">
        <f>J66-'Income Statement'!J24</f>
        <v>0</v>
      </c>
      <c r="K75" s="111" t="s">
        <v>99</v>
      </c>
    </row>
    <row r="76">
      <c r="A76" s="1"/>
      <c r="B76" s="1" t="s">
        <v>100</v>
      </c>
      <c r="C76" s="2">
        <f>Inputs!I84</f>
        <v>21596</v>
      </c>
      <c r="D76" s="2">
        <f>Inputs!I85</f>
        <v>21668</v>
      </c>
      <c r="E76" s="2">
        <f>Inputs!I86</f>
        <v>22090</v>
      </c>
      <c r="F76" s="2">
        <f>Inputs!I87</f>
        <v>19871</v>
      </c>
      <c r="G76" s="1"/>
      <c r="H76" s="2">
        <f>Inputs!I88</f>
        <v>24633</v>
      </c>
      <c r="I76" s="2">
        <f>Inputs!I89</f>
        <v>24766</v>
      </c>
      <c r="J76" s="61" t="s">
        <v>48</v>
      </c>
      <c r="K76" s="1"/>
    </row>
    <row r="77">
      <c r="A77" s="1"/>
      <c r="B77" s="1" t="s">
        <v>101</v>
      </c>
      <c r="C77" s="21">
        <f>C66-C76</f>
        <v>0</v>
      </c>
      <c r="D77" s="21">
        <f>D66-D76</f>
        <v>0</v>
      </c>
      <c r="E77" s="21">
        <f>E66-E76</f>
        <v>0</v>
      </c>
      <c r="F77" s="21">
        <f>F66-F76</f>
        <v>0</v>
      </c>
      <c r="G77" s="1"/>
      <c r="H77" s="21">
        <f>H66-H76</f>
        <v>0</v>
      </c>
      <c r="I77" s="21">
        <f>I66-I76</f>
        <v>0</v>
      </c>
      <c r="J77" s="31"/>
      <c r="K77" s="1"/>
    </row>
    <row r="78">
      <c r="A78" s="1"/>
      <c r="B78" s="1" t="s">
        <v>102</v>
      </c>
      <c r="C78" s="2">
        <f>Inputs!H84</f>
        <v>21287.11</v>
      </c>
      <c r="D78" s="2">
        <f>Inputs!H85</f>
        <v>20961.64</v>
      </c>
      <c r="E78" s="2">
        <f>Inputs!H86</f>
        <v>21182.68</v>
      </c>
      <c r="F78" s="2">
        <f>Inputs!H87</f>
        <v>20448.56</v>
      </c>
      <c r="G78" s="1"/>
      <c r="H78" s="2">
        <f>Inputs!H88</f>
        <v>23467.16</v>
      </c>
      <c r="I78" s="2">
        <f>Inputs!H89</f>
        <v>23732.25</v>
      </c>
      <c r="J78" s="36">
        <f>Inputs!C38</f>
        <v>23719.32</v>
      </c>
      <c r="K78" s="1"/>
    </row>
    <row r="79">
      <c r="A79" s="1"/>
      <c r="B79" s="1" t="s">
        <v>103</v>
      </c>
      <c r="C79" s="21">
        <f>C66-C78</f>
        <v>308.8899999999994</v>
      </c>
      <c r="D79" s="21">
        <f>D66-D78</f>
        <v>706.3600000000006</v>
      </c>
      <c r="E79" s="21">
        <f>E66-E78</f>
        <v>907.3199999999997</v>
      </c>
      <c r="F79" s="21">
        <f>F66-F78</f>
        <v>-577.5600000000013</v>
      </c>
      <c r="G79" s="1"/>
      <c r="H79" s="21">
        <f>H66-H78</f>
        <v>1165.8400000000001</v>
      </c>
      <c r="I79" s="21">
        <f>I66-I78</f>
        <v>1033.75</v>
      </c>
      <c r="J79" s="29">
        <f>J66-J78</f>
        <v>295.42447671233094</v>
      </c>
      <c r="K79" s="1"/>
    </row>
    <row r="80">
      <c r="A80" s="1"/>
      <c r="B80" s="22" t="s">
        <v>104</v>
      </c>
      <c r="C80" s="1"/>
      <c r="D80" s="1"/>
      <c r="E80" s="1"/>
      <c r="F80" s="1"/>
      <c r="G80" s="1"/>
      <c r="H80" s="1"/>
      <c r="I80" s="1"/>
      <c r="J80" s="31"/>
      <c r="K80" s="1"/>
    </row>
    <row r="81">
      <c r="A81" s="1"/>
      <c r="B81" s="1" t="s">
        <v>105</v>
      </c>
      <c r="C81" s="2">
        <f>'Income Statement'!C13</f>
        <v>14012</v>
      </c>
      <c r="D81" s="2">
        <f>'Income Statement'!D13</f>
        <v>15175</v>
      </c>
      <c r="E81" s="2">
        <f>'Income Statement'!E13</f>
        <v>14940</v>
      </c>
      <c r="F81" s="2">
        <f>'Income Statement'!F13</f>
        <v>15665</v>
      </c>
      <c r="G81" s="2">
        <f>'Income Statement'!G13</f>
        <v>59792</v>
      </c>
      <c r="H81" s="2">
        <f>'Income Statement'!H13</f>
        <v>15741</v>
      </c>
      <c r="I81" s="2">
        <f>'Income Statement'!I13</f>
        <v>17125</v>
      </c>
      <c r="J81" s="36">
        <f>'Income Statement'!J13</f>
        <v>16753.13424657534</v>
      </c>
      <c r="K81" s="1"/>
    </row>
    <row r="82">
      <c r="A82" s="1"/>
      <c r="B82" s="1" t="s">
        <v>106</v>
      </c>
      <c r="C82" s="2">
        <f>'Segment - Markets'!C50</f>
        <v>1924</v>
      </c>
      <c r="D82" s="2">
        <f>'Segment - Markets'!D50</f>
        <v>2824</v>
      </c>
      <c r="E82" s="2">
        <f>'Segment - Markets'!E50</f>
        <v>2178</v>
      </c>
      <c r="F82" s="2">
        <f>'Segment - Markets'!F50</f>
        <v>2761</v>
      </c>
      <c r="G82" s="2">
        <f>'Segment - Markets'!G50</f>
        <v>9687</v>
      </c>
      <c r="H82" s="2">
        <f>'Segment - Markets'!H50</f>
        <v>2797</v>
      </c>
      <c r="I82" s="2">
        <f>'Segment - Markets'!I50</f>
        <v>4002</v>
      </c>
      <c r="J82" s="36">
        <f>'Segment - Markets'!J50</f>
        <v>3300</v>
      </c>
      <c r="K82" s="1"/>
    </row>
    <row r="83">
      <c r="A83" s="1"/>
      <c r="B83" s="22" t="s">
        <v>107</v>
      </c>
      <c r="C83" s="27">
        <f>C81-C82</f>
        <v>12088</v>
      </c>
      <c r="D83" s="27">
        <f>D81-D82</f>
        <v>12351</v>
      </c>
      <c r="E83" s="27">
        <f>E81-E82</f>
        <v>12762</v>
      </c>
      <c r="F83" s="27">
        <f>F81-F82</f>
        <v>12904</v>
      </c>
      <c r="G83" s="27">
        <f>G81-G82</f>
        <v>50105</v>
      </c>
      <c r="H83" s="27">
        <f>H81-H82</f>
        <v>12944</v>
      </c>
      <c r="I83" s="27">
        <f>I81-I82</f>
        <v>13123</v>
      </c>
      <c r="J83" s="32">
        <f>J81-J82</f>
        <v>13453.13424657534</v>
      </c>
      <c r="K83" s="1"/>
    </row>
    <row r="84">
      <c r="A84" s="1"/>
      <c r="B84" s="4" t="s">
        <v>108</v>
      </c>
      <c r="C84" s="1"/>
      <c r="D84" s="1"/>
      <c r="E84" s="1"/>
      <c r="F84" s="1"/>
      <c r="G84" s="1"/>
      <c r="H84" s="25">
        <f>IFERROR(H83/C83-1,"n/m")</f>
        <v>0.07081403044341505</v>
      </c>
      <c r="I84" s="25">
        <f>IFERROR(I83/D83-1,"n/m")</f>
        <v>0.06250506031900249</v>
      </c>
      <c r="J84" s="33">
        <f>IFERROR(J83/E83-1,"n/m")</f>
        <v>0.0541556375627128</v>
      </c>
      <c r="K84" s="1"/>
    </row>
    <row r="85">
      <c r="A85" s="1"/>
      <c r="B85" s="4" t="s">
        <v>71</v>
      </c>
      <c r="C85" s="1"/>
      <c r="D85" s="34">
        <f>D83-C83</f>
        <v>263</v>
      </c>
      <c r="E85" s="34">
        <f>E83-D83</f>
        <v>411</v>
      </c>
      <c r="F85" s="34">
        <f>F83-E83</f>
        <v>142</v>
      </c>
      <c r="G85" s="1"/>
      <c r="H85" s="34">
        <f>H83-F83</f>
        <v>40</v>
      </c>
      <c r="I85" s="34">
        <f>I83-H83</f>
        <v>179</v>
      </c>
      <c r="J85" s="39">
        <f>J83-I83</f>
        <v>330.1342465753405</v>
      </c>
      <c r="K85" s="1"/>
    </row>
    <row r="86" ht="40.5">
      <c r="A86" s="1"/>
      <c r="B86" s="1" t="s">
        <v>109</v>
      </c>
      <c r="C86" s="28">
        <v>2306.157</v>
      </c>
      <c r="D86" s="28">
        <v>2425.332</v>
      </c>
      <c r="E86" s="28">
        <v>2472.065</v>
      </c>
      <c r="F86" s="28">
        <v>2503.447</v>
      </c>
      <c r="G86" s="21">
        <f>SUMPRODUCT(C86:F86,C$8:F$8)/G$8</f>
        <v>2427.4149205479453</v>
      </c>
      <c r="H86" s="28">
        <v>2596.539</v>
      </c>
      <c r="I86" s="28">
        <v>2711.331</v>
      </c>
      <c r="J86" s="55">
        <v>2740</v>
      </c>
      <c r="K86" s="112" t="s">
        <v>110</v>
      </c>
    </row>
    <row r="87">
      <c r="A87" s="1"/>
      <c r="B87" s="4" t="s">
        <v>108</v>
      </c>
      <c r="C87" s="1"/>
      <c r="D87" s="1"/>
      <c r="E87" s="1"/>
      <c r="F87" s="1"/>
      <c r="G87" s="1"/>
      <c r="H87" s="25">
        <f>IFERROR(H86/C86-1,"n/m")</f>
        <v>0.12591597189610249</v>
      </c>
      <c r="I87" s="25">
        <f>IFERROR(I86/D86-1,"n/m")</f>
        <v>0.11792158764243421</v>
      </c>
      <c r="J87" s="33">
        <f>IFERROR(J86/E86-1,"n/m")</f>
        <v>0.10838509505211236</v>
      </c>
      <c r="K87" s="1"/>
    </row>
    <row r="88">
      <c r="A88" s="1"/>
      <c r="B88" s="4" t="s">
        <v>71</v>
      </c>
      <c r="C88" s="1"/>
      <c r="D88" s="34">
        <f>D86-C86</f>
        <v>119.17499999999973</v>
      </c>
      <c r="E88" s="34">
        <f>E86-D86</f>
        <v>46.733000000000175</v>
      </c>
      <c r="F88" s="34">
        <f>F86-E86</f>
        <v>31.382000000000062</v>
      </c>
      <c r="G88" s="1"/>
      <c r="H88" s="34">
        <f>H86-F86</f>
        <v>93.0920000000001</v>
      </c>
      <c r="I88" s="34">
        <f>I86-H86</f>
        <v>114.79199999999992</v>
      </c>
      <c r="J88" s="39">
        <f>J86-I86</f>
        <v>28.66899999999987</v>
      </c>
      <c r="K88" s="1"/>
    </row>
    <row r="89">
      <c r="A89" s="1"/>
      <c r="B89" s="1" t="s">
        <v>111</v>
      </c>
      <c r="C89" s="28">
        <v>26</v>
      </c>
      <c r="D89" s="28">
        <v>28</v>
      </c>
      <c r="E89" s="28">
        <v>27</v>
      </c>
      <c r="F89" s="28">
        <v>25</v>
      </c>
      <c r="G89" s="21">
        <f>SUM(C89:F89)</f>
        <v>106</v>
      </c>
      <c r="H89" s="28">
        <v>29</v>
      </c>
      <c r="I89" s="28">
        <v>28</v>
      </c>
      <c r="J89" s="29">
        <f>I89</f>
        <v>28</v>
      </c>
      <c r="K89" s="1"/>
    </row>
    <row r="90">
      <c r="A90" s="1"/>
      <c r="B90" s="4" t="s">
        <v>108</v>
      </c>
      <c r="C90" s="1"/>
      <c r="D90" s="1"/>
      <c r="E90" s="1"/>
      <c r="F90" s="1"/>
      <c r="G90" s="1"/>
      <c r="H90" s="25">
        <f>IFERROR(H89/C89-1,"n/m")</f>
        <v>0.11538461538461542</v>
      </c>
      <c r="I90" s="25">
        <f>IFERROR(I89/D89-1,"n/m")</f>
        <v>0</v>
      </c>
      <c r="J90" s="33">
        <f>IFERROR(J89/E89-1,"n/m")</f>
        <v>0.03703703703703698</v>
      </c>
      <c r="K90" s="1"/>
    </row>
    <row r="91">
      <c r="A91" s="1"/>
      <c r="B91" s="4" t="s">
        <v>71</v>
      </c>
      <c r="C91" s="1"/>
      <c r="D91" s="34">
        <f>D89-C89</f>
        <v>2</v>
      </c>
      <c r="E91" s="34">
        <f>E89-D89</f>
        <v>-1</v>
      </c>
      <c r="F91" s="34">
        <f>F89-E89</f>
        <v>-2</v>
      </c>
      <c r="G91" s="1"/>
      <c r="H91" s="34">
        <f>H89-F89</f>
        <v>4</v>
      </c>
      <c r="I91" s="34">
        <f>I89-H89</f>
        <v>-1</v>
      </c>
      <c r="J91" s="39">
        <f>J89-I89</f>
        <v>0</v>
      </c>
      <c r="K91" s="1"/>
    </row>
    <row r="92">
      <c r="A92" s="1"/>
      <c r="B92" s="1" t="s">
        <v>112</v>
      </c>
      <c r="C92" s="21">
        <f>C81+C89</f>
        <v>14038</v>
      </c>
      <c r="D92" s="21">
        <f>D81+D89</f>
        <v>15203</v>
      </c>
      <c r="E92" s="21">
        <f>E81+E89</f>
        <v>14967</v>
      </c>
      <c r="F92" s="21">
        <f>F81+F89</f>
        <v>15690</v>
      </c>
      <c r="G92" s="21">
        <f>G81+G89</f>
        <v>59898</v>
      </c>
      <c r="H92" s="21">
        <f>H81+H89</f>
        <v>15770</v>
      </c>
      <c r="I92" s="21">
        <f>I81+I89</f>
        <v>17153</v>
      </c>
      <c r="J92" s="29">
        <f>J81+J89</f>
        <v>16781.13424657534</v>
      </c>
      <c r="K92" s="1"/>
    </row>
    <row r="93">
      <c r="A93" s="1"/>
      <c r="B93" s="4" t="s">
        <v>108</v>
      </c>
      <c r="C93" s="1"/>
      <c r="D93" s="1"/>
      <c r="E93" s="1"/>
      <c r="F93" s="1"/>
      <c r="G93" s="1"/>
      <c r="H93" s="25">
        <f>IFERROR(H92/C92-1,"n/m")</f>
        <v>0.12337939877475423</v>
      </c>
      <c r="I93" s="25">
        <f>IFERROR(I92/D92-1,"n/m")</f>
        <v>0.12826415838979144</v>
      </c>
      <c r="J93" s="33">
        <f>IFERROR(J92/E92-1,"n/m")</f>
        <v>0.12120894277913674</v>
      </c>
      <c r="K93" s="1"/>
    </row>
    <row r="94">
      <c r="A94" s="1"/>
      <c r="B94" s="4" t="s">
        <v>71</v>
      </c>
      <c r="C94" s="1"/>
      <c r="D94" s="34">
        <f>D92-C92</f>
        <v>1165</v>
      </c>
      <c r="E94" s="34">
        <f>E92-D92</f>
        <v>-236</v>
      </c>
      <c r="F94" s="34">
        <f>F92-E92</f>
        <v>723</v>
      </c>
      <c r="G94" s="1"/>
      <c r="H94" s="34">
        <f>H92-F92</f>
        <v>80</v>
      </c>
      <c r="I94" s="34">
        <f>I92-H92</f>
        <v>1383</v>
      </c>
      <c r="J94" s="39">
        <f>J92-I92</f>
        <v>-371.8657534246595</v>
      </c>
      <c r="K94" s="1"/>
    </row>
    <row r="95">
      <c r="A95" s="1"/>
      <c r="B95" s="4" t="s">
        <v>113</v>
      </c>
      <c r="C95" s="58">
        <f>C92*365/C8/(C86*1000)</f>
        <v>0.02468690938599969</v>
      </c>
      <c r="D95" s="58">
        <f>D92*365/D8/(D86*1000)</f>
        <v>0.02514256437224509</v>
      </c>
      <c r="E95" s="58">
        <f>E92*365/E8/(E86*1000)</f>
        <v>0.02402038200944308</v>
      </c>
      <c r="F95" s="58">
        <f>F92*365/F8/(F86*1000)</f>
        <v>0.02486506387601471</v>
      </c>
      <c r="G95" s="58">
        <f>G92*365/G8/(G86*1000)</f>
        <v>0.02467563311610489</v>
      </c>
      <c r="H95" s="58">
        <f>H92*365/H8/(H86*1000)</f>
        <v>0.024631292313002467</v>
      </c>
      <c r="I95" s="58">
        <f>I92*365/I8/(I86*1000)</f>
        <v>0.025375173486931142</v>
      </c>
      <c r="J95" s="79">
        <f>J92*365/J8/(J86*1000)</f>
        <v>0.024298294192319894</v>
      </c>
      <c r="K95" s="1"/>
    </row>
    <row r="96">
      <c r="A96" s="1"/>
      <c r="B96" s="4" t="s">
        <v>114</v>
      </c>
      <c r="C96" s="1"/>
      <c r="D96" s="1"/>
      <c r="E96" s="1"/>
      <c r="F96" s="1"/>
      <c r="G96" s="1"/>
      <c r="H96" s="54">
        <f>(H95-C95)*10000</f>
        <v>-0.5561707299722372</v>
      </c>
      <c r="I96" s="54">
        <f>(I95-D95)*10000</f>
        <v>2.3260911468605054</v>
      </c>
      <c r="J96" s="57">
        <f>(J95-E95)*10000</f>
        <v>2.779121828768126</v>
      </c>
      <c r="K96" s="1"/>
    </row>
    <row r="97">
      <c r="A97" s="1"/>
      <c r="B97" s="4" t="s">
        <v>115</v>
      </c>
      <c r="C97" s="1"/>
      <c r="D97" s="54">
        <f>(D95-C95)*10000</f>
        <v>4.556549862454011</v>
      </c>
      <c r="E97" s="54">
        <f>(E95-D95)*10000</f>
        <v>-11.2218236280201</v>
      </c>
      <c r="F97" s="54">
        <f>(F95-E95)*10000</f>
        <v>8.446818665716268</v>
      </c>
      <c r="G97" s="1"/>
      <c r="H97" s="54">
        <f>(H95-F95)*10000</f>
        <v>-2.3377156301224167</v>
      </c>
      <c r="I97" s="54">
        <f>(I95-H95)*10000</f>
        <v>7.438811739286753</v>
      </c>
      <c r="J97" s="57">
        <f>(J95-I95)*10000</f>
        <v>-10.768792946112479</v>
      </c>
      <c r="K97" s="1"/>
    </row>
    <row r="98">
      <c r="A98" s="1"/>
      <c r="B98" s="4" t="s">
        <v>116</v>
      </c>
      <c r="C98" s="80">
        <v>0.0247</v>
      </c>
      <c r="D98" s="80">
        <v>0.0251</v>
      </c>
      <c r="E98" s="80">
        <v>0.024</v>
      </c>
      <c r="F98" s="80">
        <v>0.0249</v>
      </c>
      <c r="G98" s="30" t="s">
        <v>48</v>
      </c>
      <c r="H98" s="80">
        <v>0.0246</v>
      </c>
      <c r="I98" s="80">
        <v>0.0254</v>
      </c>
      <c r="J98" s="40" t="s">
        <v>48</v>
      </c>
      <c r="K98" s="1"/>
    </row>
    <row r="99">
      <c r="A99" s="1"/>
      <c r="B99" s="1" t="s">
        <v>117</v>
      </c>
      <c r="C99" s="2">
        <f>'Segment - Services'!C103+'Segment - Markets'!C65+'Segment - Banking'!C80+'Segment - Wealth'!C94+'Segment - USCC'!C55+'Segment - All Other'!C13+'Segment - All Other'!C46</f>
        <v>687.4000000000001</v>
      </c>
      <c r="D99" s="2">
        <f>'Segment - Services'!D103+'Segment - Markets'!D65+'Segment - Banking'!D80+'Segment - Wealth'!D94+'Segment - USCC'!D55+'Segment - All Other'!D13+'Segment - All Other'!D46</f>
        <v>708.7</v>
      </c>
      <c r="E99" s="2">
        <f>'Segment - Services'!E103+'Segment - Markets'!E65+'Segment - Banking'!E80+'Segment - Wealth'!E94+'Segment - USCC'!E55+'Segment - All Other'!E13+'Segment - All Other'!E46</f>
        <v>723.5</v>
      </c>
      <c r="F99" s="2">
        <f>'Segment - Services'!F103+'Segment - Markets'!F65+'Segment - Banking'!F80+'Segment - Wealth'!F94+'Segment - USCC'!F55+'Segment - All Other'!F13+'Segment - All Other'!F46</f>
        <v>734.1</v>
      </c>
      <c r="G99" s="2">
        <f>'Segment - Services'!G103+'Segment - Markets'!G65+'Segment - Banking'!G80+'Segment - Wealth'!G94+'Segment - USCC'!G55+'Segment - All Other'!G13+'Segment - All Other'!G46</f>
        <v>713.5805479452055</v>
      </c>
      <c r="H99" s="2">
        <f>'Segment - Services'!H103+'Segment - Markets'!H65+'Segment - Banking'!H80+'Segment - Wealth'!H94+'Segment - USCC'!H55+'Segment - All Other'!H13+'Segment - All Other'!H46</f>
        <v>753.4</v>
      </c>
      <c r="I99" s="2">
        <f>'Segment - Services'!I103+'Segment - Markets'!I65+'Segment - Banking'!I80+'Segment - Wealth'!I94+'Segment - USCC'!I55+'Segment - All Other'!I13+'Segment - All Other'!I46</f>
        <v>783.9000000000001</v>
      </c>
      <c r="J99" s="36">
        <f>'Segment - Services'!J103+'Segment - Markets'!J65+'Segment - Banking'!J80+'Segment - Wealth'!J94+'Segment - USCC'!J55+'Segment - All Other'!J13+'Segment - All Other'!J46</f>
        <v>801.7</v>
      </c>
      <c r="K99" s="1"/>
    </row>
    <row r="100" ht="27.75">
      <c r="A100" s="1"/>
      <c r="B100" s="1" t="s">
        <v>118</v>
      </c>
      <c r="C100" s="21">
        <f>C103-C99</f>
        <v>3.2999999999999545</v>
      </c>
      <c r="D100" s="21">
        <f>D103-D99</f>
        <v>3.5</v>
      </c>
      <c r="E100" s="21">
        <f>E103-E99</f>
        <v>1.5</v>
      </c>
      <c r="F100" s="21">
        <f>F103-F99</f>
        <v>2.6000000000000227</v>
      </c>
      <c r="G100" s="21">
        <f>G103-G99</f>
        <v>2.7197260273973143</v>
      </c>
      <c r="H100" s="21">
        <f>H103-H99</f>
        <v>1.8000000000000682</v>
      </c>
      <c r="I100" s="21">
        <f>I103-I99</f>
        <v>1.099999999999909</v>
      </c>
      <c r="J100" s="29">
        <f>I100</f>
        <v>1.099999999999909</v>
      </c>
      <c r="K100" s="112" t="s">
        <v>119</v>
      </c>
    </row>
    <row r="101">
      <c r="A101" s="1"/>
      <c r="B101" s="4" t="s">
        <v>108</v>
      </c>
      <c r="C101" s="1"/>
      <c r="D101" s="1"/>
      <c r="E101" s="1"/>
      <c r="F101" s="1"/>
      <c r="G101" s="1"/>
      <c r="H101" s="25">
        <f>IFERROR(H100/C100-1,"n/m")</f>
        <v>-0.4545454545454264</v>
      </c>
      <c r="I101" s="25">
        <f>IFERROR(I100/D100-1,"n/m")</f>
        <v>-0.6857142857143117</v>
      </c>
      <c r="J101" s="33">
        <f>IFERROR(J100/E100-1,"n/m")</f>
        <v>-0.26666666666672734</v>
      </c>
      <c r="K101" s="1"/>
    </row>
    <row r="102">
      <c r="A102" s="1"/>
      <c r="B102" s="4" t="s">
        <v>71</v>
      </c>
      <c r="C102" s="1"/>
      <c r="D102" s="34">
        <f>D100-C100</f>
        <v>0.20000000000004547</v>
      </c>
      <c r="E102" s="34">
        <f>E100-D100</f>
        <v>-2</v>
      </c>
      <c r="F102" s="34">
        <f>F100-E100</f>
        <v>1.1000000000000227</v>
      </c>
      <c r="G102" s="1"/>
      <c r="H102" s="34">
        <f>H100-F100</f>
        <v>-0.7999999999999545</v>
      </c>
      <c r="I102" s="34">
        <f>I100-H100</f>
        <v>-0.7000000000001592</v>
      </c>
      <c r="J102" s="39">
        <f>J100-I100</f>
        <v>0</v>
      </c>
      <c r="K102" s="1"/>
    </row>
    <row r="103">
      <c r="A103" s="1"/>
      <c r="B103" s="22" t="s">
        <v>120</v>
      </c>
      <c r="C103" s="47">
        <v>690.7</v>
      </c>
      <c r="D103" s="47">
        <v>712.2</v>
      </c>
      <c r="E103" s="47">
        <v>725</v>
      </c>
      <c r="F103" s="47">
        <v>736.7</v>
      </c>
      <c r="G103" s="27">
        <f>SUMPRODUCT(C103:F103,C$8:F$8)/G$8</f>
        <v>716.3002739726028</v>
      </c>
      <c r="H103" s="47">
        <v>755.2</v>
      </c>
      <c r="I103" s="47">
        <v>785</v>
      </c>
      <c r="J103" s="32">
        <f>J99+J100</f>
        <v>802.8</v>
      </c>
      <c r="K103" s="1"/>
    </row>
    <row r="104">
      <c r="A104" s="1"/>
      <c r="B104" s="4" t="s">
        <v>108</v>
      </c>
      <c r="C104" s="1"/>
      <c r="D104" s="1"/>
      <c r="E104" s="1"/>
      <c r="F104" s="1"/>
      <c r="G104" s="1"/>
      <c r="H104" s="25">
        <f>IFERROR(H103/C103-1,"n/m")</f>
        <v>0.09338352396119887</v>
      </c>
      <c r="I104" s="25">
        <f>IFERROR(I103/D103-1,"n/m")</f>
        <v>0.10221847795563033</v>
      </c>
      <c r="J104" s="33">
        <f>IFERROR(J103/E103-1,"n/m")</f>
        <v>0.10731034482758606</v>
      </c>
      <c r="K104" s="1"/>
    </row>
    <row r="105">
      <c r="A105" s="1"/>
      <c r="B105" s="4" t="s">
        <v>71</v>
      </c>
      <c r="C105" s="1"/>
      <c r="D105" s="34">
        <f>D103-C103</f>
        <v>21.5</v>
      </c>
      <c r="E105" s="34">
        <f>E103-D103</f>
        <v>12.799999999999955</v>
      </c>
      <c r="F105" s="34">
        <f>F103-E103</f>
        <v>11.700000000000045</v>
      </c>
      <c r="G105" s="1"/>
      <c r="H105" s="34">
        <f>H103-F103</f>
        <v>18.5</v>
      </c>
      <c r="I105" s="34">
        <f>I103-H103</f>
        <v>29.799999999999955</v>
      </c>
      <c r="J105" s="39">
        <f>J103-I103</f>
        <v>17.799999999999955</v>
      </c>
      <c r="K105" s="1"/>
    </row>
    <row r="106">
      <c r="A106" s="1"/>
      <c r="B106" s="1" t="s">
        <v>121</v>
      </c>
      <c r="C106" s="2">
        <f>'Segment - Services'!C13+'Segment - Services'!C52+'Segment - Wealth'!C30</f>
        <v>1225</v>
      </c>
      <c r="D106" s="2">
        <f>'Segment - Services'!D13+'Segment - Services'!D52+'Segment - Wealth'!D30</f>
        <v>1255</v>
      </c>
      <c r="E106" s="2">
        <f>'Segment - Services'!E13+'Segment - Services'!E52+'Segment - Wealth'!E30</f>
        <v>1298</v>
      </c>
      <c r="F106" s="2">
        <f>'Segment - Services'!F13+'Segment - Services'!F52+'Segment - Wealth'!F30</f>
        <v>1342</v>
      </c>
      <c r="G106" s="2">
        <f>'Segment - Services'!G13+'Segment - Services'!G52+'Segment - Wealth'!G30</f>
        <v>1280.3698630136987</v>
      </c>
      <c r="H106" s="2">
        <f>'Segment - Services'!H13+'Segment - Services'!H52+'Segment - Wealth'!H30</f>
        <v>1375</v>
      </c>
      <c r="I106" s="2">
        <f>'Segment - Services'!I13+'Segment - Services'!I52+'Segment - Wealth'!I30</f>
        <v>1432</v>
      </c>
      <c r="J106" s="36">
        <f>'Segment - Services'!J13+'Segment - Services'!J52+'Segment - Wealth'!J30</f>
        <v>1447</v>
      </c>
      <c r="K106" s="1"/>
    </row>
    <row r="107" ht="27.75">
      <c r="A107" s="1"/>
      <c r="B107" s="1" t="s">
        <v>122</v>
      </c>
      <c r="C107" s="21">
        <f>C110-C106</f>
        <v>80</v>
      </c>
      <c r="D107" s="21">
        <f>D110-D106</f>
        <v>87.79999999999995</v>
      </c>
      <c r="E107" s="21">
        <f>E110-E106</f>
        <v>84.20000000000005</v>
      </c>
      <c r="F107" s="21">
        <f>F110-F106</f>
        <v>80.29999999999995</v>
      </c>
      <c r="G107" s="21">
        <f>G110-G106</f>
        <v>83.07890410958885</v>
      </c>
      <c r="H107" s="21">
        <f>H110-H106</f>
        <v>71.40000000000009</v>
      </c>
      <c r="I107" s="21">
        <f>I110-I106</f>
        <v>71.5</v>
      </c>
      <c r="J107" s="29">
        <f>I107</f>
        <v>71.5</v>
      </c>
      <c r="K107" s="112" t="s">
        <v>123</v>
      </c>
    </row>
    <row r="108">
      <c r="A108" s="1"/>
      <c r="B108" s="4" t="s">
        <v>108</v>
      </c>
      <c r="C108" s="1"/>
      <c r="D108" s="1"/>
      <c r="E108" s="1"/>
      <c r="F108" s="1"/>
      <c r="G108" s="1"/>
      <c r="H108" s="25">
        <f>IFERROR(H107/C107-1,"n/m")</f>
        <v>-0.10749999999999882</v>
      </c>
      <c r="I108" s="25">
        <f>IFERROR(I107/D107-1,"n/m")</f>
        <v>-0.18564920273348473</v>
      </c>
      <c r="J108" s="33">
        <f>IFERROR(J107/E107-1,"n/m")</f>
        <v>-0.1508313539192404</v>
      </c>
      <c r="K108" s="1"/>
    </row>
    <row r="109">
      <c r="A109" s="1"/>
      <c r="B109" s="4" t="s">
        <v>71</v>
      </c>
      <c r="C109" s="1"/>
      <c r="D109" s="34">
        <f>D107-C107</f>
        <v>7.7999999999999545</v>
      </c>
      <c r="E109" s="34">
        <f>E107-D107</f>
        <v>-3.599999999999909</v>
      </c>
      <c r="F109" s="34">
        <f>F107-E107</f>
        <v>-3.900000000000091</v>
      </c>
      <c r="G109" s="1"/>
      <c r="H109" s="34">
        <f>H107-F107</f>
        <v>-8.899999999999864</v>
      </c>
      <c r="I109" s="34">
        <f>I107-H107</f>
        <v>0.09999999999990905</v>
      </c>
      <c r="J109" s="39">
        <f>J107-I107</f>
        <v>0</v>
      </c>
      <c r="K109" s="1"/>
    </row>
    <row r="110">
      <c r="A110" s="1"/>
      <c r="B110" s="22" t="s">
        <v>124</v>
      </c>
      <c r="C110" s="47">
        <v>1305</v>
      </c>
      <c r="D110" s="47">
        <v>1342.8</v>
      </c>
      <c r="E110" s="47">
        <v>1382.2</v>
      </c>
      <c r="F110" s="47">
        <v>1422.3</v>
      </c>
      <c r="G110" s="27">
        <f>SUMPRODUCT(C110:F110,C$8:F$8)/G$8</f>
        <v>1363.4487671232876</v>
      </c>
      <c r="H110" s="47">
        <v>1446.4</v>
      </c>
      <c r="I110" s="47">
        <v>1503.5</v>
      </c>
      <c r="J110" s="32">
        <f>J106+J107</f>
        <v>1518.5</v>
      </c>
      <c r="K110" s="1"/>
    </row>
    <row r="111">
      <c r="A111" s="1"/>
      <c r="B111" s="4" t="s">
        <v>108</v>
      </c>
      <c r="C111" s="1"/>
      <c r="D111" s="1"/>
      <c r="E111" s="1"/>
      <c r="F111" s="1"/>
      <c r="G111" s="1"/>
      <c r="H111" s="25">
        <f>IFERROR(H110/C110-1,"n/m")</f>
        <v>0.10835249042145612</v>
      </c>
      <c r="I111" s="25">
        <f>IFERROR(I110/D110-1,"n/m")</f>
        <v>0.11967530533214177</v>
      </c>
      <c r="J111" s="33">
        <f>IFERROR(J110/E110-1,"n/m")</f>
        <v>0.09861091014324996</v>
      </c>
      <c r="K111" s="1"/>
    </row>
    <row r="112">
      <c r="A112" s="1"/>
      <c r="B112" s="4" t="s">
        <v>71</v>
      </c>
      <c r="C112" s="1"/>
      <c r="D112" s="34">
        <f>D110-C110</f>
        <v>37.799999999999955</v>
      </c>
      <c r="E112" s="34">
        <f>E110-D110</f>
        <v>39.40000000000009</v>
      </c>
      <c r="F112" s="34">
        <f>F110-E110</f>
        <v>40.09999999999991</v>
      </c>
      <c r="G112" s="1"/>
      <c r="H112" s="34">
        <f>H110-F110</f>
        <v>24.100000000000136</v>
      </c>
      <c r="I112" s="34">
        <f>I110-H110</f>
        <v>57.09999999999991</v>
      </c>
      <c r="J112" s="39">
        <f>J110-I110</f>
        <v>15</v>
      </c>
      <c r="K112" s="1"/>
    </row>
    <row r="113">
      <c r="A113" s="1"/>
      <c r="B113" s="4" t="s">
        <v>125</v>
      </c>
      <c r="C113" s="25">
        <f>C103/C110</f>
        <v>0.529272030651341</v>
      </c>
      <c r="D113" s="25">
        <f>D103/D110</f>
        <v>0.530384271671135</v>
      </c>
      <c r="E113" s="25">
        <f>E103/E110</f>
        <v>0.5245261177832441</v>
      </c>
      <c r="F113" s="25">
        <f>F103/F110</f>
        <v>0.5179638613513324</v>
      </c>
      <c r="G113" s="25">
        <f>G103/G110</f>
        <v>0.5253591416448379</v>
      </c>
      <c r="H113" s="25">
        <f>H103/H110</f>
        <v>0.5221238938053098</v>
      </c>
      <c r="I113" s="25">
        <f>I103/I110</f>
        <v>0.5221150648486864</v>
      </c>
      <c r="J113" s="33">
        <f>J103/J110</f>
        <v>0.5286796180441224</v>
      </c>
      <c r="K113" s="1"/>
    </row>
    <row r="114">
      <c r="A114" s="1"/>
      <c r="B114" s="4" t="s">
        <v>114</v>
      </c>
      <c r="C114" s="1"/>
      <c r="D114" s="1"/>
      <c r="E114" s="1"/>
      <c r="F114" s="1"/>
      <c r="G114" s="1"/>
      <c r="H114" s="54">
        <f>(H113-C113)*10000</f>
        <v>-71.48136846031217</v>
      </c>
      <c r="I114" s="54">
        <f>(I113-D113)*10000</f>
        <v>-82.69206822448582</v>
      </c>
      <c r="J114" s="57">
        <f>(J113-E113)*10000</f>
        <v>41.535002608783515</v>
      </c>
      <c r="K114" s="1"/>
    </row>
    <row r="115">
      <c r="A115" s="1"/>
      <c r="B115" s="4" t="s">
        <v>115</v>
      </c>
      <c r="C115" s="1"/>
      <c r="D115" s="54">
        <f>(D113-C113)*10000</f>
        <v>11.122410197940136</v>
      </c>
      <c r="E115" s="54">
        <f>(E113-D113)*10000</f>
        <v>-58.58153887890904</v>
      </c>
      <c r="F115" s="54">
        <f>(F113-E113)*10000</f>
        <v>-65.62256431911662</v>
      </c>
      <c r="G115" s="1"/>
      <c r="H115" s="54">
        <f>(H113-F113)*10000</f>
        <v>41.60032453977336</v>
      </c>
      <c r="I115" s="54">
        <f>(I113-H113)*10000</f>
        <v>-0.08828956623352369</v>
      </c>
      <c r="J115" s="57">
        <f>(J113-I113)*10000</f>
        <v>65.6455319543603</v>
      </c>
      <c r="K115" s="1"/>
    </row>
    <row r="116">
      <c r="A116" s="1"/>
      <c r="B116" s="1" t="s">
        <v>126</v>
      </c>
      <c r="C116" s="1"/>
      <c r="D116" s="1"/>
      <c r="E116" s="1"/>
      <c r="F116" s="1"/>
      <c r="G116" s="1"/>
      <c r="H116" s="1"/>
      <c r="I116" s="1"/>
      <c r="J116" s="31"/>
      <c r="K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K16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127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128</v>
      </c>
      <c r="C10" s="1"/>
      <c r="D10" s="1"/>
      <c r="E10" s="1"/>
      <c r="F10" s="1"/>
      <c r="G10" s="1"/>
      <c r="H10" s="1"/>
      <c r="I10" s="1"/>
      <c r="J10" s="31"/>
      <c r="K10" s="1"/>
    </row>
    <row r="11">
      <c r="A11" s="1"/>
      <c r="B11" s="1" t="s">
        <v>129</v>
      </c>
      <c r="C11" s="1"/>
      <c r="D11" s="21">
        <f>C13</f>
        <v>690</v>
      </c>
      <c r="E11" s="21">
        <f>D13</f>
        <v>713</v>
      </c>
      <c r="F11" s="21">
        <f>E13</f>
        <v>744</v>
      </c>
      <c r="G11" s="1"/>
      <c r="H11" s="21">
        <f>F13</f>
        <v>780</v>
      </c>
      <c r="I11" s="21">
        <f>H13</f>
        <v>812</v>
      </c>
      <c r="J11" s="29">
        <f>I13</f>
        <v>852</v>
      </c>
      <c r="K11" s="1"/>
    </row>
    <row r="12">
      <c r="A12" s="1"/>
      <c r="B12" s="1" t="s">
        <v>130</v>
      </c>
      <c r="C12" s="1"/>
      <c r="D12" s="21">
        <f>D13-D11</f>
        <v>23</v>
      </c>
      <c r="E12" s="21">
        <f>E13-E11</f>
        <v>31</v>
      </c>
      <c r="F12" s="21">
        <f>F13-F11</f>
        <v>36</v>
      </c>
      <c r="G12" s="1"/>
      <c r="H12" s="21">
        <f>H13-H11</f>
        <v>32</v>
      </c>
      <c r="I12" s="21">
        <f>I13-I11</f>
        <v>40</v>
      </c>
      <c r="J12" s="55">
        <v>13</v>
      </c>
      <c r="K12" s="24" t="s">
        <v>131</v>
      </c>
    </row>
    <row r="13" ht="27.75">
      <c r="A13" s="1"/>
      <c r="B13" s="22" t="s">
        <v>132</v>
      </c>
      <c r="C13" s="47">
        <v>690</v>
      </c>
      <c r="D13" s="47">
        <v>713</v>
      </c>
      <c r="E13" s="47">
        <v>744</v>
      </c>
      <c r="F13" s="47">
        <v>780</v>
      </c>
      <c r="G13" s="27">
        <f>SUMPRODUCT(C13:F13,C$8:F$8)/G$8</f>
        <v>732.0301369863014</v>
      </c>
      <c r="H13" s="47">
        <v>812</v>
      </c>
      <c r="I13" s="47">
        <v>852</v>
      </c>
      <c r="J13" s="32">
        <f>J11+J12</f>
        <v>865</v>
      </c>
      <c r="K13" s="112" t="s">
        <v>133</v>
      </c>
    </row>
    <row r="14">
      <c r="A14" s="1"/>
      <c r="B14" s="4" t="s">
        <v>108</v>
      </c>
      <c r="C14" s="1"/>
      <c r="D14" s="1"/>
      <c r="E14" s="1"/>
      <c r="F14" s="1"/>
      <c r="G14" s="1"/>
      <c r="H14" s="25">
        <f>IFERROR(H13/C13-1,"n/m")</f>
        <v>0.1768115942028985</v>
      </c>
      <c r="I14" s="25">
        <f>IFERROR(I13/D13-1,"n/m")</f>
        <v>0.1949509116409538</v>
      </c>
      <c r="J14" s="33">
        <f>IFERROR(J13/E13-1,"n/m")</f>
        <v>0.1626344086021505</v>
      </c>
      <c r="K14" s="1"/>
    </row>
    <row r="15">
      <c r="A15" s="1"/>
      <c r="B15" s="4" t="s">
        <v>71</v>
      </c>
      <c r="C15" s="1"/>
      <c r="D15" s="34">
        <f>D13-C13</f>
        <v>23</v>
      </c>
      <c r="E15" s="34">
        <f>E13-D13</f>
        <v>31</v>
      </c>
      <c r="F15" s="34">
        <f>F13-E13</f>
        <v>36</v>
      </c>
      <c r="G15" s="1"/>
      <c r="H15" s="34">
        <f>H13-F13</f>
        <v>32</v>
      </c>
      <c r="I15" s="34">
        <f>I13-H13</f>
        <v>40</v>
      </c>
      <c r="J15" s="39">
        <f>J13-I13</f>
        <v>13</v>
      </c>
      <c r="K15" s="1"/>
    </row>
    <row r="16">
      <c r="A16" s="1"/>
      <c r="B16" s="4" t="s">
        <v>134</v>
      </c>
      <c r="C16" s="58">
        <f>C19/(C13*1000)*365/C8</f>
        <v>0.016839371980676327</v>
      </c>
      <c r="D16" s="58">
        <f>D19/(D13*1000)*365/D8</f>
        <v>0.016589630565787647</v>
      </c>
      <c r="E16" s="58">
        <f>E19/(E13*1000)*365/E8</f>
        <v>0.01664277992052361</v>
      </c>
      <c r="F16" s="58">
        <f>F19/(F13*1000)*365/F8</f>
        <v>0.0168003762541806</v>
      </c>
      <c r="G16" s="58">
        <f>G19/(G13*1000)*365/G8</f>
        <v>0.016717890946925607</v>
      </c>
      <c r="H16" s="58">
        <f>H19/(H13*1000)*365/H8</f>
        <v>0.017101258894362342</v>
      </c>
      <c r="I16" s="58">
        <f>I19/(I13*1000)*365/I8</f>
        <v>0.01667008461022546</v>
      </c>
      <c r="J16" s="78">
        <v>0.01665</v>
      </c>
      <c r="K16" s="1"/>
    </row>
    <row r="17">
      <c r="A17" s="1"/>
      <c r="B17" s="4" t="s">
        <v>114</v>
      </c>
      <c r="C17" s="1"/>
      <c r="D17" s="1"/>
      <c r="E17" s="1"/>
      <c r="F17" s="1"/>
      <c r="G17" s="1"/>
      <c r="H17" s="54">
        <f>(H16-C16)*10000</f>
        <v>2.618869136860151</v>
      </c>
      <c r="I17" s="54">
        <f>(I16-D16)*10000</f>
        <v>0.804540444378117</v>
      </c>
      <c r="J17" s="57">
        <f>(J16-E16)*10000</f>
        <v>0.07220079476392971</v>
      </c>
      <c r="K17" s="1"/>
    </row>
    <row r="18">
      <c r="A18" s="1"/>
      <c r="B18" s="4" t="s">
        <v>115</v>
      </c>
      <c r="C18" s="1"/>
      <c r="D18" s="54">
        <f>(D16-C16)*10000</f>
        <v>-2.497414148886802</v>
      </c>
      <c r="E18" s="54">
        <f>(E16-D16)*10000</f>
        <v>0.531493547359617</v>
      </c>
      <c r="F18" s="54">
        <f>(F16-E16)*10000</f>
        <v>1.5759633365699035</v>
      </c>
      <c r="G18" s="1"/>
      <c r="H18" s="54">
        <f>(H16-F16)*10000</f>
        <v>3.0088264018174327</v>
      </c>
      <c r="I18" s="54">
        <f>(I16-H16)*10000</f>
        <v>-4.311742841368836</v>
      </c>
      <c r="J18" s="57">
        <f>(J16-I16)*10000</f>
        <v>-0.20084610225457045</v>
      </c>
      <c r="K18" s="1"/>
    </row>
    <row r="19">
      <c r="A19" s="1"/>
      <c r="B19" s="1" t="s">
        <v>135</v>
      </c>
      <c r="C19" s="28">
        <v>2865</v>
      </c>
      <c r="D19" s="28">
        <v>2949</v>
      </c>
      <c r="E19" s="28">
        <v>3121</v>
      </c>
      <c r="F19" s="28">
        <v>3303</v>
      </c>
      <c r="G19" s="21">
        <f>SUM(C19:F19)</f>
        <v>12238</v>
      </c>
      <c r="H19" s="28">
        <v>3424</v>
      </c>
      <c r="I19" s="28">
        <v>3541</v>
      </c>
      <c r="J19" s="29">
        <f>J13*1000*J16*J8/365</f>
        <v>3630.156164383562</v>
      </c>
      <c r="K19" s="24" t="s">
        <v>136</v>
      </c>
    </row>
    <row r="20">
      <c r="A20" s="1"/>
      <c r="B20" s="4" t="s">
        <v>70</v>
      </c>
      <c r="C20" s="1"/>
      <c r="D20" s="1"/>
      <c r="E20" s="1"/>
      <c r="F20" s="1"/>
      <c r="G20" s="1"/>
      <c r="H20" s="25">
        <f>IFERROR(H19/C19-1,"n/m")</f>
        <v>0.19511343804537518</v>
      </c>
      <c r="I20" s="25">
        <f>IFERROR(I19/D19-1,"n/m")</f>
        <v>0.2007460155985079</v>
      </c>
      <c r="J20" s="33">
        <f>IFERROR(J19/E19-1,"n/m")</f>
        <v>0.16313879025426536</v>
      </c>
      <c r="K20" s="1"/>
    </row>
    <row r="21">
      <c r="A21" s="1"/>
      <c r="B21" s="4" t="s">
        <v>71</v>
      </c>
      <c r="C21" s="1"/>
      <c r="D21" s="34">
        <f>D19-C19</f>
        <v>84</v>
      </c>
      <c r="E21" s="34">
        <f>E19-D19</f>
        <v>172</v>
      </c>
      <c r="F21" s="34">
        <f>F19-E19</f>
        <v>182</v>
      </c>
      <c r="G21" s="1"/>
      <c r="H21" s="34">
        <f>H19-F19</f>
        <v>121</v>
      </c>
      <c r="I21" s="34">
        <f>I19-H19</f>
        <v>117</v>
      </c>
      <c r="J21" s="39">
        <f>J19-I19</f>
        <v>89.1561643835621</v>
      </c>
      <c r="K21" s="1"/>
    </row>
    <row r="22">
      <c r="A22" s="1"/>
      <c r="B22" s="4" t="s">
        <v>74</v>
      </c>
      <c r="C22" s="1"/>
      <c r="D22" s="1"/>
      <c r="E22" s="1"/>
      <c r="F22" s="1"/>
      <c r="G22" s="1"/>
      <c r="H22" s="30" t="s">
        <v>48</v>
      </c>
      <c r="I22" s="30" t="s">
        <v>48</v>
      </c>
      <c r="J22" s="40" t="s">
        <v>48</v>
      </c>
      <c r="K22" s="24" t="s">
        <v>137</v>
      </c>
    </row>
    <row r="23">
      <c r="A23" s="1"/>
      <c r="B23" s="4" t="s">
        <v>76</v>
      </c>
      <c r="C23" s="1"/>
      <c r="D23" s="1"/>
      <c r="E23" s="1"/>
      <c r="F23" s="1"/>
      <c r="G23" s="1"/>
      <c r="H23" s="30" t="s">
        <v>48</v>
      </c>
      <c r="I23" s="30" t="s">
        <v>48</v>
      </c>
      <c r="J23" s="40" t="s">
        <v>48</v>
      </c>
      <c r="K23" s="24" t="s">
        <v>137</v>
      </c>
    </row>
    <row r="24" ht="27.75">
      <c r="A24" s="1"/>
      <c r="B24" s="4" t="s">
        <v>77</v>
      </c>
      <c r="C24" s="1"/>
      <c r="D24" s="1"/>
      <c r="E24" s="1"/>
      <c r="F24" s="1"/>
      <c r="G24" s="1"/>
      <c r="H24" s="30" t="s">
        <v>48</v>
      </c>
      <c r="I24" s="30" t="s">
        <v>48</v>
      </c>
      <c r="J24" s="40" t="s">
        <v>48</v>
      </c>
      <c r="K24" s="112" t="s">
        <v>78</v>
      </c>
    </row>
    <row r="25">
      <c r="A25" s="1"/>
      <c r="B25" s="1" t="s">
        <v>138</v>
      </c>
      <c r="C25" s="28">
        <v>95.1</v>
      </c>
      <c r="D25" s="28">
        <v>101.3</v>
      </c>
      <c r="E25" s="28">
        <v>104.8</v>
      </c>
      <c r="F25" s="28">
        <v>115.2</v>
      </c>
      <c r="G25" s="21">
        <f>SUM(C25:F25)</f>
        <v>416.4</v>
      </c>
      <c r="H25" s="28">
        <v>106.3</v>
      </c>
      <c r="I25" s="28">
        <v>114.6</v>
      </c>
      <c r="J25" s="55">
        <v>117.4</v>
      </c>
      <c r="K25" s="24" t="s">
        <v>139</v>
      </c>
    </row>
    <row r="26">
      <c r="A26" s="1"/>
      <c r="B26" s="4" t="s">
        <v>108</v>
      </c>
      <c r="C26" s="1"/>
      <c r="D26" s="1"/>
      <c r="E26" s="1"/>
      <c r="F26" s="1"/>
      <c r="G26" s="1"/>
      <c r="H26" s="25">
        <f>IFERROR(H25/C25-1,"n/m")</f>
        <v>0.11777076761303884</v>
      </c>
      <c r="I26" s="25">
        <f>IFERROR(I25/D25-1,"n/m")</f>
        <v>0.13129318854886463</v>
      </c>
      <c r="J26" s="33">
        <f>IFERROR(J25/E25-1,"n/m")</f>
        <v>0.1202290076335879</v>
      </c>
      <c r="K26" s="1"/>
    </row>
    <row r="27">
      <c r="A27" s="1"/>
      <c r="B27" s="4" t="s">
        <v>71</v>
      </c>
      <c r="C27" s="1"/>
      <c r="D27" s="34">
        <f>D25-C25</f>
        <v>6.200000000000003</v>
      </c>
      <c r="E27" s="34">
        <f>E25-D25</f>
        <v>3.5</v>
      </c>
      <c r="F27" s="34">
        <f>F25-E25</f>
        <v>10.400000000000006</v>
      </c>
      <c r="G27" s="1"/>
      <c r="H27" s="34">
        <f>H25-F25</f>
        <v>-8.900000000000006</v>
      </c>
      <c r="I27" s="34">
        <f>I25-H25</f>
        <v>8.299999999999997</v>
      </c>
      <c r="J27" s="39">
        <f>J25-I25</f>
        <v>2.8000000000000114</v>
      </c>
      <c r="K27" s="1"/>
    </row>
    <row r="28">
      <c r="A28" s="1"/>
      <c r="B28" s="1" t="s">
        <v>140</v>
      </c>
      <c r="C28" s="28">
        <v>42.7</v>
      </c>
      <c r="D28" s="28">
        <v>44.3</v>
      </c>
      <c r="E28" s="28">
        <v>44.8</v>
      </c>
      <c r="F28" s="28">
        <v>45.3</v>
      </c>
      <c r="G28" s="21">
        <f>SUM(C28:F28)</f>
        <v>177.1</v>
      </c>
      <c r="H28" s="28">
        <v>43.9</v>
      </c>
      <c r="I28" s="28">
        <v>46.3</v>
      </c>
      <c r="J28" s="61" t="s">
        <v>48</v>
      </c>
      <c r="K28" s="1"/>
    </row>
    <row r="29">
      <c r="A29" s="1"/>
      <c r="B29" s="4" t="s">
        <v>108</v>
      </c>
      <c r="C29" s="1"/>
      <c r="D29" s="1"/>
      <c r="E29" s="1"/>
      <c r="F29" s="1"/>
      <c r="G29" s="1"/>
      <c r="H29" s="25">
        <f>IFERROR(H28/C28-1,"n/m")</f>
        <v>0.02810304449648693</v>
      </c>
      <c r="I29" s="25">
        <f>IFERROR(I28/D28-1,"n/m")</f>
        <v>0.04514672686230248</v>
      </c>
      <c r="J29" s="40" t="s">
        <v>48</v>
      </c>
      <c r="K29" s="1"/>
    </row>
    <row r="30">
      <c r="A30" s="1"/>
      <c r="B30" s="4" t="s">
        <v>71</v>
      </c>
      <c r="C30" s="1"/>
      <c r="D30" s="34">
        <f>D28-C28</f>
        <v>1.5999999999999943</v>
      </c>
      <c r="E30" s="34">
        <f>E28-D28</f>
        <v>0.5</v>
      </c>
      <c r="F30" s="34">
        <f>F28-E28</f>
        <v>0.5</v>
      </c>
      <c r="G30" s="1"/>
      <c r="H30" s="34">
        <f>H28-F28</f>
        <v>-1.3999999999999986</v>
      </c>
      <c r="I30" s="34">
        <f>I28-H28</f>
        <v>2.3999999999999986</v>
      </c>
      <c r="J30" s="40" t="s">
        <v>48</v>
      </c>
      <c r="K30" s="1"/>
    </row>
    <row r="31">
      <c r="A31" s="1"/>
      <c r="B31" s="1" t="s">
        <v>141</v>
      </c>
      <c r="C31" s="28">
        <v>17.2</v>
      </c>
      <c r="D31" s="28">
        <v>17.9</v>
      </c>
      <c r="E31" s="28">
        <v>18.4</v>
      </c>
      <c r="F31" s="28">
        <v>17.7</v>
      </c>
      <c r="G31" s="21">
        <f>SUM(C31:F31)</f>
        <v>71.19999999999999</v>
      </c>
      <c r="H31" s="28">
        <v>18.6</v>
      </c>
      <c r="I31" s="28">
        <v>20.1</v>
      </c>
      <c r="J31" s="61" t="s">
        <v>48</v>
      </c>
      <c r="K31" s="1"/>
    </row>
    <row r="32">
      <c r="A32" s="1"/>
      <c r="B32" s="4" t="s">
        <v>108</v>
      </c>
      <c r="C32" s="1"/>
      <c r="D32" s="1"/>
      <c r="E32" s="1"/>
      <c r="F32" s="1"/>
      <c r="G32" s="1"/>
      <c r="H32" s="25">
        <f>IFERROR(H31/C31-1,"n/m")</f>
        <v>0.08139534883720945</v>
      </c>
      <c r="I32" s="25">
        <f>IFERROR(I31/D31-1,"n/m")</f>
        <v>0.1229050279329611</v>
      </c>
      <c r="J32" s="40" t="s">
        <v>48</v>
      </c>
      <c r="K32" s="1"/>
    </row>
    <row r="33">
      <c r="A33" s="1"/>
      <c r="B33" s="4" t="s">
        <v>71</v>
      </c>
      <c r="C33" s="1"/>
      <c r="D33" s="34">
        <f>D31-C31</f>
        <v>0.6999999999999993</v>
      </c>
      <c r="E33" s="34">
        <f>E31-D31</f>
        <v>0.5</v>
      </c>
      <c r="F33" s="34">
        <f>F31-E31</f>
        <v>-0.6999999999999993</v>
      </c>
      <c r="G33" s="1"/>
      <c r="H33" s="34">
        <f>H31-F31</f>
        <v>0.9000000000000021</v>
      </c>
      <c r="I33" s="34">
        <f>I31-H31</f>
        <v>1.5</v>
      </c>
      <c r="J33" s="40" t="s">
        <v>48</v>
      </c>
      <c r="K33" s="1"/>
    </row>
    <row r="34">
      <c r="A34" s="1"/>
      <c r="B34" s="1" t="s">
        <v>142</v>
      </c>
      <c r="C34" s="70">
        <f>C37/C25</f>
        <v>11.188222923238698</v>
      </c>
      <c r="D34" s="70">
        <f>D37/D25</f>
        <v>10.493583415597236</v>
      </c>
      <c r="E34" s="70">
        <f>E37/E25</f>
        <v>10.486641221374047</v>
      </c>
      <c r="F34" s="70">
        <f>F37/F25</f>
        <v>10.260416666666666</v>
      </c>
      <c r="G34" s="70">
        <f>G37/G25</f>
        <v>10.58597502401537</v>
      </c>
      <c r="H34" s="70">
        <f>H37/H25</f>
        <v>11.213546566321732</v>
      </c>
      <c r="I34" s="70">
        <f>I37/I25</f>
        <v>10.453752181500873</v>
      </c>
      <c r="J34" s="62">
        <v>10.45</v>
      </c>
      <c r="K34" s="1"/>
    </row>
    <row r="35">
      <c r="A35" s="1"/>
      <c r="B35" s="4" t="s">
        <v>108</v>
      </c>
      <c r="C35" s="1"/>
      <c r="D35" s="1"/>
      <c r="E35" s="1"/>
      <c r="F35" s="1"/>
      <c r="G35" s="1"/>
      <c r="H35" s="25">
        <f>IFERROR(H34/C34-1,"n/m")</f>
        <v>0.002263419602628325</v>
      </c>
      <c r="I35" s="25">
        <f>IFERROR(I34/D34-1,"n/m")</f>
        <v>-0.0037957704740936293</v>
      </c>
      <c r="J35" s="33">
        <f>IFERROR(J34/E34-1,"n/m")</f>
        <v>-0.003494085532302238</v>
      </c>
      <c r="K35" s="1"/>
    </row>
    <row r="36">
      <c r="A36" s="1"/>
      <c r="B36" s="4" t="s">
        <v>71</v>
      </c>
      <c r="C36" s="1"/>
      <c r="D36" s="34">
        <f>D34-C34</f>
        <v>-0.6946395076414618</v>
      </c>
      <c r="E36" s="34">
        <f>E34-D34</f>
        <v>-0.006942194223189091</v>
      </c>
      <c r="F36" s="34">
        <f>F34-E34</f>
        <v>-0.22622455470738068</v>
      </c>
      <c r="G36" s="1"/>
      <c r="H36" s="34">
        <f>H34-F34</f>
        <v>0.9531298996550657</v>
      </c>
      <c r="I36" s="34">
        <f>I34-H34</f>
        <v>-0.759794384820859</v>
      </c>
      <c r="J36" s="39">
        <f>J34-I34</f>
        <v>-0.0037521815008734194</v>
      </c>
      <c r="K36" s="1"/>
    </row>
    <row r="37">
      <c r="A37" s="1"/>
      <c r="B37" s="1" t="s">
        <v>143</v>
      </c>
      <c r="C37" s="28">
        <v>1064</v>
      </c>
      <c r="D37" s="28">
        <v>1063</v>
      </c>
      <c r="E37" s="28">
        <v>1099</v>
      </c>
      <c r="F37" s="28">
        <v>1182</v>
      </c>
      <c r="G37" s="21">
        <f>SUM(C37:F37)</f>
        <v>4408</v>
      </c>
      <c r="H37" s="28">
        <v>1192</v>
      </c>
      <c r="I37" s="28">
        <v>1198</v>
      </c>
      <c r="J37" s="29">
        <f>J25*J34</f>
        <v>1226.83</v>
      </c>
      <c r="K37" s="1"/>
    </row>
    <row r="38">
      <c r="A38" s="1"/>
      <c r="B38" s="4" t="s">
        <v>70</v>
      </c>
      <c r="C38" s="1"/>
      <c r="D38" s="1"/>
      <c r="E38" s="1"/>
      <c r="F38" s="1"/>
      <c r="G38" s="1"/>
      <c r="H38" s="25">
        <f>IFERROR(H37/C37-1,"n/m")</f>
        <v>0.12030075187969924</v>
      </c>
      <c r="I38" s="25">
        <f>IFERROR(I37/D37-1,"n/m")</f>
        <v>0.12699905926622757</v>
      </c>
      <c r="J38" s="33">
        <f>IFERROR(J37/E37-1,"n/m")</f>
        <v>0.11631483166515011</v>
      </c>
      <c r="K38" s="1"/>
    </row>
    <row r="39">
      <c r="A39" s="1"/>
      <c r="B39" s="4" t="s">
        <v>71</v>
      </c>
      <c r="C39" s="1"/>
      <c r="D39" s="34">
        <f>D37-C37</f>
        <v>-1</v>
      </c>
      <c r="E39" s="34">
        <f>E37-D37</f>
        <v>36</v>
      </c>
      <c r="F39" s="34">
        <f>F37-E37</f>
        <v>83</v>
      </c>
      <c r="G39" s="1"/>
      <c r="H39" s="34">
        <f>H37-F37</f>
        <v>10</v>
      </c>
      <c r="I39" s="34">
        <f>I37-H37</f>
        <v>6</v>
      </c>
      <c r="J39" s="39">
        <f>J37-I37</f>
        <v>28.829999999999927</v>
      </c>
      <c r="K39" s="1"/>
    </row>
    <row r="40">
      <c r="A40" s="1"/>
      <c r="B40" s="4" t="s">
        <v>74</v>
      </c>
      <c r="C40" s="1"/>
      <c r="D40" s="1"/>
      <c r="E40" s="1"/>
      <c r="F40" s="1"/>
      <c r="G40" s="1"/>
      <c r="H40" s="30" t="s">
        <v>48</v>
      </c>
      <c r="I40" s="30" t="s">
        <v>48</v>
      </c>
      <c r="J40" s="40" t="s">
        <v>48</v>
      </c>
      <c r="K40" s="24" t="s">
        <v>137</v>
      </c>
    </row>
    <row r="41">
      <c r="A41" s="1"/>
      <c r="B41" s="4" t="s">
        <v>76</v>
      </c>
      <c r="C41" s="1"/>
      <c r="D41" s="1"/>
      <c r="E41" s="1"/>
      <c r="F41" s="1"/>
      <c r="G41" s="1"/>
      <c r="H41" s="30" t="s">
        <v>48</v>
      </c>
      <c r="I41" s="30" t="s">
        <v>48</v>
      </c>
      <c r="J41" s="40" t="s">
        <v>48</v>
      </c>
      <c r="K41" s="24" t="s">
        <v>137</v>
      </c>
    </row>
    <row r="42" ht="27.75">
      <c r="A42" s="1"/>
      <c r="B42" s="4" t="s">
        <v>77</v>
      </c>
      <c r="C42" s="1"/>
      <c r="D42" s="1"/>
      <c r="E42" s="1"/>
      <c r="F42" s="1"/>
      <c r="G42" s="1"/>
      <c r="H42" s="30" t="s">
        <v>48</v>
      </c>
      <c r="I42" s="30" t="s">
        <v>48</v>
      </c>
      <c r="J42" s="40" t="s">
        <v>48</v>
      </c>
      <c r="K42" s="112" t="s">
        <v>78</v>
      </c>
    </row>
    <row r="43">
      <c r="A43" s="1"/>
      <c r="B43" s="22" t="s">
        <v>144</v>
      </c>
      <c r="C43" s="27">
        <f>C19+C37</f>
        <v>3929</v>
      </c>
      <c r="D43" s="27">
        <f>D19+D37</f>
        <v>4012</v>
      </c>
      <c r="E43" s="27">
        <f>E19+E37</f>
        <v>4220</v>
      </c>
      <c r="F43" s="27">
        <f>F19+F37</f>
        <v>4485</v>
      </c>
      <c r="G43" s="27">
        <f>G19+G37</f>
        <v>16646</v>
      </c>
      <c r="H43" s="27">
        <f>H19+H37</f>
        <v>4616</v>
      </c>
      <c r="I43" s="27">
        <f>I19+I37</f>
        <v>4739</v>
      </c>
      <c r="J43" s="32">
        <f>J19+J37</f>
        <v>4856.986164383562</v>
      </c>
      <c r="K43" s="1"/>
    </row>
    <row r="44">
      <c r="A44" s="1"/>
      <c r="B44" s="4" t="s">
        <v>70</v>
      </c>
      <c r="C44" s="1"/>
      <c r="D44" s="1"/>
      <c r="E44" s="1"/>
      <c r="F44" s="1"/>
      <c r="G44" s="1"/>
      <c r="H44" s="25">
        <f>IFERROR(H43/C43-1,"n/m")</f>
        <v>0.17485365232883687</v>
      </c>
      <c r="I44" s="25">
        <f>IFERROR(I43/D43-1,"n/m")</f>
        <v>0.1812063808574278</v>
      </c>
      <c r="J44" s="33">
        <f>IFERROR(J43/E43-1,"n/m")</f>
        <v>0.15094458871648397</v>
      </c>
      <c r="K44" s="1"/>
    </row>
    <row r="45">
      <c r="A45" s="1"/>
      <c r="B45" s="4" t="s">
        <v>71</v>
      </c>
      <c r="C45" s="1"/>
      <c r="D45" s="34">
        <f>D43-C43</f>
        <v>83</v>
      </c>
      <c r="E45" s="34">
        <f>E43-D43</f>
        <v>208</v>
      </c>
      <c r="F45" s="34">
        <f>F43-E43</f>
        <v>265</v>
      </c>
      <c r="G45" s="1"/>
      <c r="H45" s="34">
        <f>H43-F43</f>
        <v>131</v>
      </c>
      <c r="I45" s="34">
        <f>I43-H43</f>
        <v>123</v>
      </c>
      <c r="J45" s="39">
        <f>J43-I43</f>
        <v>117.98616438356203</v>
      </c>
      <c r="K45" s="1"/>
    </row>
    <row r="46">
      <c r="A46" s="1"/>
      <c r="B46" s="4" t="s">
        <v>74</v>
      </c>
      <c r="C46" s="1"/>
      <c r="D46" s="1"/>
      <c r="E46" s="1"/>
      <c r="F46" s="1"/>
      <c r="G46" s="1"/>
      <c r="H46" s="30" t="s">
        <v>48</v>
      </c>
      <c r="I46" s="30" t="s">
        <v>48</v>
      </c>
      <c r="J46" s="40" t="s">
        <v>48</v>
      </c>
      <c r="K46" s="24" t="s">
        <v>137</v>
      </c>
    </row>
    <row r="47">
      <c r="A47" s="1"/>
      <c r="B47" s="4" t="s">
        <v>76</v>
      </c>
      <c r="C47" s="1"/>
      <c r="D47" s="1"/>
      <c r="E47" s="1"/>
      <c r="F47" s="1"/>
      <c r="G47" s="1"/>
      <c r="H47" s="30" t="s">
        <v>48</v>
      </c>
      <c r="I47" s="30" t="s">
        <v>48</v>
      </c>
      <c r="J47" s="40" t="s">
        <v>48</v>
      </c>
      <c r="K47" s="24" t="s">
        <v>137</v>
      </c>
    </row>
    <row r="48" ht="27.75">
      <c r="A48" s="1"/>
      <c r="B48" s="4" t="s">
        <v>77</v>
      </c>
      <c r="C48" s="1"/>
      <c r="D48" s="1"/>
      <c r="E48" s="1"/>
      <c r="F48" s="1"/>
      <c r="G48" s="1"/>
      <c r="H48" s="30" t="s">
        <v>48</v>
      </c>
      <c r="I48" s="30" t="s">
        <v>48</v>
      </c>
      <c r="J48" s="40" t="s">
        <v>48</v>
      </c>
      <c r="K48" s="112" t="s">
        <v>78</v>
      </c>
    </row>
    <row r="49">
      <c r="A49" s="1"/>
      <c r="B49" s="22" t="s">
        <v>145</v>
      </c>
      <c r="C49" s="1"/>
      <c r="D49" s="1"/>
      <c r="E49" s="1"/>
      <c r="F49" s="1"/>
      <c r="G49" s="1"/>
      <c r="H49" s="1"/>
      <c r="I49" s="1"/>
      <c r="J49" s="31"/>
      <c r="K49" s="1"/>
    </row>
    <row r="50">
      <c r="A50" s="1"/>
      <c r="B50" s="1" t="s">
        <v>129</v>
      </c>
      <c r="C50" s="1"/>
      <c r="D50" s="21">
        <f>C52</f>
        <v>136</v>
      </c>
      <c r="E50" s="21">
        <f>D52</f>
        <v>144</v>
      </c>
      <c r="F50" s="21">
        <f>E52</f>
        <v>149</v>
      </c>
      <c r="G50" s="1"/>
      <c r="H50" s="21">
        <f>F52</f>
        <v>155</v>
      </c>
      <c r="I50" s="21">
        <f>H52</f>
        <v>149</v>
      </c>
      <c r="J50" s="29">
        <f>I52</f>
        <v>165</v>
      </c>
      <c r="K50" s="1"/>
    </row>
    <row r="51">
      <c r="A51" s="1"/>
      <c r="B51" s="1" t="s">
        <v>130</v>
      </c>
      <c r="C51" s="1"/>
      <c r="D51" s="21">
        <f>D52-D50</f>
        <v>8</v>
      </c>
      <c r="E51" s="21">
        <f>E52-E50</f>
        <v>5</v>
      </c>
      <c r="F51" s="21">
        <f>F52-F50</f>
        <v>6</v>
      </c>
      <c r="G51" s="1"/>
      <c r="H51" s="21">
        <f>H52-H50</f>
        <v>-6</v>
      </c>
      <c r="I51" s="21">
        <f>I52-I50</f>
        <v>16</v>
      </c>
      <c r="J51" s="55">
        <v>0</v>
      </c>
      <c r="K51" s="24" t="s">
        <v>131</v>
      </c>
    </row>
    <row r="52">
      <c r="A52" s="1"/>
      <c r="B52" s="22" t="s">
        <v>146</v>
      </c>
      <c r="C52" s="47">
        <v>136</v>
      </c>
      <c r="D52" s="47">
        <v>144</v>
      </c>
      <c r="E52" s="47">
        <v>149</v>
      </c>
      <c r="F52" s="47">
        <v>155</v>
      </c>
      <c r="G52" s="27">
        <f>SUMPRODUCT(C52:F52,C$8:F$8)/G$8</f>
        <v>146.06027397260274</v>
      </c>
      <c r="H52" s="47">
        <v>149</v>
      </c>
      <c r="I52" s="47">
        <v>165</v>
      </c>
      <c r="J52" s="32">
        <f>J50+J51</f>
        <v>165</v>
      </c>
      <c r="K52" s="1"/>
    </row>
    <row r="53">
      <c r="A53" s="1"/>
      <c r="B53" s="4" t="s">
        <v>108</v>
      </c>
      <c r="C53" s="1"/>
      <c r="D53" s="1"/>
      <c r="E53" s="1"/>
      <c r="F53" s="1"/>
      <c r="G53" s="1"/>
      <c r="H53" s="25">
        <f>IFERROR(H52/C52-1,"n/m")</f>
        <v>0.09558823529411775</v>
      </c>
      <c r="I53" s="25">
        <f>IFERROR(I52/D52-1,"n/m")</f>
        <v>0.14583333333333326</v>
      </c>
      <c r="J53" s="33">
        <f>IFERROR(J52/E52-1,"n/m")</f>
        <v>0.10738255033557054</v>
      </c>
      <c r="K53" s="1"/>
    </row>
    <row r="54">
      <c r="A54" s="1"/>
      <c r="B54" s="4" t="s">
        <v>71</v>
      </c>
      <c r="C54" s="1"/>
      <c r="D54" s="34">
        <f>D52-C52</f>
        <v>8</v>
      </c>
      <c r="E54" s="34">
        <f>E52-D52</f>
        <v>5</v>
      </c>
      <c r="F54" s="34">
        <f>F52-E52</f>
        <v>6</v>
      </c>
      <c r="G54" s="1"/>
      <c r="H54" s="34">
        <f>H52-F52</f>
        <v>-6</v>
      </c>
      <c r="I54" s="34">
        <f>I52-H52</f>
        <v>16</v>
      </c>
      <c r="J54" s="39">
        <f>J52-I52</f>
        <v>0</v>
      </c>
      <c r="K54" s="1"/>
    </row>
    <row r="55">
      <c r="A55" s="1"/>
      <c r="B55" s="4" t="s">
        <v>147</v>
      </c>
      <c r="C55" s="58">
        <f>C58/(C52*1000)*365/C8</f>
        <v>0.018876225490196078</v>
      </c>
      <c r="D55" s="58">
        <f>D58/(D52*1000)*365/D8</f>
        <v>0.01896863553113553</v>
      </c>
      <c r="E55" s="58">
        <f>E58/(E52*1000)*365/E8</f>
        <v>0.018692004668806536</v>
      </c>
      <c r="F55" s="58">
        <f>F58/(F52*1000)*365/F8</f>
        <v>0.019120266479663396</v>
      </c>
      <c r="G55" s="58">
        <f>G58/(G52*1000)*365/G8</f>
        <v>0.018916847989195677</v>
      </c>
      <c r="H55" s="58">
        <f>H58/(H52*1000)*365/H8</f>
        <v>0.019570096942580165</v>
      </c>
      <c r="I55" s="58">
        <f>I58/(I52*1000)*365/I8</f>
        <v>0.01823176823176823</v>
      </c>
      <c r="J55" s="78">
        <v>0.018</v>
      </c>
      <c r="K55" s="1"/>
    </row>
    <row r="56">
      <c r="A56" s="1"/>
      <c r="B56" s="4" t="s">
        <v>114</v>
      </c>
      <c r="C56" s="1"/>
      <c r="D56" s="1"/>
      <c r="E56" s="1"/>
      <c r="F56" s="1"/>
      <c r="G56" s="1"/>
      <c r="H56" s="54">
        <f>(H55-C55)*10000</f>
        <v>6.938714523840872</v>
      </c>
      <c r="I56" s="54">
        <f>(I55-D55)*10000</f>
        <v>-7.368672993673004</v>
      </c>
      <c r="J56" s="57">
        <f>(J55-E55)*10000</f>
        <v>-6.920046688065375</v>
      </c>
      <c r="K56" s="1"/>
    </row>
    <row r="57">
      <c r="A57" s="1"/>
      <c r="B57" s="4" t="s">
        <v>115</v>
      </c>
      <c r="C57" s="1"/>
      <c r="D57" s="54">
        <f>(D55-C55)*10000</f>
        <v>0.9241004093945084</v>
      </c>
      <c r="E57" s="54">
        <f>(E55-D55)*10000</f>
        <v>-2.7663086232899285</v>
      </c>
      <c r="F57" s="54">
        <f>(F55-E55)*10000</f>
        <v>4.282618108568601</v>
      </c>
      <c r="G57" s="1"/>
      <c r="H57" s="54">
        <f>(H55-F55)*10000</f>
        <v>4.498304629167691</v>
      </c>
      <c r="I57" s="54">
        <f>(I55-H55)*10000</f>
        <v>-13.383287108119369</v>
      </c>
      <c r="J57" s="57">
        <f>(J55-I55)*10000</f>
        <v>-2.3176823176822987</v>
      </c>
      <c r="K57" s="1"/>
    </row>
    <row r="58">
      <c r="A58" s="1"/>
      <c r="B58" s="1" t="s">
        <v>148</v>
      </c>
      <c r="C58" s="28">
        <v>633</v>
      </c>
      <c r="D58" s="28">
        <v>681</v>
      </c>
      <c r="E58" s="28">
        <v>702</v>
      </c>
      <c r="F58" s="28">
        <v>747</v>
      </c>
      <c r="G58" s="21">
        <f>SUM(C58:F58)</f>
        <v>2763</v>
      </c>
      <c r="H58" s="28">
        <v>719</v>
      </c>
      <c r="I58" s="28">
        <v>750</v>
      </c>
      <c r="J58" s="29">
        <f>J52*1000*J55*J8/365</f>
        <v>748.6027397260274</v>
      </c>
      <c r="K58" s="1"/>
    </row>
    <row r="59">
      <c r="A59" s="1"/>
      <c r="B59" s="4" t="s">
        <v>70</v>
      </c>
      <c r="C59" s="1"/>
      <c r="D59" s="1"/>
      <c r="E59" s="1"/>
      <c r="F59" s="1"/>
      <c r="G59" s="1"/>
      <c r="H59" s="25">
        <f>IFERROR(H58/C58-1,"n/m")</f>
        <v>0.13586097946287512</v>
      </c>
      <c r="I59" s="25">
        <f>IFERROR(I58/D58-1,"n/m")</f>
        <v>0.1013215859030836</v>
      </c>
      <c r="J59" s="33">
        <f>IFERROR(J58/E58-1,"n/m")</f>
        <v>0.06638566912539523</v>
      </c>
      <c r="K59" s="1"/>
    </row>
    <row r="60">
      <c r="A60" s="1"/>
      <c r="B60" s="4" t="s">
        <v>71</v>
      </c>
      <c r="C60" s="1"/>
      <c r="D60" s="34">
        <f>D58-C58</f>
        <v>48</v>
      </c>
      <c r="E60" s="34">
        <f>E58-D58</f>
        <v>21</v>
      </c>
      <c r="F60" s="34">
        <f>F58-E58</f>
        <v>45</v>
      </c>
      <c r="G60" s="1"/>
      <c r="H60" s="34">
        <f>H58-F58</f>
        <v>-28</v>
      </c>
      <c r="I60" s="34">
        <f>I58-H58</f>
        <v>31</v>
      </c>
      <c r="J60" s="39">
        <f>J58-I58</f>
        <v>-1.3972602739726199</v>
      </c>
      <c r="K60" s="1"/>
    </row>
    <row r="61">
      <c r="A61" s="1"/>
      <c r="B61" s="4" t="s">
        <v>74</v>
      </c>
      <c r="C61" s="1"/>
      <c r="D61" s="1"/>
      <c r="E61" s="1"/>
      <c r="F61" s="1"/>
      <c r="G61" s="1"/>
      <c r="H61" s="30" t="s">
        <v>48</v>
      </c>
      <c r="I61" s="30" t="s">
        <v>48</v>
      </c>
      <c r="J61" s="40" t="s">
        <v>48</v>
      </c>
      <c r="K61" s="24" t="s">
        <v>137</v>
      </c>
    </row>
    <row r="62">
      <c r="A62" s="1"/>
      <c r="B62" s="4" t="s">
        <v>76</v>
      </c>
      <c r="C62" s="1"/>
      <c r="D62" s="1"/>
      <c r="E62" s="1"/>
      <c r="F62" s="1"/>
      <c r="G62" s="1"/>
      <c r="H62" s="30" t="s">
        <v>48</v>
      </c>
      <c r="I62" s="30" t="s">
        <v>48</v>
      </c>
      <c r="J62" s="40" t="s">
        <v>48</v>
      </c>
      <c r="K62" s="24" t="s">
        <v>137</v>
      </c>
    </row>
    <row r="63" ht="27.75">
      <c r="A63" s="1"/>
      <c r="B63" s="4" t="s">
        <v>77</v>
      </c>
      <c r="C63" s="1"/>
      <c r="D63" s="1"/>
      <c r="E63" s="1"/>
      <c r="F63" s="1"/>
      <c r="G63" s="1"/>
      <c r="H63" s="30" t="s">
        <v>48</v>
      </c>
      <c r="I63" s="30" t="s">
        <v>48</v>
      </c>
      <c r="J63" s="40" t="s">
        <v>48</v>
      </c>
      <c r="K63" s="112" t="s">
        <v>78</v>
      </c>
    </row>
    <row r="64">
      <c r="A64" s="1"/>
      <c r="B64" s="1" t="s">
        <v>149</v>
      </c>
      <c r="C64" s="28">
        <v>26.1</v>
      </c>
      <c r="D64" s="28">
        <v>28.2</v>
      </c>
      <c r="E64" s="28">
        <v>29.7</v>
      </c>
      <c r="F64" s="28">
        <v>31.4</v>
      </c>
      <c r="G64" s="21">
        <f>F64</f>
        <v>31.4</v>
      </c>
      <c r="H64" s="28">
        <v>31.6</v>
      </c>
      <c r="I64" s="28">
        <v>34.5</v>
      </c>
      <c r="J64" s="55">
        <v>35</v>
      </c>
      <c r="K64" s="1"/>
    </row>
    <row r="65">
      <c r="A65" s="1"/>
      <c r="B65" s="4" t="s">
        <v>108</v>
      </c>
      <c r="C65" s="1"/>
      <c r="D65" s="1"/>
      <c r="E65" s="1"/>
      <c r="F65" s="1"/>
      <c r="G65" s="1"/>
      <c r="H65" s="25">
        <f>IFERROR(H64/C64-1,"n/m")</f>
        <v>0.210727969348659</v>
      </c>
      <c r="I65" s="25">
        <f>IFERROR(I64/D64-1,"n/m")</f>
        <v>0.22340425531914887</v>
      </c>
      <c r="J65" s="33">
        <f>IFERROR(J64/E64-1,"n/m")</f>
        <v>0.17845117845117842</v>
      </c>
      <c r="K65" s="1"/>
    </row>
    <row r="66">
      <c r="A66" s="1"/>
      <c r="B66" s="4" t="s">
        <v>71</v>
      </c>
      <c r="C66" s="1"/>
      <c r="D66" s="34">
        <f>D64-C64</f>
        <v>2.099999999999998</v>
      </c>
      <c r="E66" s="34">
        <f>E64-D64</f>
        <v>1.5</v>
      </c>
      <c r="F66" s="34">
        <f>F64-E64</f>
        <v>1.6999999999999993</v>
      </c>
      <c r="G66" s="1"/>
      <c r="H66" s="34">
        <f>H64-F64</f>
        <v>0.20000000000000284</v>
      </c>
      <c r="I66" s="34">
        <f>I64-H64</f>
        <v>2.8999999999999986</v>
      </c>
      <c r="J66" s="39">
        <f>J64-I64</f>
        <v>0.5</v>
      </c>
      <c r="K66" s="1"/>
    </row>
    <row r="67" ht="27.75">
      <c r="A67" s="1"/>
      <c r="B67" s="1" t="s">
        <v>150</v>
      </c>
      <c r="C67" s="70">
        <f>C70*365/C8/(C64*1000000)*10000</f>
        <v>0.9975734355044699</v>
      </c>
      <c r="D67" s="70">
        <f>D70*365/D8/(D64*1000000)*10000</f>
        <v>1.048262021666277</v>
      </c>
      <c r="E67" s="70">
        <f>E70*365/E8/(E64*1000000)*10000</f>
        <v>1.0793441663006882</v>
      </c>
      <c r="F67" s="70">
        <f>F70*365/F8/(F64*1000000)*10000</f>
        <v>1.3140404320132926</v>
      </c>
      <c r="G67" s="70">
        <f>G70*365/G8/(G64*1000000)*10000</f>
        <v>1.0277070063694267</v>
      </c>
      <c r="H67" s="70">
        <f>H70*365/H8/(H64*1000000)*10000</f>
        <v>0.9856540084388186</v>
      </c>
      <c r="I67" s="70">
        <f>I70*365/I8/(I64*1000000)*10000</f>
        <v>1.0382067208154164</v>
      </c>
      <c r="J67" s="62">
        <v>1.03</v>
      </c>
      <c r="K67" s="111" t="s">
        <v>151</v>
      </c>
    </row>
    <row r="68">
      <c r="A68" s="1"/>
      <c r="B68" s="4" t="s">
        <v>108</v>
      </c>
      <c r="C68" s="1"/>
      <c r="D68" s="1"/>
      <c r="E68" s="1"/>
      <c r="F68" s="1"/>
      <c r="G68" s="1"/>
      <c r="H68" s="25">
        <f>IFERROR(H67/C67-1,"n/m")</f>
        <v>-0.011948420679048777</v>
      </c>
      <c r="I68" s="25">
        <f>IFERROR(I67/D67-1,"n/m")</f>
        <v>-0.009592354433366812</v>
      </c>
      <c r="J68" s="33">
        <f>IFERROR(J67/E67-1,"n/m")</f>
        <v>-0.0457168045571682</v>
      </c>
      <c r="K68" s="1"/>
    </row>
    <row r="69">
      <c r="A69" s="1"/>
      <c r="B69" s="4" t="s">
        <v>71</v>
      </c>
      <c r="C69" s="1"/>
      <c r="D69" s="34">
        <f>D67-C67</f>
        <v>0.05068858616180716</v>
      </c>
      <c r="E69" s="34">
        <f>E67-D67</f>
        <v>0.03108214463441117</v>
      </c>
      <c r="F69" s="34">
        <f>F67-E67</f>
        <v>0.23469626571260438</v>
      </c>
      <c r="G69" s="1"/>
      <c r="H69" s="34">
        <f>H67-F67</f>
        <v>-0.328386423574474</v>
      </c>
      <c r="I69" s="34">
        <f>I67-H67</f>
        <v>0.052552712376597865</v>
      </c>
      <c r="J69" s="39">
        <f>J67-I67</f>
        <v>-0.008206720815416402</v>
      </c>
      <c r="K69" s="1"/>
    </row>
    <row r="70">
      <c r="A70" s="1"/>
      <c r="B70" s="1" t="s">
        <v>152</v>
      </c>
      <c r="C70" s="28">
        <v>642</v>
      </c>
      <c r="D70" s="28">
        <v>737</v>
      </c>
      <c r="E70" s="28">
        <v>808</v>
      </c>
      <c r="F70" s="28">
        <v>1040</v>
      </c>
      <c r="G70" s="21">
        <f>SUM(C70:F70)</f>
        <v>3227</v>
      </c>
      <c r="H70" s="28">
        <v>768</v>
      </c>
      <c r="I70" s="28">
        <v>893</v>
      </c>
      <c r="J70" s="29">
        <f>J64*1000000*J67/10000*J8/365</f>
        <v>908.6575342465753</v>
      </c>
      <c r="K70" s="24" t="s">
        <v>153</v>
      </c>
    </row>
    <row r="71">
      <c r="A71" s="1"/>
      <c r="B71" s="4" t="s">
        <v>70</v>
      </c>
      <c r="C71" s="1"/>
      <c r="D71" s="1"/>
      <c r="E71" s="1"/>
      <c r="F71" s="1"/>
      <c r="G71" s="1"/>
      <c r="H71" s="25">
        <f>IFERROR(H70/C70-1,"n/m")</f>
        <v>0.19626168224299056</v>
      </c>
      <c r="I71" s="25">
        <f>IFERROR(I70/D70-1,"n/m")</f>
        <v>0.21166892808683846</v>
      </c>
      <c r="J71" s="33">
        <f>IFERROR(J70/E70-1,"n/m")</f>
        <v>0.12457615624576146</v>
      </c>
      <c r="K71" s="1"/>
    </row>
    <row r="72">
      <c r="A72" s="1"/>
      <c r="B72" s="4" t="s">
        <v>71</v>
      </c>
      <c r="C72" s="1"/>
      <c r="D72" s="34">
        <f>D70-C70</f>
        <v>95</v>
      </c>
      <c r="E72" s="34">
        <f>E70-D70</f>
        <v>71</v>
      </c>
      <c r="F72" s="34">
        <f>F70-E70</f>
        <v>232</v>
      </c>
      <c r="G72" s="1"/>
      <c r="H72" s="34">
        <f>H70-F70</f>
        <v>-272</v>
      </c>
      <c r="I72" s="34">
        <f>I70-H70</f>
        <v>125</v>
      </c>
      <c r="J72" s="39">
        <f>J70-I70</f>
        <v>15.657534246575324</v>
      </c>
      <c r="K72" s="1"/>
    </row>
    <row r="73">
      <c r="A73" s="1"/>
      <c r="B73" s="4" t="s">
        <v>74</v>
      </c>
      <c r="C73" s="1"/>
      <c r="D73" s="1"/>
      <c r="E73" s="1"/>
      <c r="F73" s="1"/>
      <c r="G73" s="1"/>
      <c r="H73" s="30" t="s">
        <v>48</v>
      </c>
      <c r="I73" s="30" t="s">
        <v>48</v>
      </c>
      <c r="J73" s="40" t="s">
        <v>48</v>
      </c>
      <c r="K73" s="24" t="s">
        <v>137</v>
      </c>
    </row>
    <row r="74">
      <c r="A74" s="1"/>
      <c r="B74" s="4" t="s">
        <v>76</v>
      </c>
      <c r="C74" s="1"/>
      <c r="D74" s="1"/>
      <c r="E74" s="1"/>
      <c r="F74" s="1"/>
      <c r="G74" s="1"/>
      <c r="H74" s="30" t="s">
        <v>48</v>
      </c>
      <c r="I74" s="30" t="s">
        <v>48</v>
      </c>
      <c r="J74" s="40" t="s">
        <v>48</v>
      </c>
      <c r="K74" s="24" t="s">
        <v>137</v>
      </c>
    </row>
    <row r="75" ht="27.75">
      <c r="A75" s="1"/>
      <c r="B75" s="4" t="s">
        <v>77</v>
      </c>
      <c r="C75" s="1"/>
      <c r="D75" s="1"/>
      <c r="E75" s="1"/>
      <c r="F75" s="1"/>
      <c r="G75" s="1"/>
      <c r="H75" s="30" t="s">
        <v>48</v>
      </c>
      <c r="I75" s="30" t="s">
        <v>48</v>
      </c>
      <c r="J75" s="40" t="s">
        <v>48</v>
      </c>
      <c r="K75" s="112" t="s">
        <v>78</v>
      </c>
    </row>
    <row r="76">
      <c r="A76" s="1"/>
      <c r="B76" s="22" t="s">
        <v>154</v>
      </c>
      <c r="C76" s="27">
        <f>C58+C70</f>
        <v>1275</v>
      </c>
      <c r="D76" s="27">
        <f>D58+D70</f>
        <v>1418</v>
      </c>
      <c r="E76" s="27">
        <f>E58+E70</f>
        <v>1510</v>
      </c>
      <c r="F76" s="27">
        <f>F58+F70</f>
        <v>1787</v>
      </c>
      <c r="G76" s="27">
        <f>G58+G70</f>
        <v>5990</v>
      </c>
      <c r="H76" s="27">
        <f>H58+H70</f>
        <v>1487</v>
      </c>
      <c r="I76" s="27">
        <f>I58+I70</f>
        <v>1643</v>
      </c>
      <c r="J76" s="32">
        <f>J58+J70</f>
        <v>1657.2602739726026</v>
      </c>
      <c r="K76" s="1"/>
    </row>
    <row r="77">
      <c r="A77" s="1"/>
      <c r="B77" s="4" t="s">
        <v>70</v>
      </c>
      <c r="C77" s="1"/>
      <c r="D77" s="1"/>
      <c r="E77" s="1"/>
      <c r="F77" s="1"/>
      <c r="G77" s="1"/>
      <c r="H77" s="25">
        <f>IFERROR(H76/C76-1,"n/m")</f>
        <v>0.16627450980392156</v>
      </c>
      <c r="I77" s="25">
        <f>IFERROR(I76/D76-1,"n/m")</f>
        <v>0.15867418899858965</v>
      </c>
      <c r="J77" s="33">
        <f>IFERROR(J76/E76-1,"n/m")</f>
        <v>0.09752336024675667</v>
      </c>
      <c r="K77" s="1"/>
    </row>
    <row r="78">
      <c r="A78" s="1"/>
      <c r="B78" s="4" t="s">
        <v>71</v>
      </c>
      <c r="C78" s="1"/>
      <c r="D78" s="34">
        <f>D76-C76</f>
        <v>143</v>
      </c>
      <c r="E78" s="34">
        <f>E76-D76</f>
        <v>92</v>
      </c>
      <c r="F78" s="34">
        <f>F76-E76</f>
        <v>277</v>
      </c>
      <c r="G78" s="1"/>
      <c r="H78" s="34">
        <f>H76-F76</f>
        <v>-300</v>
      </c>
      <c r="I78" s="34">
        <f>I76-H76</f>
        <v>156</v>
      </c>
      <c r="J78" s="39">
        <f>J76-I76</f>
        <v>14.26027397260259</v>
      </c>
      <c r="K78" s="1"/>
    </row>
    <row r="79">
      <c r="A79" s="1"/>
      <c r="B79" s="4" t="s">
        <v>74</v>
      </c>
      <c r="C79" s="1"/>
      <c r="D79" s="1"/>
      <c r="E79" s="1"/>
      <c r="F79" s="1"/>
      <c r="G79" s="1"/>
      <c r="H79" s="30" t="s">
        <v>48</v>
      </c>
      <c r="I79" s="30" t="s">
        <v>48</v>
      </c>
      <c r="J79" s="40" t="s">
        <v>48</v>
      </c>
      <c r="K79" s="24" t="s">
        <v>137</v>
      </c>
    </row>
    <row r="80">
      <c r="A80" s="1"/>
      <c r="B80" s="4" t="s">
        <v>76</v>
      </c>
      <c r="C80" s="1"/>
      <c r="D80" s="1"/>
      <c r="E80" s="1"/>
      <c r="F80" s="1"/>
      <c r="G80" s="1"/>
      <c r="H80" s="30" t="s">
        <v>48</v>
      </c>
      <c r="I80" s="30" t="s">
        <v>48</v>
      </c>
      <c r="J80" s="40" t="s">
        <v>48</v>
      </c>
      <c r="K80" s="24" t="s">
        <v>137</v>
      </c>
    </row>
    <row r="81" ht="27.75">
      <c r="A81" s="1"/>
      <c r="B81" s="4" t="s">
        <v>77</v>
      </c>
      <c r="C81" s="1"/>
      <c r="D81" s="1"/>
      <c r="E81" s="1"/>
      <c r="F81" s="1"/>
      <c r="G81" s="1"/>
      <c r="H81" s="30" t="s">
        <v>48</v>
      </c>
      <c r="I81" s="30" t="s">
        <v>48</v>
      </c>
      <c r="J81" s="40" t="s">
        <v>48</v>
      </c>
      <c r="K81" s="112" t="s">
        <v>78</v>
      </c>
    </row>
    <row r="82">
      <c r="A82" s="1"/>
      <c r="B82" s="22" t="s">
        <v>155</v>
      </c>
      <c r="C82" s="1"/>
      <c r="D82" s="1"/>
      <c r="E82" s="1"/>
      <c r="F82" s="1"/>
      <c r="G82" s="1"/>
      <c r="H82" s="1"/>
      <c r="I82" s="1"/>
      <c r="J82" s="31"/>
      <c r="K82" s="1"/>
    </row>
    <row r="83">
      <c r="A83" s="1"/>
      <c r="B83" s="22" t="s">
        <v>156</v>
      </c>
      <c r="C83" s="27">
        <f>C43+C76</f>
        <v>5204</v>
      </c>
      <c r="D83" s="27">
        <f>D43+D76</f>
        <v>5430</v>
      </c>
      <c r="E83" s="27">
        <f>E43+E76</f>
        <v>5730</v>
      </c>
      <c r="F83" s="27">
        <f>F43+F76</f>
        <v>6272</v>
      </c>
      <c r="G83" s="27">
        <f>G43+G76</f>
        <v>22636</v>
      </c>
      <c r="H83" s="27">
        <f>H43+H76</f>
        <v>6103</v>
      </c>
      <c r="I83" s="27">
        <f>I43+I76</f>
        <v>6382</v>
      </c>
      <c r="J83" s="32">
        <f>J43+J76</f>
        <v>6514.246438356165</v>
      </c>
      <c r="K83" s="1"/>
    </row>
    <row r="84">
      <c r="A84" s="1"/>
      <c r="B84" s="4" t="s">
        <v>70</v>
      </c>
      <c r="C84" s="1"/>
      <c r="D84" s="1"/>
      <c r="E84" s="1"/>
      <c r="F84" s="1"/>
      <c r="G84" s="1"/>
      <c r="H84" s="25">
        <f>IFERROR(H83/C83-1,"n/m")</f>
        <v>0.17275172943889316</v>
      </c>
      <c r="I84" s="25">
        <f>IFERROR(I83/D83-1,"n/m")</f>
        <v>0.17532228360957647</v>
      </c>
      <c r="J84" s="33">
        <f>IFERROR(J83/E83-1,"n/m")</f>
        <v>0.13686674316861502</v>
      </c>
      <c r="K84" s="1"/>
    </row>
    <row r="85">
      <c r="A85" s="1"/>
      <c r="B85" s="4" t="s">
        <v>71</v>
      </c>
      <c r="C85" s="1"/>
      <c r="D85" s="34">
        <f>D83-C83</f>
        <v>226</v>
      </c>
      <c r="E85" s="34">
        <f>E83-D83</f>
        <v>300</v>
      </c>
      <c r="F85" s="34">
        <f>F83-E83</f>
        <v>542</v>
      </c>
      <c r="G85" s="1"/>
      <c r="H85" s="34">
        <f>H83-F83</f>
        <v>-169</v>
      </c>
      <c r="I85" s="34">
        <f>I83-H83</f>
        <v>279</v>
      </c>
      <c r="J85" s="39">
        <f>J83-I83</f>
        <v>132.24643835616462</v>
      </c>
      <c r="K85" s="1"/>
    </row>
    <row r="86">
      <c r="A86" s="1"/>
      <c r="B86" s="4" t="s">
        <v>72</v>
      </c>
      <c r="C86" s="1"/>
      <c r="D86" s="25">
        <f>IFERROR(D83/C83-1,"n/m")</f>
        <v>0.043428132205995285</v>
      </c>
      <c r="E86" s="25">
        <f>IFERROR(E83/D83-1,"n/m")</f>
        <v>0.05524861878453047</v>
      </c>
      <c r="F86" s="25">
        <f>IFERROR(F83/E83-1,"n/m")</f>
        <v>0.09458987783595108</v>
      </c>
      <c r="G86" s="1"/>
      <c r="H86" s="25">
        <f>IFERROR(H83/F83-1,"n/m")</f>
        <v>-0.02694515306122447</v>
      </c>
      <c r="I86" s="25">
        <f>IFERROR(I83/H83-1,"n/m")</f>
        <v>0.045715222021956325</v>
      </c>
      <c r="J86" s="33">
        <f>IFERROR(J83/I83-1,"n/m")</f>
        <v>0.020721786016321575</v>
      </c>
      <c r="K86" s="1"/>
    </row>
    <row r="87">
      <c r="A87" s="1"/>
      <c r="B87" s="4" t="s">
        <v>74</v>
      </c>
      <c r="C87" s="1"/>
      <c r="D87" s="1"/>
      <c r="E87" s="1"/>
      <c r="F87" s="1"/>
      <c r="G87" s="1"/>
      <c r="H87" s="30" t="s">
        <v>48</v>
      </c>
      <c r="I87" s="30" t="s">
        <v>48</v>
      </c>
      <c r="J87" s="40" t="s">
        <v>48</v>
      </c>
      <c r="K87" s="24" t="s">
        <v>137</v>
      </c>
    </row>
    <row r="88">
      <c r="A88" s="1"/>
      <c r="B88" s="4" t="s">
        <v>76</v>
      </c>
      <c r="C88" s="1"/>
      <c r="D88" s="1"/>
      <c r="E88" s="1"/>
      <c r="F88" s="1"/>
      <c r="G88" s="1"/>
      <c r="H88" s="30" t="s">
        <v>48</v>
      </c>
      <c r="I88" s="30" t="s">
        <v>48</v>
      </c>
      <c r="J88" s="40" t="s">
        <v>48</v>
      </c>
      <c r="K88" s="24" t="s">
        <v>137</v>
      </c>
    </row>
    <row r="89" ht="27.75">
      <c r="A89" s="1"/>
      <c r="B89" s="4" t="s">
        <v>77</v>
      </c>
      <c r="C89" s="1"/>
      <c r="D89" s="1"/>
      <c r="E89" s="1"/>
      <c r="F89" s="1"/>
      <c r="G89" s="1"/>
      <c r="H89" s="30" t="s">
        <v>48</v>
      </c>
      <c r="I89" s="30" t="s">
        <v>48</v>
      </c>
      <c r="J89" s="40" t="s">
        <v>48</v>
      </c>
      <c r="K89" s="112" t="s">
        <v>78</v>
      </c>
    </row>
    <row r="90">
      <c r="A90" s="1"/>
      <c r="B90" s="22" t="s">
        <v>59</v>
      </c>
      <c r="C90" s="27">
        <f>C19+C58</f>
        <v>3498</v>
      </c>
      <c r="D90" s="27">
        <f>D19+D58</f>
        <v>3630</v>
      </c>
      <c r="E90" s="27">
        <f>E19+E58</f>
        <v>3823</v>
      </c>
      <c r="F90" s="27">
        <f>F19+F58</f>
        <v>4050</v>
      </c>
      <c r="G90" s="27">
        <f>G19+G58</f>
        <v>15001</v>
      </c>
      <c r="H90" s="27">
        <f>H19+H58</f>
        <v>4143</v>
      </c>
      <c r="I90" s="27">
        <f>I19+I58</f>
        <v>4291</v>
      </c>
      <c r="J90" s="32">
        <f>J19+J58</f>
        <v>4378.75890410959</v>
      </c>
      <c r="K90" s="1"/>
    </row>
    <row r="91">
      <c r="A91" s="1"/>
      <c r="B91" s="22" t="s">
        <v>60</v>
      </c>
      <c r="C91" s="27">
        <f>C37+C70</f>
        <v>1706</v>
      </c>
      <c r="D91" s="27">
        <f>D37+D70</f>
        <v>1800</v>
      </c>
      <c r="E91" s="27">
        <f>E37+E70</f>
        <v>1907</v>
      </c>
      <c r="F91" s="27">
        <f>F37+F70</f>
        <v>2222</v>
      </c>
      <c r="G91" s="27">
        <f>G37+G70</f>
        <v>7635</v>
      </c>
      <c r="H91" s="27">
        <f>H37+H70</f>
        <v>1960</v>
      </c>
      <c r="I91" s="27">
        <f>I37+I70</f>
        <v>2091</v>
      </c>
      <c r="J91" s="32">
        <f>J37+J70</f>
        <v>2135.4875342465753</v>
      </c>
      <c r="K91" s="1"/>
    </row>
    <row r="92">
      <c r="A92" s="1"/>
      <c r="B92" s="22" t="s">
        <v>157</v>
      </c>
      <c r="C92" s="1"/>
      <c r="D92" s="1"/>
      <c r="E92" s="1"/>
      <c r="F92" s="1"/>
      <c r="G92" s="1"/>
      <c r="H92" s="1"/>
      <c r="I92" s="1"/>
      <c r="J92" s="31"/>
      <c r="K92" s="1"/>
    </row>
    <row r="93">
      <c r="A93" s="1"/>
      <c r="B93" s="1" t="s">
        <v>158</v>
      </c>
      <c r="C93" s="28">
        <v>815</v>
      </c>
      <c r="D93" s="28">
        <v>904</v>
      </c>
      <c r="E93" s="28">
        <v>880</v>
      </c>
      <c r="F93" s="28">
        <v>879</v>
      </c>
      <c r="G93" s="21">
        <f>SUM(C93:F93)</f>
        <v>3478</v>
      </c>
      <c r="H93" s="28">
        <v>909</v>
      </c>
      <c r="I93" s="28">
        <v>924</v>
      </c>
      <c r="J93" s="61" t="s">
        <v>48</v>
      </c>
      <c r="K93" s="1"/>
    </row>
    <row r="94">
      <c r="A94" s="1"/>
      <c r="B94" s="1" t="s">
        <v>159</v>
      </c>
      <c r="C94" s="28">
        <v>658</v>
      </c>
      <c r="D94" s="28">
        <v>752</v>
      </c>
      <c r="E94" s="28">
        <v>746</v>
      </c>
      <c r="F94" s="28">
        <v>751</v>
      </c>
      <c r="G94" s="21">
        <f>SUM(C94:F94)</f>
        <v>2907</v>
      </c>
      <c r="H94" s="28">
        <v>763</v>
      </c>
      <c r="I94" s="28">
        <v>889</v>
      </c>
      <c r="J94" s="61" t="s">
        <v>48</v>
      </c>
      <c r="K94" s="1"/>
    </row>
    <row r="95">
      <c r="A95" s="1"/>
      <c r="B95" s="22" t="s">
        <v>160</v>
      </c>
      <c r="C95" s="27">
        <f>C93+C94</f>
        <v>1473</v>
      </c>
      <c r="D95" s="27">
        <f>D93+D94</f>
        <v>1656</v>
      </c>
      <c r="E95" s="27">
        <f>E93+E94</f>
        <v>1626</v>
      </c>
      <c r="F95" s="27">
        <f>F93+F94</f>
        <v>1630</v>
      </c>
      <c r="G95" s="27">
        <f>G93+G94</f>
        <v>6385</v>
      </c>
      <c r="H95" s="27">
        <f>H93+H94</f>
        <v>1672</v>
      </c>
      <c r="I95" s="27">
        <f>I93+I94</f>
        <v>1813</v>
      </c>
      <c r="J95" s="67" t="s">
        <v>48</v>
      </c>
      <c r="K95" s="1"/>
    </row>
    <row r="96">
      <c r="A96" s="1"/>
      <c r="B96" s="1" t="s">
        <v>161</v>
      </c>
      <c r="C96" s="28">
        <v>233</v>
      </c>
      <c r="D96" s="28">
        <v>124</v>
      </c>
      <c r="E96" s="28">
        <v>190</v>
      </c>
      <c r="F96" s="28">
        <v>257</v>
      </c>
      <c r="G96" s="21">
        <f>SUM(C96:F96)</f>
        <v>804</v>
      </c>
      <c r="H96" s="28">
        <v>263</v>
      </c>
      <c r="I96" s="28">
        <v>264</v>
      </c>
      <c r="J96" s="61" t="s">
        <v>48</v>
      </c>
      <c r="K96" s="1"/>
    </row>
    <row r="97">
      <c r="A97" s="1"/>
      <c r="B97" s="1" t="s">
        <v>162</v>
      </c>
      <c r="C97" s="28">
        <v>0</v>
      </c>
      <c r="D97" s="28">
        <v>20</v>
      </c>
      <c r="E97" s="28">
        <v>91</v>
      </c>
      <c r="F97" s="28">
        <v>335</v>
      </c>
      <c r="G97" s="21">
        <f>SUM(C97:F97)</f>
        <v>446</v>
      </c>
      <c r="H97" s="28">
        <v>25</v>
      </c>
      <c r="I97" s="28">
        <v>14</v>
      </c>
      <c r="J97" s="61" t="s">
        <v>48</v>
      </c>
      <c r="K97" s="1"/>
    </row>
    <row r="98">
      <c r="A98" s="1"/>
      <c r="B98" s="22" t="s">
        <v>163</v>
      </c>
      <c r="C98" s="27">
        <f>C95+C96+C97</f>
        <v>1706</v>
      </c>
      <c r="D98" s="27">
        <f>D95+D96+D97</f>
        <v>1800</v>
      </c>
      <c r="E98" s="27">
        <f>E95+E96+E97</f>
        <v>1907</v>
      </c>
      <c r="F98" s="27">
        <f>F95+F96+F97</f>
        <v>2222</v>
      </c>
      <c r="G98" s="27">
        <f>G95+G96+G97</f>
        <v>7635</v>
      </c>
      <c r="H98" s="27">
        <f>H95+H96+H97</f>
        <v>1960</v>
      </c>
      <c r="I98" s="27">
        <f>I95+I96+I97</f>
        <v>2091</v>
      </c>
      <c r="J98" s="67" t="s">
        <v>48</v>
      </c>
      <c r="K98" s="1"/>
    </row>
    <row r="99">
      <c r="A99" s="1"/>
      <c r="B99" s="1" t="s">
        <v>164</v>
      </c>
      <c r="C99" s="21">
        <f>C98-C91</f>
        <v>0</v>
      </c>
      <c r="D99" s="21">
        <f>D98-D91</f>
        <v>0</v>
      </c>
      <c r="E99" s="21">
        <f>E98-E91</f>
        <v>0</v>
      </c>
      <c r="F99" s="21">
        <f>F98-F91</f>
        <v>0</v>
      </c>
      <c r="G99" s="21">
        <f>G98-G91</f>
        <v>0</v>
      </c>
      <c r="H99" s="21">
        <f>H98-H91</f>
        <v>0</v>
      </c>
      <c r="I99" s="21">
        <f>I98-I91</f>
        <v>0</v>
      </c>
      <c r="J99" s="31"/>
      <c r="K99" s="1"/>
    </row>
    <row r="100">
      <c r="A100" s="1"/>
      <c r="B100" s="22" t="s">
        <v>165</v>
      </c>
      <c r="C100" s="1"/>
      <c r="D100" s="1"/>
      <c r="E100" s="1"/>
      <c r="F100" s="1"/>
      <c r="G100" s="1"/>
      <c r="H100" s="1"/>
      <c r="I100" s="1"/>
      <c r="J100" s="31"/>
      <c r="K100" s="1"/>
    </row>
    <row r="101">
      <c r="A101" s="1"/>
      <c r="B101" s="1" t="s">
        <v>129</v>
      </c>
      <c r="C101" s="1"/>
      <c r="D101" s="21">
        <f>C103</f>
        <v>87</v>
      </c>
      <c r="E101" s="21">
        <f>D103</f>
        <v>94</v>
      </c>
      <c r="F101" s="21">
        <f>E103</f>
        <v>94</v>
      </c>
      <c r="G101" s="1"/>
      <c r="H101" s="21">
        <f>F103</f>
        <v>96</v>
      </c>
      <c r="I101" s="21">
        <f>H103</f>
        <v>99</v>
      </c>
      <c r="J101" s="29">
        <f>I103</f>
        <v>103</v>
      </c>
      <c r="K101" s="1"/>
    </row>
    <row r="102">
      <c r="A102" s="1"/>
      <c r="B102" s="1" t="s">
        <v>130</v>
      </c>
      <c r="C102" s="1"/>
      <c r="D102" s="21">
        <f>D103-D101</f>
        <v>7</v>
      </c>
      <c r="E102" s="21">
        <f>E103-E101</f>
        <v>0</v>
      </c>
      <c r="F102" s="21">
        <f>F103-F101</f>
        <v>2</v>
      </c>
      <c r="G102" s="1"/>
      <c r="H102" s="21">
        <f>H103-H101</f>
        <v>3</v>
      </c>
      <c r="I102" s="21">
        <f>I103-I101</f>
        <v>4</v>
      </c>
      <c r="J102" s="55">
        <v>2</v>
      </c>
      <c r="K102" s="24" t="s">
        <v>131</v>
      </c>
    </row>
    <row r="103">
      <c r="A103" s="1"/>
      <c r="B103" s="22" t="s">
        <v>166</v>
      </c>
      <c r="C103" s="47">
        <v>87</v>
      </c>
      <c r="D103" s="47">
        <v>94</v>
      </c>
      <c r="E103" s="47">
        <v>94</v>
      </c>
      <c r="F103" s="47">
        <v>96</v>
      </c>
      <c r="G103" s="27">
        <f>SUMPRODUCT(C103:F103,C$8:F$8)/G$8</f>
        <v>92.77808219178083</v>
      </c>
      <c r="H103" s="47">
        <v>99</v>
      </c>
      <c r="I103" s="47">
        <v>103</v>
      </c>
      <c r="J103" s="32">
        <f>J101+J102</f>
        <v>105</v>
      </c>
      <c r="K103" s="1"/>
    </row>
    <row r="104">
      <c r="A104" s="1"/>
      <c r="B104" s="4" t="s">
        <v>108</v>
      </c>
      <c r="C104" s="1"/>
      <c r="D104" s="1"/>
      <c r="E104" s="1"/>
      <c r="F104" s="1"/>
      <c r="G104" s="1"/>
      <c r="H104" s="25">
        <f>IFERROR(H103/C103-1,"n/m")</f>
        <v>0.13793103448275867</v>
      </c>
      <c r="I104" s="25">
        <f>IFERROR(I103/D103-1,"n/m")</f>
        <v>0.0957446808510638</v>
      </c>
      <c r="J104" s="33">
        <f>IFERROR(J103/E103-1,"n/m")</f>
        <v>0.11702127659574457</v>
      </c>
      <c r="K104" s="1"/>
    </row>
    <row r="105">
      <c r="A105" s="1"/>
      <c r="B105" s="4" t="s">
        <v>71</v>
      </c>
      <c r="C105" s="1"/>
      <c r="D105" s="34">
        <f>D103-C103</f>
        <v>7</v>
      </c>
      <c r="E105" s="34">
        <f>E103-D103</f>
        <v>0</v>
      </c>
      <c r="F105" s="34">
        <f>F103-E103</f>
        <v>2</v>
      </c>
      <c r="G105" s="1"/>
      <c r="H105" s="34">
        <f>H103-F103</f>
        <v>3</v>
      </c>
      <c r="I105" s="34">
        <f>I103-H103</f>
        <v>4</v>
      </c>
      <c r="J105" s="39">
        <f>J103-I103</f>
        <v>2</v>
      </c>
      <c r="K105" s="1"/>
    </row>
    <row r="106">
      <c r="A106" s="1"/>
      <c r="B106" s="1" t="s">
        <v>167</v>
      </c>
      <c r="C106" s="1"/>
      <c r="D106" s="21">
        <f>C108</f>
        <v>692.1</v>
      </c>
      <c r="E106" s="21">
        <f>D108</f>
        <v>726.4</v>
      </c>
      <c r="F106" s="21">
        <f>E108</f>
        <v>740</v>
      </c>
      <c r="G106" s="1"/>
      <c r="H106" s="21">
        <f>F108</f>
        <v>779.4</v>
      </c>
      <c r="I106" s="21">
        <f>H108</f>
        <v>804.5</v>
      </c>
      <c r="J106" s="29">
        <f>I108</f>
        <v>828.2</v>
      </c>
      <c r="K106" s="1"/>
    </row>
    <row r="107">
      <c r="A107" s="1"/>
      <c r="B107" s="1" t="s">
        <v>168</v>
      </c>
      <c r="C107" s="1"/>
      <c r="D107" s="21">
        <f>D108-D106</f>
        <v>34.299999999999955</v>
      </c>
      <c r="E107" s="21">
        <f>E108-E106</f>
        <v>13.600000000000023</v>
      </c>
      <c r="F107" s="21">
        <f>F108-F106</f>
        <v>39.39999999999998</v>
      </c>
      <c r="G107" s="1"/>
      <c r="H107" s="21">
        <f>H108-H106</f>
        <v>25.100000000000023</v>
      </c>
      <c r="I107" s="21">
        <f>I108-I106</f>
        <v>23.700000000000045</v>
      </c>
      <c r="J107" s="55">
        <v>15</v>
      </c>
      <c r="K107" s="24" t="s">
        <v>169</v>
      </c>
    </row>
    <row r="108">
      <c r="A108" s="1"/>
      <c r="B108" s="22" t="s">
        <v>170</v>
      </c>
      <c r="C108" s="47">
        <v>692.1</v>
      </c>
      <c r="D108" s="47">
        <v>726.4</v>
      </c>
      <c r="E108" s="47">
        <v>740</v>
      </c>
      <c r="F108" s="47">
        <v>779.4</v>
      </c>
      <c r="G108" s="27">
        <f>F108</f>
        <v>779.4</v>
      </c>
      <c r="H108" s="47">
        <v>804.5</v>
      </c>
      <c r="I108" s="47">
        <v>828.2</v>
      </c>
      <c r="J108" s="32">
        <f>J106+J107</f>
        <v>843.2</v>
      </c>
      <c r="K108" s="1"/>
    </row>
    <row r="109">
      <c r="A109" s="1"/>
      <c r="B109" s="4" t="s">
        <v>108</v>
      </c>
      <c r="C109" s="1"/>
      <c r="D109" s="1"/>
      <c r="E109" s="1"/>
      <c r="F109" s="1"/>
      <c r="G109" s="1"/>
      <c r="H109" s="25">
        <f>IFERROR(H108/C108-1,"n/m")</f>
        <v>0.16240427683860714</v>
      </c>
      <c r="I109" s="25">
        <f>IFERROR(I108/D108-1,"n/m")</f>
        <v>0.14014317180616742</v>
      </c>
      <c r="J109" s="33">
        <f>IFERROR(J108/E108-1,"n/m")</f>
        <v>0.1394594594594596</v>
      </c>
      <c r="K109" s="1"/>
    </row>
    <row r="110">
      <c r="A110" s="1"/>
      <c r="B110" s="4" t="s">
        <v>71</v>
      </c>
      <c r="C110" s="1"/>
      <c r="D110" s="34">
        <f>D108-C108</f>
        <v>34.299999999999955</v>
      </c>
      <c r="E110" s="34">
        <f>E108-D108</f>
        <v>13.600000000000023</v>
      </c>
      <c r="F110" s="34">
        <f>F108-E108</f>
        <v>39.39999999999998</v>
      </c>
      <c r="G110" s="1"/>
      <c r="H110" s="34">
        <f>H108-F108</f>
        <v>25.100000000000023</v>
      </c>
      <c r="I110" s="34">
        <f>I108-H108</f>
        <v>23.700000000000045</v>
      </c>
      <c r="J110" s="39">
        <f>J108-I108</f>
        <v>15</v>
      </c>
      <c r="K110" s="1"/>
    </row>
    <row r="111">
      <c r="A111" s="1"/>
      <c r="B111" s="1" t="s">
        <v>167</v>
      </c>
      <c r="C111" s="1"/>
      <c r="D111" s="21">
        <f>C113</f>
        <v>140.9</v>
      </c>
      <c r="E111" s="21">
        <f>D113</f>
        <v>148.1</v>
      </c>
      <c r="F111" s="21">
        <f>E113</f>
        <v>151.3</v>
      </c>
      <c r="G111" s="1"/>
      <c r="H111" s="21">
        <f>F113</f>
        <v>138.4</v>
      </c>
      <c r="I111" s="21">
        <f>H113</f>
        <v>155.2</v>
      </c>
      <c r="J111" s="29">
        <f>I113</f>
        <v>174.6</v>
      </c>
      <c r="K111" s="1"/>
    </row>
    <row r="112">
      <c r="A112" s="1"/>
      <c r="B112" s="1" t="s">
        <v>168</v>
      </c>
      <c r="C112" s="1"/>
      <c r="D112" s="21">
        <f>D113-D111</f>
        <v>7.199999999999989</v>
      </c>
      <c r="E112" s="21">
        <f>E113-E111</f>
        <v>3.200000000000017</v>
      </c>
      <c r="F112" s="21">
        <f>F113-F111</f>
        <v>-12.900000000000006</v>
      </c>
      <c r="G112" s="1"/>
      <c r="H112" s="21">
        <f>H113-H111</f>
        <v>16.799999999999983</v>
      </c>
      <c r="I112" s="21">
        <f>I113-I111</f>
        <v>19.400000000000006</v>
      </c>
      <c r="J112" s="55">
        <v>-4</v>
      </c>
      <c r="K112" s="24" t="s">
        <v>169</v>
      </c>
    </row>
    <row r="113">
      <c r="A113" s="1"/>
      <c r="B113" s="22" t="s">
        <v>171</v>
      </c>
      <c r="C113" s="47">
        <v>140.9</v>
      </c>
      <c r="D113" s="47">
        <v>148.1</v>
      </c>
      <c r="E113" s="47">
        <v>151.3</v>
      </c>
      <c r="F113" s="47">
        <v>138.4</v>
      </c>
      <c r="G113" s="27">
        <f>F113</f>
        <v>138.4</v>
      </c>
      <c r="H113" s="47">
        <v>155.2</v>
      </c>
      <c r="I113" s="47">
        <v>174.6</v>
      </c>
      <c r="J113" s="32">
        <f>J111+J112</f>
        <v>170.6</v>
      </c>
      <c r="K113" s="24" t="s">
        <v>172</v>
      </c>
    </row>
    <row r="114">
      <c r="A114" s="1"/>
      <c r="B114" s="4" t="s">
        <v>108</v>
      </c>
      <c r="C114" s="1"/>
      <c r="D114" s="1"/>
      <c r="E114" s="1"/>
      <c r="F114" s="1"/>
      <c r="G114" s="1"/>
      <c r="H114" s="25">
        <f>IFERROR(H113/C113-1,"n/m")</f>
        <v>0.10149041873669251</v>
      </c>
      <c r="I114" s="25">
        <f>IFERROR(I113/D113-1,"n/m")</f>
        <v>0.1789331532748144</v>
      </c>
      <c r="J114" s="33">
        <f>IFERROR(J113/E113-1,"n/m")</f>
        <v>0.12756113681427617</v>
      </c>
      <c r="K114" s="1"/>
    </row>
    <row r="115">
      <c r="A115" s="1"/>
      <c r="B115" s="4" t="s">
        <v>71</v>
      </c>
      <c r="C115" s="1"/>
      <c r="D115" s="34">
        <f>D113-C113</f>
        <v>7.199999999999989</v>
      </c>
      <c r="E115" s="34">
        <f>E113-D113</f>
        <v>3.200000000000017</v>
      </c>
      <c r="F115" s="34">
        <f>F113-E113</f>
        <v>-12.900000000000006</v>
      </c>
      <c r="G115" s="1"/>
      <c r="H115" s="34">
        <f>H113-F113</f>
        <v>16.799999999999983</v>
      </c>
      <c r="I115" s="34">
        <f>I113-H113</f>
        <v>19.400000000000006</v>
      </c>
      <c r="J115" s="39">
        <f>J113-I113</f>
        <v>-4</v>
      </c>
      <c r="K115" s="1"/>
    </row>
    <row r="116">
      <c r="A116" s="1"/>
      <c r="B116" s="1" t="s">
        <v>167</v>
      </c>
      <c r="C116" s="1"/>
      <c r="D116" s="21">
        <f>C118</f>
        <v>98</v>
      </c>
      <c r="E116" s="21">
        <f>D118</f>
        <v>96.4</v>
      </c>
      <c r="F116" s="21">
        <f>E118</f>
        <v>99.4</v>
      </c>
      <c r="G116" s="1"/>
      <c r="H116" s="21">
        <f>F118</f>
        <v>99.5</v>
      </c>
      <c r="I116" s="21">
        <f>H118</f>
        <v>101.5</v>
      </c>
      <c r="J116" s="29">
        <f>I118</f>
        <v>106.6</v>
      </c>
      <c r="K116" s="1"/>
    </row>
    <row r="117">
      <c r="A117" s="1"/>
      <c r="B117" s="1" t="s">
        <v>168</v>
      </c>
      <c r="C117" s="1"/>
      <c r="D117" s="21">
        <f>D118-D116</f>
        <v>-1.5999999999999943</v>
      </c>
      <c r="E117" s="21">
        <f>E118-E116</f>
        <v>3</v>
      </c>
      <c r="F117" s="21">
        <f>F118-F116</f>
        <v>0.09999999999999432</v>
      </c>
      <c r="G117" s="1"/>
      <c r="H117" s="21">
        <f>H118-H116</f>
        <v>2</v>
      </c>
      <c r="I117" s="21">
        <f>I118-I116</f>
        <v>5.099999999999994</v>
      </c>
      <c r="J117" s="55">
        <v>2</v>
      </c>
      <c r="K117" s="24" t="s">
        <v>169</v>
      </c>
    </row>
    <row r="118">
      <c r="A118" s="1"/>
      <c r="B118" s="22" t="s">
        <v>173</v>
      </c>
      <c r="C118" s="47">
        <v>98</v>
      </c>
      <c r="D118" s="47">
        <v>96.4</v>
      </c>
      <c r="E118" s="47">
        <v>99.4</v>
      </c>
      <c r="F118" s="47">
        <v>99.5</v>
      </c>
      <c r="G118" s="27">
        <f>F118</f>
        <v>99.5</v>
      </c>
      <c r="H118" s="47">
        <v>101.5</v>
      </c>
      <c r="I118" s="47">
        <v>106.6</v>
      </c>
      <c r="J118" s="32">
        <f>J116+J117</f>
        <v>108.6</v>
      </c>
      <c r="K118" s="1"/>
    </row>
    <row r="119">
      <c r="A119" s="1"/>
      <c r="B119" s="4" t="s">
        <v>108</v>
      </c>
      <c r="C119" s="1"/>
      <c r="D119" s="1"/>
      <c r="E119" s="1"/>
      <c r="F119" s="1"/>
      <c r="G119" s="1"/>
      <c r="H119" s="25">
        <f>IFERROR(H118/C118-1,"n/m")</f>
        <v>0.03571428571428581</v>
      </c>
      <c r="I119" s="25">
        <f>IFERROR(I118/D118-1,"n/m")</f>
        <v>0.10580912863070524</v>
      </c>
      <c r="J119" s="33">
        <f>IFERROR(J118/E118-1,"n/m")</f>
        <v>0.09255533199195165</v>
      </c>
      <c r="K119" s="1"/>
    </row>
    <row r="120">
      <c r="A120" s="1"/>
      <c r="B120" s="4" t="s">
        <v>71</v>
      </c>
      <c r="C120" s="1"/>
      <c r="D120" s="34">
        <f>D118-C118</f>
        <v>-1.5999999999999943</v>
      </c>
      <c r="E120" s="34">
        <f>E118-D118</f>
        <v>3</v>
      </c>
      <c r="F120" s="34">
        <f>F118-E118</f>
        <v>0.09999999999999432</v>
      </c>
      <c r="G120" s="1"/>
      <c r="H120" s="34">
        <f>H118-F118</f>
        <v>2</v>
      </c>
      <c r="I120" s="34">
        <f>I118-H118</f>
        <v>5.099999999999994</v>
      </c>
      <c r="J120" s="39">
        <f>J118-I118</f>
        <v>2</v>
      </c>
      <c r="K120" s="1"/>
    </row>
    <row r="121">
      <c r="A121" s="1"/>
      <c r="B121" s="22" t="s">
        <v>174</v>
      </c>
      <c r="C121" s="1"/>
      <c r="D121" s="1"/>
      <c r="E121" s="1"/>
      <c r="F121" s="1"/>
      <c r="G121" s="1"/>
      <c r="H121" s="1"/>
      <c r="I121" s="1"/>
      <c r="J121" s="31"/>
      <c r="K121" s="1"/>
    </row>
    <row r="122">
      <c r="A122" s="1"/>
      <c r="B122" s="22" t="s">
        <v>90</v>
      </c>
      <c r="C122" s="27">
        <f>C83</f>
        <v>5204</v>
      </c>
      <c r="D122" s="27">
        <f>D83</f>
        <v>5430</v>
      </c>
      <c r="E122" s="27">
        <f>E83</f>
        <v>5730</v>
      </c>
      <c r="F122" s="27">
        <f>F83</f>
        <v>6272</v>
      </c>
      <c r="G122" s="27">
        <f>G83</f>
        <v>22636</v>
      </c>
      <c r="H122" s="27">
        <f>H83</f>
        <v>6103</v>
      </c>
      <c r="I122" s="27">
        <f>I83</f>
        <v>6382</v>
      </c>
      <c r="J122" s="32">
        <f>J83</f>
        <v>6514.246438356165</v>
      </c>
      <c r="K122" s="1"/>
    </row>
    <row r="123">
      <c r="A123" s="1"/>
      <c r="B123" s="22" t="s">
        <v>175</v>
      </c>
      <c r="C123" s="47">
        <v>2584</v>
      </c>
      <c r="D123" s="47">
        <v>2679</v>
      </c>
      <c r="E123" s="47">
        <v>2707</v>
      </c>
      <c r="F123" s="47">
        <v>2843</v>
      </c>
      <c r="G123" s="27">
        <f>SUM(C123:F123)</f>
        <v>10813</v>
      </c>
      <c r="H123" s="47">
        <v>2935</v>
      </c>
      <c r="I123" s="47">
        <v>2803</v>
      </c>
      <c r="J123" s="83">
        <v>2850</v>
      </c>
      <c r="K123" s="1"/>
    </row>
    <row r="124">
      <c r="A124" s="1"/>
      <c r="B124" s="4" t="s">
        <v>108</v>
      </c>
      <c r="C124" s="1"/>
      <c r="D124" s="1"/>
      <c r="E124" s="1"/>
      <c r="F124" s="1"/>
      <c r="G124" s="1"/>
      <c r="H124" s="25">
        <f>IFERROR(H123/C123-1,"n/m")</f>
        <v>0.1358359133126934</v>
      </c>
      <c r="I124" s="25">
        <f>IFERROR(I123/D123-1,"n/m")</f>
        <v>0.04628592758491967</v>
      </c>
      <c r="J124" s="33">
        <f>IFERROR(J123/E123-1,"n/m")</f>
        <v>0.05282600664942749</v>
      </c>
      <c r="K124" s="1"/>
    </row>
    <row r="125">
      <c r="A125" s="1"/>
      <c r="B125" s="4" t="s">
        <v>71</v>
      </c>
      <c r="C125" s="1"/>
      <c r="D125" s="34">
        <f>D123-C123</f>
        <v>95</v>
      </c>
      <c r="E125" s="34">
        <f>E123-D123</f>
        <v>28</v>
      </c>
      <c r="F125" s="34">
        <f>F123-E123</f>
        <v>136</v>
      </c>
      <c r="G125" s="1"/>
      <c r="H125" s="34">
        <f>H123-F123</f>
        <v>92</v>
      </c>
      <c r="I125" s="34">
        <f>I123-H123</f>
        <v>-132</v>
      </c>
      <c r="J125" s="39">
        <f>J123-I123</f>
        <v>47</v>
      </c>
      <c r="K125" s="1"/>
    </row>
    <row r="126">
      <c r="A126" s="1"/>
      <c r="B126" s="1" t="s">
        <v>176</v>
      </c>
      <c r="C126" s="28">
        <v>6</v>
      </c>
      <c r="D126" s="28">
        <v>20</v>
      </c>
      <c r="E126" s="28">
        <v>11</v>
      </c>
      <c r="F126" s="28">
        <v>19</v>
      </c>
      <c r="G126" s="21">
        <f>SUM(C126:F126)</f>
        <v>56</v>
      </c>
      <c r="H126" s="28">
        <v>3</v>
      </c>
      <c r="I126" s="28">
        <v>5</v>
      </c>
      <c r="J126" s="55">
        <v>10</v>
      </c>
      <c r="K126" s="1"/>
    </row>
    <row r="127">
      <c r="A127" s="1"/>
      <c r="B127" s="4" t="s">
        <v>108</v>
      </c>
      <c r="C127" s="1"/>
      <c r="D127" s="1"/>
      <c r="E127" s="1"/>
      <c r="F127" s="1"/>
      <c r="G127" s="1"/>
      <c r="H127" s="25">
        <f>IFERROR(H126/C126-1,"n/m")</f>
        <v>-0.5</v>
      </c>
      <c r="I127" s="25">
        <f>IFERROR(I126/D126-1,"n/m")</f>
        <v>-0.75</v>
      </c>
      <c r="J127" s="33">
        <f>IFERROR(J126/E126-1,"n/m")</f>
        <v>-0.09090909090909094</v>
      </c>
      <c r="K127" s="1"/>
    </row>
    <row r="128">
      <c r="A128" s="1"/>
      <c r="B128" s="4" t="s">
        <v>71</v>
      </c>
      <c r="C128" s="1"/>
      <c r="D128" s="34">
        <f>D126-C126</f>
        <v>14</v>
      </c>
      <c r="E128" s="34">
        <f>E126-D126</f>
        <v>-9</v>
      </c>
      <c r="F128" s="34">
        <f>F126-E126</f>
        <v>8</v>
      </c>
      <c r="G128" s="1"/>
      <c r="H128" s="34">
        <f>H126-F126</f>
        <v>-16</v>
      </c>
      <c r="I128" s="34">
        <f>I126-H126</f>
        <v>2</v>
      </c>
      <c r="J128" s="39">
        <f>J126-I126</f>
        <v>5</v>
      </c>
      <c r="K128" s="1"/>
    </row>
    <row r="129">
      <c r="A129" s="1"/>
      <c r="B129" s="1" t="s">
        <v>177</v>
      </c>
      <c r="C129" s="28">
        <v>24</v>
      </c>
      <c r="D129" s="28">
        <v>53</v>
      </c>
      <c r="E129" s="28">
        <v>-4</v>
      </c>
      <c r="F129" s="28">
        <v>-18</v>
      </c>
      <c r="G129" s="21">
        <f>SUM(C129:F129)</f>
        <v>55</v>
      </c>
      <c r="H129" s="28">
        <v>97</v>
      </c>
      <c r="I129" s="28">
        <v>46</v>
      </c>
      <c r="J129" s="55">
        <v>30</v>
      </c>
      <c r="K129" s="1"/>
    </row>
    <row r="130">
      <c r="A130" s="1"/>
      <c r="B130" s="4" t="s">
        <v>87</v>
      </c>
      <c r="C130" s="1"/>
      <c r="D130" s="1"/>
      <c r="E130" s="1"/>
      <c r="F130" s="1"/>
      <c r="G130" s="1"/>
      <c r="H130" s="25">
        <f>IF(OR(C129&lt;=0,H129&lt;=0),"n/m",H129/C129-1)</f>
        <v>3.041666666666667</v>
      </c>
      <c r="I130" s="25">
        <f>IF(OR(D129&lt;=0,I129&lt;=0),"n/m",I129/D129-1)</f>
        <v>-0.13207547169811318</v>
      </c>
      <c r="J130" s="33" t="str">
        <f>IF(OR(E129&lt;=0,J129&lt;=0),"n/m",J129/E129-1)</f>
        <v>n/m</v>
      </c>
      <c r="K130" s="1"/>
    </row>
    <row r="131">
      <c r="A131" s="1"/>
      <c r="B131" s="4" t="s">
        <v>71</v>
      </c>
      <c r="C131" s="1"/>
      <c r="D131" s="34">
        <f>D129-C129</f>
        <v>29</v>
      </c>
      <c r="E131" s="34">
        <f>E129-D129</f>
        <v>-57</v>
      </c>
      <c r="F131" s="34">
        <f>F129-E129</f>
        <v>-14</v>
      </c>
      <c r="G131" s="1"/>
      <c r="H131" s="34">
        <f>H129-F129</f>
        <v>115</v>
      </c>
      <c r="I131" s="34">
        <f>I129-H129</f>
        <v>-51</v>
      </c>
      <c r="J131" s="39">
        <f>J129-I129</f>
        <v>-16</v>
      </c>
      <c r="K131" s="1"/>
    </row>
    <row r="132">
      <c r="A132" s="1"/>
      <c r="B132" s="1" t="s">
        <v>178</v>
      </c>
      <c r="C132" s="28">
        <v>-6</v>
      </c>
      <c r="D132" s="28">
        <v>-6</v>
      </c>
      <c r="E132" s="28">
        <v>-8</v>
      </c>
      <c r="F132" s="28">
        <v>3</v>
      </c>
      <c r="G132" s="21">
        <f>SUM(C132:F132)</f>
        <v>-17</v>
      </c>
      <c r="H132" s="28">
        <v>-11</v>
      </c>
      <c r="I132" s="28">
        <v>0</v>
      </c>
      <c r="J132" s="55">
        <v>0</v>
      </c>
      <c r="K132" s="1"/>
    </row>
    <row r="133">
      <c r="A133" s="1"/>
      <c r="B133" s="1" t="s">
        <v>179</v>
      </c>
      <c r="C133" s="28">
        <v>27</v>
      </c>
      <c r="D133" s="28">
        <v>286</v>
      </c>
      <c r="E133" s="28">
        <v>62</v>
      </c>
      <c r="F133" s="28">
        <v>-15</v>
      </c>
      <c r="G133" s="21">
        <f>SUM(C133:F133)</f>
        <v>360</v>
      </c>
      <c r="H133" s="28">
        <v>5</v>
      </c>
      <c r="I133" s="28">
        <v>7</v>
      </c>
      <c r="J133" s="55">
        <v>5</v>
      </c>
      <c r="K133" s="1"/>
    </row>
    <row r="134">
      <c r="A134" s="1"/>
      <c r="B134" s="22" t="s">
        <v>180</v>
      </c>
      <c r="C134" s="27">
        <f>C126+C129+C132+C133</f>
        <v>51</v>
      </c>
      <c r="D134" s="27">
        <f>D126+D129+D132+D133</f>
        <v>353</v>
      </c>
      <c r="E134" s="27">
        <f>E126+E129+E132+E133</f>
        <v>61</v>
      </c>
      <c r="F134" s="27">
        <f>F126+F129+F132+F133</f>
        <v>-11</v>
      </c>
      <c r="G134" s="27">
        <f>G126+G129+G132+G133</f>
        <v>454</v>
      </c>
      <c r="H134" s="27">
        <f>H126+H129+H132+H133</f>
        <v>94</v>
      </c>
      <c r="I134" s="27">
        <f>I126+I129+I132+I133</f>
        <v>58</v>
      </c>
      <c r="J134" s="32">
        <f>J126+J129+J132+J133</f>
        <v>45</v>
      </c>
      <c r="K134" s="1"/>
    </row>
    <row r="135">
      <c r="A135" s="1"/>
      <c r="B135" s="22" t="s">
        <v>181</v>
      </c>
      <c r="C135" s="27">
        <f>C122-C123-C134</f>
        <v>2569</v>
      </c>
      <c r="D135" s="27">
        <f>D122-D123-D134</f>
        <v>2398</v>
      </c>
      <c r="E135" s="27">
        <f>E122-E123-E134</f>
        <v>2962</v>
      </c>
      <c r="F135" s="27">
        <f>F122-F123-F134</f>
        <v>3440</v>
      </c>
      <c r="G135" s="27">
        <f>G122-G123-G134</f>
        <v>11369</v>
      </c>
      <c r="H135" s="27">
        <f>H122-H123-H134</f>
        <v>3074</v>
      </c>
      <c r="I135" s="27">
        <f>I122-I123-I134</f>
        <v>3521</v>
      </c>
      <c r="J135" s="32">
        <f>J122-J123-J134</f>
        <v>3619.2464383561646</v>
      </c>
      <c r="K135" s="1"/>
    </row>
    <row r="136">
      <c r="A136" s="1"/>
      <c r="B136" s="4" t="s">
        <v>108</v>
      </c>
      <c r="C136" s="1"/>
      <c r="D136" s="1"/>
      <c r="E136" s="1"/>
      <c r="F136" s="1"/>
      <c r="G136" s="1"/>
      <c r="H136" s="25">
        <f>IFERROR(H135/C135-1,"n/m")</f>
        <v>0.19657454262358898</v>
      </c>
      <c r="I136" s="25">
        <f>IFERROR(I135/D135-1,"n/m")</f>
        <v>0.46830692243536287</v>
      </c>
      <c r="J136" s="33">
        <f>IFERROR(J135/E135-1,"n/m")</f>
        <v>0.2218927881013384</v>
      </c>
      <c r="K136" s="1"/>
    </row>
    <row r="137" ht="27.75">
      <c r="A137" s="1"/>
      <c r="B137" s="1" t="s">
        <v>182</v>
      </c>
      <c r="C137" s="28">
        <v>720</v>
      </c>
      <c r="D137" s="28">
        <v>670</v>
      </c>
      <c r="E137" s="28">
        <v>864</v>
      </c>
      <c r="F137" s="28">
        <v>928</v>
      </c>
      <c r="G137" s="21">
        <f>SUM(C137:F137)</f>
        <v>3182</v>
      </c>
      <c r="H137" s="28">
        <v>832</v>
      </c>
      <c r="I137" s="28">
        <v>924</v>
      </c>
      <c r="J137" s="61" t="s">
        <v>48</v>
      </c>
      <c r="K137" s="112" t="s">
        <v>183</v>
      </c>
    </row>
    <row r="138">
      <c r="A138" s="1"/>
      <c r="B138" s="22" t="s">
        <v>184</v>
      </c>
      <c r="C138" s="27">
        <f>C135-C137</f>
        <v>1849</v>
      </c>
      <c r="D138" s="27">
        <f>D135-D137</f>
        <v>1728</v>
      </c>
      <c r="E138" s="27">
        <f>E135-E137</f>
        <v>2098</v>
      </c>
      <c r="F138" s="27">
        <f>F135-F137</f>
        <v>2512</v>
      </c>
      <c r="G138" s="27">
        <f>G135-G137</f>
        <v>8187</v>
      </c>
      <c r="H138" s="27">
        <f>H135-H137</f>
        <v>2242</v>
      </c>
      <c r="I138" s="27">
        <f>I135-I137</f>
        <v>2597</v>
      </c>
      <c r="J138" s="67" t="s">
        <v>48</v>
      </c>
      <c r="K138" s="1"/>
    </row>
    <row r="139">
      <c r="A139" s="1"/>
      <c r="B139" s="1" t="s">
        <v>185</v>
      </c>
      <c r="C139" s="28">
        <v>15</v>
      </c>
      <c r="D139" s="28">
        <v>16</v>
      </c>
      <c r="E139" s="28">
        <v>17</v>
      </c>
      <c r="F139" s="28">
        <v>16</v>
      </c>
      <c r="G139" s="21">
        <f>SUM(C139:F139)</f>
        <v>64</v>
      </c>
      <c r="H139" s="28">
        <v>14</v>
      </c>
      <c r="I139" s="28">
        <v>13</v>
      </c>
      <c r="J139" s="61" t="s">
        <v>48</v>
      </c>
      <c r="K139" s="1"/>
    </row>
    <row r="140">
      <c r="A140" s="1"/>
      <c r="B140" s="22" t="s">
        <v>186</v>
      </c>
      <c r="C140" s="27">
        <f>C138-C139</f>
        <v>1834</v>
      </c>
      <c r="D140" s="27">
        <f>D138-D139</f>
        <v>1712</v>
      </c>
      <c r="E140" s="27">
        <f>E138-E139</f>
        <v>2081</v>
      </c>
      <c r="F140" s="27">
        <f>F138-F139</f>
        <v>2496</v>
      </c>
      <c r="G140" s="27">
        <f>G138-G139</f>
        <v>8123</v>
      </c>
      <c r="H140" s="27">
        <f>H138-H139</f>
        <v>2228</v>
      </c>
      <c r="I140" s="27">
        <f>I138-I139</f>
        <v>2584</v>
      </c>
      <c r="J140" s="67" t="s">
        <v>48</v>
      </c>
      <c r="K140" s="1"/>
    </row>
    <row r="141">
      <c r="A141" s="1"/>
      <c r="B141" s="22" t="s">
        <v>187</v>
      </c>
      <c r="C141" s="1"/>
      <c r="D141" s="1"/>
      <c r="E141" s="1"/>
      <c r="F141" s="1"/>
      <c r="G141" s="1"/>
      <c r="H141" s="1"/>
      <c r="I141" s="1"/>
      <c r="J141" s="31"/>
      <c r="K141" s="1"/>
    </row>
    <row r="142">
      <c r="A142" s="1"/>
      <c r="B142" s="4" t="s">
        <v>188</v>
      </c>
      <c r="C142" s="25">
        <f>C123/C122</f>
        <v>0.4965411222136818</v>
      </c>
      <c r="D142" s="25">
        <f>D123/D122</f>
        <v>0.49337016574585635</v>
      </c>
      <c r="E142" s="25">
        <f>E123/E122</f>
        <v>0.4724258289703316</v>
      </c>
      <c r="F142" s="25">
        <f>F123/F122</f>
        <v>0.4532844387755102</v>
      </c>
      <c r="G142" s="25">
        <f>G123/G122</f>
        <v>0.4776904046651352</v>
      </c>
      <c r="H142" s="25">
        <f>H123/H122</f>
        <v>0.4809110273635917</v>
      </c>
      <c r="I142" s="25">
        <f>I123/I122</f>
        <v>0.43920401128172987</v>
      </c>
      <c r="J142" s="33">
        <f>J123/J122</f>
        <v>0.4375026377907776</v>
      </c>
      <c r="K142" s="1"/>
    </row>
    <row r="143">
      <c r="A143" s="1"/>
      <c r="B143" s="4" t="s">
        <v>114</v>
      </c>
      <c r="C143" s="1"/>
      <c r="D143" s="1"/>
      <c r="E143" s="1"/>
      <c r="F143" s="1"/>
      <c r="G143" s="1"/>
      <c r="H143" s="54">
        <f>(H142-C142)*10000</f>
        <v>-156.30094850090092</v>
      </c>
      <c r="I143" s="54">
        <f>(I142-D142)*10000</f>
        <v>-541.6615446412649</v>
      </c>
      <c r="J143" s="57">
        <f>(J142-E142)*10000</f>
        <v>-349.23191179554004</v>
      </c>
      <c r="K143" s="1"/>
    </row>
    <row r="144">
      <c r="A144" s="1"/>
      <c r="B144" s="4" t="s">
        <v>115</v>
      </c>
      <c r="C144" s="1"/>
      <c r="D144" s="54">
        <f>(D142-C142)*10000</f>
        <v>-31.709564678254477</v>
      </c>
      <c r="E144" s="54">
        <f>(E142-D142)*10000</f>
        <v>-209.44336775524764</v>
      </c>
      <c r="F144" s="54">
        <f>(F142-E142)*10000</f>
        <v>-191.4139019482136</v>
      </c>
      <c r="G144" s="1"/>
      <c r="H144" s="54">
        <f>(H142-F142)*10000</f>
        <v>276.2658858808148</v>
      </c>
      <c r="I144" s="54">
        <f>(I142-H142)*10000</f>
        <v>-417.0701608186184</v>
      </c>
      <c r="J144" s="57">
        <f>(J142-I142)*10000</f>
        <v>-17.01373490952285</v>
      </c>
      <c r="K144" s="1"/>
    </row>
    <row r="145">
      <c r="A145" s="1"/>
      <c r="B145" s="4" t="s">
        <v>189</v>
      </c>
      <c r="C145" s="25">
        <f>C135/C122</f>
        <v>0.4936587240584166</v>
      </c>
      <c r="D145" s="25">
        <f>D135/D122</f>
        <v>0.4416206261510129</v>
      </c>
      <c r="E145" s="25">
        <f>E135/E122</f>
        <v>0.5169284467713787</v>
      </c>
      <c r="F145" s="25">
        <f>F135/F122</f>
        <v>0.548469387755102</v>
      </c>
      <c r="G145" s="25">
        <f>G135/G122</f>
        <v>0.5022530482417388</v>
      </c>
      <c r="H145" s="25">
        <f>H135/H122</f>
        <v>0.5036867114533836</v>
      </c>
      <c r="I145" s="25">
        <f>I135/I122</f>
        <v>0.5517079285490442</v>
      </c>
      <c r="J145" s="33">
        <f>J135/J122</f>
        <v>0.5555894258230523</v>
      </c>
      <c r="K145" s="1"/>
    </row>
    <row r="146">
      <c r="A146" s="1"/>
      <c r="B146" s="4" t="s">
        <v>114</v>
      </c>
      <c r="C146" s="1"/>
      <c r="D146" s="1"/>
      <c r="E146" s="1"/>
      <c r="F146" s="1"/>
      <c r="G146" s="1"/>
      <c r="H146" s="54">
        <f>(H145-C145)*10000</f>
        <v>100.27987394967019</v>
      </c>
      <c r="I146" s="54">
        <f>(I145-D145)*10000</f>
        <v>1100.8730239803128</v>
      </c>
      <c r="J146" s="57">
        <f>(J145-E145)*10000</f>
        <v>386.60979051673536</v>
      </c>
      <c r="K146" s="1"/>
    </row>
    <row r="147">
      <c r="A147" s="1"/>
      <c r="B147" s="4" t="s">
        <v>115</v>
      </c>
      <c r="C147" s="1"/>
      <c r="D147" s="54">
        <f>(D145-C145)*10000</f>
        <v>-520.3809790740371</v>
      </c>
      <c r="E147" s="54">
        <f>(E145-D145)*10000</f>
        <v>753.0782062036584</v>
      </c>
      <c r="F147" s="54">
        <f>(F145-E145)*10000</f>
        <v>315.4094098372329</v>
      </c>
      <c r="G147" s="1"/>
      <c r="H147" s="54">
        <f>(H145-F145)*10000</f>
        <v>-447.82676301718396</v>
      </c>
      <c r="I147" s="54">
        <f>(I145-H145)*10000</f>
        <v>480.2121709566054</v>
      </c>
      <c r="J147" s="57">
        <f>(J145-I145)*10000</f>
        <v>38.81497274008105</v>
      </c>
      <c r="K147" s="1"/>
    </row>
    <row r="148">
      <c r="A148" s="1"/>
      <c r="B148" s="1" t="s">
        <v>190</v>
      </c>
      <c r="C148" s="28">
        <v>33</v>
      </c>
      <c r="D148" s="28">
        <v>33</v>
      </c>
      <c r="E148" s="28">
        <v>33</v>
      </c>
      <c r="F148" s="28">
        <v>33</v>
      </c>
      <c r="G148" s="21">
        <f>SUMPRODUCT(C148:F148,C$8:F$8)/G$8</f>
        <v>33</v>
      </c>
      <c r="H148" s="28">
        <v>33.5</v>
      </c>
      <c r="I148" s="28">
        <v>33.5</v>
      </c>
      <c r="J148" s="61" t="s">
        <v>48</v>
      </c>
      <c r="K148" s="1"/>
    </row>
    <row r="149">
      <c r="A149" s="1"/>
      <c r="B149" s="4" t="s">
        <v>191</v>
      </c>
      <c r="C149" s="25">
        <f>C140*365/C8/(C148*1000)</f>
        <v>0.2253905723905724</v>
      </c>
      <c r="D149" s="25">
        <f>D140*365/D8/(D148*1000)</f>
        <v>0.2080852480852481</v>
      </c>
      <c r="E149" s="25">
        <f>E140*365/E8/(E148*1000)</f>
        <v>0.2501861001317523</v>
      </c>
      <c r="F149" s="25">
        <f>F140*365/F8/(F148*1000)</f>
        <v>0.3000790513833992</v>
      </c>
      <c r="G149" s="25">
        <f>G140*365/G8/(G148*1000)</f>
        <v>0.24615151515151515</v>
      </c>
      <c r="H149" s="25">
        <f>H140*365/H8/(H148*1000)</f>
        <v>0.26972470978441127</v>
      </c>
      <c r="I149" s="25">
        <f>I140*365/I8/(I148*1000)</f>
        <v>0.30938494341479417</v>
      </c>
      <c r="J149" s="40" t="s">
        <v>48</v>
      </c>
      <c r="K149" s="1"/>
    </row>
    <row r="150">
      <c r="A150" s="1"/>
      <c r="B150" s="4" t="s">
        <v>192</v>
      </c>
      <c r="C150" s="58">
        <f>C126*365/C8/(C103*1000)</f>
        <v>0.0002796934865900383</v>
      </c>
      <c r="D150" s="58">
        <f>D126*365/D8/(D103*1000)</f>
        <v>0.0008534019172317045</v>
      </c>
      <c r="E150" s="58">
        <f>E126*365/E8/(E103*1000)</f>
        <v>0.0004642691951896392</v>
      </c>
      <c r="F150" s="58">
        <f>F126*365/F8/(F103*1000)</f>
        <v>0.0007852128623188407</v>
      </c>
      <c r="G150" s="58">
        <f>G126*365/G8/(G103*1000)</f>
        <v>0.000603590833923931</v>
      </c>
      <c r="H150" s="58">
        <f>H126*365/H8/(H103*1000)</f>
        <v>0.0001228956228956229</v>
      </c>
      <c r="I150" s="58">
        <f>I126*365/I8/(I103*1000)</f>
        <v>0.00019470820441694228</v>
      </c>
      <c r="J150" s="79">
        <f>J126*365/J8/(J103*1000)</f>
        <v>0.0003778467908902691</v>
      </c>
      <c r="K150" s="1"/>
    </row>
    <row r="151">
      <c r="A151" s="1"/>
      <c r="B151" s="4" t="s">
        <v>114</v>
      </c>
      <c r="C151" s="1"/>
      <c r="D151" s="1"/>
      <c r="E151" s="1"/>
      <c r="F151" s="1"/>
      <c r="G151" s="1"/>
      <c r="H151" s="54">
        <f>(H150-C150)*10000</f>
        <v>-1.5679786369441542</v>
      </c>
      <c r="I151" s="54">
        <f>(I150-D150)*10000</f>
        <v>-6.586937128147622</v>
      </c>
      <c r="J151" s="57">
        <f>(J150-E150)*10000</f>
        <v>-0.8642240429937008</v>
      </c>
      <c r="K151" s="1"/>
    </row>
    <row r="152">
      <c r="A152" s="1"/>
      <c r="B152" s="4" t="s">
        <v>115</v>
      </c>
      <c r="C152" s="1"/>
      <c r="D152" s="54">
        <f>(D150-C150)*10000</f>
        <v>5.737084306416662</v>
      </c>
      <c r="E152" s="54">
        <f>(E150-D150)*10000</f>
        <v>-3.891327220420653</v>
      </c>
      <c r="F152" s="54">
        <f>(F150-E150)*10000</f>
        <v>3.2094366712920146</v>
      </c>
      <c r="G152" s="1"/>
      <c r="H152" s="54">
        <f>(H150-F150)*10000</f>
        <v>-6.623172394232177</v>
      </c>
      <c r="I152" s="54">
        <f>(I150-H150)*10000</f>
        <v>0.7181258152131939</v>
      </c>
      <c r="J152" s="57">
        <f>(J150-I150)*10000</f>
        <v>1.8313858647332684</v>
      </c>
      <c r="K152" s="1"/>
    </row>
    <row r="153">
      <c r="A153" s="1"/>
      <c r="B153" s="22" t="s">
        <v>193</v>
      </c>
      <c r="C153" s="1"/>
      <c r="D153" s="1"/>
      <c r="E153" s="1"/>
      <c r="F153" s="1"/>
      <c r="G153" s="1"/>
      <c r="H153" s="1"/>
      <c r="I153" s="1"/>
      <c r="J153" s="31"/>
      <c r="K153" s="1"/>
    </row>
    <row r="154">
      <c r="A154" s="1"/>
      <c r="B154" s="1" t="s">
        <v>194</v>
      </c>
      <c r="C154" s="28">
        <v>1549</v>
      </c>
      <c r="D154" s="28">
        <v>1660</v>
      </c>
      <c r="E154" s="28">
        <v>1759</v>
      </c>
      <c r="F154" s="28">
        <v>1939</v>
      </c>
      <c r="G154" s="21">
        <f>SUM(C154:F154)</f>
        <v>6907</v>
      </c>
      <c r="H154" s="28">
        <v>1976</v>
      </c>
      <c r="I154" s="28">
        <v>2126</v>
      </c>
      <c r="J154" s="29">
        <f>J83*I154/(I154+I156)</f>
        <v>2170.0545170706996</v>
      </c>
      <c r="K154" s="24" t="s">
        <v>195</v>
      </c>
    </row>
    <row r="155">
      <c r="A155" s="1"/>
      <c r="B155" s="4" t="s">
        <v>108</v>
      </c>
      <c r="C155" s="1"/>
      <c r="D155" s="1"/>
      <c r="E155" s="1"/>
      <c r="F155" s="1"/>
      <c r="G155" s="1"/>
      <c r="H155" s="25">
        <f>IFERROR(H154/C154-1,"n/m")</f>
        <v>0.2756617172369271</v>
      </c>
      <c r="I155" s="25">
        <f>IFERROR(I154/D154-1,"n/m")</f>
        <v>0.28072289156626495</v>
      </c>
      <c r="J155" s="33">
        <f>IFERROR(J154/E154-1,"n/m")</f>
        <v>0.2336864792897666</v>
      </c>
      <c r="K155" s="1"/>
    </row>
    <row r="156">
      <c r="A156" s="1"/>
      <c r="B156" s="1" t="s">
        <v>196</v>
      </c>
      <c r="C156" s="28">
        <v>3655</v>
      </c>
      <c r="D156" s="28">
        <v>3770</v>
      </c>
      <c r="E156" s="28">
        <v>3971</v>
      </c>
      <c r="F156" s="28">
        <v>4333</v>
      </c>
      <c r="G156" s="21">
        <f>SUM(C156:F156)</f>
        <v>15729</v>
      </c>
      <c r="H156" s="28">
        <v>4127</v>
      </c>
      <c r="I156" s="28">
        <v>4256</v>
      </c>
      <c r="J156" s="29">
        <f>J83-J154</f>
        <v>4344.191921285465</v>
      </c>
      <c r="K156" s="1"/>
    </row>
    <row r="157">
      <c r="A157" s="1"/>
      <c r="B157" s="4" t="s">
        <v>108</v>
      </c>
      <c r="C157" s="1"/>
      <c r="D157" s="1"/>
      <c r="E157" s="1"/>
      <c r="F157" s="1"/>
      <c r="G157" s="1"/>
      <c r="H157" s="25">
        <f>IFERROR(H156/C156-1,"n/m")</f>
        <v>0.12913816689466495</v>
      </c>
      <c r="I157" s="25">
        <f>IFERROR(I156/D156-1,"n/m")</f>
        <v>0.12891246684350133</v>
      </c>
      <c r="J157" s="33">
        <f>IFERROR(J156/E156-1,"n/m")</f>
        <v>0.09397933046725382</v>
      </c>
      <c r="K157" s="1"/>
    </row>
    <row r="158">
      <c r="A158" s="1"/>
      <c r="B158" s="22" t="s">
        <v>197</v>
      </c>
      <c r="C158" s="27">
        <f>C154+C156</f>
        <v>5204</v>
      </c>
      <c r="D158" s="27">
        <f>D154+D156</f>
        <v>5430</v>
      </c>
      <c r="E158" s="27">
        <f>E154+E156</f>
        <v>5730</v>
      </c>
      <c r="F158" s="27">
        <f>F154+F156</f>
        <v>6272</v>
      </c>
      <c r="G158" s="27">
        <f>G154+G156</f>
        <v>22636</v>
      </c>
      <c r="H158" s="27">
        <f>H154+H156</f>
        <v>6103</v>
      </c>
      <c r="I158" s="27">
        <f>I154+I156</f>
        <v>6382</v>
      </c>
      <c r="J158" s="32">
        <f>J154+J156</f>
        <v>6514.246438356164</v>
      </c>
      <c r="K158" s="1"/>
    </row>
    <row r="159">
      <c r="A159" s="1"/>
      <c r="B159" s="4" t="s">
        <v>198</v>
      </c>
      <c r="C159" s="25">
        <f>C154/C158</f>
        <v>0.2976556495003843</v>
      </c>
      <c r="D159" s="25">
        <f>D154/D158</f>
        <v>0.30570902394106814</v>
      </c>
      <c r="E159" s="25">
        <f>E154/E158</f>
        <v>0.3069808027923211</v>
      </c>
      <c r="F159" s="25">
        <f>F154/F158</f>
        <v>0.3091517857142857</v>
      </c>
      <c r="G159" s="25">
        <f>G154/G158</f>
        <v>0.30513341579784414</v>
      </c>
      <c r="H159" s="25">
        <f>H154/H158</f>
        <v>0.3237751925282648</v>
      </c>
      <c r="I159" s="25">
        <f>I154/I158</f>
        <v>0.33312441240990287</v>
      </c>
      <c r="J159" s="33">
        <f>J154/J158</f>
        <v>0.33312441240990287</v>
      </c>
      <c r="K159" s="1"/>
    </row>
    <row r="160" ht="40.5">
      <c r="A160" s="1"/>
      <c r="B160" s="1" t="s">
        <v>199</v>
      </c>
      <c r="C160" s="21">
        <f>C158-C83</f>
        <v>0</v>
      </c>
      <c r="D160" s="21">
        <f>D158-D83</f>
        <v>0</v>
      </c>
      <c r="E160" s="21">
        <f>E158-E83</f>
        <v>0</v>
      </c>
      <c r="F160" s="21">
        <f>F158-F83</f>
        <v>0</v>
      </c>
      <c r="G160" s="21">
        <f>G158-G83</f>
        <v>0</v>
      </c>
      <c r="H160" s="21">
        <f>H158-H83</f>
        <v>0</v>
      </c>
      <c r="I160" s="21">
        <f>I158-I83</f>
        <v>0</v>
      </c>
      <c r="J160" s="29">
        <f>J158-J83</f>
        <v>0</v>
      </c>
      <c r="K160" s="115" t="s">
        <v>200</v>
      </c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K12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201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202</v>
      </c>
      <c r="C10" s="1"/>
      <c r="D10" s="1"/>
      <c r="E10" s="1"/>
      <c r="F10" s="1"/>
      <c r="G10" s="1"/>
      <c r="H10" s="1"/>
      <c r="I10" s="1"/>
      <c r="J10" s="31"/>
      <c r="K10" s="1"/>
    </row>
    <row r="11" ht="27.75">
      <c r="A11" s="1"/>
      <c r="B11" s="4" t="s">
        <v>203</v>
      </c>
      <c r="C11" s="1"/>
      <c r="D11" s="1"/>
      <c r="E11" s="1"/>
      <c r="F11" s="1"/>
      <c r="G11" s="1"/>
      <c r="H11" s="1"/>
      <c r="I11" s="1"/>
      <c r="J11" s="76">
        <v>0.03</v>
      </c>
      <c r="K11" s="112" t="s">
        <v>204</v>
      </c>
    </row>
    <row r="12">
      <c r="A12" s="1"/>
      <c r="B12" s="1" t="s">
        <v>205</v>
      </c>
      <c r="C12" s="28">
        <v>3116</v>
      </c>
      <c r="D12" s="28">
        <v>3221</v>
      </c>
      <c r="E12" s="28">
        <v>2963</v>
      </c>
      <c r="F12" s="28">
        <v>2449</v>
      </c>
      <c r="G12" s="21">
        <f>SUM(C12:F12)</f>
        <v>11749</v>
      </c>
      <c r="H12" s="28">
        <v>3311</v>
      </c>
      <c r="I12" s="28">
        <v>3247</v>
      </c>
      <c r="J12" s="29">
        <f>E12*(1+J11)</f>
        <v>3051.89</v>
      </c>
      <c r="K12" s="24" t="s">
        <v>136</v>
      </c>
    </row>
    <row r="13">
      <c r="A13" s="1"/>
      <c r="B13" s="4" t="s">
        <v>70</v>
      </c>
      <c r="C13" s="1"/>
      <c r="D13" s="1"/>
      <c r="E13" s="1"/>
      <c r="F13" s="1"/>
      <c r="G13" s="1"/>
      <c r="H13" s="25">
        <f>IFERROR(H12/C12-1,"n/m")</f>
        <v>0.06258023106546862</v>
      </c>
      <c r="I13" s="25">
        <f>IFERROR(I12/D12-1,"n/m")</f>
        <v>0.008072027320707775</v>
      </c>
      <c r="J13" s="33">
        <f>IFERROR(J12/E12-1,"n/m")</f>
        <v>0.030000000000000027</v>
      </c>
      <c r="K13" s="1"/>
    </row>
    <row r="14">
      <c r="A14" s="1"/>
      <c r="B14" s="4" t="s">
        <v>71</v>
      </c>
      <c r="C14" s="1"/>
      <c r="D14" s="34">
        <f>D12-C12</f>
        <v>105</v>
      </c>
      <c r="E14" s="34">
        <f>E12-D12</f>
        <v>-258</v>
      </c>
      <c r="F14" s="34">
        <f>F12-E12</f>
        <v>-514</v>
      </c>
      <c r="G14" s="1"/>
      <c r="H14" s="34">
        <f>H12-F12</f>
        <v>862</v>
      </c>
      <c r="I14" s="34">
        <f>I12-H12</f>
        <v>-64</v>
      </c>
      <c r="J14" s="39">
        <f>J12-I12</f>
        <v>-195.11000000000013</v>
      </c>
      <c r="K14" s="1"/>
    </row>
    <row r="15">
      <c r="A15" s="1"/>
      <c r="B15" s="4" t="s">
        <v>74</v>
      </c>
      <c r="C15" s="1"/>
      <c r="D15" s="1"/>
      <c r="E15" s="1"/>
      <c r="F15" s="1"/>
      <c r="G15" s="1"/>
      <c r="H15" s="30" t="s">
        <v>48</v>
      </c>
      <c r="I15" s="30" t="s">
        <v>48</v>
      </c>
      <c r="J15" s="40" t="s">
        <v>48</v>
      </c>
      <c r="K15" s="24" t="s">
        <v>137</v>
      </c>
    </row>
    <row r="16">
      <c r="A16" s="1"/>
      <c r="B16" s="4" t="s">
        <v>76</v>
      </c>
      <c r="C16" s="1"/>
      <c r="D16" s="1"/>
      <c r="E16" s="1"/>
      <c r="F16" s="1"/>
      <c r="G16" s="1"/>
      <c r="H16" s="30" t="s">
        <v>48</v>
      </c>
      <c r="I16" s="30" t="s">
        <v>48</v>
      </c>
      <c r="J16" s="40" t="s">
        <v>48</v>
      </c>
      <c r="K16" s="24" t="s">
        <v>137</v>
      </c>
    </row>
    <row r="17" ht="27.75">
      <c r="A17" s="1"/>
      <c r="B17" s="4" t="s">
        <v>77</v>
      </c>
      <c r="C17" s="1"/>
      <c r="D17" s="1"/>
      <c r="E17" s="1"/>
      <c r="F17" s="1"/>
      <c r="G17" s="1"/>
      <c r="H17" s="30" t="s">
        <v>48</v>
      </c>
      <c r="I17" s="30" t="s">
        <v>48</v>
      </c>
      <c r="J17" s="40" t="s">
        <v>48</v>
      </c>
      <c r="K17" s="112" t="s">
        <v>78</v>
      </c>
    </row>
    <row r="18">
      <c r="A18" s="1"/>
      <c r="B18" s="4" t="s">
        <v>206</v>
      </c>
      <c r="C18" s="1"/>
      <c r="D18" s="1"/>
      <c r="E18" s="1"/>
      <c r="F18" s="1"/>
      <c r="G18" s="1"/>
      <c r="H18" s="1"/>
      <c r="I18" s="1"/>
      <c r="J18" s="76">
        <v>0.11</v>
      </c>
      <c r="K18" s="24" t="s">
        <v>207</v>
      </c>
    </row>
    <row r="19">
      <c r="A19" s="1"/>
      <c r="B19" s="1" t="s">
        <v>208</v>
      </c>
      <c r="C19" s="28">
        <v>1462</v>
      </c>
      <c r="D19" s="28">
        <v>1167</v>
      </c>
      <c r="E19" s="28">
        <v>1262</v>
      </c>
      <c r="F19" s="28">
        <v>1105</v>
      </c>
      <c r="G19" s="21">
        <f>SUM(C19:F19)</f>
        <v>4996</v>
      </c>
      <c r="H19" s="28">
        <v>1855</v>
      </c>
      <c r="I19" s="28">
        <v>1459</v>
      </c>
      <c r="J19" s="29">
        <f>E19*(1+J18)</f>
        <v>1400.8200000000002</v>
      </c>
      <c r="K19" s="1"/>
    </row>
    <row r="20">
      <c r="A20" s="1"/>
      <c r="B20" s="4" t="s">
        <v>70</v>
      </c>
      <c r="C20" s="1"/>
      <c r="D20" s="1"/>
      <c r="E20" s="1"/>
      <c r="F20" s="1"/>
      <c r="G20" s="1"/>
      <c r="H20" s="25">
        <f>IFERROR(H19/C19-1,"n/m")</f>
        <v>0.2688098495212039</v>
      </c>
      <c r="I20" s="25">
        <f>IFERROR(I19/D19-1,"n/m")</f>
        <v>0.2502142245072836</v>
      </c>
      <c r="J20" s="33">
        <f>IFERROR(J19/E19-1,"n/m")</f>
        <v>0.1100000000000001</v>
      </c>
      <c r="K20" s="1"/>
    </row>
    <row r="21">
      <c r="A21" s="1"/>
      <c r="B21" s="4" t="s">
        <v>71</v>
      </c>
      <c r="C21" s="1"/>
      <c r="D21" s="34">
        <f>D19-C19</f>
        <v>-295</v>
      </c>
      <c r="E21" s="34">
        <f>E19-D19</f>
        <v>95</v>
      </c>
      <c r="F21" s="34">
        <f>F19-E19</f>
        <v>-157</v>
      </c>
      <c r="G21" s="1"/>
      <c r="H21" s="34">
        <f>H19-F19</f>
        <v>750</v>
      </c>
      <c r="I21" s="34">
        <f>I19-H19</f>
        <v>-396</v>
      </c>
      <c r="J21" s="39">
        <f>J19-I19</f>
        <v>-58.179999999999836</v>
      </c>
      <c r="K21" s="1"/>
    </row>
    <row r="22">
      <c r="A22" s="1"/>
      <c r="B22" s="4" t="s">
        <v>74</v>
      </c>
      <c r="C22" s="1"/>
      <c r="D22" s="1"/>
      <c r="E22" s="1"/>
      <c r="F22" s="1"/>
      <c r="G22" s="1"/>
      <c r="H22" s="30" t="s">
        <v>48</v>
      </c>
      <c r="I22" s="30" t="s">
        <v>48</v>
      </c>
      <c r="J22" s="40" t="s">
        <v>48</v>
      </c>
      <c r="K22" s="24" t="s">
        <v>137</v>
      </c>
    </row>
    <row r="23">
      <c r="A23" s="1"/>
      <c r="B23" s="4" t="s">
        <v>76</v>
      </c>
      <c r="C23" s="1"/>
      <c r="D23" s="1"/>
      <c r="E23" s="1"/>
      <c r="F23" s="1"/>
      <c r="G23" s="1"/>
      <c r="H23" s="30" t="s">
        <v>48</v>
      </c>
      <c r="I23" s="30" t="s">
        <v>48</v>
      </c>
      <c r="J23" s="40" t="s">
        <v>48</v>
      </c>
      <c r="K23" s="24" t="s">
        <v>137</v>
      </c>
    </row>
    <row r="24" ht="27.75">
      <c r="A24" s="1"/>
      <c r="B24" s="4" t="s">
        <v>77</v>
      </c>
      <c r="C24" s="1"/>
      <c r="D24" s="1"/>
      <c r="E24" s="1"/>
      <c r="F24" s="1"/>
      <c r="G24" s="1"/>
      <c r="H24" s="30" t="s">
        <v>48</v>
      </c>
      <c r="I24" s="30" t="s">
        <v>48</v>
      </c>
      <c r="J24" s="40" t="s">
        <v>48</v>
      </c>
      <c r="K24" s="112" t="s">
        <v>78</v>
      </c>
    </row>
    <row r="25">
      <c r="A25" s="1"/>
      <c r="B25" s="22" t="s">
        <v>209</v>
      </c>
      <c r="C25" s="27">
        <f>C12+C19</f>
        <v>4578</v>
      </c>
      <c r="D25" s="27">
        <f>D12+D19</f>
        <v>4388</v>
      </c>
      <c r="E25" s="27">
        <f>E12+E19</f>
        <v>4225</v>
      </c>
      <c r="F25" s="27">
        <f>F12+F19</f>
        <v>3554</v>
      </c>
      <c r="G25" s="27">
        <f>G12+G19</f>
        <v>16745</v>
      </c>
      <c r="H25" s="27">
        <f>H12+H19</f>
        <v>5166</v>
      </c>
      <c r="I25" s="27">
        <f>I12+I19</f>
        <v>4706</v>
      </c>
      <c r="J25" s="32">
        <f>J12+J19</f>
        <v>4452.71</v>
      </c>
      <c r="K25" s="1"/>
    </row>
    <row r="26">
      <c r="A26" s="1"/>
      <c r="B26" s="4" t="s">
        <v>70</v>
      </c>
      <c r="C26" s="1"/>
      <c r="D26" s="1"/>
      <c r="E26" s="1"/>
      <c r="F26" s="1"/>
      <c r="G26" s="1"/>
      <c r="H26" s="25">
        <f>IFERROR(H25/C25-1,"n/m")</f>
        <v>0.12844036697247696</v>
      </c>
      <c r="I26" s="25">
        <f>IFERROR(I25/D25-1,"n/m")</f>
        <v>0.0724703737465815</v>
      </c>
      <c r="J26" s="33">
        <f>IFERROR(J25/E25-1,"n/m")</f>
        <v>0.05389585798816565</v>
      </c>
      <c r="K26" s="1"/>
    </row>
    <row r="27">
      <c r="A27" s="1"/>
      <c r="B27" s="4" t="s">
        <v>71</v>
      </c>
      <c r="C27" s="1"/>
      <c r="D27" s="34">
        <f>D25-C25</f>
        <v>-190</v>
      </c>
      <c r="E27" s="34">
        <f>E25-D25</f>
        <v>-163</v>
      </c>
      <c r="F27" s="34">
        <f>F25-E25</f>
        <v>-671</v>
      </c>
      <c r="G27" s="1"/>
      <c r="H27" s="34">
        <f>H25-F25</f>
        <v>1612</v>
      </c>
      <c r="I27" s="34">
        <f>I25-H25</f>
        <v>-460</v>
      </c>
      <c r="J27" s="39">
        <f>J25-I25</f>
        <v>-253.28999999999996</v>
      </c>
      <c r="K27" s="1"/>
    </row>
    <row r="28">
      <c r="A28" s="1"/>
      <c r="B28" s="4" t="s">
        <v>74</v>
      </c>
      <c r="C28" s="1"/>
      <c r="D28" s="1"/>
      <c r="E28" s="1"/>
      <c r="F28" s="1"/>
      <c r="G28" s="1"/>
      <c r="H28" s="30" t="s">
        <v>48</v>
      </c>
      <c r="I28" s="30" t="s">
        <v>48</v>
      </c>
      <c r="J28" s="40" t="s">
        <v>48</v>
      </c>
      <c r="K28" s="24" t="s">
        <v>137</v>
      </c>
    </row>
    <row r="29">
      <c r="A29" s="1"/>
      <c r="B29" s="4" t="s">
        <v>76</v>
      </c>
      <c r="C29" s="1"/>
      <c r="D29" s="1"/>
      <c r="E29" s="1"/>
      <c r="F29" s="1"/>
      <c r="G29" s="1"/>
      <c r="H29" s="30" t="s">
        <v>48</v>
      </c>
      <c r="I29" s="30" t="s">
        <v>48</v>
      </c>
      <c r="J29" s="40" t="s">
        <v>48</v>
      </c>
      <c r="K29" s="24" t="s">
        <v>137</v>
      </c>
    </row>
    <row r="30" ht="27.75">
      <c r="A30" s="1"/>
      <c r="B30" s="4" t="s">
        <v>77</v>
      </c>
      <c r="C30" s="1"/>
      <c r="D30" s="1"/>
      <c r="E30" s="1"/>
      <c r="F30" s="1"/>
      <c r="G30" s="1"/>
      <c r="H30" s="30" t="s">
        <v>48</v>
      </c>
      <c r="I30" s="30" t="s">
        <v>48</v>
      </c>
      <c r="J30" s="40" t="s">
        <v>48</v>
      </c>
      <c r="K30" s="112" t="s">
        <v>78</v>
      </c>
    </row>
    <row r="31">
      <c r="A31" s="1"/>
      <c r="B31" s="22" t="s">
        <v>210</v>
      </c>
      <c r="C31" s="1"/>
      <c r="D31" s="1"/>
      <c r="E31" s="1"/>
      <c r="F31" s="1"/>
      <c r="G31" s="1"/>
      <c r="H31" s="1"/>
      <c r="I31" s="1"/>
      <c r="J31" s="31"/>
      <c r="K31" s="1"/>
    </row>
    <row r="32">
      <c r="A32" s="1"/>
      <c r="B32" s="4" t="s">
        <v>211</v>
      </c>
      <c r="C32" s="1"/>
      <c r="D32" s="1"/>
      <c r="E32" s="1"/>
      <c r="F32" s="1"/>
      <c r="G32" s="1"/>
      <c r="H32" s="1"/>
      <c r="I32" s="1"/>
      <c r="J32" s="76">
        <v>0.15</v>
      </c>
      <c r="K32" s="24" t="s">
        <v>212</v>
      </c>
    </row>
    <row r="33">
      <c r="A33" s="1"/>
      <c r="B33" s="1" t="s">
        <v>213</v>
      </c>
      <c r="C33" s="28">
        <v>1497</v>
      </c>
      <c r="D33" s="28">
        <v>1592</v>
      </c>
      <c r="E33" s="28">
        <v>1520</v>
      </c>
      <c r="F33" s="28">
        <v>1055</v>
      </c>
      <c r="G33" s="21">
        <f>SUM(C33:F33)</f>
        <v>5664</v>
      </c>
      <c r="H33" s="28">
        <v>2080</v>
      </c>
      <c r="I33" s="28">
        <v>2301</v>
      </c>
      <c r="J33" s="29">
        <f>E33*(1+J32)</f>
        <v>1747.9999999999998</v>
      </c>
      <c r="K33" s="1"/>
    </row>
    <row r="34">
      <c r="A34" s="1"/>
      <c r="B34" s="4" t="s">
        <v>70</v>
      </c>
      <c r="C34" s="1"/>
      <c r="D34" s="1"/>
      <c r="E34" s="1"/>
      <c r="F34" s="1"/>
      <c r="G34" s="1"/>
      <c r="H34" s="25">
        <f>IFERROR(H33/C33-1,"n/m")</f>
        <v>0.3894455577822311</v>
      </c>
      <c r="I34" s="25">
        <f>IFERROR(I33/D33-1,"n/m")</f>
        <v>0.44535175879396993</v>
      </c>
      <c r="J34" s="33">
        <f>IFERROR(J33/E33-1,"n/m")</f>
        <v>0.1499999999999999</v>
      </c>
      <c r="K34" s="1"/>
    </row>
    <row r="35">
      <c r="A35" s="1"/>
      <c r="B35" s="4" t="s">
        <v>71</v>
      </c>
      <c r="C35" s="1"/>
      <c r="D35" s="34">
        <f>D33-C33</f>
        <v>95</v>
      </c>
      <c r="E35" s="34">
        <f>E33-D33</f>
        <v>-72</v>
      </c>
      <c r="F35" s="34">
        <f>F33-E33</f>
        <v>-465</v>
      </c>
      <c r="G35" s="1"/>
      <c r="H35" s="34">
        <f>H33-F33</f>
        <v>1025</v>
      </c>
      <c r="I35" s="34">
        <f>I33-H33</f>
        <v>221</v>
      </c>
      <c r="J35" s="39">
        <f>J33-I33</f>
        <v>-553.0000000000002</v>
      </c>
      <c r="K35" s="1"/>
    </row>
    <row r="36">
      <c r="A36" s="1"/>
      <c r="B36" s="4" t="s">
        <v>74</v>
      </c>
      <c r="C36" s="1"/>
      <c r="D36" s="1"/>
      <c r="E36" s="1"/>
      <c r="F36" s="1"/>
      <c r="G36" s="1"/>
      <c r="H36" s="30" t="s">
        <v>48</v>
      </c>
      <c r="I36" s="30" t="s">
        <v>48</v>
      </c>
      <c r="J36" s="40" t="s">
        <v>48</v>
      </c>
      <c r="K36" s="24" t="s">
        <v>137</v>
      </c>
    </row>
    <row r="37">
      <c r="A37" s="1"/>
      <c r="B37" s="4" t="s">
        <v>76</v>
      </c>
      <c r="C37" s="1"/>
      <c r="D37" s="1"/>
      <c r="E37" s="1"/>
      <c r="F37" s="1"/>
      <c r="G37" s="1"/>
      <c r="H37" s="30" t="s">
        <v>48</v>
      </c>
      <c r="I37" s="30" t="s">
        <v>48</v>
      </c>
      <c r="J37" s="40" t="s">
        <v>48</v>
      </c>
      <c r="K37" s="24" t="s">
        <v>137</v>
      </c>
    </row>
    <row r="38" ht="27.75">
      <c r="A38" s="1"/>
      <c r="B38" s="4" t="s">
        <v>77</v>
      </c>
      <c r="C38" s="1"/>
      <c r="D38" s="1"/>
      <c r="E38" s="1"/>
      <c r="F38" s="1"/>
      <c r="G38" s="1"/>
      <c r="H38" s="30" t="s">
        <v>48</v>
      </c>
      <c r="I38" s="30" t="s">
        <v>48</v>
      </c>
      <c r="J38" s="40" t="s">
        <v>48</v>
      </c>
      <c r="K38" s="112" t="s">
        <v>78</v>
      </c>
    </row>
    <row r="39">
      <c r="A39" s="1"/>
      <c r="B39" s="22" t="s">
        <v>214</v>
      </c>
      <c r="C39" s="1"/>
      <c r="D39" s="1"/>
      <c r="E39" s="1"/>
      <c r="F39" s="1"/>
      <c r="G39" s="1"/>
      <c r="H39" s="1"/>
      <c r="I39" s="1"/>
      <c r="J39" s="31"/>
      <c r="K39" s="1"/>
    </row>
    <row r="40">
      <c r="A40" s="1"/>
      <c r="B40" s="22" t="s">
        <v>215</v>
      </c>
      <c r="C40" s="27">
        <f>C25+C33</f>
        <v>6075</v>
      </c>
      <c r="D40" s="27">
        <f>D25+D33</f>
        <v>5980</v>
      </c>
      <c r="E40" s="27">
        <f>E25+E33</f>
        <v>5745</v>
      </c>
      <c r="F40" s="27">
        <f>F25+F33</f>
        <v>4609</v>
      </c>
      <c r="G40" s="27">
        <f>G25+G33</f>
        <v>22409</v>
      </c>
      <c r="H40" s="27">
        <f>H25+H33</f>
        <v>7246</v>
      </c>
      <c r="I40" s="27">
        <f>I25+I33</f>
        <v>7007</v>
      </c>
      <c r="J40" s="32">
        <f>J25+J33</f>
        <v>6200.71</v>
      </c>
      <c r="K40" s="1"/>
    </row>
    <row r="41">
      <c r="A41" s="1"/>
      <c r="B41" s="4" t="s">
        <v>70</v>
      </c>
      <c r="C41" s="1"/>
      <c r="D41" s="1"/>
      <c r="E41" s="1"/>
      <c r="F41" s="1"/>
      <c r="G41" s="1"/>
      <c r="H41" s="25">
        <f>IFERROR(H40/C40-1,"n/m")</f>
        <v>0.19275720164609056</v>
      </c>
      <c r="I41" s="25">
        <f>IFERROR(I40/D40-1,"n/m")</f>
        <v>0.17173913043478262</v>
      </c>
      <c r="J41" s="33">
        <f>IFERROR(J40/E40-1,"n/m")</f>
        <v>0.0793228894691036</v>
      </c>
      <c r="K41" s="1"/>
    </row>
    <row r="42">
      <c r="A42" s="1"/>
      <c r="B42" s="4" t="s">
        <v>71</v>
      </c>
      <c r="C42" s="1"/>
      <c r="D42" s="34">
        <f>D40-C40</f>
        <v>-95</v>
      </c>
      <c r="E42" s="34">
        <f>E40-D40</f>
        <v>-235</v>
      </c>
      <c r="F42" s="34">
        <f>F40-E40</f>
        <v>-1136</v>
      </c>
      <c r="G42" s="1"/>
      <c r="H42" s="34">
        <f>H40-F40</f>
        <v>2637</v>
      </c>
      <c r="I42" s="34">
        <f>I40-H40</f>
        <v>-239</v>
      </c>
      <c r="J42" s="39">
        <f>J40-I40</f>
        <v>-806.29</v>
      </c>
      <c r="K42" s="1"/>
    </row>
    <row r="43">
      <c r="A43" s="1"/>
      <c r="B43" s="4" t="s">
        <v>72</v>
      </c>
      <c r="C43" s="1"/>
      <c r="D43" s="25">
        <f>IFERROR(D40/C40-1,"n/m")</f>
        <v>-0.0156378600823045</v>
      </c>
      <c r="E43" s="25">
        <f>IFERROR(E40/D40-1,"n/m")</f>
        <v>-0.039297658862876284</v>
      </c>
      <c r="F43" s="25">
        <f>IFERROR(F40/E40-1,"n/m")</f>
        <v>-0.19773716275021758</v>
      </c>
      <c r="G43" s="1"/>
      <c r="H43" s="25">
        <f>IFERROR(H40/F40-1,"n/m")</f>
        <v>0.5721414623562595</v>
      </c>
      <c r="I43" s="25">
        <f>IFERROR(I40/H40-1,"n/m")</f>
        <v>-0.03298371515318799</v>
      </c>
      <c r="J43" s="33">
        <f>IFERROR(J40/I40-1,"n/m")</f>
        <v>-0.1150692164977879</v>
      </c>
      <c r="K43" s="1"/>
    </row>
    <row r="44">
      <c r="A44" s="1"/>
      <c r="B44" s="4" t="s">
        <v>74</v>
      </c>
      <c r="C44" s="1"/>
      <c r="D44" s="1"/>
      <c r="E44" s="1"/>
      <c r="F44" s="1"/>
      <c r="G44" s="1"/>
      <c r="H44" s="30" t="s">
        <v>48</v>
      </c>
      <c r="I44" s="30" t="s">
        <v>48</v>
      </c>
      <c r="J44" s="40" t="s">
        <v>48</v>
      </c>
      <c r="K44" s="24" t="s">
        <v>137</v>
      </c>
    </row>
    <row r="45">
      <c r="A45" s="1"/>
      <c r="B45" s="4" t="s">
        <v>76</v>
      </c>
      <c r="C45" s="1"/>
      <c r="D45" s="1"/>
      <c r="E45" s="1"/>
      <c r="F45" s="1"/>
      <c r="G45" s="1"/>
      <c r="H45" s="30" t="s">
        <v>48</v>
      </c>
      <c r="I45" s="30" t="s">
        <v>48</v>
      </c>
      <c r="J45" s="40" t="s">
        <v>48</v>
      </c>
      <c r="K45" s="24" t="s">
        <v>137</v>
      </c>
    </row>
    <row r="46" ht="27.75">
      <c r="A46" s="1"/>
      <c r="B46" s="4" t="s">
        <v>77</v>
      </c>
      <c r="C46" s="1"/>
      <c r="D46" s="1"/>
      <c r="E46" s="1"/>
      <c r="F46" s="1"/>
      <c r="G46" s="1"/>
      <c r="H46" s="30" t="s">
        <v>48</v>
      </c>
      <c r="I46" s="30" t="s">
        <v>48</v>
      </c>
      <c r="J46" s="40" t="s">
        <v>48</v>
      </c>
      <c r="K46" s="112" t="s">
        <v>78</v>
      </c>
    </row>
    <row r="47">
      <c r="A47" s="1"/>
      <c r="B47" s="4" t="s">
        <v>216</v>
      </c>
      <c r="C47" s="1"/>
      <c r="D47" s="1"/>
      <c r="E47" s="1"/>
      <c r="F47" s="1"/>
      <c r="G47" s="1"/>
      <c r="H47" s="1"/>
      <c r="I47" s="1"/>
      <c r="J47" s="98">
        <f>E40*(1+Guidance!G20)</f>
        <v>6032.25</v>
      </c>
      <c r="K47" s="24" t="s">
        <v>217</v>
      </c>
    </row>
    <row r="48">
      <c r="A48" s="1"/>
      <c r="B48" s="4" t="s">
        <v>218</v>
      </c>
      <c r="C48" s="25">
        <f>C25/C40</f>
        <v>0.7535802469135803</v>
      </c>
      <c r="D48" s="25">
        <f>D25/D40</f>
        <v>0.7337792642140468</v>
      </c>
      <c r="E48" s="25">
        <f>E25/E40</f>
        <v>0.7354221061792864</v>
      </c>
      <c r="F48" s="25">
        <f>F25/F40</f>
        <v>0.7711000216966805</v>
      </c>
      <c r="G48" s="25">
        <f>G25/G40</f>
        <v>0.7472444107278325</v>
      </c>
      <c r="H48" s="25">
        <f>H25/H40</f>
        <v>0.7129450731438035</v>
      </c>
      <c r="I48" s="25">
        <f>I25/I40</f>
        <v>0.6716141001855288</v>
      </c>
      <c r="J48" s="33">
        <f>J25/J40</f>
        <v>0.7180967985924193</v>
      </c>
      <c r="K48" s="1"/>
    </row>
    <row r="49">
      <c r="A49" s="1"/>
      <c r="B49" s="22" t="s">
        <v>219</v>
      </c>
      <c r="C49" s="1"/>
      <c r="D49" s="1"/>
      <c r="E49" s="1"/>
      <c r="F49" s="1"/>
      <c r="G49" s="1"/>
      <c r="H49" s="1"/>
      <c r="I49" s="1"/>
      <c r="J49" s="31"/>
      <c r="K49" s="1"/>
    </row>
    <row r="50" ht="27.75">
      <c r="A50" s="1"/>
      <c r="B50" s="1" t="s">
        <v>59</v>
      </c>
      <c r="C50" s="28">
        <v>1924</v>
      </c>
      <c r="D50" s="28">
        <v>2824</v>
      </c>
      <c r="E50" s="28">
        <v>2178</v>
      </c>
      <c r="F50" s="28">
        <v>2761</v>
      </c>
      <c r="G50" s="21">
        <f>SUM(C50:F50)</f>
        <v>9687</v>
      </c>
      <c r="H50" s="28">
        <v>2797</v>
      </c>
      <c r="I50" s="28">
        <v>4002</v>
      </c>
      <c r="J50" s="55">
        <v>3300</v>
      </c>
      <c r="K50" s="112" t="s">
        <v>220</v>
      </c>
    </row>
    <row r="51">
      <c r="A51" s="1"/>
      <c r="B51" s="4" t="s">
        <v>108</v>
      </c>
      <c r="C51" s="1"/>
      <c r="D51" s="1"/>
      <c r="E51" s="1"/>
      <c r="F51" s="1"/>
      <c r="G51" s="1"/>
      <c r="H51" s="25">
        <f>IFERROR(H50/C50-1,"n/m")</f>
        <v>0.45374220374220364</v>
      </c>
      <c r="I51" s="25">
        <f>IFERROR(I50/D50-1,"n/m")</f>
        <v>0.41713881019830024</v>
      </c>
      <c r="J51" s="33">
        <f>IFERROR(J50/E50-1,"n/m")</f>
        <v>0.5151515151515151</v>
      </c>
      <c r="K51" s="1"/>
    </row>
    <row r="52">
      <c r="A52" s="1"/>
      <c r="B52" s="4" t="s">
        <v>71</v>
      </c>
      <c r="C52" s="1"/>
      <c r="D52" s="34">
        <f>D50-C50</f>
        <v>900</v>
      </c>
      <c r="E52" s="34">
        <f>E50-D50</f>
        <v>-646</v>
      </c>
      <c r="F52" s="34">
        <f>F50-E50</f>
        <v>583</v>
      </c>
      <c r="G52" s="1"/>
      <c r="H52" s="34">
        <f>H50-F50</f>
        <v>36</v>
      </c>
      <c r="I52" s="34">
        <f>I50-H50</f>
        <v>1205</v>
      </c>
      <c r="J52" s="39">
        <f>J50-I50</f>
        <v>-702</v>
      </c>
      <c r="K52" s="1"/>
    </row>
    <row r="53">
      <c r="A53" s="1"/>
      <c r="B53" s="1" t="s">
        <v>60</v>
      </c>
      <c r="C53" s="21">
        <f>C40-C50</f>
        <v>4151</v>
      </c>
      <c r="D53" s="21">
        <f>D40-D50</f>
        <v>3156</v>
      </c>
      <c r="E53" s="21">
        <f>E40-E50</f>
        <v>3567</v>
      </c>
      <c r="F53" s="21">
        <f>F40-F50</f>
        <v>1848</v>
      </c>
      <c r="G53" s="21">
        <f>G40-G50</f>
        <v>12722</v>
      </c>
      <c r="H53" s="21">
        <f>H40-H50</f>
        <v>4449</v>
      </c>
      <c r="I53" s="21">
        <f>I40-I50</f>
        <v>3005</v>
      </c>
      <c r="J53" s="29">
        <f>J40-J50</f>
        <v>2900.71</v>
      </c>
      <c r="K53" s="1"/>
    </row>
    <row r="54">
      <c r="A54" s="1"/>
      <c r="B54" s="1" t="s">
        <v>221</v>
      </c>
      <c r="C54" s="28">
        <v>400</v>
      </c>
      <c r="D54" s="28">
        <v>399</v>
      </c>
      <c r="E54" s="28">
        <v>400</v>
      </c>
      <c r="F54" s="28">
        <v>364</v>
      </c>
      <c r="G54" s="21">
        <f>SUM(C54:F54)</f>
        <v>1563</v>
      </c>
      <c r="H54" s="28">
        <v>478</v>
      </c>
      <c r="I54" s="28">
        <v>469</v>
      </c>
      <c r="J54" s="61" t="s">
        <v>48</v>
      </c>
      <c r="K54" s="1"/>
    </row>
    <row r="55">
      <c r="A55" s="1"/>
      <c r="B55" s="1" t="s">
        <v>222</v>
      </c>
      <c r="C55" s="28">
        <v>135</v>
      </c>
      <c r="D55" s="28">
        <v>106</v>
      </c>
      <c r="E55" s="28">
        <v>163</v>
      </c>
      <c r="F55" s="28">
        <v>120</v>
      </c>
      <c r="G55" s="21">
        <f>SUM(C55:F55)</f>
        <v>524</v>
      </c>
      <c r="H55" s="28">
        <v>120</v>
      </c>
      <c r="I55" s="28">
        <v>143</v>
      </c>
      <c r="J55" s="61" t="s">
        <v>48</v>
      </c>
      <c r="K55" s="1"/>
    </row>
    <row r="56">
      <c r="A56" s="1"/>
      <c r="B56" s="1" t="s">
        <v>223</v>
      </c>
      <c r="C56" s="28">
        <v>52</v>
      </c>
      <c r="D56" s="28">
        <v>51</v>
      </c>
      <c r="E56" s="28">
        <v>63</v>
      </c>
      <c r="F56" s="28">
        <v>57</v>
      </c>
      <c r="G56" s="21">
        <f>SUM(C56:F56)</f>
        <v>223</v>
      </c>
      <c r="H56" s="28">
        <v>55</v>
      </c>
      <c r="I56" s="28">
        <v>54</v>
      </c>
      <c r="J56" s="61" t="s">
        <v>48</v>
      </c>
      <c r="K56" s="1"/>
    </row>
    <row r="57">
      <c r="A57" s="1"/>
      <c r="B57" s="22" t="s">
        <v>224</v>
      </c>
      <c r="C57" s="27">
        <f>C54+C55+C56</f>
        <v>587</v>
      </c>
      <c r="D57" s="27">
        <f>D54+D55+D56</f>
        <v>556</v>
      </c>
      <c r="E57" s="27">
        <f>E54+E55+E56</f>
        <v>626</v>
      </c>
      <c r="F57" s="27">
        <f>F54+F55+F56</f>
        <v>541</v>
      </c>
      <c r="G57" s="27">
        <f>G54+G55+G56</f>
        <v>2310</v>
      </c>
      <c r="H57" s="27">
        <f>H54+H55+H56</f>
        <v>653</v>
      </c>
      <c r="I57" s="27">
        <f>I54+I55+I56</f>
        <v>666</v>
      </c>
      <c r="J57" s="67" t="s">
        <v>48</v>
      </c>
      <c r="K57" s="1"/>
    </row>
    <row r="58">
      <c r="A58" s="1"/>
      <c r="B58" s="1" t="s">
        <v>225</v>
      </c>
      <c r="C58" s="28">
        <v>3285</v>
      </c>
      <c r="D58" s="28">
        <v>2302</v>
      </c>
      <c r="E58" s="28">
        <v>2737</v>
      </c>
      <c r="F58" s="28">
        <v>1155</v>
      </c>
      <c r="G58" s="21">
        <f>SUM(C58:F58)</f>
        <v>9479</v>
      </c>
      <c r="H58" s="28">
        <v>3542</v>
      </c>
      <c r="I58" s="28">
        <v>2088</v>
      </c>
      <c r="J58" s="61" t="s">
        <v>48</v>
      </c>
      <c r="K58" s="1"/>
    </row>
    <row r="59">
      <c r="A59" s="1"/>
      <c r="B59" s="1" t="s">
        <v>226</v>
      </c>
      <c r="C59" s="28">
        <v>279</v>
      </c>
      <c r="D59" s="28">
        <v>298</v>
      </c>
      <c r="E59" s="28">
        <v>204</v>
      </c>
      <c r="F59" s="28">
        <v>152</v>
      </c>
      <c r="G59" s="21">
        <f>SUM(C59:F59)</f>
        <v>933</v>
      </c>
      <c r="H59" s="28">
        <v>254</v>
      </c>
      <c r="I59" s="28">
        <v>251</v>
      </c>
      <c r="J59" s="61" t="s">
        <v>48</v>
      </c>
      <c r="K59" s="1"/>
    </row>
    <row r="60">
      <c r="A60" s="1"/>
      <c r="B60" s="22" t="s">
        <v>227</v>
      </c>
      <c r="C60" s="27">
        <f>C57+C58+C59</f>
        <v>4151</v>
      </c>
      <c r="D60" s="27">
        <f>D57+D58+D59</f>
        <v>3156</v>
      </c>
      <c r="E60" s="27">
        <f>E57+E58+E59</f>
        <v>3567</v>
      </c>
      <c r="F60" s="27">
        <f>F57+F58+F59</f>
        <v>1848</v>
      </c>
      <c r="G60" s="27">
        <f>G57+G58+G59</f>
        <v>12722</v>
      </c>
      <c r="H60" s="27">
        <f>H57+H58+H59</f>
        <v>4449</v>
      </c>
      <c r="I60" s="27">
        <f>I57+I58+I59</f>
        <v>3005</v>
      </c>
      <c r="J60" s="67" t="s">
        <v>48</v>
      </c>
      <c r="K60" s="1"/>
    </row>
    <row r="61">
      <c r="A61" s="1"/>
      <c r="B61" s="1" t="s">
        <v>228</v>
      </c>
      <c r="C61" s="21">
        <f>C60-C53</f>
        <v>0</v>
      </c>
      <c r="D61" s="21">
        <f>D60-D53</f>
        <v>0</v>
      </c>
      <c r="E61" s="21">
        <f>E60-E53</f>
        <v>0</v>
      </c>
      <c r="F61" s="21">
        <f>F60-F53</f>
        <v>0</v>
      </c>
      <c r="G61" s="21">
        <f>G60-G53</f>
        <v>0</v>
      </c>
      <c r="H61" s="21">
        <f>H60-H53</f>
        <v>0</v>
      </c>
      <c r="I61" s="21">
        <f>I60-I53</f>
        <v>0</v>
      </c>
      <c r="J61" s="31"/>
      <c r="K61" s="1"/>
    </row>
    <row r="62">
      <c r="A62" s="1"/>
      <c r="B62" s="22" t="s">
        <v>165</v>
      </c>
      <c r="C62" s="1"/>
      <c r="D62" s="1"/>
      <c r="E62" s="1"/>
      <c r="F62" s="1"/>
      <c r="G62" s="1"/>
      <c r="H62" s="1"/>
      <c r="I62" s="1"/>
      <c r="J62" s="31"/>
      <c r="K62" s="1"/>
    </row>
    <row r="63">
      <c r="A63" s="1"/>
      <c r="B63" s="1" t="s">
        <v>129</v>
      </c>
      <c r="C63" s="1"/>
      <c r="D63" s="21">
        <f>C65</f>
        <v>128</v>
      </c>
      <c r="E63" s="21">
        <f>D65</f>
        <v>136</v>
      </c>
      <c r="F63" s="21">
        <f>E65</f>
        <v>147</v>
      </c>
      <c r="G63" s="1"/>
      <c r="H63" s="21">
        <f>F65</f>
        <v>152</v>
      </c>
      <c r="I63" s="21">
        <f>H65</f>
        <v>162</v>
      </c>
      <c r="J63" s="29">
        <f>I65</f>
        <v>176</v>
      </c>
      <c r="K63" s="1"/>
    </row>
    <row r="64">
      <c r="A64" s="1"/>
      <c r="B64" s="1" t="s">
        <v>130</v>
      </c>
      <c r="C64" s="1"/>
      <c r="D64" s="21">
        <f>D65-D63</f>
        <v>8</v>
      </c>
      <c r="E64" s="21">
        <f>E65-E63</f>
        <v>11</v>
      </c>
      <c r="F64" s="21">
        <f>F65-F63</f>
        <v>5</v>
      </c>
      <c r="G64" s="1"/>
      <c r="H64" s="21">
        <f>H65-H63</f>
        <v>10</v>
      </c>
      <c r="I64" s="21">
        <f>I65-I63</f>
        <v>14</v>
      </c>
      <c r="J64" s="55">
        <v>6</v>
      </c>
      <c r="K64" s="24" t="s">
        <v>131</v>
      </c>
    </row>
    <row r="65">
      <c r="A65" s="1"/>
      <c r="B65" s="22" t="s">
        <v>166</v>
      </c>
      <c r="C65" s="47">
        <v>128</v>
      </c>
      <c r="D65" s="47">
        <v>136</v>
      </c>
      <c r="E65" s="47">
        <v>147</v>
      </c>
      <c r="F65" s="47">
        <v>152</v>
      </c>
      <c r="G65" s="27">
        <f>SUMPRODUCT(C65:F65,C$8:F$8)/G$8</f>
        <v>140.83287671232875</v>
      </c>
      <c r="H65" s="47">
        <v>162</v>
      </c>
      <c r="I65" s="47">
        <v>176</v>
      </c>
      <c r="J65" s="32">
        <f>J63+J64</f>
        <v>182</v>
      </c>
      <c r="K65" s="1"/>
    </row>
    <row r="66">
      <c r="A66" s="1"/>
      <c r="B66" s="4" t="s">
        <v>108</v>
      </c>
      <c r="C66" s="1"/>
      <c r="D66" s="1"/>
      <c r="E66" s="1"/>
      <c r="F66" s="1"/>
      <c r="G66" s="1"/>
      <c r="H66" s="25">
        <f>IFERROR(H65/C65-1,"n/m")</f>
        <v>0.265625</v>
      </c>
      <c r="I66" s="25">
        <f>IFERROR(I65/D65-1,"n/m")</f>
        <v>0.2941176470588236</v>
      </c>
      <c r="J66" s="33">
        <f>IFERROR(J65/E65-1,"n/m")</f>
        <v>0.23809523809523814</v>
      </c>
      <c r="K66" s="1"/>
    </row>
    <row r="67">
      <c r="A67" s="1"/>
      <c r="B67" s="4" t="s">
        <v>71</v>
      </c>
      <c r="C67" s="1"/>
      <c r="D67" s="34">
        <f>D65-C65</f>
        <v>8</v>
      </c>
      <c r="E67" s="34">
        <f>E65-D65</f>
        <v>11</v>
      </c>
      <c r="F67" s="34">
        <f>F65-E65</f>
        <v>5</v>
      </c>
      <c r="G67" s="1"/>
      <c r="H67" s="34">
        <f>H65-F65</f>
        <v>10</v>
      </c>
      <c r="I67" s="34">
        <f>I65-H65</f>
        <v>14</v>
      </c>
      <c r="J67" s="39">
        <f>J65-I65</f>
        <v>6</v>
      </c>
      <c r="K67" s="1"/>
    </row>
    <row r="68">
      <c r="A68" s="1"/>
      <c r="B68" s="1" t="s">
        <v>167</v>
      </c>
      <c r="C68" s="1"/>
      <c r="D68" s="21">
        <f>C70</f>
        <v>129.8</v>
      </c>
      <c r="E68" s="21">
        <f>D70</f>
        <v>144.3</v>
      </c>
      <c r="F68" s="21">
        <f>E70</f>
        <v>149.7</v>
      </c>
      <c r="G68" s="1"/>
      <c r="H68" s="21">
        <f>F70</f>
        <v>159.4</v>
      </c>
      <c r="I68" s="21">
        <f>H70</f>
        <v>165.2</v>
      </c>
      <c r="J68" s="29">
        <f>I70</f>
        <v>182.5</v>
      </c>
      <c r="K68" s="1"/>
    </row>
    <row r="69">
      <c r="A69" s="1"/>
      <c r="B69" s="1" t="s">
        <v>168</v>
      </c>
      <c r="C69" s="1"/>
      <c r="D69" s="21">
        <f>D70-D68</f>
        <v>14.5</v>
      </c>
      <c r="E69" s="21">
        <f>E70-E68</f>
        <v>5.399999999999977</v>
      </c>
      <c r="F69" s="21">
        <f>F70-F68</f>
        <v>9.700000000000017</v>
      </c>
      <c r="G69" s="1"/>
      <c r="H69" s="21">
        <f>H70-H68</f>
        <v>5.799999999999983</v>
      </c>
      <c r="I69" s="21">
        <f>I70-I68</f>
        <v>17.30000000000001</v>
      </c>
      <c r="J69" s="55">
        <v>6</v>
      </c>
      <c r="K69" s="24" t="s">
        <v>169</v>
      </c>
    </row>
    <row r="70">
      <c r="A70" s="1"/>
      <c r="B70" s="22" t="s">
        <v>173</v>
      </c>
      <c r="C70" s="47">
        <v>129.8</v>
      </c>
      <c r="D70" s="47">
        <v>144.3</v>
      </c>
      <c r="E70" s="47">
        <v>149.7</v>
      </c>
      <c r="F70" s="47">
        <v>159.4</v>
      </c>
      <c r="G70" s="27">
        <f>F70</f>
        <v>159.4</v>
      </c>
      <c r="H70" s="47">
        <v>165.2</v>
      </c>
      <c r="I70" s="47">
        <v>182.5</v>
      </c>
      <c r="J70" s="32">
        <f>J68+J69</f>
        <v>188.5</v>
      </c>
      <c r="K70" s="1"/>
    </row>
    <row r="71">
      <c r="A71" s="1"/>
      <c r="B71" s="4" t="s">
        <v>108</v>
      </c>
      <c r="C71" s="1"/>
      <c r="D71" s="1"/>
      <c r="E71" s="1"/>
      <c r="F71" s="1"/>
      <c r="G71" s="1"/>
      <c r="H71" s="25">
        <f>IFERROR(H70/C70-1,"n/m")</f>
        <v>0.2727272727272725</v>
      </c>
      <c r="I71" s="25">
        <f>IFERROR(I70/D70-1,"n/m")</f>
        <v>0.2647262647262647</v>
      </c>
      <c r="J71" s="33">
        <f>IFERROR(J70/E70-1,"n/m")</f>
        <v>0.25918503674014715</v>
      </c>
      <c r="K71" s="1"/>
    </row>
    <row r="72">
      <c r="A72" s="1"/>
      <c r="B72" s="4" t="s">
        <v>71</v>
      </c>
      <c r="C72" s="1"/>
      <c r="D72" s="34">
        <f>D70-C70</f>
        <v>14.5</v>
      </c>
      <c r="E72" s="34">
        <f>E70-D70</f>
        <v>5.399999999999977</v>
      </c>
      <c r="F72" s="34">
        <f>F70-E70</f>
        <v>9.700000000000017</v>
      </c>
      <c r="G72" s="1"/>
      <c r="H72" s="34">
        <f>H70-F70</f>
        <v>5.799999999999983</v>
      </c>
      <c r="I72" s="34">
        <f>I70-H70</f>
        <v>17.30000000000001</v>
      </c>
      <c r="J72" s="39">
        <f>J70-I70</f>
        <v>6</v>
      </c>
      <c r="K72" s="1"/>
    </row>
    <row r="73">
      <c r="A73" s="1"/>
      <c r="B73" s="1" t="s">
        <v>129</v>
      </c>
      <c r="C73" s="1"/>
      <c r="D73" s="21">
        <f>C75</f>
        <v>474</v>
      </c>
      <c r="E73" s="21">
        <f>D75</f>
        <v>547</v>
      </c>
      <c r="F73" s="21">
        <f>E75</f>
        <v>555</v>
      </c>
      <c r="G73" s="1"/>
      <c r="H73" s="21">
        <f>F75</f>
        <v>556</v>
      </c>
      <c r="I73" s="21">
        <f>H75</f>
        <v>573</v>
      </c>
      <c r="J73" s="29">
        <f>I75</f>
        <v>603</v>
      </c>
      <c r="K73" s="1"/>
    </row>
    <row r="74">
      <c r="A74" s="1"/>
      <c r="B74" s="1" t="s">
        <v>130</v>
      </c>
      <c r="C74" s="1"/>
      <c r="D74" s="21">
        <f>D75-D73</f>
        <v>73</v>
      </c>
      <c r="E74" s="21">
        <f>E75-E73</f>
        <v>8</v>
      </c>
      <c r="F74" s="21">
        <f>F75-F73</f>
        <v>1</v>
      </c>
      <c r="G74" s="1"/>
      <c r="H74" s="21">
        <f>H75-H73</f>
        <v>17</v>
      </c>
      <c r="I74" s="21">
        <f>I75-I73</f>
        <v>30</v>
      </c>
      <c r="J74" s="55">
        <v>12</v>
      </c>
      <c r="K74" s="24" t="s">
        <v>131</v>
      </c>
    </row>
    <row r="75">
      <c r="A75" s="1"/>
      <c r="B75" s="22" t="s">
        <v>229</v>
      </c>
      <c r="C75" s="47">
        <v>474</v>
      </c>
      <c r="D75" s="47">
        <v>547</v>
      </c>
      <c r="E75" s="47">
        <v>555</v>
      </c>
      <c r="F75" s="47">
        <v>556</v>
      </c>
      <c r="G75" s="27">
        <f>SUMPRODUCT(C75:F75,C$8:F$8)/G$8</f>
        <v>533.2849315068493</v>
      </c>
      <c r="H75" s="47">
        <v>573</v>
      </c>
      <c r="I75" s="47">
        <v>603</v>
      </c>
      <c r="J75" s="32">
        <f>J73+J74</f>
        <v>615</v>
      </c>
      <c r="K75" s="1"/>
    </row>
    <row r="76">
      <c r="A76" s="1"/>
      <c r="B76" s="4" t="s">
        <v>108</v>
      </c>
      <c r="C76" s="1"/>
      <c r="D76" s="1"/>
      <c r="E76" s="1"/>
      <c r="F76" s="1"/>
      <c r="G76" s="1"/>
      <c r="H76" s="25">
        <f>IFERROR(H75/C75-1,"n/m")</f>
        <v>0.2088607594936709</v>
      </c>
      <c r="I76" s="25">
        <f>IFERROR(I75/D75-1,"n/m")</f>
        <v>0.10237659963436929</v>
      </c>
      <c r="J76" s="33">
        <f>IFERROR(J75/E75-1,"n/m")</f>
        <v>0.10810810810810811</v>
      </c>
      <c r="K76" s="1"/>
    </row>
    <row r="77">
      <c r="A77" s="1"/>
      <c r="B77" s="4" t="s">
        <v>71</v>
      </c>
      <c r="C77" s="1"/>
      <c r="D77" s="34">
        <f>D75-C75</f>
        <v>73</v>
      </c>
      <c r="E77" s="34">
        <f>E75-D75</f>
        <v>8</v>
      </c>
      <c r="F77" s="34">
        <f>F75-E75</f>
        <v>1</v>
      </c>
      <c r="G77" s="1"/>
      <c r="H77" s="34">
        <f>H75-F75</f>
        <v>17</v>
      </c>
      <c r="I77" s="34">
        <f>I75-H75</f>
        <v>30</v>
      </c>
      <c r="J77" s="39">
        <f>J75-I75</f>
        <v>12</v>
      </c>
      <c r="K77" s="1"/>
    </row>
    <row r="78">
      <c r="A78" s="1"/>
      <c r="B78" s="4" t="s">
        <v>230</v>
      </c>
      <c r="C78" s="58">
        <f>C40*365/C8/(C75*1000)</f>
        <v>0.05197784810126582</v>
      </c>
      <c r="D78" s="58">
        <f>D40*365/D8/(D75*1000)</f>
        <v>0.04384956907808828</v>
      </c>
      <c r="E78" s="58">
        <f>E40*365/E8/(E75*1000)</f>
        <v>0.04106786133960047</v>
      </c>
      <c r="F78" s="58">
        <f>F40*365/F8/(F75*1000)</f>
        <v>0.03288796137003441</v>
      </c>
      <c r="G78" s="58">
        <f>G40*365/G8/(G75*1000)</f>
        <v>0.042020688521389786</v>
      </c>
      <c r="H78" s="58">
        <f>H40*365/H8/(H75*1000)</f>
        <v>0.05128543726973046</v>
      </c>
      <c r="I78" s="58">
        <f>I40*365/I8/(I75*1000)</f>
        <v>0.046608623548922055</v>
      </c>
      <c r="J78" s="79">
        <f>J40*365/J8/(J75*1000)</f>
        <v>0.040001045422410744</v>
      </c>
      <c r="K78" s="1"/>
    </row>
    <row r="79">
      <c r="A79" s="1"/>
      <c r="B79" s="4" t="s">
        <v>114</v>
      </c>
      <c r="C79" s="1"/>
      <c r="D79" s="1"/>
      <c r="E79" s="1"/>
      <c r="F79" s="1"/>
      <c r="G79" s="1"/>
      <c r="H79" s="54">
        <f>(H78-C78)*10000</f>
        <v>-6.924108315353589</v>
      </c>
      <c r="I79" s="54">
        <f>(I78-D78)*10000</f>
        <v>27.590544708337784</v>
      </c>
      <c r="J79" s="57">
        <f>(J78-E78)*10000</f>
        <v>-10.668159171897257</v>
      </c>
      <c r="K79" s="1"/>
    </row>
    <row r="80">
      <c r="A80" s="1"/>
      <c r="B80" s="4" t="s">
        <v>115</v>
      </c>
      <c r="C80" s="1"/>
      <c r="D80" s="54">
        <f>(D78-C78)*10000</f>
        <v>-81.28279023177545</v>
      </c>
      <c r="E80" s="54">
        <f>(E78-D78)*10000</f>
        <v>-27.81707738487807</v>
      </c>
      <c r="F80" s="54">
        <f>(F78-E78)*10000</f>
        <v>-81.79899969566057</v>
      </c>
      <c r="G80" s="1"/>
      <c r="H80" s="54">
        <f>(H78-F78)*10000</f>
        <v>183.9747589969605</v>
      </c>
      <c r="I80" s="54">
        <f>(I78-H78)*10000</f>
        <v>-46.76813720808408</v>
      </c>
      <c r="J80" s="57">
        <f>(J78-I78)*10000</f>
        <v>-66.07578126511311</v>
      </c>
      <c r="K80" s="1"/>
    </row>
    <row r="81">
      <c r="A81" s="1"/>
      <c r="B81" s="22" t="s">
        <v>174</v>
      </c>
      <c r="C81" s="1"/>
      <c r="D81" s="1"/>
      <c r="E81" s="1"/>
      <c r="F81" s="1"/>
      <c r="G81" s="1"/>
      <c r="H81" s="1"/>
      <c r="I81" s="1"/>
      <c r="J81" s="31"/>
      <c r="K81" s="1"/>
    </row>
    <row r="82">
      <c r="A82" s="1"/>
      <c r="B82" s="22" t="s">
        <v>90</v>
      </c>
      <c r="C82" s="27">
        <f>C40</f>
        <v>6075</v>
      </c>
      <c r="D82" s="27">
        <f>D40</f>
        <v>5980</v>
      </c>
      <c r="E82" s="27">
        <f>E40</f>
        <v>5745</v>
      </c>
      <c r="F82" s="27">
        <f>F40</f>
        <v>4609</v>
      </c>
      <c r="G82" s="27">
        <f>G40</f>
        <v>22409</v>
      </c>
      <c r="H82" s="27">
        <f>H40</f>
        <v>7246</v>
      </c>
      <c r="I82" s="27">
        <f>I40</f>
        <v>7007</v>
      </c>
      <c r="J82" s="32">
        <f>J40</f>
        <v>6200.71</v>
      </c>
      <c r="K82" s="1"/>
    </row>
    <row r="83">
      <c r="A83" s="1"/>
      <c r="B83" s="22" t="s">
        <v>175</v>
      </c>
      <c r="C83" s="47">
        <v>3466</v>
      </c>
      <c r="D83" s="47">
        <v>3508</v>
      </c>
      <c r="E83" s="47">
        <v>3490</v>
      </c>
      <c r="F83" s="47">
        <v>3608</v>
      </c>
      <c r="G83" s="27">
        <f>SUM(C83:F83)</f>
        <v>14072</v>
      </c>
      <c r="H83" s="47">
        <v>3835</v>
      </c>
      <c r="I83" s="47">
        <v>3784</v>
      </c>
      <c r="J83" s="32">
        <f>J82*J103</f>
        <v>3689.42245</v>
      </c>
      <c r="K83" s="24" t="s">
        <v>231</v>
      </c>
    </row>
    <row r="84">
      <c r="A84" s="1"/>
      <c r="B84" s="4" t="s">
        <v>108</v>
      </c>
      <c r="C84" s="1"/>
      <c r="D84" s="1"/>
      <c r="E84" s="1"/>
      <c r="F84" s="1"/>
      <c r="G84" s="1"/>
      <c r="H84" s="25">
        <f>IFERROR(H83/C83-1,"n/m")</f>
        <v>0.10646278130409703</v>
      </c>
      <c r="I84" s="25">
        <f>IFERROR(I83/D83-1,"n/m")</f>
        <v>0.07867730900798175</v>
      </c>
      <c r="J84" s="33">
        <f>IFERROR(J83/E83-1,"n/m")</f>
        <v>0.05714110315186249</v>
      </c>
      <c r="K84" s="1"/>
    </row>
    <row r="85">
      <c r="A85" s="1"/>
      <c r="B85" s="4" t="s">
        <v>71</v>
      </c>
      <c r="C85" s="1"/>
      <c r="D85" s="34">
        <f>D83-C83</f>
        <v>42</v>
      </c>
      <c r="E85" s="34">
        <f>E83-D83</f>
        <v>-18</v>
      </c>
      <c r="F85" s="34">
        <f>F83-E83</f>
        <v>118</v>
      </c>
      <c r="G85" s="1"/>
      <c r="H85" s="34">
        <f>H83-F83</f>
        <v>227</v>
      </c>
      <c r="I85" s="34">
        <f>I83-H83</f>
        <v>-51</v>
      </c>
      <c r="J85" s="39">
        <f>J83-I83</f>
        <v>-94.57754999999997</v>
      </c>
      <c r="K85" s="1"/>
    </row>
    <row r="86">
      <c r="A86" s="1"/>
      <c r="B86" s="1" t="s">
        <v>176</v>
      </c>
      <c r="C86" s="28">
        <v>142</v>
      </c>
      <c r="D86" s="28">
        <v>8</v>
      </c>
      <c r="E86" s="28">
        <v>68</v>
      </c>
      <c r="F86" s="28">
        <v>-12</v>
      </c>
      <c r="G86" s="21">
        <f>SUM(C86:F86)</f>
        <v>206</v>
      </c>
      <c r="H86" s="28">
        <v>-3</v>
      </c>
      <c r="I86" s="28">
        <v>-10</v>
      </c>
      <c r="J86" s="55">
        <v>5</v>
      </c>
      <c r="K86" s="1"/>
    </row>
    <row r="87">
      <c r="A87" s="1"/>
      <c r="B87" s="4" t="s">
        <v>108</v>
      </c>
      <c r="C87" s="1"/>
      <c r="D87" s="1"/>
      <c r="E87" s="1"/>
      <c r="F87" s="1"/>
      <c r="G87" s="1"/>
      <c r="H87" s="25">
        <f>IFERROR(H86/C86-1,"n/m")</f>
        <v>-1.0211267605633803</v>
      </c>
      <c r="I87" s="25">
        <f>IFERROR(I86/D86-1,"n/m")</f>
        <v>-2.25</v>
      </c>
      <c r="J87" s="33">
        <f>IFERROR(J86/E86-1,"n/m")</f>
        <v>-0.9264705882352942</v>
      </c>
      <c r="K87" s="1"/>
    </row>
    <row r="88">
      <c r="A88" s="1"/>
      <c r="B88" s="4" t="s">
        <v>71</v>
      </c>
      <c r="C88" s="1"/>
      <c r="D88" s="34">
        <f>D86-C86</f>
        <v>-134</v>
      </c>
      <c r="E88" s="34">
        <f>E86-D86</f>
        <v>60</v>
      </c>
      <c r="F88" s="34">
        <f>F86-E86</f>
        <v>-80</v>
      </c>
      <c r="G88" s="1"/>
      <c r="H88" s="34">
        <f>H86-F86</f>
        <v>9</v>
      </c>
      <c r="I88" s="34">
        <f>I86-H86</f>
        <v>-7</v>
      </c>
      <c r="J88" s="39">
        <f>J86-I86</f>
        <v>15</v>
      </c>
      <c r="K88" s="1"/>
    </row>
    <row r="89">
      <c r="A89" s="1"/>
      <c r="B89" s="1" t="s">
        <v>177</v>
      </c>
      <c r="C89" s="28">
        <v>48</v>
      </c>
      <c r="D89" s="28">
        <v>53</v>
      </c>
      <c r="E89" s="28">
        <v>-44</v>
      </c>
      <c r="F89" s="28">
        <v>-73</v>
      </c>
      <c r="G89" s="21">
        <f>SUM(C89:F89)</f>
        <v>-16</v>
      </c>
      <c r="H89" s="28">
        <v>23</v>
      </c>
      <c r="I89" s="28">
        <v>71</v>
      </c>
      <c r="J89" s="55">
        <v>20</v>
      </c>
      <c r="K89" s="1"/>
    </row>
    <row r="90">
      <c r="A90" s="1"/>
      <c r="B90" s="4" t="s">
        <v>87</v>
      </c>
      <c r="C90" s="1"/>
      <c r="D90" s="1"/>
      <c r="E90" s="1"/>
      <c r="F90" s="1"/>
      <c r="G90" s="1"/>
      <c r="H90" s="25">
        <f>IF(OR(C89&lt;=0,H89&lt;=0),"n/m",H89/C89-1)</f>
        <v>-0.5208333333333333</v>
      </c>
      <c r="I90" s="25">
        <f>IF(OR(D89&lt;=0,I89&lt;=0),"n/m",I89/D89-1)</f>
        <v>0.3396226415094339</v>
      </c>
      <c r="J90" s="33" t="str">
        <f>IF(OR(E89&lt;=0,J89&lt;=0),"n/m",J89/E89-1)</f>
        <v>n/m</v>
      </c>
      <c r="K90" s="1"/>
    </row>
    <row r="91">
      <c r="A91" s="1"/>
      <c r="B91" s="4" t="s">
        <v>71</v>
      </c>
      <c r="C91" s="1"/>
      <c r="D91" s="34">
        <f>D89-C89</f>
        <v>5</v>
      </c>
      <c r="E91" s="34">
        <f>E89-D89</f>
        <v>-97</v>
      </c>
      <c r="F91" s="34">
        <f>F89-E89</f>
        <v>-29</v>
      </c>
      <c r="G91" s="1"/>
      <c r="H91" s="34">
        <f>H89-F89</f>
        <v>96</v>
      </c>
      <c r="I91" s="34">
        <f>I89-H89</f>
        <v>48</v>
      </c>
      <c r="J91" s="39">
        <f>J89-I89</f>
        <v>-51</v>
      </c>
      <c r="K91" s="1"/>
    </row>
    <row r="92">
      <c r="A92" s="1"/>
      <c r="B92" s="1" t="s">
        <v>178</v>
      </c>
      <c r="C92" s="28">
        <v>9</v>
      </c>
      <c r="D92" s="28">
        <v>-8</v>
      </c>
      <c r="E92" s="28">
        <v>13</v>
      </c>
      <c r="F92" s="28">
        <v>-7</v>
      </c>
      <c r="G92" s="21">
        <f>SUM(C92:F92)</f>
        <v>7</v>
      </c>
      <c r="H92" s="28">
        <v>-23</v>
      </c>
      <c r="I92" s="28">
        <v>56</v>
      </c>
      <c r="J92" s="55">
        <v>5</v>
      </c>
      <c r="K92" s="1"/>
    </row>
    <row r="93">
      <c r="A93" s="1"/>
      <c r="B93" s="1" t="s">
        <v>179</v>
      </c>
      <c r="C93" s="28">
        <v>2</v>
      </c>
      <c r="D93" s="28">
        <v>55</v>
      </c>
      <c r="E93" s="28">
        <v>-5</v>
      </c>
      <c r="F93" s="28">
        <v>-12</v>
      </c>
      <c r="G93" s="21">
        <f>SUM(C93:F93)</f>
        <v>40</v>
      </c>
      <c r="H93" s="28">
        <v>-12</v>
      </c>
      <c r="I93" s="28">
        <v>-8</v>
      </c>
      <c r="J93" s="55">
        <v>0</v>
      </c>
      <c r="K93" s="1"/>
    </row>
    <row r="94">
      <c r="A94" s="1"/>
      <c r="B94" s="22" t="s">
        <v>180</v>
      </c>
      <c r="C94" s="27">
        <f>C86+C89+C92+C93</f>
        <v>201</v>
      </c>
      <c r="D94" s="27">
        <f>D86+D89+D92+D93</f>
        <v>108</v>
      </c>
      <c r="E94" s="27">
        <f>E86+E89+E92+E93</f>
        <v>32</v>
      </c>
      <c r="F94" s="27">
        <f>F86+F89+F92+F93</f>
        <v>-104</v>
      </c>
      <c r="G94" s="27">
        <f>G86+G89+G92+G93</f>
        <v>237</v>
      </c>
      <c r="H94" s="27">
        <f>H86+H89+H92+H93</f>
        <v>-15</v>
      </c>
      <c r="I94" s="27">
        <f>I86+I89+I92+I93</f>
        <v>109</v>
      </c>
      <c r="J94" s="32">
        <f>J86+J89+J92+J93</f>
        <v>30</v>
      </c>
      <c r="K94" s="1"/>
    </row>
    <row r="95">
      <c r="A95" s="1"/>
      <c r="B95" s="22" t="s">
        <v>181</v>
      </c>
      <c r="C95" s="27">
        <f>C82-C83-C94</f>
        <v>2408</v>
      </c>
      <c r="D95" s="27">
        <f>D82-D83-D94</f>
        <v>2364</v>
      </c>
      <c r="E95" s="27">
        <f>E82-E83-E94</f>
        <v>2223</v>
      </c>
      <c r="F95" s="27">
        <f>F82-F83-F94</f>
        <v>1105</v>
      </c>
      <c r="G95" s="27">
        <f>G82-G83-G94</f>
        <v>8100</v>
      </c>
      <c r="H95" s="27">
        <f>H82-H83-H94</f>
        <v>3426</v>
      </c>
      <c r="I95" s="27">
        <f>I82-I83-I94</f>
        <v>3114</v>
      </c>
      <c r="J95" s="32">
        <f>J82-J83-J94</f>
        <v>2481.28755</v>
      </c>
      <c r="K95" s="1"/>
    </row>
    <row r="96">
      <c r="A96" s="1"/>
      <c r="B96" s="4" t="s">
        <v>108</v>
      </c>
      <c r="C96" s="1"/>
      <c r="D96" s="1"/>
      <c r="E96" s="1"/>
      <c r="F96" s="1"/>
      <c r="G96" s="1"/>
      <c r="H96" s="25">
        <f>IFERROR(H95/C95-1,"n/m")</f>
        <v>0.4227574750830565</v>
      </c>
      <c r="I96" s="25">
        <f>IFERROR(I95/D95-1,"n/m")</f>
        <v>0.31725888324873086</v>
      </c>
      <c r="J96" s="33">
        <f>IFERROR(J95/E95-1,"n/m")</f>
        <v>0.11618873144399466</v>
      </c>
      <c r="K96" s="1"/>
    </row>
    <row r="97" ht="27.75">
      <c r="A97" s="1"/>
      <c r="B97" s="1" t="s">
        <v>182</v>
      </c>
      <c r="C97" s="28">
        <v>546</v>
      </c>
      <c r="D97" s="28">
        <v>540</v>
      </c>
      <c r="E97" s="28">
        <v>500</v>
      </c>
      <c r="F97" s="28">
        <v>249</v>
      </c>
      <c r="G97" s="21">
        <f>SUM(C97:F97)</f>
        <v>1835</v>
      </c>
      <c r="H97" s="28">
        <v>797</v>
      </c>
      <c r="I97" s="28">
        <v>710</v>
      </c>
      <c r="J97" s="61" t="s">
        <v>48</v>
      </c>
      <c r="K97" s="112" t="s">
        <v>183</v>
      </c>
    </row>
    <row r="98">
      <c r="A98" s="1"/>
      <c r="B98" s="22" t="s">
        <v>184</v>
      </c>
      <c r="C98" s="27">
        <f>C95-C97</f>
        <v>1862</v>
      </c>
      <c r="D98" s="27">
        <f>D95-D97</f>
        <v>1824</v>
      </c>
      <c r="E98" s="27">
        <f>E95-E97</f>
        <v>1723</v>
      </c>
      <c r="F98" s="27">
        <f>F95-F97</f>
        <v>856</v>
      </c>
      <c r="G98" s="27">
        <f>G95-G97</f>
        <v>6265</v>
      </c>
      <c r="H98" s="27">
        <f>H95-H97</f>
        <v>2629</v>
      </c>
      <c r="I98" s="27">
        <f>I95-I97</f>
        <v>2404</v>
      </c>
      <c r="J98" s="67" t="s">
        <v>48</v>
      </c>
      <c r="K98" s="1"/>
    </row>
    <row r="99">
      <c r="A99" s="1"/>
      <c r="B99" s="1" t="s">
        <v>185</v>
      </c>
      <c r="C99" s="28">
        <v>13</v>
      </c>
      <c r="D99" s="28">
        <v>21</v>
      </c>
      <c r="E99" s="28">
        <v>21</v>
      </c>
      <c r="F99" s="28">
        <v>18</v>
      </c>
      <c r="G99" s="21">
        <f>SUM(C99:F99)</f>
        <v>73</v>
      </c>
      <c r="H99" s="28">
        <v>34</v>
      </c>
      <c r="I99" s="28">
        <v>17</v>
      </c>
      <c r="J99" s="61" t="s">
        <v>48</v>
      </c>
      <c r="K99" s="1"/>
    </row>
    <row r="100">
      <c r="A100" s="1"/>
      <c r="B100" s="22" t="s">
        <v>186</v>
      </c>
      <c r="C100" s="27">
        <f>C98-C99</f>
        <v>1849</v>
      </c>
      <c r="D100" s="27">
        <f>D98-D99</f>
        <v>1803</v>
      </c>
      <c r="E100" s="27">
        <f>E98-E99</f>
        <v>1702</v>
      </c>
      <c r="F100" s="27">
        <f>F98-F99</f>
        <v>838</v>
      </c>
      <c r="G100" s="27">
        <f>G98-G99</f>
        <v>6192</v>
      </c>
      <c r="H100" s="27">
        <f>H98-H99</f>
        <v>2595</v>
      </c>
      <c r="I100" s="27">
        <f>I98-I99</f>
        <v>2387</v>
      </c>
      <c r="J100" s="67" t="s">
        <v>48</v>
      </c>
      <c r="K100" s="1"/>
    </row>
    <row r="101">
      <c r="A101" s="1"/>
      <c r="B101" s="22" t="s">
        <v>187</v>
      </c>
      <c r="C101" s="1"/>
      <c r="D101" s="1"/>
      <c r="E101" s="1"/>
      <c r="F101" s="1"/>
      <c r="G101" s="1"/>
      <c r="H101" s="1"/>
      <c r="I101" s="1"/>
      <c r="J101" s="31"/>
      <c r="K101" s="1"/>
    </row>
    <row r="102">
      <c r="A102" s="1"/>
      <c r="B102" s="4" t="s">
        <v>188</v>
      </c>
      <c r="C102" s="25">
        <f>C83/C82</f>
        <v>0.5705349794238683</v>
      </c>
      <c r="D102" s="25">
        <f>D83/D82</f>
        <v>0.5866220735785953</v>
      </c>
      <c r="E102" s="25">
        <f>E83/E82</f>
        <v>0.6074847693646649</v>
      </c>
      <c r="F102" s="25">
        <f>F83/F82</f>
        <v>0.7828162291169452</v>
      </c>
      <c r="G102" s="25">
        <f>G83/G82</f>
        <v>0.6279619795617832</v>
      </c>
      <c r="H102" s="25">
        <f>H83/H82</f>
        <v>0.5292575213911124</v>
      </c>
      <c r="I102" s="25">
        <f>I83/I82</f>
        <v>0.5400313971742543</v>
      </c>
      <c r="J102" s="33">
        <f>J83/J82</f>
        <v>0.595</v>
      </c>
      <c r="K102" s="1"/>
    </row>
    <row r="103">
      <c r="A103" s="1"/>
      <c r="B103" s="4" t="s">
        <v>232</v>
      </c>
      <c r="C103" s="1"/>
      <c r="D103" s="1"/>
      <c r="E103" s="1"/>
      <c r="F103" s="1"/>
      <c r="G103" s="1"/>
      <c r="H103" s="1"/>
      <c r="I103" s="1"/>
      <c r="J103" s="76">
        <v>0.595</v>
      </c>
      <c r="K103" s="1"/>
    </row>
    <row r="104">
      <c r="A104" s="1"/>
      <c r="B104" s="4" t="s">
        <v>114</v>
      </c>
      <c r="C104" s="1"/>
      <c r="D104" s="1"/>
      <c r="E104" s="1"/>
      <c r="F104" s="1"/>
      <c r="G104" s="1"/>
      <c r="H104" s="54">
        <f>(H102-C102)*10000</f>
        <v>-412.77458032755953</v>
      </c>
      <c r="I104" s="54">
        <f>(I102-D102)*10000</f>
        <v>-465.90676404341</v>
      </c>
      <c r="J104" s="57">
        <f>(J102-E102)*10000</f>
        <v>-124.84769364664916</v>
      </c>
      <c r="K104" s="1"/>
    </row>
    <row r="105">
      <c r="A105" s="1"/>
      <c r="B105" s="4" t="s">
        <v>115</v>
      </c>
      <c r="C105" s="1"/>
      <c r="D105" s="54">
        <f>(D102-C102)*10000</f>
        <v>160.87094154726978</v>
      </c>
      <c r="E105" s="54">
        <f>(E102-D102)*10000</f>
        <v>208.62695786069585</v>
      </c>
      <c r="F105" s="54">
        <f>(F102-E102)*10000</f>
        <v>1753.3145975228026</v>
      </c>
      <c r="G105" s="1"/>
      <c r="H105" s="54">
        <f>(H102-F102)*10000</f>
        <v>-2535.5870772583276</v>
      </c>
      <c r="I105" s="54">
        <f>(I102-H102)*10000</f>
        <v>107.73875783141929</v>
      </c>
      <c r="J105" s="57">
        <f>(J102-I102)*10000</f>
        <v>549.6860282574568</v>
      </c>
      <c r="K105" s="1"/>
    </row>
    <row r="106">
      <c r="A106" s="1"/>
      <c r="B106" s="4" t="s">
        <v>189</v>
      </c>
      <c r="C106" s="25">
        <f>C95/C82</f>
        <v>0.39637860082304527</v>
      </c>
      <c r="D106" s="25">
        <f>D95/D82</f>
        <v>0.39531772575250834</v>
      </c>
      <c r="E106" s="25">
        <f>E95/E82</f>
        <v>0.38694516971279375</v>
      </c>
      <c r="F106" s="25">
        <f>F95/F82</f>
        <v>0.23974831850726838</v>
      </c>
      <c r="G106" s="25">
        <f>G95/G82</f>
        <v>0.361461912624392</v>
      </c>
      <c r="H106" s="25">
        <f>H95/H82</f>
        <v>0.47281258625448525</v>
      </c>
      <c r="I106" s="25">
        <f>I95/I82</f>
        <v>0.4444127301270158</v>
      </c>
      <c r="J106" s="33">
        <f>J95/J82</f>
        <v>0.40016184436943514</v>
      </c>
      <c r="K106" s="1"/>
    </row>
    <row r="107">
      <c r="A107" s="1"/>
      <c r="B107" s="4" t="s">
        <v>114</v>
      </c>
      <c r="C107" s="1"/>
      <c r="D107" s="1"/>
      <c r="E107" s="1"/>
      <c r="F107" s="1"/>
      <c r="G107" s="1"/>
      <c r="H107" s="54">
        <f>(H106-C106)*10000</f>
        <v>764.3398543143998</v>
      </c>
      <c r="I107" s="54">
        <f>(I106-D106)*10000</f>
        <v>490.95004374507477</v>
      </c>
      <c r="J107" s="57">
        <f>(J106-E106)*10000</f>
        <v>132.1667465664139</v>
      </c>
      <c r="K107" s="1"/>
    </row>
    <row r="108">
      <c r="A108" s="1"/>
      <c r="B108" s="4" t="s">
        <v>115</v>
      </c>
      <c r="C108" s="1"/>
      <c r="D108" s="54">
        <f>(D106-C106)*10000</f>
        <v>-10.608750705369264</v>
      </c>
      <c r="E108" s="54">
        <f>(E106-D106)*10000</f>
        <v>-83.72556039714595</v>
      </c>
      <c r="F108" s="54">
        <f>(F106-E106)*10000</f>
        <v>-1471.9685120552535</v>
      </c>
      <c r="G108" s="1"/>
      <c r="H108" s="54">
        <f>(H106-F106)*10000</f>
        <v>2330.6426774721685</v>
      </c>
      <c r="I108" s="54">
        <f>(I106-H106)*10000</f>
        <v>-283.9985612746942</v>
      </c>
      <c r="J108" s="57">
        <f>(J106-I106)*10000</f>
        <v>-442.5088575758068</v>
      </c>
      <c r="K108" s="1"/>
    </row>
    <row r="109">
      <c r="A109" s="1"/>
      <c r="B109" s="1" t="s">
        <v>190</v>
      </c>
      <c r="C109" s="28">
        <v>53.5</v>
      </c>
      <c r="D109" s="28">
        <v>53.5</v>
      </c>
      <c r="E109" s="28">
        <v>53.5</v>
      </c>
      <c r="F109" s="28">
        <v>53.5</v>
      </c>
      <c r="G109" s="21">
        <f>SUMPRODUCT(C109:F109,C$8:F$8)/G$8</f>
        <v>53.5</v>
      </c>
      <c r="H109" s="28">
        <v>56.4</v>
      </c>
      <c r="I109" s="28">
        <v>56.4</v>
      </c>
      <c r="J109" s="61" t="s">
        <v>48</v>
      </c>
      <c r="K109" s="1"/>
    </row>
    <row r="110">
      <c r="A110" s="1"/>
      <c r="B110" s="4" t="s">
        <v>191</v>
      </c>
      <c r="C110" s="25">
        <f>C100*365/C8/(C109*1000)</f>
        <v>0.14016303219106957</v>
      </c>
      <c r="D110" s="25">
        <f>D100*365/D8/(D109*1000)</f>
        <v>0.13517407825819042</v>
      </c>
      <c r="E110" s="25">
        <f>E100*365/E8/(E109*1000)</f>
        <v>0.12621495327102802</v>
      </c>
      <c r="F110" s="25">
        <f>F100*365/F8/(F109*1000)</f>
        <v>0.06214343762698091</v>
      </c>
      <c r="G110" s="25">
        <f>G100*365/G8/(G109*1000)</f>
        <v>0.11573831775700935</v>
      </c>
      <c r="H110" s="25">
        <f>H100*365/H8/(H109*1000)</f>
        <v>0.18659869976359336</v>
      </c>
      <c r="I110" s="25">
        <f>I100*365/I8/(I109*1000)</f>
        <v>0.16975586470267323</v>
      </c>
      <c r="J110" s="40" t="s">
        <v>48</v>
      </c>
      <c r="K110" s="1"/>
    </row>
    <row r="111">
      <c r="A111" s="1"/>
      <c r="B111" s="22" t="s">
        <v>193</v>
      </c>
      <c r="C111" s="1"/>
      <c r="D111" s="1"/>
      <c r="E111" s="1"/>
      <c r="F111" s="1"/>
      <c r="G111" s="1"/>
      <c r="H111" s="1"/>
      <c r="I111" s="1"/>
      <c r="J111" s="31"/>
      <c r="K111" s="1"/>
    </row>
    <row r="112">
      <c r="A112" s="1"/>
      <c r="B112" s="1" t="s">
        <v>194</v>
      </c>
      <c r="C112" s="28">
        <v>2169</v>
      </c>
      <c r="D112" s="28">
        <v>2124</v>
      </c>
      <c r="E112" s="28">
        <v>2270</v>
      </c>
      <c r="F112" s="28">
        <v>1826</v>
      </c>
      <c r="G112" s="21">
        <f>SUM(C112:F112)</f>
        <v>8389</v>
      </c>
      <c r="H112" s="28">
        <v>2559</v>
      </c>
      <c r="I112" s="28">
        <v>2561</v>
      </c>
      <c r="J112" s="29">
        <f>J40*I112/(I112+I114)</f>
        <v>2266.3077365491654</v>
      </c>
      <c r="K112" s="24" t="s">
        <v>195</v>
      </c>
    </row>
    <row r="113">
      <c r="A113" s="1"/>
      <c r="B113" s="4" t="s">
        <v>108</v>
      </c>
      <c r="C113" s="1"/>
      <c r="D113" s="1"/>
      <c r="E113" s="1"/>
      <c r="F113" s="1"/>
      <c r="G113" s="1"/>
      <c r="H113" s="25">
        <f>IFERROR(H112/C112-1,"n/m")</f>
        <v>0.17980636237897651</v>
      </c>
      <c r="I113" s="25">
        <f>IFERROR(I112/D112-1,"n/m")</f>
        <v>0.20574387947269313</v>
      </c>
      <c r="J113" s="33">
        <f>IFERROR(J112/E112-1,"n/m")</f>
        <v>-0.0016265477756980395</v>
      </c>
      <c r="K113" s="1"/>
    </row>
    <row r="114">
      <c r="A114" s="1"/>
      <c r="B114" s="1" t="s">
        <v>196</v>
      </c>
      <c r="C114" s="28">
        <v>3906</v>
      </c>
      <c r="D114" s="28">
        <v>3856</v>
      </c>
      <c r="E114" s="28">
        <v>3475</v>
      </c>
      <c r="F114" s="28">
        <v>2783</v>
      </c>
      <c r="G114" s="21">
        <f>SUM(C114:F114)</f>
        <v>14020</v>
      </c>
      <c r="H114" s="28">
        <v>4687</v>
      </c>
      <c r="I114" s="28">
        <v>4446</v>
      </c>
      <c r="J114" s="29">
        <f>J40-J112</f>
        <v>3934.4022634508347</v>
      </c>
      <c r="K114" s="1"/>
    </row>
    <row r="115">
      <c r="A115" s="1"/>
      <c r="B115" s="4" t="s">
        <v>108</v>
      </c>
      <c r="C115" s="1"/>
      <c r="D115" s="1"/>
      <c r="E115" s="1"/>
      <c r="F115" s="1"/>
      <c r="G115" s="1"/>
      <c r="H115" s="25">
        <f>IFERROR(H114/C114-1,"n/m")</f>
        <v>0.19994879672299026</v>
      </c>
      <c r="I115" s="25">
        <f>IFERROR(I114/D114-1,"n/m")</f>
        <v>0.15300829875518662</v>
      </c>
      <c r="J115" s="33">
        <f>IFERROR(J114/E114-1,"n/m")</f>
        <v>0.13220209020167895</v>
      </c>
      <c r="K115" s="1"/>
    </row>
    <row r="116">
      <c r="A116" s="1"/>
      <c r="B116" s="22" t="s">
        <v>197</v>
      </c>
      <c r="C116" s="27">
        <f>C112+C114</f>
        <v>6075</v>
      </c>
      <c r="D116" s="27">
        <f>D112+D114</f>
        <v>5980</v>
      </c>
      <c r="E116" s="27">
        <f>E112+E114</f>
        <v>5745</v>
      </c>
      <c r="F116" s="27">
        <f>F112+F114</f>
        <v>4609</v>
      </c>
      <c r="G116" s="27">
        <f>G112+G114</f>
        <v>22409</v>
      </c>
      <c r="H116" s="27">
        <f>H112+H114</f>
        <v>7246</v>
      </c>
      <c r="I116" s="27">
        <f>I112+I114</f>
        <v>7007</v>
      </c>
      <c r="J116" s="32">
        <f>J112+J114</f>
        <v>6200.71</v>
      </c>
      <c r="K116" s="1"/>
    </row>
    <row r="117">
      <c r="A117" s="1"/>
      <c r="B117" s="4" t="s">
        <v>198</v>
      </c>
      <c r="C117" s="25">
        <f>C112/C116</f>
        <v>0.35703703703703704</v>
      </c>
      <c r="D117" s="25">
        <f>D112/D116</f>
        <v>0.3551839464882943</v>
      </c>
      <c r="E117" s="25">
        <f>E112/E116</f>
        <v>0.3951261966927763</v>
      </c>
      <c r="F117" s="25">
        <f>F112/F116</f>
        <v>0.39618138424821003</v>
      </c>
      <c r="G117" s="25">
        <f>G112/G116</f>
        <v>0.37435851666741043</v>
      </c>
      <c r="H117" s="25">
        <f>H112/H116</f>
        <v>0.3531603643389456</v>
      </c>
      <c r="I117" s="25">
        <f>I112/I116</f>
        <v>0.3654916512059369</v>
      </c>
      <c r="J117" s="33">
        <f>J112/J116</f>
        <v>0.36549165120593696</v>
      </c>
      <c r="K117" s="1"/>
    </row>
    <row r="118" ht="40.5">
      <c r="A118" s="1"/>
      <c r="B118" s="1" t="s">
        <v>199</v>
      </c>
      <c r="C118" s="21">
        <f>C116-C40</f>
        <v>0</v>
      </c>
      <c r="D118" s="21">
        <f>D116-D40</f>
        <v>0</v>
      </c>
      <c r="E118" s="21">
        <f>E116-E40</f>
        <v>0</v>
      </c>
      <c r="F118" s="21">
        <f>F116-F40</f>
        <v>0</v>
      </c>
      <c r="G118" s="21">
        <f>G116-G40</f>
        <v>0</v>
      </c>
      <c r="H118" s="21">
        <f>H116-H40</f>
        <v>0</v>
      </c>
      <c r="I118" s="21">
        <f>I116-I40</f>
        <v>0</v>
      </c>
      <c r="J118" s="29">
        <f>J116-J40</f>
        <v>0</v>
      </c>
      <c r="K118" s="115" t="s">
        <v>200</v>
      </c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K13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233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234</v>
      </c>
      <c r="C10" s="1"/>
      <c r="D10" s="1"/>
      <c r="E10" s="1"/>
      <c r="F10" s="1"/>
      <c r="G10" s="1"/>
      <c r="H10" s="1"/>
      <c r="I10" s="1"/>
      <c r="J10" s="31"/>
      <c r="K10" s="1"/>
    </row>
    <row r="11" ht="27.75">
      <c r="A11" s="1"/>
      <c r="B11" s="4" t="s">
        <v>235</v>
      </c>
      <c r="C11" s="1"/>
      <c r="D11" s="1"/>
      <c r="E11" s="1"/>
      <c r="F11" s="1"/>
      <c r="G11" s="1"/>
      <c r="H11" s="1"/>
      <c r="I11" s="1"/>
      <c r="J11" s="76">
        <v>-0.02</v>
      </c>
      <c r="K11" s="112" t="s">
        <v>236</v>
      </c>
    </row>
    <row r="12">
      <c r="A12" s="1"/>
      <c r="B12" s="1" t="s">
        <v>237</v>
      </c>
      <c r="C12" s="9" t="s">
        <v>48</v>
      </c>
      <c r="D12" s="28">
        <v>407</v>
      </c>
      <c r="E12" s="28">
        <v>425</v>
      </c>
      <c r="F12" s="28">
        <v>649</v>
      </c>
      <c r="G12" s="9" t="s">
        <v>48</v>
      </c>
      <c r="H12" s="28">
        <v>505</v>
      </c>
      <c r="I12" s="28">
        <v>390</v>
      </c>
      <c r="J12" s="29">
        <f>E12*(1+J11)</f>
        <v>416.5</v>
      </c>
      <c r="K12" s="24" t="s">
        <v>238</v>
      </c>
    </row>
    <row r="13">
      <c r="A13" s="1"/>
      <c r="B13" s="4" t="s">
        <v>70</v>
      </c>
      <c r="C13" s="1"/>
      <c r="D13" s="1"/>
      <c r="E13" s="1"/>
      <c r="F13" s="1"/>
      <c r="G13" s="1"/>
      <c r="H13" s="30" t="s">
        <v>48</v>
      </c>
      <c r="I13" s="25">
        <f>IFERROR(I12/D12-1,"n/m")</f>
        <v>-0.041769041769041726</v>
      </c>
      <c r="J13" s="33">
        <f>IFERROR(J12/E12-1,"n/m")</f>
        <v>-0.020000000000000018</v>
      </c>
      <c r="K13" s="1"/>
    </row>
    <row r="14">
      <c r="A14" s="1"/>
      <c r="B14" s="4" t="s">
        <v>71</v>
      </c>
      <c r="C14" s="1"/>
      <c r="D14" s="30" t="s">
        <v>48</v>
      </c>
      <c r="E14" s="34">
        <f>E12-D12</f>
        <v>18</v>
      </c>
      <c r="F14" s="34">
        <f>F12-E12</f>
        <v>224</v>
      </c>
      <c r="G14" s="1"/>
      <c r="H14" s="34">
        <f>H12-F12</f>
        <v>-144</v>
      </c>
      <c r="I14" s="34">
        <f>I12-H12</f>
        <v>-115</v>
      </c>
      <c r="J14" s="39">
        <f>J12-I12</f>
        <v>26.5</v>
      </c>
      <c r="K14" s="1"/>
    </row>
    <row r="15">
      <c r="A15" s="1"/>
      <c r="B15" s="4" t="s">
        <v>74</v>
      </c>
      <c r="C15" s="1"/>
      <c r="D15" s="1"/>
      <c r="E15" s="1"/>
      <c r="F15" s="1"/>
      <c r="G15" s="1"/>
      <c r="H15" s="30" t="s">
        <v>48</v>
      </c>
      <c r="I15" s="30" t="s">
        <v>48</v>
      </c>
      <c r="J15" s="40" t="s">
        <v>48</v>
      </c>
      <c r="K15" s="24" t="s">
        <v>137</v>
      </c>
    </row>
    <row r="16">
      <c r="A16" s="1"/>
      <c r="B16" s="4" t="s">
        <v>76</v>
      </c>
      <c r="C16" s="1"/>
      <c r="D16" s="1"/>
      <c r="E16" s="1"/>
      <c r="F16" s="1"/>
      <c r="G16" s="1"/>
      <c r="H16" s="30" t="s">
        <v>48</v>
      </c>
      <c r="I16" s="30" t="s">
        <v>48</v>
      </c>
      <c r="J16" s="40" t="s">
        <v>48</v>
      </c>
      <c r="K16" s="24" t="s">
        <v>137</v>
      </c>
    </row>
    <row r="17" ht="27.75">
      <c r="A17" s="1"/>
      <c r="B17" s="4" t="s">
        <v>77</v>
      </c>
      <c r="C17" s="1"/>
      <c r="D17" s="1"/>
      <c r="E17" s="1"/>
      <c r="F17" s="1"/>
      <c r="G17" s="1"/>
      <c r="H17" s="30" t="s">
        <v>48</v>
      </c>
      <c r="I17" s="30" t="s">
        <v>48</v>
      </c>
      <c r="J17" s="40" t="s">
        <v>48</v>
      </c>
      <c r="K17" s="112" t="s">
        <v>78</v>
      </c>
    </row>
    <row r="18">
      <c r="A18" s="1"/>
      <c r="B18" s="4" t="s">
        <v>239</v>
      </c>
      <c r="C18" s="1"/>
      <c r="D18" s="1"/>
      <c r="E18" s="1"/>
      <c r="F18" s="1"/>
      <c r="G18" s="1"/>
      <c r="H18" s="1"/>
      <c r="I18" s="1"/>
      <c r="J18" s="76">
        <v>0.52</v>
      </c>
      <c r="K18" s="24" t="s">
        <v>240</v>
      </c>
    </row>
    <row r="19">
      <c r="A19" s="1"/>
      <c r="B19" s="1" t="s">
        <v>241</v>
      </c>
      <c r="C19" s="9" t="s">
        <v>48</v>
      </c>
      <c r="D19" s="28">
        <v>222</v>
      </c>
      <c r="E19" s="28">
        <v>194</v>
      </c>
      <c r="F19" s="28">
        <v>219</v>
      </c>
      <c r="G19" s="9" t="s">
        <v>48</v>
      </c>
      <c r="H19" s="28">
        <v>257</v>
      </c>
      <c r="I19" s="28">
        <v>426</v>
      </c>
      <c r="J19" s="29">
        <f>E19*(1+J18)</f>
        <v>294.88</v>
      </c>
      <c r="K19" s="1"/>
    </row>
    <row r="20">
      <c r="A20" s="1"/>
      <c r="B20" s="4" t="s">
        <v>70</v>
      </c>
      <c r="C20" s="1"/>
      <c r="D20" s="1"/>
      <c r="E20" s="1"/>
      <c r="F20" s="1"/>
      <c r="G20" s="1"/>
      <c r="H20" s="30" t="s">
        <v>48</v>
      </c>
      <c r="I20" s="25">
        <f>IFERROR(I19/D19-1,"n/m")</f>
        <v>0.9189189189189189</v>
      </c>
      <c r="J20" s="33">
        <f>IFERROR(J19/E19-1,"n/m")</f>
        <v>0.52</v>
      </c>
      <c r="K20" s="1"/>
    </row>
    <row r="21">
      <c r="A21" s="1"/>
      <c r="B21" s="4" t="s">
        <v>71</v>
      </c>
      <c r="C21" s="1"/>
      <c r="D21" s="30" t="s">
        <v>48</v>
      </c>
      <c r="E21" s="34">
        <f>E19-D19</f>
        <v>-28</v>
      </c>
      <c r="F21" s="34">
        <f>F19-E19</f>
        <v>25</v>
      </c>
      <c r="G21" s="1"/>
      <c r="H21" s="34">
        <f>H19-F19</f>
        <v>38</v>
      </c>
      <c r="I21" s="34">
        <f>I19-H19</f>
        <v>169</v>
      </c>
      <c r="J21" s="39">
        <f>J19-I19</f>
        <v>-131.12</v>
      </c>
      <c r="K21" s="1"/>
    </row>
    <row r="22">
      <c r="A22" s="1"/>
      <c r="B22" s="4" t="s">
        <v>74</v>
      </c>
      <c r="C22" s="1"/>
      <c r="D22" s="1"/>
      <c r="E22" s="1"/>
      <c r="F22" s="1"/>
      <c r="G22" s="1"/>
      <c r="H22" s="30" t="s">
        <v>48</v>
      </c>
      <c r="I22" s="30" t="s">
        <v>48</v>
      </c>
      <c r="J22" s="40" t="s">
        <v>48</v>
      </c>
      <c r="K22" s="24" t="s">
        <v>137</v>
      </c>
    </row>
    <row r="23">
      <c r="A23" s="1"/>
      <c r="B23" s="4" t="s">
        <v>76</v>
      </c>
      <c r="C23" s="1"/>
      <c r="D23" s="1"/>
      <c r="E23" s="1"/>
      <c r="F23" s="1"/>
      <c r="G23" s="1"/>
      <c r="H23" s="30" t="s">
        <v>48</v>
      </c>
      <c r="I23" s="30" t="s">
        <v>48</v>
      </c>
      <c r="J23" s="40" t="s">
        <v>48</v>
      </c>
      <c r="K23" s="24" t="s">
        <v>137</v>
      </c>
    </row>
    <row r="24" ht="27.75">
      <c r="A24" s="1"/>
      <c r="B24" s="4" t="s">
        <v>77</v>
      </c>
      <c r="C24" s="1"/>
      <c r="D24" s="1"/>
      <c r="E24" s="1"/>
      <c r="F24" s="1"/>
      <c r="G24" s="1"/>
      <c r="H24" s="30" t="s">
        <v>48</v>
      </c>
      <c r="I24" s="30" t="s">
        <v>48</v>
      </c>
      <c r="J24" s="40" t="s">
        <v>48</v>
      </c>
      <c r="K24" s="112" t="s">
        <v>78</v>
      </c>
    </row>
    <row r="25">
      <c r="A25" s="1"/>
      <c r="B25" s="4" t="s">
        <v>242</v>
      </c>
      <c r="C25" s="1"/>
      <c r="D25" s="1"/>
      <c r="E25" s="1"/>
      <c r="F25" s="1"/>
      <c r="G25" s="1"/>
      <c r="H25" s="1"/>
      <c r="I25" s="1"/>
      <c r="J25" s="76">
        <v>-0.03</v>
      </c>
      <c r="K25" s="24" t="s">
        <v>243</v>
      </c>
    </row>
    <row r="26">
      <c r="A26" s="1"/>
      <c r="B26" s="1" t="s">
        <v>244</v>
      </c>
      <c r="C26" s="9" t="s">
        <v>48</v>
      </c>
      <c r="D26" s="28">
        <v>444</v>
      </c>
      <c r="E26" s="28">
        <v>619</v>
      </c>
      <c r="F26" s="28">
        <v>488</v>
      </c>
      <c r="G26" s="9" t="s">
        <v>48</v>
      </c>
      <c r="H26" s="28">
        <v>564</v>
      </c>
      <c r="I26" s="28">
        <v>732</v>
      </c>
      <c r="J26" s="29">
        <f>E26*(1+J25)</f>
        <v>600.43</v>
      </c>
      <c r="K26" s="1"/>
    </row>
    <row r="27">
      <c r="A27" s="1"/>
      <c r="B27" s="4" t="s">
        <v>70</v>
      </c>
      <c r="C27" s="1"/>
      <c r="D27" s="1"/>
      <c r="E27" s="1"/>
      <c r="F27" s="1"/>
      <c r="G27" s="1"/>
      <c r="H27" s="30" t="s">
        <v>48</v>
      </c>
      <c r="I27" s="25">
        <f>IFERROR(I26/D26-1,"n/m")</f>
        <v>0.6486486486486487</v>
      </c>
      <c r="J27" s="33">
        <f>IFERROR(J26/E26-1,"n/m")</f>
        <v>-0.030000000000000027</v>
      </c>
      <c r="K27" s="1"/>
    </row>
    <row r="28">
      <c r="A28" s="1"/>
      <c r="B28" s="4" t="s">
        <v>71</v>
      </c>
      <c r="C28" s="1"/>
      <c r="D28" s="30" t="s">
        <v>48</v>
      </c>
      <c r="E28" s="34">
        <f>E26-D26</f>
        <v>175</v>
      </c>
      <c r="F28" s="34">
        <f>F26-E26</f>
        <v>-131</v>
      </c>
      <c r="G28" s="1"/>
      <c r="H28" s="34">
        <f>H26-F26</f>
        <v>76</v>
      </c>
      <c r="I28" s="34">
        <f>I26-H26</f>
        <v>168</v>
      </c>
      <c r="J28" s="39">
        <f>J26-I26</f>
        <v>-131.57000000000005</v>
      </c>
      <c r="K28" s="1"/>
    </row>
    <row r="29">
      <c r="A29" s="1"/>
      <c r="B29" s="4" t="s">
        <v>74</v>
      </c>
      <c r="C29" s="1"/>
      <c r="D29" s="1"/>
      <c r="E29" s="1"/>
      <c r="F29" s="1"/>
      <c r="G29" s="1"/>
      <c r="H29" s="30" t="s">
        <v>48</v>
      </c>
      <c r="I29" s="30" t="s">
        <v>48</v>
      </c>
      <c r="J29" s="40" t="s">
        <v>48</v>
      </c>
      <c r="K29" s="24" t="s">
        <v>137</v>
      </c>
    </row>
    <row r="30">
      <c r="A30" s="1"/>
      <c r="B30" s="4" t="s">
        <v>76</v>
      </c>
      <c r="C30" s="1"/>
      <c r="D30" s="1"/>
      <c r="E30" s="1"/>
      <c r="F30" s="1"/>
      <c r="G30" s="1"/>
      <c r="H30" s="30" t="s">
        <v>48</v>
      </c>
      <c r="I30" s="30" t="s">
        <v>48</v>
      </c>
      <c r="J30" s="40" t="s">
        <v>48</v>
      </c>
      <c r="K30" s="24" t="s">
        <v>137</v>
      </c>
    </row>
    <row r="31" ht="27.75">
      <c r="A31" s="1"/>
      <c r="B31" s="4" t="s">
        <v>77</v>
      </c>
      <c r="C31" s="1"/>
      <c r="D31" s="1"/>
      <c r="E31" s="1"/>
      <c r="F31" s="1"/>
      <c r="G31" s="1"/>
      <c r="H31" s="30" t="s">
        <v>48</v>
      </c>
      <c r="I31" s="30" t="s">
        <v>48</v>
      </c>
      <c r="J31" s="40" t="s">
        <v>48</v>
      </c>
      <c r="K31" s="112" t="s">
        <v>78</v>
      </c>
    </row>
    <row r="32" ht="27.75">
      <c r="A32" s="1"/>
      <c r="B32" s="22" t="s">
        <v>245</v>
      </c>
      <c r="C32" s="47">
        <v>1114</v>
      </c>
      <c r="D32" s="27">
        <f>D12+D19+D26</f>
        <v>1073</v>
      </c>
      <c r="E32" s="27">
        <f>E12+E19+E26</f>
        <v>1238</v>
      </c>
      <c r="F32" s="27">
        <f>F12+F19+F26</f>
        <v>1356</v>
      </c>
      <c r="G32" s="27">
        <f>SUM(C32:F32)</f>
        <v>4781</v>
      </c>
      <c r="H32" s="27">
        <f>H12+H19+H26</f>
        <v>1326</v>
      </c>
      <c r="I32" s="27">
        <f>I12+I19+I26</f>
        <v>1548</v>
      </c>
      <c r="J32" s="32">
        <f>J12+J19+J26</f>
        <v>1311.81</v>
      </c>
      <c r="K32" s="112" t="s">
        <v>246</v>
      </c>
    </row>
    <row r="33">
      <c r="A33" s="1"/>
      <c r="B33" s="4" t="s">
        <v>70</v>
      </c>
      <c r="C33" s="1"/>
      <c r="D33" s="1"/>
      <c r="E33" s="1"/>
      <c r="F33" s="1"/>
      <c r="G33" s="1"/>
      <c r="H33" s="25">
        <f>IFERROR(H32/C32-1,"n/m")</f>
        <v>0.1903052064631956</v>
      </c>
      <c r="I33" s="25">
        <f>IFERROR(I32/D32-1,"n/m")</f>
        <v>0.4426840633737186</v>
      </c>
      <c r="J33" s="33">
        <f>IFERROR(J32/E32-1,"n/m")</f>
        <v>0.05962035541195476</v>
      </c>
      <c r="K33" s="1"/>
    </row>
    <row r="34">
      <c r="A34" s="1"/>
      <c r="B34" s="4" t="s">
        <v>71</v>
      </c>
      <c r="C34" s="1"/>
      <c r="D34" s="34">
        <f>D32-C32</f>
        <v>-41</v>
      </c>
      <c r="E34" s="34">
        <f>E32-D32</f>
        <v>165</v>
      </c>
      <c r="F34" s="34">
        <f>F32-E32</f>
        <v>118</v>
      </c>
      <c r="G34" s="1"/>
      <c r="H34" s="34">
        <f>H32-F32</f>
        <v>-30</v>
      </c>
      <c r="I34" s="34">
        <f>I32-H32</f>
        <v>222</v>
      </c>
      <c r="J34" s="39">
        <f>J32-I32</f>
        <v>-236.19000000000005</v>
      </c>
      <c r="K34" s="1"/>
    </row>
    <row r="35">
      <c r="A35" s="1"/>
      <c r="B35" s="4" t="s">
        <v>74</v>
      </c>
      <c r="C35" s="1"/>
      <c r="D35" s="1"/>
      <c r="E35" s="1"/>
      <c r="F35" s="1"/>
      <c r="G35" s="1"/>
      <c r="H35" s="30" t="s">
        <v>48</v>
      </c>
      <c r="I35" s="30" t="s">
        <v>48</v>
      </c>
      <c r="J35" s="40" t="s">
        <v>48</v>
      </c>
      <c r="K35" s="24" t="s">
        <v>137</v>
      </c>
    </row>
    <row r="36">
      <c r="A36" s="1"/>
      <c r="B36" s="4" t="s">
        <v>76</v>
      </c>
      <c r="C36" s="1"/>
      <c r="D36" s="1"/>
      <c r="E36" s="1"/>
      <c r="F36" s="1"/>
      <c r="G36" s="1"/>
      <c r="H36" s="30" t="s">
        <v>48</v>
      </c>
      <c r="I36" s="30" t="s">
        <v>48</v>
      </c>
      <c r="J36" s="40" t="s">
        <v>48</v>
      </c>
      <c r="K36" s="24" t="s">
        <v>137</v>
      </c>
    </row>
    <row r="37" ht="27.75">
      <c r="A37" s="1"/>
      <c r="B37" s="4" t="s">
        <v>77</v>
      </c>
      <c r="C37" s="1"/>
      <c r="D37" s="1"/>
      <c r="E37" s="1"/>
      <c r="F37" s="1"/>
      <c r="G37" s="1"/>
      <c r="H37" s="30" t="s">
        <v>48</v>
      </c>
      <c r="I37" s="30" t="s">
        <v>48</v>
      </c>
      <c r="J37" s="40" t="s">
        <v>48</v>
      </c>
      <c r="K37" s="112" t="s">
        <v>78</v>
      </c>
    </row>
    <row r="38">
      <c r="A38" s="1"/>
      <c r="B38" s="4" t="s">
        <v>247</v>
      </c>
      <c r="C38" s="1"/>
      <c r="D38" s="1"/>
      <c r="E38" s="1"/>
      <c r="F38" s="1"/>
      <c r="G38" s="1"/>
      <c r="H38" s="1"/>
      <c r="I38" s="1"/>
      <c r="J38" s="98">
        <f>E32*(1+Guidance!G21)</f>
        <v>1262.76</v>
      </c>
      <c r="K38" s="1"/>
    </row>
    <row r="39">
      <c r="A39" s="1"/>
      <c r="B39" s="22" t="s">
        <v>248</v>
      </c>
      <c r="C39" s="1"/>
      <c r="D39" s="1"/>
      <c r="E39" s="1"/>
      <c r="F39" s="1"/>
      <c r="G39" s="1"/>
      <c r="H39" s="1"/>
      <c r="I39" s="1"/>
      <c r="J39" s="31"/>
      <c r="K39" s="1"/>
    </row>
    <row r="40">
      <c r="A40" s="1"/>
      <c r="B40" s="4" t="s">
        <v>249</v>
      </c>
      <c r="C40" s="58">
        <f>C43*365/C8/(C80*1000)</f>
        <v>0.01988211382113821</v>
      </c>
      <c r="D40" s="58">
        <f>D43*365/D8/(D80*1000)</f>
        <v>0.020198194662480375</v>
      </c>
      <c r="E40" s="58">
        <f>E43*365/E8/(E80*1000)</f>
        <v>0.022188003220611915</v>
      </c>
      <c r="F40" s="58">
        <f>F43*365/F8/(F80*1000)</f>
        <v>0.02224752339020363</v>
      </c>
      <c r="G40" s="58">
        <f>G43*365/G8/(G80*1000)</f>
        <v>0.02111904922001076</v>
      </c>
      <c r="H40" s="58">
        <f>H43*365/H8/(H80*1000)</f>
        <v>0.019105087014725568</v>
      </c>
      <c r="I40" s="58">
        <f>I43*365/I8/(I80*1000)</f>
        <v>0.018505244755244756</v>
      </c>
      <c r="J40" s="78">
        <v>0.0183</v>
      </c>
      <c r="K40" s="24" t="s">
        <v>250</v>
      </c>
    </row>
    <row r="41">
      <c r="A41" s="1"/>
      <c r="B41" s="4" t="s">
        <v>114</v>
      </c>
      <c r="C41" s="1"/>
      <c r="D41" s="1"/>
      <c r="E41" s="1"/>
      <c r="F41" s="1"/>
      <c r="G41" s="1"/>
      <c r="H41" s="54">
        <f>(H40-C40)*10000</f>
        <v>-7.770268064126416</v>
      </c>
      <c r="I41" s="54">
        <f>(I40-D40)*10000</f>
        <v>-16.92949907235619</v>
      </c>
      <c r="J41" s="57">
        <f>(J40-E40)*10000</f>
        <v>-38.880032206119154</v>
      </c>
      <c r="K41" s="1"/>
    </row>
    <row r="42">
      <c r="A42" s="1"/>
      <c r="B42" s="4" t="s">
        <v>115</v>
      </c>
      <c r="C42" s="1"/>
      <c r="D42" s="54">
        <f>(D40-C40)*10000</f>
        <v>3.160808413421659</v>
      </c>
      <c r="E42" s="54">
        <f>(E40-D40)*10000</f>
        <v>19.898085581315403</v>
      </c>
      <c r="F42" s="54">
        <f>(F40-E40)*10000</f>
        <v>0.5952016959171608</v>
      </c>
      <c r="G42" s="1"/>
      <c r="H42" s="54">
        <f>(H40-F40)*10000</f>
        <v>-31.424363754780636</v>
      </c>
      <c r="I42" s="54">
        <f>(I40-H40)*10000</f>
        <v>-5.998422594808115</v>
      </c>
      <c r="J42" s="57">
        <f>(J40-I40)*10000</f>
        <v>-2.0524475524475587</v>
      </c>
      <c r="K42" s="1"/>
    </row>
    <row r="43">
      <c r="A43" s="1"/>
      <c r="B43" s="1" t="s">
        <v>251</v>
      </c>
      <c r="C43" s="28">
        <v>402</v>
      </c>
      <c r="D43" s="28">
        <v>423</v>
      </c>
      <c r="E43" s="28">
        <v>453</v>
      </c>
      <c r="F43" s="28">
        <v>443</v>
      </c>
      <c r="G43" s="21">
        <f>SUM(C43:F43)</f>
        <v>1721</v>
      </c>
      <c r="H43" s="28">
        <v>391</v>
      </c>
      <c r="I43" s="28">
        <v>406</v>
      </c>
      <c r="J43" s="29">
        <f>J80*1000*J40*J8/365</f>
        <v>410.52164383561643</v>
      </c>
      <c r="K43" s="1"/>
    </row>
    <row r="44">
      <c r="A44" s="1"/>
      <c r="B44" s="4" t="s">
        <v>70</v>
      </c>
      <c r="C44" s="1"/>
      <c r="D44" s="1"/>
      <c r="E44" s="1"/>
      <c r="F44" s="1"/>
      <c r="G44" s="1"/>
      <c r="H44" s="25">
        <f>IFERROR(H43/C43-1,"n/m")</f>
        <v>-0.027363184079602032</v>
      </c>
      <c r="I44" s="25">
        <f>IFERROR(I43/D43-1,"n/m")</f>
        <v>-0.04018912529550822</v>
      </c>
      <c r="J44" s="33">
        <f>IFERROR(J43/E43-1,"n/m")</f>
        <v>-0.09377120566089092</v>
      </c>
      <c r="K44" s="1"/>
    </row>
    <row r="45">
      <c r="A45" s="1"/>
      <c r="B45" s="4" t="s">
        <v>71</v>
      </c>
      <c r="C45" s="1"/>
      <c r="D45" s="34">
        <f>D43-C43</f>
        <v>21</v>
      </c>
      <c r="E45" s="34">
        <f>E43-D43</f>
        <v>30</v>
      </c>
      <c r="F45" s="34">
        <f>F43-E43</f>
        <v>-10</v>
      </c>
      <c r="G45" s="1"/>
      <c r="H45" s="34">
        <f>H43-F43</f>
        <v>-52</v>
      </c>
      <c r="I45" s="34">
        <f>I43-H43</f>
        <v>15</v>
      </c>
      <c r="J45" s="39">
        <f>J43-I43</f>
        <v>4.52164383561643</v>
      </c>
      <c r="K45" s="1"/>
    </row>
    <row r="46">
      <c r="A46" s="1"/>
      <c r="B46" s="4" t="s">
        <v>74</v>
      </c>
      <c r="C46" s="1"/>
      <c r="D46" s="1"/>
      <c r="E46" s="1"/>
      <c r="F46" s="1"/>
      <c r="G46" s="1"/>
      <c r="H46" s="30" t="s">
        <v>48</v>
      </c>
      <c r="I46" s="30" t="s">
        <v>48</v>
      </c>
      <c r="J46" s="40" t="s">
        <v>48</v>
      </c>
      <c r="K46" s="24" t="s">
        <v>137</v>
      </c>
    </row>
    <row r="47">
      <c r="A47" s="1"/>
      <c r="B47" s="4" t="s">
        <v>76</v>
      </c>
      <c r="C47" s="1"/>
      <c r="D47" s="1"/>
      <c r="E47" s="1"/>
      <c r="F47" s="1"/>
      <c r="G47" s="1"/>
      <c r="H47" s="30" t="s">
        <v>48</v>
      </c>
      <c r="I47" s="30" t="s">
        <v>48</v>
      </c>
      <c r="J47" s="40" t="s">
        <v>48</v>
      </c>
      <c r="K47" s="24" t="s">
        <v>137</v>
      </c>
    </row>
    <row r="48" ht="27.75">
      <c r="A48" s="1"/>
      <c r="B48" s="4" t="s">
        <v>77</v>
      </c>
      <c r="C48" s="1"/>
      <c r="D48" s="1"/>
      <c r="E48" s="1"/>
      <c r="F48" s="1"/>
      <c r="G48" s="1"/>
      <c r="H48" s="30" t="s">
        <v>48</v>
      </c>
      <c r="I48" s="30" t="s">
        <v>48</v>
      </c>
      <c r="J48" s="40" t="s">
        <v>48</v>
      </c>
      <c r="K48" s="112" t="s">
        <v>78</v>
      </c>
    </row>
    <row r="49" ht="27.75">
      <c r="A49" s="1"/>
      <c r="B49" s="1" t="s">
        <v>252</v>
      </c>
      <c r="C49" s="28">
        <v>14</v>
      </c>
      <c r="D49" s="28">
        <v>-62</v>
      </c>
      <c r="E49" s="28">
        <v>-44</v>
      </c>
      <c r="F49" s="28">
        <v>-26</v>
      </c>
      <c r="G49" s="21">
        <f>SUM(C49:F49)</f>
        <v>-118</v>
      </c>
      <c r="H49" s="28">
        <v>50</v>
      </c>
      <c r="I49" s="28">
        <v>-32</v>
      </c>
      <c r="J49" s="29">
        <f>AVERAGE(E49,F49,H49,I49)</f>
        <v>-13</v>
      </c>
      <c r="K49" s="112" t="s">
        <v>253</v>
      </c>
    </row>
    <row r="50">
      <c r="A50" s="1"/>
      <c r="B50" s="4" t="s">
        <v>254</v>
      </c>
      <c r="C50" s="1"/>
      <c r="D50" s="1"/>
      <c r="E50" s="1"/>
      <c r="F50" s="1"/>
      <c r="G50" s="1"/>
      <c r="H50" s="25">
        <f>IF(OR(C49&lt;=0,H49&lt;=0),"n/m",H49/C49-1)</f>
        <v>2.5714285714285716</v>
      </c>
      <c r="I50" s="25" t="str">
        <f>IF(OR(D49&lt;=0,I49&lt;=0),"n/m",I49/D49-1)</f>
        <v>n/m</v>
      </c>
      <c r="J50" s="33" t="str">
        <f>IF(OR(E49&lt;=0,J49&lt;=0),"n/m",J49/E49-1)</f>
        <v>n/m</v>
      </c>
      <c r="K50" s="1"/>
    </row>
    <row r="51">
      <c r="A51" s="1"/>
      <c r="B51" s="4" t="s">
        <v>71</v>
      </c>
      <c r="C51" s="1"/>
      <c r="D51" s="34">
        <f>D49-C49</f>
        <v>-76</v>
      </c>
      <c r="E51" s="34">
        <f>E49-D49</f>
        <v>18</v>
      </c>
      <c r="F51" s="34">
        <f>F49-E49</f>
        <v>18</v>
      </c>
      <c r="G51" s="1"/>
      <c r="H51" s="34">
        <f>H49-F49</f>
        <v>76</v>
      </c>
      <c r="I51" s="34">
        <f>I49-H49</f>
        <v>-82</v>
      </c>
      <c r="J51" s="39">
        <f>J49-I49</f>
        <v>19</v>
      </c>
      <c r="K51" s="1"/>
    </row>
    <row r="52">
      <c r="A52" s="1"/>
      <c r="B52" s="4" t="s">
        <v>74</v>
      </c>
      <c r="C52" s="1"/>
      <c r="D52" s="1"/>
      <c r="E52" s="1"/>
      <c r="F52" s="1"/>
      <c r="G52" s="1"/>
      <c r="H52" s="30" t="s">
        <v>48</v>
      </c>
      <c r="I52" s="30" t="s">
        <v>48</v>
      </c>
      <c r="J52" s="40" t="s">
        <v>48</v>
      </c>
      <c r="K52" s="24" t="s">
        <v>255</v>
      </c>
    </row>
    <row r="53">
      <c r="A53" s="1"/>
      <c r="B53" s="4" t="s">
        <v>76</v>
      </c>
      <c r="C53" s="1"/>
      <c r="D53" s="1"/>
      <c r="E53" s="1"/>
      <c r="F53" s="1"/>
      <c r="G53" s="1"/>
      <c r="H53" s="30" t="s">
        <v>48</v>
      </c>
      <c r="I53" s="30" t="s">
        <v>48</v>
      </c>
      <c r="J53" s="40" t="s">
        <v>48</v>
      </c>
      <c r="K53" s="24" t="s">
        <v>255</v>
      </c>
    </row>
    <row r="54" ht="27.75">
      <c r="A54" s="1"/>
      <c r="B54" s="4" t="s">
        <v>77</v>
      </c>
      <c r="C54" s="1"/>
      <c r="D54" s="1"/>
      <c r="E54" s="1"/>
      <c r="F54" s="1"/>
      <c r="G54" s="1"/>
      <c r="H54" s="30" t="s">
        <v>48</v>
      </c>
      <c r="I54" s="30" t="s">
        <v>48</v>
      </c>
      <c r="J54" s="40" t="s">
        <v>48</v>
      </c>
      <c r="K54" s="112" t="s">
        <v>78</v>
      </c>
    </row>
    <row r="55">
      <c r="A55" s="1"/>
      <c r="B55" s="22" t="s">
        <v>256</v>
      </c>
      <c r="C55" s="1"/>
      <c r="D55" s="1"/>
      <c r="E55" s="1"/>
      <c r="F55" s="1"/>
      <c r="G55" s="1"/>
      <c r="H55" s="1"/>
      <c r="I55" s="1"/>
      <c r="J55" s="31"/>
      <c r="K55" s="1"/>
    </row>
    <row r="56">
      <c r="A56" s="1"/>
      <c r="B56" s="22" t="s">
        <v>257</v>
      </c>
      <c r="C56" s="27">
        <f>C32+C43+C49</f>
        <v>1530</v>
      </c>
      <c r="D56" s="27">
        <f>D32+D43+D49</f>
        <v>1434</v>
      </c>
      <c r="E56" s="27">
        <f>E32+E43+E49</f>
        <v>1647</v>
      </c>
      <c r="F56" s="27">
        <f>F32+F43+F49</f>
        <v>1773</v>
      </c>
      <c r="G56" s="27">
        <f>G32+G43+G49</f>
        <v>6384</v>
      </c>
      <c r="H56" s="27">
        <f>H32+H43+H49</f>
        <v>1767</v>
      </c>
      <c r="I56" s="27">
        <f>I32+I43+I49</f>
        <v>1922</v>
      </c>
      <c r="J56" s="32">
        <f>J32+J43+J49</f>
        <v>1709.3316438356164</v>
      </c>
      <c r="K56" s="1"/>
    </row>
    <row r="57">
      <c r="A57" s="1"/>
      <c r="B57" s="4" t="s">
        <v>70</v>
      </c>
      <c r="C57" s="1"/>
      <c r="D57" s="1"/>
      <c r="E57" s="1"/>
      <c r="F57" s="1"/>
      <c r="G57" s="1"/>
      <c r="H57" s="25">
        <f>IFERROR(H56/C56-1,"n/m")</f>
        <v>0.15490196078431362</v>
      </c>
      <c r="I57" s="25">
        <f>IFERROR(I56/D56-1,"n/m")</f>
        <v>0.3403068340306834</v>
      </c>
      <c r="J57" s="33">
        <f>IFERROR(J56/E56-1,"n/m")</f>
        <v>0.03784556395605132</v>
      </c>
      <c r="K57" s="1"/>
    </row>
    <row r="58">
      <c r="A58" s="1"/>
      <c r="B58" s="4" t="s">
        <v>71</v>
      </c>
      <c r="C58" s="1"/>
      <c r="D58" s="34">
        <f>D56-C56</f>
        <v>-96</v>
      </c>
      <c r="E58" s="34">
        <f>E56-D56</f>
        <v>213</v>
      </c>
      <c r="F58" s="34">
        <f>F56-E56</f>
        <v>126</v>
      </c>
      <c r="G58" s="1"/>
      <c r="H58" s="34">
        <f>H56-F56</f>
        <v>-6</v>
      </c>
      <c r="I58" s="34">
        <f>I56-H56</f>
        <v>155</v>
      </c>
      <c r="J58" s="39">
        <f>J56-I56</f>
        <v>-212.66835616438357</v>
      </c>
      <c r="K58" s="1"/>
    </row>
    <row r="59">
      <c r="A59" s="1"/>
      <c r="B59" s="4" t="s">
        <v>72</v>
      </c>
      <c r="C59" s="1"/>
      <c r="D59" s="25">
        <f>IFERROR(D56/C56-1,"n/m")</f>
        <v>-0.06274509803921569</v>
      </c>
      <c r="E59" s="25">
        <f>IFERROR(E56/D56-1,"n/m")</f>
        <v>0.14853556485355646</v>
      </c>
      <c r="F59" s="25">
        <f>IFERROR(F56/E56-1,"n/m")</f>
        <v>0.07650273224043724</v>
      </c>
      <c r="G59" s="1"/>
      <c r="H59" s="25">
        <f>IFERROR(H56/F56-1,"n/m")</f>
        <v>-0.0033840947546531774</v>
      </c>
      <c r="I59" s="25">
        <f>IFERROR(I56/H56-1,"n/m")</f>
        <v>0.08771929824561409</v>
      </c>
      <c r="J59" s="33">
        <f>IFERROR(J56/I56-1,"n/m")</f>
        <v>-0.11064950893048053</v>
      </c>
      <c r="K59" s="1"/>
    </row>
    <row r="60">
      <c r="A60" s="1"/>
      <c r="B60" s="4" t="s">
        <v>74</v>
      </c>
      <c r="C60" s="1"/>
      <c r="D60" s="1"/>
      <c r="E60" s="1"/>
      <c r="F60" s="1"/>
      <c r="G60" s="1"/>
      <c r="H60" s="30" t="s">
        <v>48</v>
      </c>
      <c r="I60" s="30" t="s">
        <v>48</v>
      </c>
      <c r="J60" s="40" t="s">
        <v>48</v>
      </c>
      <c r="K60" s="24" t="s">
        <v>137</v>
      </c>
    </row>
    <row r="61">
      <c r="A61" s="1"/>
      <c r="B61" s="4" t="s">
        <v>76</v>
      </c>
      <c r="C61" s="1"/>
      <c r="D61" s="1"/>
      <c r="E61" s="1"/>
      <c r="F61" s="1"/>
      <c r="G61" s="1"/>
      <c r="H61" s="30" t="s">
        <v>48</v>
      </c>
      <c r="I61" s="30" t="s">
        <v>48</v>
      </c>
      <c r="J61" s="40" t="s">
        <v>48</v>
      </c>
      <c r="K61" s="24" t="s">
        <v>137</v>
      </c>
    </row>
    <row r="62" ht="27.75">
      <c r="A62" s="1"/>
      <c r="B62" s="4" t="s">
        <v>77</v>
      </c>
      <c r="C62" s="1"/>
      <c r="D62" s="1"/>
      <c r="E62" s="1"/>
      <c r="F62" s="1"/>
      <c r="G62" s="1"/>
      <c r="H62" s="30" t="s">
        <v>48</v>
      </c>
      <c r="I62" s="30" t="s">
        <v>48</v>
      </c>
      <c r="J62" s="40" t="s">
        <v>48</v>
      </c>
      <c r="K62" s="112" t="s">
        <v>78</v>
      </c>
    </row>
    <row r="63">
      <c r="A63" s="1"/>
      <c r="B63" s="22" t="s">
        <v>219</v>
      </c>
      <c r="C63" s="1"/>
      <c r="D63" s="1"/>
      <c r="E63" s="1"/>
      <c r="F63" s="1"/>
      <c r="G63" s="1"/>
      <c r="H63" s="1"/>
      <c r="I63" s="1"/>
      <c r="J63" s="31"/>
      <c r="K63" s="1"/>
    </row>
    <row r="64">
      <c r="A64" s="1"/>
      <c r="B64" s="1" t="s">
        <v>59</v>
      </c>
      <c r="C64" s="28">
        <v>491</v>
      </c>
      <c r="D64" s="28">
        <v>530</v>
      </c>
      <c r="E64" s="28">
        <v>562</v>
      </c>
      <c r="F64" s="28">
        <v>549</v>
      </c>
      <c r="G64" s="21">
        <f>SUM(C64:F64)</f>
        <v>2132</v>
      </c>
      <c r="H64" s="28">
        <v>587</v>
      </c>
      <c r="I64" s="28">
        <v>560</v>
      </c>
      <c r="J64" s="55">
        <v>575</v>
      </c>
      <c r="K64" s="1"/>
    </row>
    <row r="65">
      <c r="A65" s="1"/>
      <c r="B65" s="4" t="s">
        <v>108</v>
      </c>
      <c r="C65" s="1"/>
      <c r="D65" s="1"/>
      <c r="E65" s="1"/>
      <c r="F65" s="1"/>
      <c r="G65" s="1"/>
      <c r="H65" s="25">
        <f>IFERROR(H64/C64-1,"n/m")</f>
        <v>0.1955193482688391</v>
      </c>
      <c r="I65" s="25">
        <f>IFERROR(I64/D64-1,"n/m")</f>
        <v>0.05660377358490565</v>
      </c>
      <c r="J65" s="33">
        <f>IFERROR(J64/E64-1,"n/m")</f>
        <v>0.02313167259786475</v>
      </c>
      <c r="K65" s="1"/>
    </row>
    <row r="66">
      <c r="A66" s="1"/>
      <c r="B66" s="4" t="s">
        <v>71</v>
      </c>
      <c r="C66" s="1"/>
      <c r="D66" s="34">
        <f>D64-C64</f>
        <v>39</v>
      </c>
      <c r="E66" s="34">
        <f>E64-D64</f>
        <v>32</v>
      </c>
      <c r="F66" s="34">
        <f>F64-E64</f>
        <v>-13</v>
      </c>
      <c r="G66" s="1"/>
      <c r="H66" s="34">
        <f>H64-F64</f>
        <v>38</v>
      </c>
      <c r="I66" s="34">
        <f>I64-H64</f>
        <v>-27</v>
      </c>
      <c r="J66" s="39">
        <f>J64-I64</f>
        <v>15</v>
      </c>
      <c r="K66" s="1"/>
    </row>
    <row r="67">
      <c r="A67" s="1"/>
      <c r="B67" s="1" t="s">
        <v>60</v>
      </c>
      <c r="C67" s="21">
        <f>C56-C64</f>
        <v>1039</v>
      </c>
      <c r="D67" s="21">
        <f>D56-D64</f>
        <v>904</v>
      </c>
      <c r="E67" s="21">
        <f>E56-E64</f>
        <v>1085</v>
      </c>
      <c r="F67" s="21">
        <f>F56-F64</f>
        <v>1224</v>
      </c>
      <c r="G67" s="21">
        <f>G56-G64</f>
        <v>4252</v>
      </c>
      <c r="H67" s="21">
        <f>H56-H64</f>
        <v>1180</v>
      </c>
      <c r="I67" s="21">
        <f>I56-I64</f>
        <v>1362</v>
      </c>
      <c r="J67" s="29">
        <f>J56-J64</f>
        <v>1134.3316438356164</v>
      </c>
      <c r="K67" s="1"/>
    </row>
    <row r="68">
      <c r="A68" s="1"/>
      <c r="B68" s="1" t="s">
        <v>258</v>
      </c>
      <c r="C68" s="28">
        <v>1104</v>
      </c>
      <c r="D68" s="28">
        <v>1058</v>
      </c>
      <c r="E68" s="28">
        <v>1169</v>
      </c>
      <c r="F68" s="28">
        <v>1287</v>
      </c>
      <c r="G68" s="21">
        <f>SUM(C68:F68)</f>
        <v>4618</v>
      </c>
      <c r="H68" s="28">
        <v>1232</v>
      </c>
      <c r="I68" s="28">
        <v>1492</v>
      </c>
      <c r="J68" s="61" t="s">
        <v>48</v>
      </c>
      <c r="K68" s="1"/>
    </row>
    <row r="69">
      <c r="A69" s="1"/>
      <c r="B69" s="4" t="s">
        <v>108</v>
      </c>
      <c r="C69" s="1"/>
      <c r="D69" s="1"/>
      <c r="E69" s="1"/>
      <c r="F69" s="1"/>
      <c r="G69" s="1"/>
      <c r="H69" s="25">
        <f>IFERROR(H68/C68-1,"n/m")</f>
        <v>0.11594202898550732</v>
      </c>
      <c r="I69" s="25">
        <f>IFERROR(I68/D68-1,"n/m")</f>
        <v>0.41020793950850654</v>
      </c>
      <c r="J69" s="40" t="s">
        <v>48</v>
      </c>
      <c r="K69" s="1"/>
    </row>
    <row r="70">
      <c r="A70" s="1"/>
      <c r="B70" s="4" t="s">
        <v>71</v>
      </c>
      <c r="C70" s="1"/>
      <c r="D70" s="34">
        <f>D68-C68</f>
        <v>-46</v>
      </c>
      <c r="E70" s="34">
        <f>E68-D68</f>
        <v>111</v>
      </c>
      <c r="F70" s="34">
        <f>F68-E68</f>
        <v>118</v>
      </c>
      <c r="G70" s="1"/>
      <c r="H70" s="34">
        <f>H68-F68</f>
        <v>-55</v>
      </c>
      <c r="I70" s="34">
        <f>I68-H68</f>
        <v>260</v>
      </c>
      <c r="J70" s="40" t="s">
        <v>48</v>
      </c>
      <c r="K70" s="1"/>
    </row>
    <row r="71">
      <c r="A71" s="1"/>
      <c r="B71" s="1" t="s">
        <v>223</v>
      </c>
      <c r="C71" s="28">
        <v>49</v>
      </c>
      <c r="D71" s="28">
        <v>59</v>
      </c>
      <c r="E71" s="28">
        <v>65</v>
      </c>
      <c r="F71" s="28">
        <v>60</v>
      </c>
      <c r="G71" s="21">
        <f>SUM(C71:F71)</f>
        <v>233</v>
      </c>
      <c r="H71" s="28">
        <v>64</v>
      </c>
      <c r="I71" s="28">
        <v>57</v>
      </c>
      <c r="J71" s="61" t="s">
        <v>48</v>
      </c>
      <c r="K71" s="1"/>
    </row>
    <row r="72">
      <c r="A72" s="1"/>
      <c r="B72" s="22" t="s">
        <v>224</v>
      </c>
      <c r="C72" s="27">
        <f>C68+C71</f>
        <v>1153</v>
      </c>
      <c r="D72" s="27">
        <f>D68+D71</f>
        <v>1117</v>
      </c>
      <c r="E72" s="27">
        <f>E68+E71</f>
        <v>1234</v>
      </c>
      <c r="F72" s="27">
        <f>F68+F71</f>
        <v>1347</v>
      </c>
      <c r="G72" s="27">
        <f>G68+G71</f>
        <v>4851</v>
      </c>
      <c r="H72" s="27">
        <f>H68+H71</f>
        <v>1296</v>
      </c>
      <c r="I72" s="27">
        <f>I68+I71</f>
        <v>1549</v>
      </c>
      <c r="J72" s="67" t="s">
        <v>48</v>
      </c>
      <c r="K72" s="1"/>
    </row>
    <row r="73">
      <c r="A73" s="1"/>
      <c r="B73" s="1" t="s">
        <v>225</v>
      </c>
      <c r="C73" s="28">
        <v>-90</v>
      </c>
      <c r="D73" s="28">
        <v>-179</v>
      </c>
      <c r="E73" s="28">
        <v>-164</v>
      </c>
      <c r="F73" s="28">
        <v>-119</v>
      </c>
      <c r="G73" s="21">
        <f>SUM(C73:F73)</f>
        <v>-552</v>
      </c>
      <c r="H73" s="28">
        <v>-38</v>
      </c>
      <c r="I73" s="28">
        <v>-147</v>
      </c>
      <c r="J73" s="61" t="s">
        <v>48</v>
      </c>
      <c r="K73" s="1"/>
    </row>
    <row r="74">
      <c r="A74" s="1"/>
      <c r="B74" s="1" t="s">
        <v>226</v>
      </c>
      <c r="C74" s="28">
        <v>-24</v>
      </c>
      <c r="D74" s="28">
        <v>-34</v>
      </c>
      <c r="E74" s="28">
        <v>15</v>
      </c>
      <c r="F74" s="28">
        <v>-4</v>
      </c>
      <c r="G74" s="21">
        <f>SUM(C74:F74)</f>
        <v>-47</v>
      </c>
      <c r="H74" s="28">
        <v>-78</v>
      </c>
      <c r="I74" s="28">
        <v>-40</v>
      </c>
      <c r="J74" s="61" t="s">
        <v>48</v>
      </c>
      <c r="K74" s="1"/>
    </row>
    <row r="75">
      <c r="A75" s="1"/>
      <c r="B75" s="22" t="s">
        <v>227</v>
      </c>
      <c r="C75" s="27">
        <f>C72+C73+C74</f>
        <v>1039</v>
      </c>
      <c r="D75" s="27">
        <f>D72+D73+D74</f>
        <v>904</v>
      </c>
      <c r="E75" s="27">
        <f>E72+E73+E74</f>
        <v>1085</v>
      </c>
      <c r="F75" s="27">
        <f>F72+F73+F74</f>
        <v>1224</v>
      </c>
      <c r="G75" s="27">
        <f>G72+G73+G74</f>
        <v>4252</v>
      </c>
      <c r="H75" s="27">
        <f>H72+H73+H74</f>
        <v>1180</v>
      </c>
      <c r="I75" s="27">
        <f>I72+I73+I74</f>
        <v>1362</v>
      </c>
      <c r="J75" s="67" t="s">
        <v>48</v>
      </c>
      <c r="K75" s="1"/>
    </row>
    <row r="76">
      <c r="A76" s="1"/>
      <c r="B76" s="1" t="s">
        <v>228</v>
      </c>
      <c r="C76" s="21">
        <f>C75-C67</f>
        <v>0</v>
      </c>
      <c r="D76" s="21">
        <f>D75-D67</f>
        <v>0</v>
      </c>
      <c r="E76" s="21">
        <f>E75-E67</f>
        <v>0</v>
      </c>
      <c r="F76" s="21">
        <f>F75-F67</f>
        <v>0</v>
      </c>
      <c r="G76" s="21">
        <f>G75-G67</f>
        <v>0</v>
      </c>
      <c r="H76" s="21">
        <f>H75-H67</f>
        <v>0</v>
      </c>
      <c r="I76" s="21">
        <f>I75-I67</f>
        <v>0</v>
      </c>
      <c r="J76" s="31"/>
      <c r="K76" s="1"/>
    </row>
    <row r="77">
      <c r="A77" s="1"/>
      <c r="B77" s="22" t="s">
        <v>165</v>
      </c>
      <c r="C77" s="1"/>
      <c r="D77" s="1"/>
      <c r="E77" s="1"/>
      <c r="F77" s="1"/>
      <c r="G77" s="1"/>
      <c r="H77" s="1"/>
      <c r="I77" s="1"/>
      <c r="J77" s="31"/>
      <c r="K77" s="1"/>
    </row>
    <row r="78">
      <c r="A78" s="1"/>
      <c r="B78" s="1" t="s">
        <v>129</v>
      </c>
      <c r="C78" s="1"/>
      <c r="D78" s="21">
        <f>C80</f>
        <v>82</v>
      </c>
      <c r="E78" s="21">
        <f>D80</f>
        <v>84</v>
      </c>
      <c r="F78" s="21">
        <f>E80</f>
        <v>81</v>
      </c>
      <c r="G78" s="1"/>
      <c r="H78" s="21">
        <f>F80</f>
        <v>79</v>
      </c>
      <c r="I78" s="21">
        <f>H80</f>
        <v>83</v>
      </c>
      <c r="J78" s="29">
        <f>I80</f>
        <v>88</v>
      </c>
      <c r="K78" s="1"/>
    </row>
    <row r="79">
      <c r="A79" s="1"/>
      <c r="B79" s="1" t="s">
        <v>130</v>
      </c>
      <c r="C79" s="1"/>
      <c r="D79" s="21">
        <f>D80-D78</f>
        <v>2</v>
      </c>
      <c r="E79" s="21">
        <f>E80-E78</f>
        <v>-3</v>
      </c>
      <c r="F79" s="21">
        <f>F80-F78</f>
        <v>-2</v>
      </c>
      <c r="G79" s="1"/>
      <c r="H79" s="21">
        <f>H80-H78</f>
        <v>4</v>
      </c>
      <c r="I79" s="21">
        <f>I80-I78</f>
        <v>5</v>
      </c>
      <c r="J79" s="55">
        <v>1</v>
      </c>
      <c r="K79" s="24" t="s">
        <v>131</v>
      </c>
    </row>
    <row r="80">
      <c r="A80" s="1"/>
      <c r="B80" s="22" t="s">
        <v>166</v>
      </c>
      <c r="C80" s="47">
        <v>82</v>
      </c>
      <c r="D80" s="47">
        <v>84</v>
      </c>
      <c r="E80" s="47">
        <v>81</v>
      </c>
      <c r="F80" s="47">
        <v>79</v>
      </c>
      <c r="G80" s="27">
        <f>SUMPRODUCT(C80:F80,C$8:F$8)/G$8</f>
        <v>81.4904109589041</v>
      </c>
      <c r="H80" s="47">
        <v>83</v>
      </c>
      <c r="I80" s="47">
        <v>88</v>
      </c>
      <c r="J80" s="32">
        <f>J78+J79</f>
        <v>89</v>
      </c>
      <c r="K80" s="1"/>
    </row>
    <row r="81">
      <c r="A81" s="1"/>
      <c r="B81" s="4" t="s">
        <v>108</v>
      </c>
      <c r="C81" s="1"/>
      <c r="D81" s="1"/>
      <c r="E81" s="1"/>
      <c r="F81" s="1"/>
      <c r="G81" s="1"/>
      <c r="H81" s="25">
        <f>IFERROR(H80/C80-1,"n/m")</f>
        <v>0.012195121951219523</v>
      </c>
      <c r="I81" s="25">
        <f>IFERROR(I80/D80-1,"n/m")</f>
        <v>0.04761904761904767</v>
      </c>
      <c r="J81" s="33">
        <f>IFERROR(J80/E80-1,"n/m")</f>
        <v>0.09876543209876543</v>
      </c>
      <c r="K81" s="1"/>
    </row>
    <row r="82">
      <c r="A82" s="1"/>
      <c r="B82" s="4" t="s">
        <v>71</v>
      </c>
      <c r="C82" s="1"/>
      <c r="D82" s="34">
        <f>D80-C80</f>
        <v>2</v>
      </c>
      <c r="E82" s="34">
        <f>E80-D80</f>
        <v>-3</v>
      </c>
      <c r="F82" s="34">
        <f>F80-E80</f>
        <v>-2</v>
      </c>
      <c r="G82" s="1"/>
      <c r="H82" s="34">
        <f>H80-F80</f>
        <v>4</v>
      </c>
      <c r="I82" s="34">
        <f>I80-H80</f>
        <v>5</v>
      </c>
      <c r="J82" s="39">
        <f>J80-I80</f>
        <v>1</v>
      </c>
      <c r="K82" s="1"/>
    </row>
    <row r="83">
      <c r="A83" s="1"/>
      <c r="B83" s="1" t="s">
        <v>167</v>
      </c>
      <c r="C83" s="1"/>
      <c r="D83" s="21">
        <f>C85</f>
        <v>81.4</v>
      </c>
      <c r="E83" s="21">
        <f>D85</f>
        <v>81.9</v>
      </c>
      <c r="F83" s="21">
        <f>E85</f>
        <v>78.8</v>
      </c>
      <c r="G83" s="1"/>
      <c r="H83" s="21">
        <f>F85</f>
        <v>77.2</v>
      </c>
      <c r="I83" s="21">
        <f>H85</f>
        <v>84.6</v>
      </c>
      <c r="J83" s="29">
        <f>I85</f>
        <v>79.8</v>
      </c>
      <c r="K83" s="1"/>
    </row>
    <row r="84">
      <c r="A84" s="1"/>
      <c r="B84" s="1" t="s">
        <v>168</v>
      </c>
      <c r="C84" s="1"/>
      <c r="D84" s="21">
        <f>D85-D83</f>
        <v>0.5</v>
      </c>
      <c r="E84" s="21">
        <f>E85-E83</f>
        <v>-3.1000000000000085</v>
      </c>
      <c r="F84" s="21">
        <f>F85-F83</f>
        <v>-1.5999999999999943</v>
      </c>
      <c r="G84" s="1"/>
      <c r="H84" s="21">
        <f>H85-H83</f>
        <v>7.3999999999999915</v>
      </c>
      <c r="I84" s="21">
        <f>I85-I83</f>
        <v>-4.799999999999997</v>
      </c>
      <c r="J84" s="55">
        <v>2</v>
      </c>
      <c r="K84" s="24" t="s">
        <v>169</v>
      </c>
    </row>
    <row r="85">
      <c r="A85" s="1"/>
      <c r="B85" s="22" t="s">
        <v>173</v>
      </c>
      <c r="C85" s="47">
        <v>81.4</v>
      </c>
      <c r="D85" s="47">
        <v>81.9</v>
      </c>
      <c r="E85" s="47">
        <v>78.8</v>
      </c>
      <c r="F85" s="47">
        <v>77.2</v>
      </c>
      <c r="G85" s="27">
        <f>F85</f>
        <v>77.2</v>
      </c>
      <c r="H85" s="47">
        <v>84.6</v>
      </c>
      <c r="I85" s="47">
        <v>79.8</v>
      </c>
      <c r="J85" s="32">
        <f>J83+J84</f>
        <v>81.8</v>
      </c>
      <c r="K85" s="1"/>
    </row>
    <row r="86">
      <c r="A86" s="1"/>
      <c r="B86" s="4" t="s">
        <v>108</v>
      </c>
      <c r="C86" s="1"/>
      <c r="D86" s="1"/>
      <c r="E86" s="1"/>
      <c r="F86" s="1"/>
      <c r="G86" s="1"/>
      <c r="H86" s="25">
        <f>IFERROR(H85/C85-1,"n/m")</f>
        <v>0.03931203931203919</v>
      </c>
      <c r="I86" s="25">
        <f>IFERROR(I85/D85-1,"n/m")</f>
        <v>-0.025641025641025772</v>
      </c>
      <c r="J86" s="33">
        <f>IFERROR(J85/E85-1,"n/m")</f>
        <v>0.038071065989847774</v>
      </c>
      <c r="K86" s="1"/>
    </row>
    <row r="87">
      <c r="A87" s="1"/>
      <c r="B87" s="4" t="s">
        <v>71</v>
      </c>
      <c r="C87" s="1"/>
      <c r="D87" s="34">
        <f>D85-C85</f>
        <v>0.5</v>
      </c>
      <c r="E87" s="34">
        <f>E85-D85</f>
        <v>-3.1000000000000085</v>
      </c>
      <c r="F87" s="34">
        <f>F85-E85</f>
        <v>-1.5999999999999943</v>
      </c>
      <c r="G87" s="1"/>
      <c r="H87" s="34">
        <f>H85-F85</f>
        <v>7.3999999999999915</v>
      </c>
      <c r="I87" s="34">
        <f>I85-H85</f>
        <v>-4.799999999999997</v>
      </c>
      <c r="J87" s="39">
        <f>J85-I85</f>
        <v>2</v>
      </c>
      <c r="K87" s="1"/>
    </row>
    <row r="88">
      <c r="A88" s="1"/>
      <c r="B88" s="22" t="s">
        <v>174</v>
      </c>
      <c r="C88" s="1"/>
      <c r="D88" s="1"/>
      <c r="E88" s="1"/>
      <c r="F88" s="1"/>
      <c r="G88" s="1"/>
      <c r="H88" s="1"/>
      <c r="I88" s="1"/>
      <c r="J88" s="31"/>
      <c r="K88" s="1"/>
    </row>
    <row r="89">
      <c r="A89" s="1"/>
      <c r="B89" s="22" t="s">
        <v>90</v>
      </c>
      <c r="C89" s="27">
        <f>C56</f>
        <v>1530</v>
      </c>
      <c r="D89" s="27">
        <f>D56</f>
        <v>1434</v>
      </c>
      <c r="E89" s="27">
        <f>E56</f>
        <v>1647</v>
      </c>
      <c r="F89" s="27">
        <f>F56</f>
        <v>1773</v>
      </c>
      <c r="G89" s="27">
        <f>G56</f>
        <v>6384</v>
      </c>
      <c r="H89" s="27">
        <f>H56</f>
        <v>1767</v>
      </c>
      <c r="I89" s="27">
        <f>I56</f>
        <v>1922</v>
      </c>
      <c r="J89" s="32">
        <f>J56</f>
        <v>1709.3316438356164</v>
      </c>
      <c r="K89" s="1"/>
    </row>
    <row r="90">
      <c r="A90" s="1"/>
      <c r="B90" s="22" t="s">
        <v>175</v>
      </c>
      <c r="C90" s="47">
        <v>1034</v>
      </c>
      <c r="D90" s="47">
        <v>1137</v>
      </c>
      <c r="E90" s="47">
        <v>1139</v>
      </c>
      <c r="F90" s="47">
        <v>1152</v>
      </c>
      <c r="G90" s="27">
        <f>SUM(C90:F90)</f>
        <v>4462</v>
      </c>
      <c r="H90" s="47">
        <v>1240</v>
      </c>
      <c r="I90" s="47">
        <v>1212</v>
      </c>
      <c r="J90" s="32">
        <f>J89*J110</f>
        <v>1222.1721253424657</v>
      </c>
      <c r="K90" s="24" t="s">
        <v>231</v>
      </c>
    </row>
    <row r="91">
      <c r="A91" s="1"/>
      <c r="B91" s="4" t="s">
        <v>108</v>
      </c>
      <c r="C91" s="1"/>
      <c r="D91" s="1"/>
      <c r="E91" s="1"/>
      <c r="F91" s="1"/>
      <c r="G91" s="1"/>
      <c r="H91" s="25">
        <f>IFERROR(H90/C90-1,"n/m")</f>
        <v>0.19922630560928423</v>
      </c>
      <c r="I91" s="25">
        <f>IFERROR(I90/D90-1,"n/m")</f>
        <v>0.06596306068601576</v>
      </c>
      <c r="J91" s="33">
        <f>IFERROR(J90/E90-1,"n/m")</f>
        <v>0.07302205912420168</v>
      </c>
      <c r="K91" s="1"/>
    </row>
    <row r="92">
      <c r="A92" s="1"/>
      <c r="B92" s="4" t="s">
        <v>71</v>
      </c>
      <c r="C92" s="1"/>
      <c r="D92" s="34">
        <f>D90-C90</f>
        <v>103</v>
      </c>
      <c r="E92" s="34">
        <f>E90-D90</f>
        <v>2</v>
      </c>
      <c r="F92" s="34">
        <f>F90-E90</f>
        <v>13</v>
      </c>
      <c r="G92" s="1"/>
      <c r="H92" s="34">
        <f>H90-F90</f>
        <v>88</v>
      </c>
      <c r="I92" s="34">
        <f>I90-H90</f>
        <v>-28</v>
      </c>
      <c r="J92" s="39">
        <f>J90-I90</f>
        <v>10.172125342465733</v>
      </c>
      <c r="K92" s="1"/>
    </row>
    <row r="93">
      <c r="A93" s="1"/>
      <c r="B93" s="1" t="s">
        <v>176</v>
      </c>
      <c r="C93" s="28">
        <v>34</v>
      </c>
      <c r="D93" s="28">
        <v>16</v>
      </c>
      <c r="E93" s="28">
        <v>9</v>
      </c>
      <c r="F93" s="28">
        <v>25</v>
      </c>
      <c r="G93" s="21">
        <f>SUM(C93:F93)</f>
        <v>84</v>
      </c>
      <c r="H93" s="28">
        <v>6</v>
      </c>
      <c r="I93" s="28">
        <v>138</v>
      </c>
      <c r="J93" s="55">
        <v>30</v>
      </c>
      <c r="K93" s="1"/>
    </row>
    <row r="94">
      <c r="A94" s="1"/>
      <c r="B94" s="4" t="s">
        <v>108</v>
      </c>
      <c r="C94" s="1"/>
      <c r="D94" s="1"/>
      <c r="E94" s="1"/>
      <c r="F94" s="1"/>
      <c r="G94" s="1"/>
      <c r="H94" s="25">
        <f>IFERROR(H93/C93-1,"n/m")</f>
        <v>-0.8235294117647058</v>
      </c>
      <c r="I94" s="25">
        <f>IFERROR(I93/D93-1,"n/m")</f>
        <v>7.625</v>
      </c>
      <c r="J94" s="33">
        <f>IFERROR(J93/E93-1,"n/m")</f>
        <v>2.3333333333333335</v>
      </c>
      <c r="K94" s="1"/>
    </row>
    <row r="95">
      <c r="A95" s="1"/>
      <c r="B95" s="4" t="s">
        <v>71</v>
      </c>
      <c r="C95" s="1"/>
      <c r="D95" s="34">
        <f>D93-C93</f>
        <v>-18</v>
      </c>
      <c r="E95" s="34">
        <f>E93-D93</f>
        <v>-7</v>
      </c>
      <c r="F95" s="34">
        <f>F93-E93</f>
        <v>16</v>
      </c>
      <c r="G95" s="1"/>
      <c r="H95" s="34">
        <f>H93-F93</f>
        <v>-19</v>
      </c>
      <c r="I95" s="34">
        <f>I93-H93</f>
        <v>132</v>
      </c>
      <c r="J95" s="39">
        <f>J93-I93</f>
        <v>-108</v>
      </c>
      <c r="K95" s="1"/>
    </row>
    <row r="96">
      <c r="A96" s="1"/>
      <c r="B96" s="1" t="s">
        <v>177</v>
      </c>
      <c r="C96" s="28">
        <v>78</v>
      </c>
      <c r="D96" s="28">
        <v>137</v>
      </c>
      <c r="E96" s="28">
        <v>38</v>
      </c>
      <c r="F96" s="28">
        <v>136</v>
      </c>
      <c r="G96" s="21">
        <f>SUM(C96:F96)</f>
        <v>389</v>
      </c>
      <c r="H96" s="28">
        <v>175</v>
      </c>
      <c r="I96" s="28">
        <v>-19</v>
      </c>
      <c r="J96" s="55">
        <v>40</v>
      </c>
      <c r="K96" s="1"/>
    </row>
    <row r="97">
      <c r="A97" s="1"/>
      <c r="B97" s="4" t="s">
        <v>87</v>
      </c>
      <c r="C97" s="1"/>
      <c r="D97" s="1"/>
      <c r="E97" s="1"/>
      <c r="F97" s="1"/>
      <c r="G97" s="1"/>
      <c r="H97" s="25">
        <f>IF(OR(C96&lt;=0,H96&lt;=0),"n/m",H96/C96-1)</f>
        <v>1.2435897435897436</v>
      </c>
      <c r="I97" s="25" t="str">
        <f>IF(OR(D96&lt;=0,I96&lt;=0),"n/m",I96/D96-1)</f>
        <v>n/m</v>
      </c>
      <c r="J97" s="33">
        <f>IF(OR(E96&lt;=0,J96&lt;=0),"n/m",J96/E96-1)</f>
        <v>0.05263157894736836</v>
      </c>
      <c r="K97" s="1"/>
    </row>
    <row r="98">
      <c r="A98" s="1"/>
      <c r="B98" s="4" t="s">
        <v>71</v>
      </c>
      <c r="C98" s="1"/>
      <c r="D98" s="34">
        <f>D96-C96</f>
        <v>59</v>
      </c>
      <c r="E98" s="34">
        <f>E96-D96</f>
        <v>-99</v>
      </c>
      <c r="F98" s="34">
        <f>F96-E96</f>
        <v>98</v>
      </c>
      <c r="G98" s="1"/>
      <c r="H98" s="34">
        <f>H96-F96</f>
        <v>39</v>
      </c>
      <c r="I98" s="34">
        <f>I96-H96</f>
        <v>-194</v>
      </c>
      <c r="J98" s="39">
        <f>J96-I96</f>
        <v>59</v>
      </c>
      <c r="K98" s="1"/>
    </row>
    <row r="99">
      <c r="A99" s="1"/>
      <c r="B99" s="1" t="s">
        <v>178</v>
      </c>
      <c r="C99" s="28">
        <v>107</v>
      </c>
      <c r="D99" s="28">
        <v>2</v>
      </c>
      <c r="E99" s="28">
        <v>98</v>
      </c>
      <c r="F99" s="28">
        <v>14</v>
      </c>
      <c r="G99" s="21">
        <f>SUM(C99:F99)</f>
        <v>221</v>
      </c>
      <c r="H99" s="28">
        <v>-51</v>
      </c>
      <c r="I99" s="28">
        <v>119</v>
      </c>
      <c r="J99" s="55">
        <v>15</v>
      </c>
      <c r="K99" s="1"/>
    </row>
    <row r="100">
      <c r="A100" s="1"/>
      <c r="B100" s="1" t="s">
        <v>179</v>
      </c>
      <c r="C100" s="28">
        <v>-5</v>
      </c>
      <c r="D100" s="28">
        <v>18</v>
      </c>
      <c r="E100" s="28">
        <v>12</v>
      </c>
      <c r="F100" s="28">
        <v>1</v>
      </c>
      <c r="G100" s="21">
        <f>SUM(C100:F100)</f>
        <v>26</v>
      </c>
      <c r="H100" s="28">
        <v>2</v>
      </c>
      <c r="I100" s="28">
        <v>4</v>
      </c>
      <c r="J100" s="55">
        <v>3</v>
      </c>
      <c r="K100" s="1"/>
    </row>
    <row r="101">
      <c r="A101" s="1"/>
      <c r="B101" s="22" t="s">
        <v>180</v>
      </c>
      <c r="C101" s="27">
        <f>C93+C96+C99+C100</f>
        <v>214</v>
      </c>
      <c r="D101" s="27">
        <f>D93+D96+D99+D100</f>
        <v>173</v>
      </c>
      <c r="E101" s="27">
        <f>E93+E96+E99+E100</f>
        <v>157</v>
      </c>
      <c r="F101" s="27">
        <f>F93+F96+F99+F100</f>
        <v>176</v>
      </c>
      <c r="G101" s="27">
        <f>G93+G96+G99+G100</f>
        <v>720</v>
      </c>
      <c r="H101" s="27">
        <f>H93+H96+H99+H100</f>
        <v>132</v>
      </c>
      <c r="I101" s="27">
        <f>I93+I96+I99+I100</f>
        <v>242</v>
      </c>
      <c r="J101" s="32">
        <f>J93+J96+J99+J100</f>
        <v>88</v>
      </c>
      <c r="K101" s="1"/>
    </row>
    <row r="102">
      <c r="A102" s="1"/>
      <c r="B102" s="22" t="s">
        <v>181</v>
      </c>
      <c r="C102" s="27">
        <f>C89-C90-C101</f>
        <v>282</v>
      </c>
      <c r="D102" s="27">
        <f>D89-D90-D101</f>
        <v>124</v>
      </c>
      <c r="E102" s="27">
        <f>E89-E90-E101</f>
        <v>351</v>
      </c>
      <c r="F102" s="27">
        <f>F89-F90-F101</f>
        <v>445</v>
      </c>
      <c r="G102" s="27">
        <f>G89-G90-G101</f>
        <v>1202</v>
      </c>
      <c r="H102" s="27">
        <f>H89-H90-H101</f>
        <v>395</v>
      </c>
      <c r="I102" s="27">
        <f>I89-I90-I101</f>
        <v>468</v>
      </c>
      <c r="J102" s="32">
        <f>J89-J90-J101</f>
        <v>399.1595184931507</v>
      </c>
      <c r="K102" s="1"/>
    </row>
    <row r="103">
      <c r="A103" s="1"/>
      <c r="B103" s="4" t="s">
        <v>108</v>
      </c>
      <c r="C103" s="1"/>
      <c r="D103" s="1"/>
      <c r="E103" s="1"/>
      <c r="F103" s="1"/>
      <c r="G103" s="1"/>
      <c r="H103" s="25">
        <f>IFERROR(H102/C102-1,"n/m")</f>
        <v>0.4007092198581561</v>
      </c>
      <c r="I103" s="25">
        <f>IFERROR(I102/D102-1,"n/m")</f>
        <v>2.774193548387097</v>
      </c>
      <c r="J103" s="33">
        <f>IFERROR(J102/E102-1,"n/m")</f>
        <v>0.13720660539359164</v>
      </c>
      <c r="K103" s="1"/>
    </row>
    <row r="104" ht="27.75">
      <c r="A104" s="1"/>
      <c r="B104" s="1" t="s">
        <v>182</v>
      </c>
      <c r="C104" s="28">
        <v>60</v>
      </c>
      <c r="D104" s="28">
        <v>33</v>
      </c>
      <c r="E104" s="28">
        <v>84</v>
      </c>
      <c r="F104" s="28">
        <v>90</v>
      </c>
      <c r="G104" s="21">
        <f>SUM(C104:F104)</f>
        <v>267</v>
      </c>
      <c r="H104" s="28">
        <v>91</v>
      </c>
      <c r="I104" s="28">
        <v>117</v>
      </c>
      <c r="J104" s="61" t="s">
        <v>48</v>
      </c>
      <c r="K104" s="112" t="s">
        <v>183</v>
      </c>
    </row>
    <row r="105">
      <c r="A105" s="1"/>
      <c r="B105" s="22" t="s">
        <v>184</v>
      </c>
      <c r="C105" s="27">
        <f>C102-C104</f>
        <v>222</v>
      </c>
      <c r="D105" s="27">
        <f>D102-D104</f>
        <v>91</v>
      </c>
      <c r="E105" s="27">
        <f>E102-E104</f>
        <v>267</v>
      </c>
      <c r="F105" s="27">
        <f>F102-F104</f>
        <v>355</v>
      </c>
      <c r="G105" s="27">
        <f>G102-G104</f>
        <v>935</v>
      </c>
      <c r="H105" s="27">
        <f>H102-H104</f>
        <v>304</v>
      </c>
      <c r="I105" s="27">
        <f>I102-I104</f>
        <v>351</v>
      </c>
      <c r="J105" s="67" t="s">
        <v>48</v>
      </c>
      <c r="K105" s="1"/>
    </row>
    <row r="106">
      <c r="A106" s="1"/>
      <c r="B106" s="1" t="s">
        <v>185</v>
      </c>
      <c r="C106" s="28">
        <v>-1</v>
      </c>
      <c r="D106" s="28">
        <v>-2</v>
      </c>
      <c r="E106" s="28">
        <v>-3</v>
      </c>
      <c r="F106" s="28">
        <v>1</v>
      </c>
      <c r="G106" s="21">
        <f>SUM(C106:F106)</f>
        <v>-5</v>
      </c>
      <c r="H106" s="28">
        <v>0</v>
      </c>
      <c r="I106" s="28">
        <v>1</v>
      </c>
      <c r="J106" s="61" t="s">
        <v>48</v>
      </c>
      <c r="K106" s="1"/>
    </row>
    <row r="107">
      <c r="A107" s="1"/>
      <c r="B107" s="22" t="s">
        <v>186</v>
      </c>
      <c r="C107" s="27">
        <f>C105-C106</f>
        <v>223</v>
      </c>
      <c r="D107" s="27">
        <f>D105-D106</f>
        <v>93</v>
      </c>
      <c r="E107" s="27">
        <f>E105-E106</f>
        <v>270</v>
      </c>
      <c r="F107" s="27">
        <f>F105-F106</f>
        <v>354</v>
      </c>
      <c r="G107" s="27">
        <f>G105-G106</f>
        <v>940</v>
      </c>
      <c r="H107" s="27">
        <f>H105-H106</f>
        <v>304</v>
      </c>
      <c r="I107" s="27">
        <f>I105-I106</f>
        <v>350</v>
      </c>
      <c r="J107" s="67" t="s">
        <v>48</v>
      </c>
      <c r="K107" s="1"/>
    </row>
    <row r="108">
      <c r="A108" s="1"/>
      <c r="B108" s="22" t="s">
        <v>187</v>
      </c>
      <c r="C108" s="1"/>
      <c r="D108" s="1"/>
      <c r="E108" s="1"/>
      <c r="F108" s="1"/>
      <c r="G108" s="1"/>
      <c r="H108" s="1"/>
      <c r="I108" s="1"/>
      <c r="J108" s="31"/>
      <c r="K108" s="1"/>
    </row>
    <row r="109">
      <c r="A109" s="1"/>
      <c r="B109" s="4" t="s">
        <v>188</v>
      </c>
      <c r="C109" s="25">
        <f>C90/C89</f>
        <v>0.6758169934640523</v>
      </c>
      <c r="D109" s="25">
        <f>D90/D89</f>
        <v>0.7928870292887029</v>
      </c>
      <c r="E109" s="25">
        <f>E90/E89</f>
        <v>0.6915604128718883</v>
      </c>
      <c r="F109" s="25">
        <f>F90/F89</f>
        <v>0.649746192893401</v>
      </c>
      <c r="G109" s="25">
        <f>G90/G89</f>
        <v>0.6989348370927319</v>
      </c>
      <c r="H109" s="25">
        <f>H90/H89</f>
        <v>0.7017543859649122</v>
      </c>
      <c r="I109" s="25">
        <f>I90/I89</f>
        <v>0.6305931321540063</v>
      </c>
      <c r="J109" s="33">
        <f>J90/J89</f>
        <v>0.715</v>
      </c>
      <c r="K109" s="1"/>
    </row>
    <row r="110">
      <c r="A110" s="1"/>
      <c r="B110" s="4" t="s">
        <v>232</v>
      </c>
      <c r="C110" s="1"/>
      <c r="D110" s="1"/>
      <c r="E110" s="1"/>
      <c r="F110" s="1"/>
      <c r="G110" s="1"/>
      <c r="H110" s="1"/>
      <c r="I110" s="1"/>
      <c r="J110" s="76">
        <v>0.715</v>
      </c>
      <c r="K110" s="1"/>
    </row>
    <row r="111">
      <c r="A111" s="1"/>
      <c r="B111" s="4" t="s">
        <v>114</v>
      </c>
      <c r="C111" s="1"/>
      <c r="D111" s="1"/>
      <c r="E111" s="1"/>
      <c r="F111" s="1"/>
      <c r="G111" s="1"/>
      <c r="H111" s="54">
        <f>(H109-C109)*10000</f>
        <v>259.37392500859914</v>
      </c>
      <c r="I111" s="54">
        <f>(I109-D109)*10000</f>
        <v>-1622.9389713469666</v>
      </c>
      <c r="J111" s="57">
        <f>(J109-E109)*10000</f>
        <v>234.3958712811167</v>
      </c>
      <c r="K111" s="1"/>
    </row>
    <row r="112">
      <c r="A112" s="1"/>
      <c r="B112" s="4" t="s">
        <v>115</v>
      </c>
      <c r="C112" s="1"/>
      <c r="D112" s="54">
        <f>(D109-C109)*10000</f>
        <v>1170.7003582465059</v>
      </c>
      <c r="E112" s="54">
        <f>(E109-D109)*10000</f>
        <v>-1013.2661641681461</v>
      </c>
      <c r="F112" s="54">
        <f>(F109-E109)*10000</f>
        <v>-418.1421997848733</v>
      </c>
      <c r="G112" s="1"/>
      <c r="H112" s="54">
        <f>(H109-F109)*10000</f>
        <v>520.0819307151128</v>
      </c>
      <c r="I112" s="54">
        <f>(I109-H109)*10000</f>
        <v>-711.6125381090599</v>
      </c>
      <c r="J112" s="57">
        <f>(J109-I109)*10000</f>
        <v>844.0686784599371</v>
      </c>
      <c r="K112" s="1"/>
    </row>
    <row r="113">
      <c r="A113" s="1"/>
      <c r="B113" s="4" t="s">
        <v>189</v>
      </c>
      <c r="C113" s="25">
        <f>C102/C89</f>
        <v>0.1843137254901961</v>
      </c>
      <c r="D113" s="25">
        <f>D102/D89</f>
        <v>0.08647140864714087</v>
      </c>
      <c r="E113" s="25">
        <f>E102/E89</f>
        <v>0.21311475409836064</v>
      </c>
      <c r="F113" s="25">
        <f>F102/F89</f>
        <v>0.25098702763677383</v>
      </c>
      <c r="G113" s="25">
        <f>G102/G89</f>
        <v>0.18828320802005014</v>
      </c>
      <c r="H113" s="25">
        <f>H102/H89</f>
        <v>0.22354272778720996</v>
      </c>
      <c r="I113" s="25">
        <f>I102/I89</f>
        <v>0.24349635796045785</v>
      </c>
      <c r="J113" s="33">
        <f>J102/J89</f>
        <v>0.2335178898329324</v>
      </c>
      <c r="K113" s="1"/>
    </row>
    <row r="114">
      <c r="A114" s="1"/>
      <c r="B114" s="4" t="s">
        <v>114</v>
      </c>
      <c r="C114" s="1"/>
      <c r="D114" s="1"/>
      <c r="E114" s="1"/>
      <c r="F114" s="1"/>
      <c r="G114" s="1"/>
      <c r="H114" s="54">
        <f>(H113-C113)*10000</f>
        <v>392.2900229701387</v>
      </c>
      <c r="I114" s="54">
        <f>(I113-D113)*10000</f>
        <v>1570.2494931331698</v>
      </c>
      <c r="J114" s="57">
        <f>(J113-E113)*10000</f>
        <v>204.03135734571754</v>
      </c>
      <c r="K114" s="1"/>
    </row>
    <row r="115">
      <c r="A115" s="1"/>
      <c r="B115" s="4" t="s">
        <v>115</v>
      </c>
      <c r="C115" s="1"/>
      <c r="D115" s="54">
        <f>(D113-C113)*10000</f>
        <v>-978.4231684305522</v>
      </c>
      <c r="E115" s="54">
        <f>(E113-D113)*10000</f>
        <v>1266.4334545121978</v>
      </c>
      <c r="F115" s="54">
        <f>(F113-E113)*10000</f>
        <v>378.72273538413185</v>
      </c>
      <c r="G115" s="1"/>
      <c r="H115" s="54">
        <f>(H113-F113)*10000</f>
        <v>-274.4429984956387</v>
      </c>
      <c r="I115" s="54">
        <f>(I113-H113)*10000</f>
        <v>199.53630173247888</v>
      </c>
      <c r="J115" s="57">
        <f>(J113-I113)*10000</f>
        <v>-99.78468127525453</v>
      </c>
      <c r="K115" s="1"/>
    </row>
    <row r="116">
      <c r="A116" s="1"/>
      <c r="B116" s="1" t="s">
        <v>190</v>
      </c>
      <c r="C116" s="28">
        <v>9.2</v>
      </c>
      <c r="D116" s="28">
        <v>9.2</v>
      </c>
      <c r="E116" s="28">
        <v>9.2</v>
      </c>
      <c r="F116" s="28">
        <v>9.2</v>
      </c>
      <c r="G116" s="21">
        <f>SUMPRODUCT(C116:F116,C$8:F$8)/G$8</f>
        <v>9.2</v>
      </c>
      <c r="H116" s="28">
        <v>7.8</v>
      </c>
      <c r="I116" s="28">
        <v>7.8</v>
      </c>
      <c r="J116" s="61" t="s">
        <v>48</v>
      </c>
      <c r="K116" s="1"/>
    </row>
    <row r="117">
      <c r="A117" s="1"/>
      <c r="B117" s="4" t="s">
        <v>191</v>
      </c>
      <c r="C117" s="25">
        <f>C107*365/C8/(C116*1000)</f>
        <v>0.09830314009661836</v>
      </c>
      <c r="D117" s="25">
        <f>D107*365/D8/(D116*1000)</f>
        <v>0.04054586717630196</v>
      </c>
      <c r="E117" s="25">
        <f>E107*365/E8/(E116*1000)</f>
        <v>0.11643431001890359</v>
      </c>
      <c r="F117" s="25">
        <f>F107*365/F8/(F116*1000)</f>
        <v>0.15265831758034026</v>
      </c>
      <c r="G117" s="25">
        <f>G107*365/G8/(G116*1000)</f>
        <v>0.10217391304347827</v>
      </c>
      <c r="H117" s="25">
        <f>H107*365/H8/(H116*1000)</f>
        <v>0.15806267806267807</v>
      </c>
      <c r="I117" s="25">
        <f>I107*365/I8/(I116*1000)</f>
        <v>0.1799802761341223</v>
      </c>
      <c r="J117" s="40" t="s">
        <v>48</v>
      </c>
      <c r="K117" s="1"/>
    </row>
    <row r="118">
      <c r="A118" s="1"/>
      <c r="B118" s="4" t="s">
        <v>192</v>
      </c>
      <c r="C118" s="58">
        <f>C93*365/C8/(C80*1000)</f>
        <v>0.001681571815718157</v>
      </c>
      <c r="D118" s="58">
        <f>D93*365/D8/(D80*1000)</f>
        <v>0.0007639979068550497</v>
      </c>
      <c r="E118" s="58">
        <f>E93*365/E8/(E80*1000)</f>
        <v>0.00044082125603864736</v>
      </c>
      <c r="F118" s="58">
        <f>F93*365/F8/(F80*1000)</f>
        <v>0.0012555035773252614</v>
      </c>
      <c r="G118" s="58">
        <f>G93*365/G8/(G80*1000)</f>
        <v>0.0010307961269499732</v>
      </c>
      <c r="H118" s="58">
        <f>H93*365/H8/(H80*1000)</f>
        <v>0.0002931726907630522</v>
      </c>
      <c r="I118" s="58">
        <f>I93*365/I8/(I80*1000)</f>
        <v>0.0062899600399600394</v>
      </c>
      <c r="J118" s="79">
        <f>J93*365/J8/(J80*1000)</f>
        <v>0.001337322911577919</v>
      </c>
      <c r="K118" s="1"/>
    </row>
    <row r="119">
      <c r="A119" s="1"/>
      <c r="B119" s="4" t="s">
        <v>114</v>
      </c>
      <c r="C119" s="1"/>
      <c r="D119" s="1"/>
      <c r="E119" s="1"/>
      <c r="F119" s="1"/>
      <c r="G119" s="1"/>
      <c r="H119" s="54">
        <f>(H118-C118)*10000</f>
        <v>-13.883991249551048</v>
      </c>
      <c r="I119" s="54">
        <f>(I118-D118)*10000</f>
        <v>55.25962133104989</v>
      </c>
      <c r="J119" s="57">
        <f>(J118-E118)*10000</f>
        <v>8.965016555392715</v>
      </c>
      <c r="K119" s="1"/>
    </row>
    <row r="120">
      <c r="A120" s="1"/>
      <c r="B120" s="4" t="s">
        <v>115</v>
      </c>
      <c r="C120" s="1"/>
      <c r="D120" s="54">
        <f>(D118-C118)*10000</f>
        <v>-9.175739088631074</v>
      </c>
      <c r="E120" s="54">
        <f>(E118-D118)*10000</f>
        <v>-3.231766508164023</v>
      </c>
      <c r="F120" s="54">
        <f>(F118-E118)*10000</f>
        <v>8.14682321286614</v>
      </c>
      <c r="G120" s="1"/>
      <c r="H120" s="54">
        <f>(H118-F118)*10000</f>
        <v>-9.623308865622093</v>
      </c>
      <c r="I120" s="54">
        <f>(I118-H118)*10000</f>
        <v>59.967873491969875</v>
      </c>
      <c r="J120" s="57">
        <f>(J118-I118)*10000</f>
        <v>-49.526371283821206</v>
      </c>
      <c r="K120" s="1"/>
    </row>
    <row r="121">
      <c r="A121" s="1"/>
      <c r="B121" s="22" t="s">
        <v>193</v>
      </c>
      <c r="C121" s="1"/>
      <c r="D121" s="1"/>
      <c r="E121" s="1"/>
      <c r="F121" s="1"/>
      <c r="G121" s="1"/>
      <c r="H121" s="1"/>
      <c r="I121" s="1"/>
      <c r="J121" s="31"/>
      <c r="K121" s="1"/>
    </row>
    <row r="122">
      <c r="A122" s="1"/>
      <c r="B122" s="1" t="s">
        <v>194</v>
      </c>
      <c r="C122" s="28">
        <v>874</v>
      </c>
      <c r="D122" s="28">
        <v>648</v>
      </c>
      <c r="E122" s="28">
        <v>862</v>
      </c>
      <c r="F122" s="28">
        <v>1023</v>
      </c>
      <c r="G122" s="21">
        <f>SUM(C122:F122)</f>
        <v>3407</v>
      </c>
      <c r="H122" s="28">
        <v>1109</v>
      </c>
      <c r="I122" s="28">
        <v>1087</v>
      </c>
      <c r="J122" s="29">
        <f>J56*I122/(I122+I124)</f>
        <v>966.7239837925677</v>
      </c>
      <c r="K122" s="24" t="s">
        <v>195</v>
      </c>
    </row>
    <row r="123">
      <c r="A123" s="1"/>
      <c r="B123" s="4" t="s">
        <v>108</v>
      </c>
      <c r="C123" s="1"/>
      <c r="D123" s="1"/>
      <c r="E123" s="1"/>
      <c r="F123" s="1"/>
      <c r="G123" s="1"/>
      <c r="H123" s="25">
        <f>IFERROR(H122/C122-1,"n/m")</f>
        <v>0.2688787185354691</v>
      </c>
      <c r="I123" s="25">
        <f>IFERROR(I122/D122-1,"n/m")</f>
        <v>0.6774691358024691</v>
      </c>
      <c r="J123" s="33">
        <f>IFERROR(J122/E122-1,"n/m")</f>
        <v>0.1214895403626075</v>
      </c>
      <c r="K123" s="1"/>
    </row>
    <row r="124">
      <c r="A124" s="1"/>
      <c r="B124" s="1" t="s">
        <v>196</v>
      </c>
      <c r="C124" s="28">
        <v>656</v>
      </c>
      <c r="D124" s="28">
        <v>786</v>
      </c>
      <c r="E124" s="28">
        <v>785</v>
      </c>
      <c r="F124" s="28">
        <v>750</v>
      </c>
      <c r="G124" s="21">
        <f>SUM(C124:F124)</f>
        <v>2977</v>
      </c>
      <c r="H124" s="28">
        <v>658</v>
      </c>
      <c r="I124" s="28">
        <v>835</v>
      </c>
      <c r="J124" s="29">
        <f>J56-J122</f>
        <v>742.6076600430488</v>
      </c>
      <c r="K124" s="1"/>
    </row>
    <row r="125">
      <c r="A125" s="1"/>
      <c r="B125" s="4" t="s">
        <v>108</v>
      </c>
      <c r="C125" s="1"/>
      <c r="D125" s="1"/>
      <c r="E125" s="1"/>
      <c r="F125" s="1"/>
      <c r="G125" s="1"/>
      <c r="H125" s="25">
        <f>IFERROR(H124/C124-1,"n/m")</f>
        <v>0.0030487804878047697</v>
      </c>
      <c r="I125" s="25">
        <f>IFERROR(I124/D124-1,"n/m")</f>
        <v>0.06234096692111968</v>
      </c>
      <c r="J125" s="33">
        <f>IFERROR(J124/E124-1,"n/m")</f>
        <v>-0.05400298083688049</v>
      </c>
      <c r="K125" s="1"/>
    </row>
    <row r="126">
      <c r="A126" s="1"/>
      <c r="B126" s="22" t="s">
        <v>197</v>
      </c>
      <c r="C126" s="27">
        <f>C122+C124</f>
        <v>1530</v>
      </c>
      <c r="D126" s="27">
        <f>D122+D124</f>
        <v>1434</v>
      </c>
      <c r="E126" s="27">
        <f>E122+E124</f>
        <v>1647</v>
      </c>
      <c r="F126" s="27">
        <f>F122+F124</f>
        <v>1773</v>
      </c>
      <c r="G126" s="27">
        <f>G122+G124</f>
        <v>6384</v>
      </c>
      <c r="H126" s="27">
        <f>H122+H124</f>
        <v>1767</v>
      </c>
      <c r="I126" s="27">
        <f>I122+I124</f>
        <v>1922</v>
      </c>
      <c r="J126" s="32">
        <f>J122+J124</f>
        <v>1709.3316438356164</v>
      </c>
      <c r="K126" s="1"/>
    </row>
    <row r="127">
      <c r="A127" s="1"/>
      <c r="B127" s="4" t="s">
        <v>198</v>
      </c>
      <c r="C127" s="25">
        <f>C122/C126</f>
        <v>0.5712418300653594</v>
      </c>
      <c r="D127" s="25">
        <f>D122/D126</f>
        <v>0.45188284518828453</v>
      </c>
      <c r="E127" s="25">
        <f>E122/E126</f>
        <v>0.5233758348512447</v>
      </c>
      <c r="F127" s="25">
        <f>F122/F126</f>
        <v>0.5769881556683587</v>
      </c>
      <c r="G127" s="25">
        <f>G122/G126</f>
        <v>0.5336779448621554</v>
      </c>
      <c r="H127" s="25">
        <f>H122/H126</f>
        <v>0.6276174306734579</v>
      </c>
      <c r="I127" s="25">
        <f>I122/I126</f>
        <v>0.5655567117585848</v>
      </c>
      <c r="J127" s="33">
        <f>J122/J126</f>
        <v>0.5655567117585848</v>
      </c>
      <c r="K127" s="1"/>
    </row>
    <row r="128" ht="40.5">
      <c r="A128" s="1"/>
      <c r="B128" s="1" t="s">
        <v>199</v>
      </c>
      <c r="C128" s="21">
        <f>C126-C56</f>
        <v>0</v>
      </c>
      <c r="D128" s="21">
        <f>D126-D56</f>
        <v>0</v>
      </c>
      <c r="E128" s="21">
        <f>E126-E56</f>
        <v>0</v>
      </c>
      <c r="F128" s="21">
        <f>F126-F56</f>
        <v>0</v>
      </c>
      <c r="G128" s="21">
        <f>G126-G56</f>
        <v>0</v>
      </c>
      <c r="H128" s="21">
        <f>H126-H56</f>
        <v>0</v>
      </c>
      <c r="I128" s="21">
        <f>I126-I56</f>
        <v>0</v>
      </c>
      <c r="J128" s="29">
        <f>J126-J56</f>
        <v>0</v>
      </c>
      <c r="K128" s="115" t="s">
        <v>200</v>
      </c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K14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259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260</v>
      </c>
      <c r="C10" s="1"/>
      <c r="D10" s="1"/>
      <c r="E10" s="1"/>
      <c r="F10" s="1"/>
      <c r="G10" s="1"/>
      <c r="H10" s="1"/>
      <c r="I10" s="1"/>
      <c r="J10" s="31"/>
      <c r="K10" s="1"/>
    </row>
    <row r="11">
      <c r="A11" s="1"/>
      <c r="B11" s="1" t="s">
        <v>261</v>
      </c>
      <c r="C11" s="1"/>
      <c r="D11" s="21">
        <f>C14</f>
        <v>595</v>
      </c>
      <c r="E11" s="21">
        <f>D14</f>
        <v>635</v>
      </c>
      <c r="F11" s="21">
        <f>E14</f>
        <v>660</v>
      </c>
      <c r="G11" s="1"/>
      <c r="H11" s="21">
        <f>F14</f>
        <v>670</v>
      </c>
      <c r="I11" s="21">
        <f>H14</f>
        <v>676</v>
      </c>
      <c r="J11" s="29">
        <f>I14</f>
        <v>727</v>
      </c>
      <c r="K11" s="24" t="s">
        <v>262</v>
      </c>
    </row>
    <row r="12" ht="27.75">
      <c r="A12" s="1"/>
      <c r="B12" s="1" t="s">
        <v>263</v>
      </c>
      <c r="C12" s="28">
        <v>16.5</v>
      </c>
      <c r="D12" s="28">
        <v>2</v>
      </c>
      <c r="E12" s="28">
        <v>18.6</v>
      </c>
      <c r="F12" s="28">
        <v>7.2</v>
      </c>
      <c r="G12" s="21">
        <f>SUM(C12:F12)</f>
        <v>44.300000000000004</v>
      </c>
      <c r="H12" s="28">
        <v>14.7</v>
      </c>
      <c r="I12" s="28">
        <v>15.7</v>
      </c>
      <c r="J12" s="55">
        <v>15</v>
      </c>
      <c r="K12" s="112" t="s">
        <v>264</v>
      </c>
    </row>
    <row r="13" ht="27.75">
      <c r="A13" s="1"/>
      <c r="B13" s="1" t="s">
        <v>265</v>
      </c>
      <c r="C13" s="1"/>
      <c r="D13" s="21">
        <f>D14-D11-D12</f>
        <v>38</v>
      </c>
      <c r="E13" s="21">
        <f>E14-E11-E12</f>
        <v>6.399999999999999</v>
      </c>
      <c r="F13" s="21">
        <f>F14-F11-F12</f>
        <v>2.8</v>
      </c>
      <c r="G13" s="1"/>
      <c r="H13" s="21">
        <f>H14-H11-H12</f>
        <v>-8.7</v>
      </c>
      <c r="I13" s="21">
        <f>I14-I11-I12</f>
        <v>35.3</v>
      </c>
      <c r="J13" s="55">
        <v>5</v>
      </c>
      <c r="K13" s="112" t="s">
        <v>266</v>
      </c>
    </row>
    <row r="14">
      <c r="A14" s="1"/>
      <c r="B14" s="22" t="s">
        <v>267</v>
      </c>
      <c r="C14" s="47">
        <v>595</v>
      </c>
      <c r="D14" s="47">
        <v>635</v>
      </c>
      <c r="E14" s="47">
        <v>660</v>
      </c>
      <c r="F14" s="47">
        <v>670</v>
      </c>
      <c r="G14" s="27">
        <f>F14</f>
        <v>670</v>
      </c>
      <c r="H14" s="47">
        <v>676</v>
      </c>
      <c r="I14" s="47">
        <v>727</v>
      </c>
      <c r="J14" s="32">
        <f>J11+J12+J13</f>
        <v>747</v>
      </c>
      <c r="K14" s="1"/>
    </row>
    <row r="15">
      <c r="A15" s="1"/>
      <c r="B15" s="4" t="s">
        <v>108</v>
      </c>
      <c r="C15" s="1"/>
      <c r="D15" s="1"/>
      <c r="E15" s="1"/>
      <c r="F15" s="1"/>
      <c r="G15" s="1"/>
      <c r="H15" s="25">
        <f>IFERROR(H14/C14-1,"n/m")</f>
        <v>0.13613445378151257</v>
      </c>
      <c r="I15" s="25">
        <f>IFERROR(I14/D14-1,"n/m")</f>
        <v>0.14488188976377958</v>
      </c>
      <c r="J15" s="33">
        <f>IFERROR(J14/E14-1,"n/m")</f>
        <v>0.13181818181818183</v>
      </c>
      <c r="K15" s="1"/>
    </row>
    <row r="16">
      <c r="A16" s="1"/>
      <c r="B16" s="4" t="s">
        <v>71</v>
      </c>
      <c r="C16" s="1"/>
      <c r="D16" s="34">
        <f>D14-C14</f>
        <v>40</v>
      </c>
      <c r="E16" s="34">
        <f>E14-D14</f>
        <v>25</v>
      </c>
      <c r="F16" s="34">
        <f>F14-E14</f>
        <v>10</v>
      </c>
      <c r="G16" s="1"/>
      <c r="H16" s="34">
        <f>H14-F14</f>
        <v>6</v>
      </c>
      <c r="I16" s="34">
        <f>I14-H14</f>
        <v>51</v>
      </c>
      <c r="J16" s="39">
        <f>J14-I14</f>
        <v>20</v>
      </c>
      <c r="K16" s="1"/>
    </row>
    <row r="17" ht="27.75">
      <c r="A17" s="1"/>
      <c r="B17" s="1" t="s">
        <v>268</v>
      </c>
      <c r="C17" s="1"/>
      <c r="D17" s="21">
        <f>(D11+D14)/2</f>
        <v>615</v>
      </c>
      <c r="E17" s="21">
        <f>(E11+E14)/2</f>
        <v>647.5</v>
      </c>
      <c r="F17" s="21">
        <f>(F11+F14)/2</f>
        <v>665</v>
      </c>
      <c r="G17" s="110" t="s">
        <v>48</v>
      </c>
      <c r="H17" s="21">
        <f>(H11+H14)/2</f>
        <v>673</v>
      </c>
      <c r="I17" s="21">
        <f>(I11+I14)/2</f>
        <v>701.5</v>
      </c>
      <c r="J17" s="29">
        <f>(J11+J14)/2</f>
        <v>737</v>
      </c>
      <c r="K17" s="111" t="s">
        <v>269</v>
      </c>
    </row>
    <row r="18">
      <c r="A18" s="1"/>
      <c r="B18" s="4" t="s">
        <v>108</v>
      </c>
      <c r="C18" s="1"/>
      <c r="D18" s="1"/>
      <c r="E18" s="1"/>
      <c r="F18" s="1"/>
      <c r="G18" s="1"/>
      <c r="H18" s="30" t="s">
        <v>48</v>
      </c>
      <c r="I18" s="25">
        <f>IFERROR(I17/D17-1,"n/m")</f>
        <v>0.14065040650406502</v>
      </c>
      <c r="J18" s="33">
        <f>IFERROR(J17/E17-1,"n/m")</f>
        <v>0.1382239382239383</v>
      </c>
      <c r="K18" s="1"/>
    </row>
    <row r="19">
      <c r="A19" s="1"/>
      <c r="B19" s="4" t="s">
        <v>71</v>
      </c>
      <c r="C19" s="1"/>
      <c r="D19" s="30" t="s">
        <v>48</v>
      </c>
      <c r="E19" s="34">
        <f>E17-D17</f>
        <v>32.5</v>
      </c>
      <c r="F19" s="34">
        <f>F17-E17</f>
        <v>17.5</v>
      </c>
      <c r="G19" s="1"/>
      <c r="H19" s="34">
        <f>H17-F17</f>
        <v>8</v>
      </c>
      <c r="I19" s="34">
        <f>I17-H17</f>
        <v>28.5</v>
      </c>
      <c r="J19" s="39">
        <f>J17-I17</f>
        <v>35.5</v>
      </c>
      <c r="K19" s="1"/>
    </row>
    <row r="20">
      <c r="A20" s="1"/>
      <c r="B20" s="1" t="s">
        <v>270</v>
      </c>
      <c r="C20" s="28">
        <v>401</v>
      </c>
      <c r="D20" s="28">
        <v>400</v>
      </c>
      <c r="E20" s="28">
        <v>408</v>
      </c>
      <c r="F20" s="28">
        <v>413</v>
      </c>
      <c r="G20" s="21">
        <f>F20</f>
        <v>413</v>
      </c>
      <c r="H20" s="28">
        <v>418</v>
      </c>
      <c r="I20" s="28">
        <v>415</v>
      </c>
      <c r="J20" s="55">
        <v>419</v>
      </c>
      <c r="K20" s="1"/>
    </row>
    <row r="21">
      <c r="A21" s="1"/>
      <c r="B21" s="4" t="s">
        <v>108</v>
      </c>
      <c r="C21" s="1"/>
      <c r="D21" s="1"/>
      <c r="E21" s="1"/>
      <c r="F21" s="1"/>
      <c r="G21" s="1"/>
      <c r="H21" s="25">
        <f>IFERROR(H20/C20-1,"n/m")</f>
        <v>0.04239401496259343</v>
      </c>
      <c r="I21" s="25">
        <f>IFERROR(I20/D20-1,"n/m")</f>
        <v>0.03750000000000009</v>
      </c>
      <c r="J21" s="33">
        <f>IFERROR(J20/E20-1,"n/m")</f>
        <v>0.026960784313725394</v>
      </c>
      <c r="K21" s="1"/>
    </row>
    <row r="22">
      <c r="A22" s="1"/>
      <c r="B22" s="4" t="s">
        <v>71</v>
      </c>
      <c r="C22" s="1"/>
      <c r="D22" s="34">
        <f>D20-C20</f>
        <v>-1</v>
      </c>
      <c r="E22" s="34">
        <f>E20-D20</f>
        <v>8</v>
      </c>
      <c r="F22" s="34">
        <f>F20-E20</f>
        <v>5</v>
      </c>
      <c r="G22" s="1"/>
      <c r="H22" s="34">
        <f>H20-F20</f>
        <v>5</v>
      </c>
      <c r="I22" s="34">
        <f>I20-H20</f>
        <v>-3</v>
      </c>
      <c r="J22" s="39">
        <f>J20-I20</f>
        <v>4</v>
      </c>
      <c r="K22" s="1"/>
    </row>
    <row r="23">
      <c r="A23" s="1"/>
      <c r="B23" s="1" t="s">
        <v>271</v>
      </c>
      <c r="C23" s="28">
        <v>196</v>
      </c>
      <c r="D23" s="28">
        <v>200</v>
      </c>
      <c r="E23" s="28">
        <v>202</v>
      </c>
      <c r="F23" s="28">
        <v>204</v>
      </c>
      <c r="G23" s="21">
        <f>F23</f>
        <v>204</v>
      </c>
      <c r="H23" s="28">
        <v>205</v>
      </c>
      <c r="I23" s="28">
        <v>208</v>
      </c>
      <c r="J23" s="55">
        <v>210</v>
      </c>
      <c r="K23" s="1"/>
    </row>
    <row r="24">
      <c r="A24" s="1"/>
      <c r="B24" s="4" t="s">
        <v>108</v>
      </c>
      <c r="C24" s="1"/>
      <c r="D24" s="1"/>
      <c r="E24" s="1"/>
      <c r="F24" s="1"/>
      <c r="G24" s="1"/>
      <c r="H24" s="25">
        <f>IFERROR(H23/C23-1,"n/m")</f>
        <v>0.04591836734693877</v>
      </c>
      <c r="I24" s="25">
        <f>IFERROR(I23/D23-1,"n/m")</f>
        <v>0.040000000000000036</v>
      </c>
      <c r="J24" s="33">
        <f>IFERROR(J23/E23-1,"n/m")</f>
        <v>0.03960396039603964</v>
      </c>
      <c r="K24" s="1"/>
    </row>
    <row r="25">
      <c r="A25" s="1"/>
      <c r="B25" s="4" t="s">
        <v>71</v>
      </c>
      <c r="C25" s="1"/>
      <c r="D25" s="34">
        <f>D23-C23</f>
        <v>4</v>
      </c>
      <c r="E25" s="34">
        <f>E23-D23</f>
        <v>2</v>
      </c>
      <c r="F25" s="34">
        <f>F23-E23</f>
        <v>2</v>
      </c>
      <c r="G25" s="1"/>
      <c r="H25" s="34">
        <f>H23-F23</f>
        <v>1</v>
      </c>
      <c r="I25" s="34">
        <f>I23-H23</f>
        <v>3</v>
      </c>
      <c r="J25" s="39">
        <f>J23-I23</f>
        <v>2</v>
      </c>
      <c r="K25" s="1"/>
    </row>
    <row r="26">
      <c r="A26" s="1"/>
      <c r="B26" s="22" t="s">
        <v>272</v>
      </c>
      <c r="C26" s="27">
        <f>C14+C20+C23</f>
        <v>1192</v>
      </c>
      <c r="D26" s="27">
        <f>D14+D20+D23</f>
        <v>1235</v>
      </c>
      <c r="E26" s="27">
        <f>E14+E20+E23</f>
        <v>1270</v>
      </c>
      <c r="F26" s="27">
        <f>F14+F20+F23</f>
        <v>1287</v>
      </c>
      <c r="G26" s="27">
        <f>F26</f>
        <v>1287</v>
      </c>
      <c r="H26" s="27">
        <f>H14+H20+H23</f>
        <v>1299</v>
      </c>
      <c r="I26" s="27">
        <f>I14+I20+I23</f>
        <v>1350</v>
      </c>
      <c r="J26" s="32">
        <f>J14+J20+J23</f>
        <v>1376</v>
      </c>
      <c r="K26" s="1"/>
    </row>
    <row r="27">
      <c r="A27" s="1"/>
      <c r="B27" s="4" t="s">
        <v>108</v>
      </c>
      <c r="C27" s="1"/>
      <c r="D27" s="1"/>
      <c r="E27" s="1"/>
      <c r="F27" s="1"/>
      <c r="G27" s="1"/>
      <c r="H27" s="25">
        <f>IFERROR(H26/C26-1,"n/m")</f>
        <v>0.08976510067114085</v>
      </c>
      <c r="I27" s="25">
        <f>IFERROR(I26/D26-1,"n/m")</f>
        <v>0.09311740890688269</v>
      </c>
      <c r="J27" s="33">
        <f>IFERROR(J26/E26-1,"n/m")</f>
        <v>0.08346456692913384</v>
      </c>
      <c r="K27" s="1"/>
    </row>
    <row r="28">
      <c r="A28" s="1"/>
      <c r="B28" s="4" t="s">
        <v>71</v>
      </c>
      <c r="C28" s="1"/>
      <c r="D28" s="34">
        <f>D26-C26</f>
        <v>43</v>
      </c>
      <c r="E28" s="34">
        <f>E26-D26</f>
        <v>35</v>
      </c>
      <c r="F28" s="34">
        <f>F26-E26</f>
        <v>17</v>
      </c>
      <c r="G28" s="1"/>
      <c r="H28" s="34">
        <f>H26-F26</f>
        <v>12</v>
      </c>
      <c r="I28" s="34">
        <f>I26-H26</f>
        <v>51</v>
      </c>
      <c r="J28" s="39">
        <f>J26-I26</f>
        <v>26</v>
      </c>
      <c r="K28" s="1"/>
    </row>
    <row r="29">
      <c r="A29" s="1"/>
      <c r="B29" s="22" t="s">
        <v>273</v>
      </c>
      <c r="C29" s="1"/>
      <c r="D29" s="1"/>
      <c r="E29" s="1"/>
      <c r="F29" s="1"/>
      <c r="G29" s="1"/>
      <c r="H29" s="1"/>
      <c r="I29" s="1"/>
      <c r="J29" s="31"/>
      <c r="K29" s="1"/>
    </row>
    <row r="30">
      <c r="A30" s="1"/>
      <c r="B30" s="1" t="s">
        <v>274</v>
      </c>
      <c r="C30" s="28">
        <v>399</v>
      </c>
      <c r="D30" s="28">
        <v>398</v>
      </c>
      <c r="E30" s="28">
        <v>405</v>
      </c>
      <c r="F30" s="28">
        <v>407</v>
      </c>
      <c r="G30" s="21">
        <f>SUMPRODUCT(C30:F30,C$8:F$8)/G$8</f>
        <v>402.27945205479455</v>
      </c>
      <c r="H30" s="28">
        <v>414</v>
      </c>
      <c r="I30" s="28">
        <v>415</v>
      </c>
      <c r="J30" s="29">
        <f>(I20+J20)/2</f>
        <v>417</v>
      </c>
      <c r="K30" s="24" t="s">
        <v>275</v>
      </c>
    </row>
    <row r="31">
      <c r="A31" s="1"/>
      <c r="B31" s="4" t="s">
        <v>108</v>
      </c>
      <c r="C31" s="1"/>
      <c r="D31" s="1"/>
      <c r="E31" s="1"/>
      <c r="F31" s="1"/>
      <c r="G31" s="1"/>
      <c r="H31" s="25">
        <f>IFERROR(H30/C30-1,"n/m")</f>
        <v>0.03759398496240607</v>
      </c>
      <c r="I31" s="25">
        <f>IFERROR(I30/D30-1,"n/m")</f>
        <v>0.04271356783919589</v>
      </c>
      <c r="J31" s="33">
        <f>IFERROR(J30/E30-1,"n/m")</f>
        <v>0.029629629629629672</v>
      </c>
      <c r="K31" s="1"/>
    </row>
    <row r="32">
      <c r="A32" s="1"/>
      <c r="B32" s="4" t="s">
        <v>71</v>
      </c>
      <c r="C32" s="1"/>
      <c r="D32" s="34">
        <f>D30-C30</f>
        <v>-1</v>
      </c>
      <c r="E32" s="34">
        <f>E30-D30</f>
        <v>7</v>
      </c>
      <c r="F32" s="34">
        <f>F30-E30</f>
        <v>2</v>
      </c>
      <c r="G32" s="1"/>
      <c r="H32" s="34">
        <f>H30-F30</f>
        <v>7</v>
      </c>
      <c r="I32" s="34">
        <f>I30-H30</f>
        <v>1</v>
      </c>
      <c r="J32" s="39">
        <f>J30-I30</f>
        <v>2</v>
      </c>
      <c r="K32" s="1"/>
    </row>
    <row r="33">
      <c r="A33" s="1"/>
      <c r="B33" s="4" t="s">
        <v>276</v>
      </c>
      <c r="C33" s="58">
        <f>C36/(C30*1000)*365/C8</f>
        <v>0.01861083263714843</v>
      </c>
      <c r="D33" s="58">
        <f>D36/(D30*1000)*365/D8</f>
        <v>0.018452565022916784</v>
      </c>
      <c r="E33" s="58">
        <f>E36/(E30*1000)*365/E8</f>
        <v>0.018632045088566827</v>
      </c>
      <c r="F33" s="58">
        <f>F36/(F30*1000)*365/F8</f>
        <v>0.019671242388633693</v>
      </c>
      <c r="G33" s="58">
        <f>G36/(G30*1000)*365/G8</f>
        <v>0.018847594529802766</v>
      </c>
      <c r="H33" s="58">
        <f>H36/(H30*1000)*365/H8</f>
        <v>0.020522678475577025</v>
      </c>
      <c r="I33" s="58">
        <f>I36/(I30*1000)*365/I8</f>
        <v>0.0208281477558586</v>
      </c>
      <c r="J33" s="78">
        <v>0.0208</v>
      </c>
      <c r="K33" s="1"/>
    </row>
    <row r="34">
      <c r="A34" s="1"/>
      <c r="B34" s="4" t="s">
        <v>114</v>
      </c>
      <c r="C34" s="1"/>
      <c r="D34" s="1"/>
      <c r="E34" s="1"/>
      <c r="F34" s="1"/>
      <c r="G34" s="1"/>
      <c r="H34" s="54">
        <f>(H33-C33)*10000</f>
        <v>19.11845838428596</v>
      </c>
      <c r="I34" s="54">
        <f>(I33-D33)*10000</f>
        <v>23.75582732941816</v>
      </c>
      <c r="J34" s="57">
        <f>(J33-E33)*10000</f>
        <v>21.679549114331717</v>
      </c>
      <c r="K34" s="1"/>
    </row>
    <row r="35">
      <c r="A35" s="1"/>
      <c r="B35" s="4" t="s">
        <v>115</v>
      </c>
      <c r="C35" s="1"/>
      <c r="D35" s="54">
        <f>(D33-C33)*10000</f>
        <v>-1.5826761423164484</v>
      </c>
      <c r="E35" s="54">
        <f>(E33-D33)*10000</f>
        <v>1.7948006565004366</v>
      </c>
      <c r="F35" s="54">
        <f>(F33-E33)*10000</f>
        <v>10.391973000668658</v>
      </c>
      <c r="G35" s="1"/>
      <c r="H35" s="54">
        <f>(H33-F33)*10000</f>
        <v>8.514360869433316</v>
      </c>
      <c r="I35" s="54">
        <f>(I33-H33)*10000</f>
        <v>3.054692802815749</v>
      </c>
      <c r="J35" s="57">
        <f>(J33-I33)*10000</f>
        <v>-0.28147755858600604</v>
      </c>
      <c r="K35" s="1"/>
    </row>
    <row r="36">
      <c r="A36" s="1"/>
      <c r="B36" s="1" t="s">
        <v>59</v>
      </c>
      <c r="C36" s="28">
        <v>1831</v>
      </c>
      <c r="D36" s="28">
        <v>1831</v>
      </c>
      <c r="E36" s="28">
        <v>1902</v>
      </c>
      <c r="F36" s="28">
        <v>2018</v>
      </c>
      <c r="G36" s="21">
        <f>SUM(C36:F36)</f>
        <v>7582</v>
      </c>
      <c r="H36" s="28">
        <v>2095</v>
      </c>
      <c r="I36" s="28">
        <v>2155</v>
      </c>
      <c r="J36" s="29">
        <f>J30*1000*J33*J8/365</f>
        <v>2186.222465753425</v>
      </c>
      <c r="K36" s="24" t="s">
        <v>136</v>
      </c>
    </row>
    <row r="37">
      <c r="A37" s="1"/>
      <c r="B37" s="4" t="s">
        <v>70</v>
      </c>
      <c r="C37" s="1"/>
      <c r="D37" s="1"/>
      <c r="E37" s="1"/>
      <c r="F37" s="1"/>
      <c r="G37" s="1"/>
      <c r="H37" s="25">
        <f>IFERROR(H36/C36-1,"n/m")</f>
        <v>0.14418350628072085</v>
      </c>
      <c r="I37" s="25">
        <f>IFERROR(I36/D36-1,"n/m")</f>
        <v>0.17695248498088478</v>
      </c>
      <c r="J37" s="33">
        <f>IFERROR(J36/E36-1,"n/m")</f>
        <v>0.14943347305647992</v>
      </c>
      <c r="K37" s="1"/>
    </row>
    <row r="38">
      <c r="A38" s="1"/>
      <c r="B38" s="4" t="s">
        <v>71</v>
      </c>
      <c r="C38" s="1"/>
      <c r="D38" s="34">
        <f>D36-C36</f>
        <v>0</v>
      </c>
      <c r="E38" s="34">
        <f>E36-D36</f>
        <v>71</v>
      </c>
      <c r="F38" s="34">
        <f>F36-E36</f>
        <v>116</v>
      </c>
      <c r="G38" s="1"/>
      <c r="H38" s="34">
        <f>H36-F36</f>
        <v>77</v>
      </c>
      <c r="I38" s="34">
        <f>I36-H36</f>
        <v>60</v>
      </c>
      <c r="J38" s="39">
        <f>J36-I36</f>
        <v>31.222465753424785</v>
      </c>
      <c r="K38" s="1"/>
    </row>
    <row r="39">
      <c r="A39" s="1"/>
      <c r="B39" s="4" t="s">
        <v>74</v>
      </c>
      <c r="C39" s="1"/>
      <c r="D39" s="1"/>
      <c r="E39" s="1"/>
      <c r="F39" s="1"/>
      <c r="G39" s="1"/>
      <c r="H39" s="30" t="s">
        <v>48</v>
      </c>
      <c r="I39" s="30" t="s">
        <v>48</v>
      </c>
      <c r="J39" s="40" t="s">
        <v>48</v>
      </c>
      <c r="K39" s="24" t="s">
        <v>137</v>
      </c>
    </row>
    <row r="40">
      <c r="A40" s="1"/>
      <c r="B40" s="4" t="s">
        <v>76</v>
      </c>
      <c r="C40" s="1"/>
      <c r="D40" s="1"/>
      <c r="E40" s="1"/>
      <c r="F40" s="1"/>
      <c r="G40" s="1"/>
      <c r="H40" s="30" t="s">
        <v>48</v>
      </c>
      <c r="I40" s="30" t="s">
        <v>48</v>
      </c>
      <c r="J40" s="40" t="s">
        <v>48</v>
      </c>
      <c r="K40" s="24" t="s">
        <v>137</v>
      </c>
    </row>
    <row r="41" ht="27.75">
      <c r="A41" s="1"/>
      <c r="B41" s="4" t="s">
        <v>77</v>
      </c>
      <c r="C41" s="1"/>
      <c r="D41" s="1"/>
      <c r="E41" s="1"/>
      <c r="F41" s="1"/>
      <c r="G41" s="1"/>
      <c r="H41" s="30" t="s">
        <v>48</v>
      </c>
      <c r="I41" s="30" t="s">
        <v>48</v>
      </c>
      <c r="J41" s="40" t="s">
        <v>48</v>
      </c>
      <c r="K41" s="112" t="s">
        <v>78</v>
      </c>
    </row>
    <row r="42">
      <c r="A42" s="1"/>
      <c r="B42" s="22" t="s">
        <v>277</v>
      </c>
      <c r="C42" s="1"/>
      <c r="D42" s="1"/>
      <c r="E42" s="1"/>
      <c r="F42" s="1"/>
      <c r="G42" s="1"/>
      <c r="H42" s="1"/>
      <c r="I42" s="1"/>
      <c r="J42" s="31"/>
      <c r="K42" s="1"/>
    </row>
    <row r="43" ht="66">
      <c r="A43" s="1"/>
      <c r="B43" s="1" t="s">
        <v>278</v>
      </c>
      <c r="C43" s="1"/>
      <c r="D43" s="70">
        <f>D46*365/D8/(D17*1000)*10000</f>
        <v>64.11060484231217</v>
      </c>
      <c r="E43" s="70">
        <f>E46*365/E8/(E17*1000)*10000</f>
        <v>57.412288064461976</v>
      </c>
      <c r="F43" s="70">
        <f>F46*365/F8/(F17*1000)*10000</f>
        <v>50.35305655442954</v>
      </c>
      <c r="G43" s="109" t="s">
        <v>48</v>
      </c>
      <c r="H43" s="70">
        <f>H46*365/H8/(H17*1000)*10000</f>
        <v>58.453029552583786</v>
      </c>
      <c r="I43" s="70">
        <f>I46*365/I8/(I17*1000)*10000</f>
        <v>58.43522122923406</v>
      </c>
      <c r="J43" s="62">
        <v>53.4</v>
      </c>
      <c r="K43" s="112" t="s">
        <v>279</v>
      </c>
    </row>
    <row r="44">
      <c r="A44" s="1"/>
      <c r="B44" s="4" t="s">
        <v>108</v>
      </c>
      <c r="C44" s="1"/>
      <c r="D44" s="1"/>
      <c r="E44" s="1"/>
      <c r="F44" s="1"/>
      <c r="G44" s="1"/>
      <c r="H44" s="30" t="s">
        <v>48</v>
      </c>
      <c r="I44" s="25">
        <f>IFERROR(I43/D43-1,"n/m")</f>
        <v>-0.08852488019786131</v>
      </c>
      <c r="J44" s="33">
        <f>IFERROR(J43/E43-1,"n/m")</f>
        <v>-0.06988552798935688</v>
      </c>
      <c r="K44" s="1"/>
    </row>
    <row r="45">
      <c r="A45" s="1"/>
      <c r="B45" s="4" t="s">
        <v>71</v>
      </c>
      <c r="C45" s="1"/>
      <c r="D45" s="30" t="s">
        <v>48</v>
      </c>
      <c r="E45" s="75">
        <f>E43-D43</f>
        <v>-6.698316777850195</v>
      </c>
      <c r="F45" s="75">
        <f>F43-E43</f>
        <v>-7.059231510032433</v>
      </c>
      <c r="G45" s="1"/>
      <c r="H45" s="75">
        <f>H43-F43</f>
        <v>8.099972998154243</v>
      </c>
      <c r="I45" s="75">
        <f>I43-H43</f>
        <v>-0.01780832334972615</v>
      </c>
      <c r="J45" s="93">
        <f>J43-I43</f>
        <v>-5.035221229234061</v>
      </c>
      <c r="K45" s="1"/>
    </row>
    <row r="46">
      <c r="A46" s="1"/>
      <c r="B46" s="1" t="s">
        <v>60</v>
      </c>
      <c r="C46" s="21">
        <f>C59-C36</f>
        <v>926</v>
      </c>
      <c r="D46" s="21">
        <f>D59-D36</f>
        <v>983</v>
      </c>
      <c r="E46" s="21">
        <f>E59-E36</f>
        <v>937</v>
      </c>
      <c r="F46" s="21">
        <f>F59-F36</f>
        <v>844</v>
      </c>
      <c r="G46" s="21">
        <f>G59-G36</f>
        <v>3690</v>
      </c>
      <c r="H46" s="21">
        <f>H59-H36</f>
        <v>970</v>
      </c>
      <c r="I46" s="21">
        <f>I59-I36</f>
        <v>1022</v>
      </c>
      <c r="J46" s="29">
        <f>J17*1000*J43/10000*J8/365</f>
        <v>991.981808219178</v>
      </c>
      <c r="K46" s="1"/>
    </row>
    <row r="47">
      <c r="A47" s="1"/>
      <c r="B47" s="4" t="s">
        <v>70</v>
      </c>
      <c r="C47" s="1"/>
      <c r="D47" s="1"/>
      <c r="E47" s="1"/>
      <c r="F47" s="1"/>
      <c r="G47" s="1"/>
      <c r="H47" s="25">
        <f>IFERROR(H46/C46-1,"n/m")</f>
        <v>0.04751619870410373</v>
      </c>
      <c r="I47" s="25">
        <f>IFERROR(I46/D46-1,"n/m")</f>
        <v>0.03967446592065116</v>
      </c>
      <c r="J47" s="33">
        <f>IFERROR(J46/E46-1,"n/m")</f>
        <v>0.05867855733103311</v>
      </c>
      <c r="K47" s="1"/>
    </row>
    <row r="48">
      <c r="A48" s="1"/>
      <c r="B48" s="4" t="s">
        <v>71</v>
      </c>
      <c r="C48" s="1"/>
      <c r="D48" s="34">
        <f>D46-C46</f>
        <v>57</v>
      </c>
      <c r="E48" s="34">
        <f>E46-D46</f>
        <v>-46</v>
      </c>
      <c r="F48" s="34">
        <f>F46-E46</f>
        <v>-93</v>
      </c>
      <c r="G48" s="1"/>
      <c r="H48" s="34">
        <f>H46-F46</f>
        <v>126</v>
      </c>
      <c r="I48" s="34">
        <f>I46-H46</f>
        <v>52</v>
      </c>
      <c r="J48" s="39">
        <f>J46-I46</f>
        <v>-30.018191780822008</v>
      </c>
      <c r="K48" s="1"/>
    </row>
    <row r="49">
      <c r="A49" s="1"/>
      <c r="B49" s="4" t="s">
        <v>74</v>
      </c>
      <c r="C49" s="1"/>
      <c r="D49" s="1"/>
      <c r="E49" s="1"/>
      <c r="F49" s="1"/>
      <c r="G49" s="1"/>
      <c r="H49" s="30" t="s">
        <v>48</v>
      </c>
      <c r="I49" s="30" t="s">
        <v>48</v>
      </c>
      <c r="J49" s="40" t="s">
        <v>48</v>
      </c>
      <c r="K49" s="24" t="s">
        <v>137</v>
      </c>
    </row>
    <row r="50">
      <c r="A50" s="1"/>
      <c r="B50" s="4" t="s">
        <v>76</v>
      </c>
      <c r="C50" s="1"/>
      <c r="D50" s="1"/>
      <c r="E50" s="1"/>
      <c r="F50" s="1"/>
      <c r="G50" s="1"/>
      <c r="H50" s="30" t="s">
        <v>48</v>
      </c>
      <c r="I50" s="30" t="s">
        <v>48</v>
      </c>
      <c r="J50" s="40" t="s">
        <v>48</v>
      </c>
      <c r="K50" s="24" t="s">
        <v>137</v>
      </c>
    </row>
    <row r="51" ht="27.75">
      <c r="A51" s="1"/>
      <c r="B51" s="4" t="s">
        <v>77</v>
      </c>
      <c r="C51" s="1"/>
      <c r="D51" s="1"/>
      <c r="E51" s="1"/>
      <c r="F51" s="1"/>
      <c r="G51" s="1"/>
      <c r="H51" s="30" t="s">
        <v>48</v>
      </c>
      <c r="I51" s="30" t="s">
        <v>48</v>
      </c>
      <c r="J51" s="40" t="s">
        <v>48</v>
      </c>
      <c r="K51" s="112" t="s">
        <v>78</v>
      </c>
    </row>
    <row r="52">
      <c r="A52" s="1"/>
      <c r="B52" s="1" t="s">
        <v>280</v>
      </c>
      <c r="C52" s="28">
        <v>484</v>
      </c>
      <c r="D52" s="28">
        <v>454</v>
      </c>
      <c r="E52" s="28">
        <v>494</v>
      </c>
      <c r="F52" s="28">
        <v>465</v>
      </c>
      <c r="G52" s="21">
        <f>SUM(C52:F52)</f>
        <v>1897</v>
      </c>
      <c r="H52" s="28">
        <v>543</v>
      </c>
      <c r="I52" s="28">
        <v>587</v>
      </c>
      <c r="J52" s="61" t="s">
        <v>48</v>
      </c>
      <c r="K52" s="1"/>
    </row>
    <row r="53">
      <c r="A53" s="1"/>
      <c r="B53" s="1" t="s">
        <v>281</v>
      </c>
      <c r="C53" s="28">
        <v>247</v>
      </c>
      <c r="D53" s="28">
        <v>246</v>
      </c>
      <c r="E53" s="28">
        <v>232</v>
      </c>
      <c r="F53" s="28">
        <v>238</v>
      </c>
      <c r="G53" s="21">
        <f>SUM(C53:F53)</f>
        <v>963</v>
      </c>
      <c r="H53" s="28">
        <v>207</v>
      </c>
      <c r="I53" s="28">
        <v>206</v>
      </c>
      <c r="J53" s="61" t="s">
        <v>48</v>
      </c>
      <c r="K53" s="1"/>
    </row>
    <row r="54">
      <c r="A54" s="1"/>
      <c r="B54" s="22" t="s">
        <v>224</v>
      </c>
      <c r="C54" s="27">
        <f>C52+C53</f>
        <v>731</v>
      </c>
      <c r="D54" s="27">
        <f>D52+D53</f>
        <v>700</v>
      </c>
      <c r="E54" s="27">
        <f>E52+E53</f>
        <v>726</v>
      </c>
      <c r="F54" s="27">
        <f>F52+F53</f>
        <v>703</v>
      </c>
      <c r="G54" s="27">
        <f>G52+G53</f>
        <v>2860</v>
      </c>
      <c r="H54" s="27">
        <f>H52+H53</f>
        <v>750</v>
      </c>
      <c r="I54" s="27">
        <f>I52+I53</f>
        <v>793</v>
      </c>
      <c r="J54" s="67" t="s">
        <v>48</v>
      </c>
      <c r="K54" s="1"/>
    </row>
    <row r="55">
      <c r="A55" s="1"/>
      <c r="B55" s="1" t="s">
        <v>282</v>
      </c>
      <c r="C55" s="28">
        <v>195</v>
      </c>
      <c r="D55" s="28">
        <v>283</v>
      </c>
      <c r="E55" s="28">
        <v>211</v>
      </c>
      <c r="F55" s="28">
        <v>141</v>
      </c>
      <c r="G55" s="21">
        <f>SUM(C55:F55)</f>
        <v>830</v>
      </c>
      <c r="H55" s="28">
        <v>220</v>
      </c>
      <c r="I55" s="28">
        <v>229</v>
      </c>
      <c r="J55" s="61" t="s">
        <v>48</v>
      </c>
      <c r="K55" s="1"/>
    </row>
    <row r="56">
      <c r="A56" s="1"/>
      <c r="B56" s="22" t="s">
        <v>227</v>
      </c>
      <c r="C56" s="27">
        <f>C54+C55</f>
        <v>926</v>
      </c>
      <c r="D56" s="27">
        <f>D54+D55</f>
        <v>983</v>
      </c>
      <c r="E56" s="27">
        <f>E54+E55</f>
        <v>937</v>
      </c>
      <c r="F56" s="27">
        <f>F54+F55</f>
        <v>844</v>
      </c>
      <c r="G56" s="27">
        <f>G54+G55</f>
        <v>3690</v>
      </c>
      <c r="H56" s="27">
        <f>H54+H55</f>
        <v>970</v>
      </c>
      <c r="I56" s="27">
        <f>I54+I55</f>
        <v>1022</v>
      </c>
      <c r="J56" s="67" t="s">
        <v>48</v>
      </c>
      <c r="K56" s="1"/>
    </row>
    <row r="57">
      <c r="A57" s="1"/>
      <c r="B57" s="1" t="s">
        <v>228</v>
      </c>
      <c r="C57" s="21">
        <f>C56-C46</f>
        <v>0</v>
      </c>
      <c r="D57" s="21">
        <f>D56-D46</f>
        <v>0</v>
      </c>
      <c r="E57" s="21">
        <f>E56-E46</f>
        <v>0</v>
      </c>
      <c r="F57" s="21">
        <f>F56-F46</f>
        <v>0</v>
      </c>
      <c r="G57" s="21">
        <f>G56-G46</f>
        <v>0</v>
      </c>
      <c r="H57" s="21">
        <f>H56-H46</f>
        <v>0</v>
      </c>
      <c r="I57" s="21">
        <f>I56-I46</f>
        <v>0</v>
      </c>
      <c r="J57" s="31"/>
      <c r="K57" s="1"/>
    </row>
    <row r="58">
      <c r="A58" s="1"/>
      <c r="B58" s="22" t="s">
        <v>283</v>
      </c>
      <c r="C58" s="1"/>
      <c r="D58" s="1"/>
      <c r="E58" s="1"/>
      <c r="F58" s="1"/>
      <c r="G58" s="1"/>
      <c r="H58" s="1"/>
      <c r="I58" s="1"/>
      <c r="J58" s="31"/>
      <c r="K58" s="1"/>
    </row>
    <row r="59">
      <c r="A59" s="1"/>
      <c r="B59" s="22" t="s">
        <v>284</v>
      </c>
      <c r="C59" s="27">
        <f>C69+C78+C84</f>
        <v>2757</v>
      </c>
      <c r="D59" s="27">
        <f>D69+D78+D84</f>
        <v>2814</v>
      </c>
      <c r="E59" s="27">
        <f>E69+E78+E84</f>
        <v>2839</v>
      </c>
      <c r="F59" s="27">
        <f>F69+F78+F84</f>
        <v>2862</v>
      </c>
      <c r="G59" s="27">
        <f>G69+G78+G84</f>
        <v>11272</v>
      </c>
      <c r="H59" s="27">
        <f>H69+H78+H84</f>
        <v>3065</v>
      </c>
      <c r="I59" s="27">
        <f>I69+I78+I84</f>
        <v>3177</v>
      </c>
      <c r="J59" s="32">
        <f>J36+J46</f>
        <v>3178.204273972603</v>
      </c>
      <c r="K59" s="24" t="s">
        <v>285</v>
      </c>
    </row>
    <row r="60">
      <c r="A60" s="1"/>
      <c r="B60" s="4" t="s">
        <v>70</v>
      </c>
      <c r="C60" s="1"/>
      <c r="D60" s="1"/>
      <c r="E60" s="1"/>
      <c r="F60" s="1"/>
      <c r="G60" s="1"/>
      <c r="H60" s="25">
        <f>IFERROR(H59/C59-1,"n/m")</f>
        <v>0.11171563293434894</v>
      </c>
      <c r="I60" s="25">
        <f>IFERROR(I59/D59-1,"n/m")</f>
        <v>0.12899786780383793</v>
      </c>
      <c r="J60" s="33">
        <f>IFERROR(J59/E59-1,"n/m")</f>
        <v>0.11948019512948327</v>
      </c>
      <c r="K60" s="1"/>
    </row>
    <row r="61">
      <c r="A61" s="1"/>
      <c r="B61" s="4" t="s">
        <v>71</v>
      </c>
      <c r="C61" s="1"/>
      <c r="D61" s="34">
        <f>D59-C59</f>
        <v>57</v>
      </c>
      <c r="E61" s="34">
        <f>E59-D59</f>
        <v>25</v>
      </c>
      <c r="F61" s="34">
        <f>F59-E59</f>
        <v>23</v>
      </c>
      <c r="G61" s="1"/>
      <c r="H61" s="34">
        <f>H59-F59</f>
        <v>203</v>
      </c>
      <c r="I61" s="34">
        <f>I59-H59</f>
        <v>112</v>
      </c>
      <c r="J61" s="39">
        <f>J59-I59</f>
        <v>1.204273972603005</v>
      </c>
      <c r="K61" s="1"/>
    </row>
    <row r="62">
      <c r="A62" s="1"/>
      <c r="B62" s="4" t="s">
        <v>72</v>
      </c>
      <c r="C62" s="1"/>
      <c r="D62" s="25">
        <f>IFERROR(D59/C59-1,"n/m")</f>
        <v>0.020674646354733373</v>
      </c>
      <c r="E62" s="25">
        <f>IFERROR(E59/D59-1,"n/m")</f>
        <v>0.008884150675195546</v>
      </c>
      <c r="F62" s="25">
        <f>IFERROR(F59/E59-1,"n/m")</f>
        <v>0.00810144417048253</v>
      </c>
      <c r="G62" s="1"/>
      <c r="H62" s="25">
        <f>IFERROR(H59/F59-1,"n/m")</f>
        <v>0.07092941998602376</v>
      </c>
      <c r="I62" s="25">
        <f>IFERROR(I59/H59-1,"n/m")</f>
        <v>0.03654159869494289</v>
      </c>
      <c r="J62" s="33">
        <f>IFERROR(J59/I59-1,"n/m")</f>
        <v>0.0003790601109860958</v>
      </c>
      <c r="K62" s="1"/>
    </row>
    <row r="63">
      <c r="A63" s="1"/>
      <c r="B63" s="4" t="s">
        <v>74</v>
      </c>
      <c r="C63" s="1"/>
      <c r="D63" s="1"/>
      <c r="E63" s="1"/>
      <c r="F63" s="1"/>
      <c r="G63" s="1"/>
      <c r="H63" s="30" t="s">
        <v>48</v>
      </c>
      <c r="I63" s="30" t="s">
        <v>48</v>
      </c>
      <c r="J63" s="40" t="s">
        <v>48</v>
      </c>
      <c r="K63" s="24" t="s">
        <v>137</v>
      </c>
    </row>
    <row r="64">
      <c r="A64" s="1"/>
      <c r="B64" s="4" t="s">
        <v>76</v>
      </c>
      <c r="C64" s="1"/>
      <c r="D64" s="1"/>
      <c r="E64" s="1"/>
      <c r="F64" s="1"/>
      <c r="G64" s="1"/>
      <c r="H64" s="30" t="s">
        <v>48</v>
      </c>
      <c r="I64" s="30" t="s">
        <v>48</v>
      </c>
      <c r="J64" s="40" t="s">
        <v>48</v>
      </c>
      <c r="K64" s="24" t="s">
        <v>137</v>
      </c>
    </row>
    <row r="65" ht="27.75">
      <c r="A65" s="1"/>
      <c r="B65" s="4" t="s">
        <v>77</v>
      </c>
      <c r="C65" s="1"/>
      <c r="D65" s="1"/>
      <c r="E65" s="1"/>
      <c r="F65" s="1"/>
      <c r="G65" s="1"/>
      <c r="H65" s="30" t="s">
        <v>48</v>
      </c>
      <c r="I65" s="30" t="s">
        <v>48</v>
      </c>
      <c r="J65" s="40" t="s">
        <v>48</v>
      </c>
      <c r="K65" s="112" t="s">
        <v>78</v>
      </c>
    </row>
    <row r="66">
      <c r="A66" s="1"/>
      <c r="B66" s="4" t="s">
        <v>286</v>
      </c>
      <c r="C66" s="25">
        <f>C69/C59</f>
        <v>0.6619513964454117</v>
      </c>
      <c r="D66" s="25">
        <f>D69/D59</f>
        <v>0.6616915422885572</v>
      </c>
      <c r="E66" s="25">
        <f>E69/E59</f>
        <v>0.6935540683339204</v>
      </c>
      <c r="F66" s="25">
        <f>F69/F59</f>
        <v>0.7023060796645703</v>
      </c>
      <c r="G66" s="25">
        <f>G69/G59</f>
        <v>0.6800922640170334</v>
      </c>
      <c r="H66" s="25">
        <f>H69/H59</f>
        <v>0.6727569331158239</v>
      </c>
      <c r="I66" s="25">
        <f>I69/I59</f>
        <v>0.6864966949952785</v>
      </c>
      <c r="J66" s="76">
        <v>0.697</v>
      </c>
      <c r="K66" s="24" t="s">
        <v>287</v>
      </c>
    </row>
    <row r="67">
      <c r="A67" s="1"/>
      <c r="B67" s="4" t="s">
        <v>114</v>
      </c>
      <c r="C67" s="1"/>
      <c r="D67" s="1"/>
      <c r="E67" s="1"/>
      <c r="F67" s="1"/>
      <c r="G67" s="1"/>
      <c r="H67" s="54">
        <f>(H66-C66)*10000</f>
        <v>108.05536670412175</v>
      </c>
      <c r="I67" s="54">
        <f>(I66-D66)*10000</f>
        <v>248.05152706721344</v>
      </c>
      <c r="J67" s="57">
        <f>(J66-E66)*10000</f>
        <v>34.45931666079538</v>
      </c>
      <c r="K67" s="1"/>
    </row>
    <row r="68">
      <c r="A68" s="1"/>
      <c r="B68" s="4" t="s">
        <v>115</v>
      </c>
      <c r="C68" s="1"/>
      <c r="D68" s="54">
        <f>(D66-C66)*10000</f>
        <v>-2.5985415685447766</v>
      </c>
      <c r="E68" s="54">
        <f>(E66-D66)*10000</f>
        <v>318.62526045363217</v>
      </c>
      <c r="F68" s="54">
        <f>(F66-E66)*10000</f>
        <v>87.52011330649844</v>
      </c>
      <c r="G68" s="1"/>
      <c r="H68" s="54">
        <f>(H66-F66)*10000</f>
        <v>-295.4914654874641</v>
      </c>
      <c r="I68" s="54">
        <f>(I66-H66)*10000</f>
        <v>137.39761879454693</v>
      </c>
      <c r="J68" s="57">
        <f>(J66-I66)*10000</f>
        <v>105.03305004721409</v>
      </c>
      <c r="K68" s="1"/>
    </row>
    <row r="69">
      <c r="A69" s="1"/>
      <c r="B69" s="1" t="s">
        <v>288</v>
      </c>
      <c r="C69" s="28">
        <v>1825</v>
      </c>
      <c r="D69" s="28">
        <v>1862</v>
      </c>
      <c r="E69" s="28">
        <v>1969</v>
      </c>
      <c r="F69" s="28">
        <v>2010</v>
      </c>
      <c r="G69" s="21">
        <f>SUM(C69:F69)</f>
        <v>7666</v>
      </c>
      <c r="H69" s="28">
        <v>2062</v>
      </c>
      <c r="I69" s="28">
        <v>2181</v>
      </c>
      <c r="J69" s="29">
        <f>J59*J66</f>
        <v>2215.208378958904</v>
      </c>
      <c r="K69" s="1"/>
    </row>
    <row r="70">
      <c r="A70" s="1"/>
      <c r="B70" s="4" t="s">
        <v>70</v>
      </c>
      <c r="C70" s="1"/>
      <c r="D70" s="1"/>
      <c r="E70" s="1"/>
      <c r="F70" s="1"/>
      <c r="G70" s="1"/>
      <c r="H70" s="25">
        <f>IFERROR(H69/C69-1,"n/m")</f>
        <v>0.12986301369863007</v>
      </c>
      <c r="I70" s="25">
        <f>IFERROR(I69/D69-1,"n/m")</f>
        <v>0.1713211600429645</v>
      </c>
      <c r="J70" s="33">
        <f>IFERROR(J69/E69-1,"n/m")</f>
        <v>0.12504234583997165</v>
      </c>
      <c r="K70" s="1"/>
    </row>
    <row r="71">
      <c r="A71" s="1"/>
      <c r="B71" s="4" t="s">
        <v>71</v>
      </c>
      <c r="C71" s="1"/>
      <c r="D71" s="34">
        <f>D69-C69</f>
        <v>37</v>
      </c>
      <c r="E71" s="34">
        <f>E69-D69</f>
        <v>107</v>
      </c>
      <c r="F71" s="34">
        <f>F69-E69</f>
        <v>41</v>
      </c>
      <c r="G71" s="1"/>
      <c r="H71" s="34">
        <f>H69-F69</f>
        <v>52</v>
      </c>
      <c r="I71" s="34">
        <f>I69-H69</f>
        <v>119</v>
      </c>
      <c r="J71" s="39">
        <f>J69-I69</f>
        <v>34.20837895890418</v>
      </c>
      <c r="K71" s="1"/>
    </row>
    <row r="72">
      <c r="A72" s="1"/>
      <c r="B72" s="4" t="s">
        <v>74</v>
      </c>
      <c r="C72" s="1"/>
      <c r="D72" s="1"/>
      <c r="E72" s="1"/>
      <c r="F72" s="1"/>
      <c r="G72" s="1"/>
      <c r="H72" s="30" t="s">
        <v>48</v>
      </c>
      <c r="I72" s="30" t="s">
        <v>48</v>
      </c>
      <c r="J72" s="40" t="s">
        <v>48</v>
      </c>
      <c r="K72" s="24" t="s">
        <v>137</v>
      </c>
    </row>
    <row r="73">
      <c r="A73" s="1"/>
      <c r="B73" s="4" t="s">
        <v>76</v>
      </c>
      <c r="C73" s="1"/>
      <c r="D73" s="1"/>
      <c r="E73" s="1"/>
      <c r="F73" s="1"/>
      <c r="G73" s="1"/>
      <c r="H73" s="30" t="s">
        <v>48</v>
      </c>
      <c r="I73" s="30" t="s">
        <v>48</v>
      </c>
      <c r="J73" s="40" t="s">
        <v>48</v>
      </c>
      <c r="K73" s="24" t="s">
        <v>137</v>
      </c>
    </row>
    <row r="74" ht="27.75">
      <c r="A74" s="1"/>
      <c r="B74" s="4" t="s">
        <v>77</v>
      </c>
      <c r="C74" s="1"/>
      <c r="D74" s="1"/>
      <c r="E74" s="1"/>
      <c r="F74" s="1"/>
      <c r="G74" s="1"/>
      <c r="H74" s="30" t="s">
        <v>48</v>
      </c>
      <c r="I74" s="30" t="s">
        <v>48</v>
      </c>
      <c r="J74" s="40" t="s">
        <v>48</v>
      </c>
      <c r="K74" s="112" t="s">
        <v>78</v>
      </c>
    </row>
    <row r="75">
      <c r="A75" s="1"/>
      <c r="B75" s="4" t="s">
        <v>289</v>
      </c>
      <c r="C75" s="25">
        <f>C78/C59</f>
        <v>0.24084149437794705</v>
      </c>
      <c r="D75" s="25">
        <f>D78/D59</f>
        <v>0.259772565742715</v>
      </c>
      <c r="E75" s="25">
        <f>E78/E59</f>
        <v>0.2310672772102853</v>
      </c>
      <c r="F75" s="25">
        <f>F78/F59</f>
        <v>0.21837875611460517</v>
      </c>
      <c r="G75" s="25">
        <f>G78/G59</f>
        <v>0.23740241305890702</v>
      </c>
      <c r="H75" s="25">
        <f>H78/H59</f>
        <v>0.2469820554649266</v>
      </c>
      <c r="I75" s="25">
        <f>I78/I59</f>
        <v>0.24205225055083412</v>
      </c>
      <c r="J75" s="76">
        <v>0.231</v>
      </c>
      <c r="K75" s="24" t="s">
        <v>290</v>
      </c>
    </row>
    <row r="76">
      <c r="A76" s="1"/>
      <c r="B76" s="4" t="s">
        <v>114</v>
      </c>
      <c r="C76" s="1"/>
      <c r="D76" s="1"/>
      <c r="E76" s="1"/>
      <c r="F76" s="1"/>
      <c r="G76" s="1"/>
      <c r="H76" s="54">
        <f>(H75-C75)*10000</f>
        <v>61.40561086979551</v>
      </c>
      <c r="I76" s="54">
        <f>(I75-D75)*10000</f>
        <v>-177.20315191880886</v>
      </c>
      <c r="J76" s="57">
        <f>(J75-E75)*10000</f>
        <v>-0.6727721028529365</v>
      </c>
      <c r="K76" s="1"/>
    </row>
    <row r="77">
      <c r="A77" s="1"/>
      <c r="B77" s="4" t="s">
        <v>115</v>
      </c>
      <c r="C77" s="1"/>
      <c r="D77" s="54">
        <f>(D75-C75)*10000</f>
        <v>189.3107136476796</v>
      </c>
      <c r="E77" s="54">
        <f>(E75-D75)*10000</f>
        <v>-287.05288532429705</v>
      </c>
      <c r="F77" s="54">
        <f>(F75-E75)*10000</f>
        <v>-126.88521095680139</v>
      </c>
      <c r="G77" s="1"/>
      <c r="H77" s="54">
        <f>(H75-F75)*10000</f>
        <v>286.03299350321436</v>
      </c>
      <c r="I77" s="54">
        <f>(I75-H75)*10000</f>
        <v>-49.29804914092478</v>
      </c>
      <c r="J77" s="57">
        <f>(J75-I75)*10000</f>
        <v>-110.52250550834114</v>
      </c>
      <c r="K77" s="1"/>
    </row>
    <row r="78">
      <c r="A78" s="1"/>
      <c r="B78" s="1" t="s">
        <v>291</v>
      </c>
      <c r="C78" s="28">
        <v>664</v>
      </c>
      <c r="D78" s="28">
        <v>731</v>
      </c>
      <c r="E78" s="28">
        <v>656</v>
      </c>
      <c r="F78" s="28">
        <v>625</v>
      </c>
      <c r="G78" s="21">
        <f>SUM(C78:F78)</f>
        <v>2676</v>
      </c>
      <c r="H78" s="28">
        <v>757</v>
      </c>
      <c r="I78" s="28">
        <v>769</v>
      </c>
      <c r="J78" s="29">
        <f>J59*J75</f>
        <v>734.1651872876713</v>
      </c>
      <c r="K78" s="1"/>
    </row>
    <row r="79">
      <c r="A79" s="1"/>
      <c r="B79" s="4" t="s">
        <v>70</v>
      </c>
      <c r="C79" s="1"/>
      <c r="D79" s="1"/>
      <c r="E79" s="1"/>
      <c r="F79" s="1"/>
      <c r="G79" s="1"/>
      <c r="H79" s="25">
        <f>IFERROR(H78/C78-1,"n/m")</f>
        <v>0.1400602409638554</v>
      </c>
      <c r="I79" s="25">
        <f>IFERROR(I78/D78-1,"n/m")</f>
        <v>0.051983584131326976</v>
      </c>
      <c r="J79" s="33">
        <f>IFERROR(J78/E78-1,"n/m")</f>
        <v>0.11915424891413307</v>
      </c>
      <c r="K79" s="1"/>
    </row>
    <row r="80">
      <c r="A80" s="1"/>
      <c r="B80" s="4" t="s">
        <v>71</v>
      </c>
      <c r="C80" s="1"/>
      <c r="D80" s="34">
        <f>D78-C78</f>
        <v>67</v>
      </c>
      <c r="E80" s="34">
        <f>E78-D78</f>
        <v>-75</v>
      </c>
      <c r="F80" s="34">
        <f>F78-E78</f>
        <v>-31</v>
      </c>
      <c r="G80" s="1"/>
      <c r="H80" s="34">
        <f>H78-F78</f>
        <v>132</v>
      </c>
      <c r="I80" s="34">
        <f>I78-H78</f>
        <v>12</v>
      </c>
      <c r="J80" s="39">
        <f>J78-I78</f>
        <v>-34.8348127123287</v>
      </c>
      <c r="K80" s="1"/>
    </row>
    <row r="81">
      <c r="A81" s="1"/>
      <c r="B81" s="4" t="s">
        <v>74</v>
      </c>
      <c r="C81" s="1"/>
      <c r="D81" s="1"/>
      <c r="E81" s="1"/>
      <c r="F81" s="1"/>
      <c r="G81" s="1"/>
      <c r="H81" s="30" t="s">
        <v>48</v>
      </c>
      <c r="I81" s="30" t="s">
        <v>48</v>
      </c>
      <c r="J81" s="40" t="s">
        <v>48</v>
      </c>
      <c r="K81" s="24" t="s">
        <v>137</v>
      </c>
    </row>
    <row r="82">
      <c r="A82" s="1"/>
      <c r="B82" s="4" t="s">
        <v>76</v>
      </c>
      <c r="C82" s="1"/>
      <c r="D82" s="1"/>
      <c r="E82" s="1"/>
      <c r="F82" s="1"/>
      <c r="G82" s="1"/>
      <c r="H82" s="30" t="s">
        <v>48</v>
      </c>
      <c r="I82" s="30" t="s">
        <v>48</v>
      </c>
      <c r="J82" s="40" t="s">
        <v>48</v>
      </c>
      <c r="K82" s="24" t="s">
        <v>137</v>
      </c>
    </row>
    <row r="83" ht="27.75">
      <c r="A83" s="1"/>
      <c r="B83" s="4" t="s">
        <v>77</v>
      </c>
      <c r="C83" s="1"/>
      <c r="D83" s="1"/>
      <c r="E83" s="1"/>
      <c r="F83" s="1"/>
      <c r="G83" s="1"/>
      <c r="H83" s="30" t="s">
        <v>48</v>
      </c>
      <c r="I83" s="30" t="s">
        <v>48</v>
      </c>
      <c r="J83" s="40" t="s">
        <v>48</v>
      </c>
      <c r="K83" s="112" t="s">
        <v>78</v>
      </c>
    </row>
    <row r="84">
      <c r="A84" s="1"/>
      <c r="B84" s="1" t="s">
        <v>292</v>
      </c>
      <c r="C84" s="28">
        <v>268</v>
      </c>
      <c r="D84" s="28">
        <v>221</v>
      </c>
      <c r="E84" s="28">
        <v>214</v>
      </c>
      <c r="F84" s="28">
        <v>227</v>
      </c>
      <c r="G84" s="21">
        <f>SUM(C84:F84)</f>
        <v>930</v>
      </c>
      <c r="H84" s="28">
        <v>246</v>
      </c>
      <c r="I84" s="28">
        <v>227</v>
      </c>
      <c r="J84" s="29">
        <f>J59-J69-J78</f>
        <v>228.83070772602753</v>
      </c>
      <c r="K84" s="1"/>
    </row>
    <row r="85">
      <c r="A85" s="1"/>
      <c r="B85" s="4" t="s">
        <v>70</v>
      </c>
      <c r="C85" s="1"/>
      <c r="D85" s="1"/>
      <c r="E85" s="1"/>
      <c r="F85" s="1"/>
      <c r="G85" s="1"/>
      <c r="H85" s="25">
        <f>IFERROR(H84/C84-1,"n/m")</f>
        <v>-0.08208955223880599</v>
      </c>
      <c r="I85" s="25">
        <f>IFERROR(I84/D84-1,"n/m")</f>
        <v>0.02714932126696823</v>
      </c>
      <c r="J85" s="33">
        <f>IFERROR(J84/E84-1,"n/m")</f>
        <v>0.06930237255153049</v>
      </c>
      <c r="K85" s="1"/>
    </row>
    <row r="86">
      <c r="A86" s="1"/>
      <c r="B86" s="4" t="s">
        <v>71</v>
      </c>
      <c r="C86" s="1"/>
      <c r="D86" s="34">
        <f>D84-C84</f>
        <v>-47</v>
      </c>
      <c r="E86" s="34">
        <f>E84-D84</f>
        <v>-7</v>
      </c>
      <c r="F86" s="34">
        <f>F84-E84</f>
        <v>13</v>
      </c>
      <c r="G86" s="1"/>
      <c r="H86" s="34">
        <f>H84-F84</f>
        <v>19</v>
      </c>
      <c r="I86" s="34">
        <f>I84-H84</f>
        <v>-19</v>
      </c>
      <c r="J86" s="39">
        <f>J84-I84</f>
        <v>1.8307077260275264</v>
      </c>
      <c r="K86" s="1"/>
    </row>
    <row r="87">
      <c r="A87" s="1"/>
      <c r="B87" s="4" t="s">
        <v>74</v>
      </c>
      <c r="C87" s="1"/>
      <c r="D87" s="1"/>
      <c r="E87" s="1"/>
      <c r="F87" s="1"/>
      <c r="G87" s="1"/>
      <c r="H87" s="30" t="s">
        <v>48</v>
      </c>
      <c r="I87" s="30" t="s">
        <v>48</v>
      </c>
      <c r="J87" s="40" t="s">
        <v>48</v>
      </c>
      <c r="K87" s="24" t="s">
        <v>137</v>
      </c>
    </row>
    <row r="88">
      <c r="A88" s="1"/>
      <c r="B88" s="4" t="s">
        <v>76</v>
      </c>
      <c r="C88" s="1"/>
      <c r="D88" s="1"/>
      <c r="E88" s="1"/>
      <c r="F88" s="1"/>
      <c r="G88" s="1"/>
      <c r="H88" s="30" t="s">
        <v>48</v>
      </c>
      <c r="I88" s="30" t="s">
        <v>48</v>
      </c>
      <c r="J88" s="40" t="s">
        <v>48</v>
      </c>
      <c r="K88" s="24" t="s">
        <v>137</v>
      </c>
    </row>
    <row r="89" ht="27.75">
      <c r="A89" s="1"/>
      <c r="B89" s="4" t="s">
        <v>77</v>
      </c>
      <c r="C89" s="1"/>
      <c r="D89" s="1"/>
      <c r="E89" s="1"/>
      <c r="F89" s="1"/>
      <c r="G89" s="1"/>
      <c r="H89" s="30" t="s">
        <v>48</v>
      </c>
      <c r="I89" s="30" t="s">
        <v>48</v>
      </c>
      <c r="J89" s="40" t="s">
        <v>48</v>
      </c>
      <c r="K89" s="112" t="s">
        <v>78</v>
      </c>
    </row>
    <row r="90" ht="40.5">
      <c r="A90" s="1"/>
      <c r="B90" s="1" t="s">
        <v>293</v>
      </c>
      <c r="C90" s="21">
        <f>C59*365/C8/(C26*1000)*10000</f>
        <v>93.80173378076063</v>
      </c>
      <c r="D90" s="21">
        <f>D59*365/D8/(D26*1000)*10000</f>
        <v>91.39208969168483</v>
      </c>
      <c r="E90" s="21">
        <f>E59*365/E8/(E26*1000)*10000</f>
        <v>88.68837726805889</v>
      </c>
      <c r="F90" s="21">
        <f>F59*365/F8/(F26*1000)*10000</f>
        <v>88.22590453025235</v>
      </c>
      <c r="G90" s="21">
        <f>G59*365/G8/(G26*1000)*10000</f>
        <v>87.58352758352758</v>
      </c>
      <c r="H90" s="21">
        <f>H59*365/H8/(H26*1000)*10000</f>
        <v>95.69112992900521</v>
      </c>
      <c r="I90" s="21">
        <f>I59*365/I8/(I26*1000)*10000</f>
        <v>94.39194139194139</v>
      </c>
      <c r="J90" s="29">
        <f>J59*365/J8/(J26*1000)*10000</f>
        <v>91.63648255813953</v>
      </c>
      <c r="K90" s="111" t="s">
        <v>294</v>
      </c>
    </row>
    <row r="91">
      <c r="A91" s="1"/>
      <c r="B91" s="4" t="s">
        <v>108</v>
      </c>
      <c r="C91" s="1"/>
      <c r="D91" s="1"/>
      <c r="E91" s="1"/>
      <c r="F91" s="1"/>
      <c r="G91" s="1"/>
      <c r="H91" s="25">
        <f>IFERROR(H90/C90-1,"n/m")</f>
        <v>0.020142443770395646</v>
      </c>
      <c r="I91" s="25">
        <f>IFERROR(I90/D90-1,"n/m")</f>
        <v>0.03282397536128867</v>
      </c>
      <c r="J91" s="33">
        <f>IFERROR(J90/E90-1,"n/m")</f>
        <v>0.033241168469799076</v>
      </c>
      <c r="K91" s="1"/>
    </row>
    <row r="92">
      <c r="A92" s="1"/>
      <c r="B92" s="4" t="s">
        <v>71</v>
      </c>
      <c r="C92" s="1"/>
      <c r="D92" s="34">
        <f>D90-C90</f>
        <v>-2.4096440890757975</v>
      </c>
      <c r="E92" s="34">
        <f>E90-D90</f>
        <v>-2.7037124236259444</v>
      </c>
      <c r="F92" s="34">
        <f>F90-E90</f>
        <v>-0.46247273780653586</v>
      </c>
      <c r="G92" s="1"/>
      <c r="H92" s="34">
        <f>H90-F90</f>
        <v>7.465225398752864</v>
      </c>
      <c r="I92" s="34">
        <f>I90-H90</f>
        <v>-1.2991885370638272</v>
      </c>
      <c r="J92" s="39">
        <f>J90-I90</f>
        <v>-2.7554588338018533</v>
      </c>
      <c r="K92" s="1"/>
    </row>
    <row r="93">
      <c r="A93" s="1"/>
      <c r="B93" s="22" t="s">
        <v>295</v>
      </c>
      <c r="C93" s="1"/>
      <c r="D93" s="1"/>
      <c r="E93" s="1"/>
      <c r="F93" s="1"/>
      <c r="G93" s="1"/>
      <c r="H93" s="1"/>
      <c r="I93" s="1"/>
      <c r="J93" s="31"/>
      <c r="K93" s="1"/>
    </row>
    <row r="94">
      <c r="A94" s="1"/>
      <c r="B94" s="1" t="s">
        <v>166</v>
      </c>
      <c r="C94" s="28">
        <v>194</v>
      </c>
      <c r="D94" s="28">
        <v>197</v>
      </c>
      <c r="E94" s="28">
        <v>201</v>
      </c>
      <c r="F94" s="28">
        <v>203</v>
      </c>
      <c r="G94" s="21">
        <f>SUMPRODUCT(C94:F94,C$8:F$8)/G$8</f>
        <v>198.78082191780823</v>
      </c>
      <c r="H94" s="28">
        <v>205</v>
      </c>
      <c r="I94" s="28">
        <v>206</v>
      </c>
      <c r="J94" s="29">
        <f>(I23+J23)/2</f>
        <v>209</v>
      </c>
      <c r="K94" s="1"/>
    </row>
    <row r="95">
      <c r="A95" s="1"/>
      <c r="B95" s="4" t="s">
        <v>108</v>
      </c>
      <c r="C95" s="1"/>
      <c r="D95" s="1"/>
      <c r="E95" s="1"/>
      <c r="F95" s="1"/>
      <c r="G95" s="1"/>
      <c r="H95" s="25">
        <f>IFERROR(H94/C94-1,"n/m")</f>
        <v>0.05670103092783507</v>
      </c>
      <c r="I95" s="25">
        <f>IFERROR(I94/D94-1,"n/m")</f>
        <v>0.045685279187817285</v>
      </c>
      <c r="J95" s="33">
        <f>IFERROR(J94/E94-1,"n/m")</f>
        <v>0.03980099502487566</v>
      </c>
      <c r="K95" s="1"/>
    </row>
    <row r="96">
      <c r="A96" s="1"/>
      <c r="B96" s="4" t="s">
        <v>71</v>
      </c>
      <c r="C96" s="1"/>
      <c r="D96" s="34">
        <f>D94-C94</f>
        <v>3</v>
      </c>
      <c r="E96" s="34">
        <f>E94-D94</f>
        <v>4</v>
      </c>
      <c r="F96" s="34">
        <f>F94-E94</f>
        <v>2</v>
      </c>
      <c r="G96" s="1"/>
      <c r="H96" s="34">
        <f>H94-F94</f>
        <v>2</v>
      </c>
      <c r="I96" s="34">
        <f>I94-H94</f>
        <v>1</v>
      </c>
      <c r="J96" s="39">
        <f>J94-I94</f>
        <v>3</v>
      </c>
      <c r="K96" s="1"/>
    </row>
    <row r="97">
      <c r="A97" s="1"/>
      <c r="B97" s="1" t="s">
        <v>296</v>
      </c>
      <c r="C97" s="72">
        <v>644</v>
      </c>
      <c r="D97" s="72">
        <v>650</v>
      </c>
      <c r="E97" s="72">
        <v>653</v>
      </c>
      <c r="F97" s="72">
        <v>655</v>
      </c>
      <c r="G97" s="91">
        <f>F97</f>
        <v>655</v>
      </c>
      <c r="H97" s="72">
        <v>655</v>
      </c>
      <c r="I97" s="72">
        <v>655</v>
      </c>
      <c r="J97" s="61" t="s">
        <v>48</v>
      </c>
      <c r="K97" s="1"/>
    </row>
    <row r="98">
      <c r="A98" s="1"/>
      <c r="B98" s="4" t="s">
        <v>108</v>
      </c>
      <c r="C98" s="1"/>
      <c r="D98" s="1"/>
      <c r="E98" s="1"/>
      <c r="F98" s="1"/>
      <c r="G98" s="1"/>
      <c r="H98" s="25">
        <f>IFERROR(H97/C97-1,"n/m")</f>
        <v>0.017080745341614856</v>
      </c>
      <c r="I98" s="25">
        <f>IFERROR(I97/D97-1,"n/m")</f>
        <v>0.007692307692307665</v>
      </c>
      <c r="J98" s="40" t="s">
        <v>48</v>
      </c>
      <c r="K98" s="1"/>
    </row>
    <row r="99">
      <c r="A99" s="1"/>
      <c r="B99" s="4" t="s">
        <v>71</v>
      </c>
      <c r="C99" s="1"/>
      <c r="D99" s="54">
        <f>D97-C97</f>
        <v>6</v>
      </c>
      <c r="E99" s="54">
        <f>E97-D97</f>
        <v>3</v>
      </c>
      <c r="F99" s="54">
        <f>F97-E97</f>
        <v>2</v>
      </c>
      <c r="G99" s="1"/>
      <c r="H99" s="54">
        <f>H97-F97</f>
        <v>0</v>
      </c>
      <c r="I99" s="54">
        <f>I97-H97</f>
        <v>0</v>
      </c>
      <c r="J99" s="40" t="s">
        <v>48</v>
      </c>
      <c r="K99" s="1"/>
    </row>
    <row r="100">
      <c r="A100" s="1"/>
      <c r="B100" s="22" t="s">
        <v>174</v>
      </c>
      <c r="C100" s="1"/>
      <c r="D100" s="1"/>
      <c r="E100" s="1"/>
      <c r="F100" s="1"/>
      <c r="G100" s="1"/>
      <c r="H100" s="1"/>
      <c r="I100" s="1"/>
      <c r="J100" s="31"/>
      <c r="K100" s="1"/>
    </row>
    <row r="101">
      <c r="A101" s="1"/>
      <c r="B101" s="22" t="s">
        <v>90</v>
      </c>
      <c r="C101" s="27">
        <f>C59</f>
        <v>2757</v>
      </c>
      <c r="D101" s="27">
        <f>D59</f>
        <v>2814</v>
      </c>
      <c r="E101" s="27">
        <f>E59</f>
        <v>2839</v>
      </c>
      <c r="F101" s="27">
        <f>F59</f>
        <v>2862</v>
      </c>
      <c r="G101" s="27">
        <f>G59</f>
        <v>11272</v>
      </c>
      <c r="H101" s="27">
        <f>H59</f>
        <v>3065</v>
      </c>
      <c r="I101" s="27">
        <f>I59</f>
        <v>3177</v>
      </c>
      <c r="J101" s="32">
        <f>J59</f>
        <v>3178.204273972603</v>
      </c>
      <c r="K101" s="1"/>
    </row>
    <row r="102">
      <c r="A102" s="1"/>
      <c r="B102" s="22" t="s">
        <v>175</v>
      </c>
      <c r="C102" s="47">
        <v>2390</v>
      </c>
      <c r="D102" s="47">
        <v>2313</v>
      </c>
      <c r="E102" s="47">
        <v>2375</v>
      </c>
      <c r="F102" s="47">
        <v>2377</v>
      </c>
      <c r="G102" s="27">
        <f>SUM(C102:F102)</f>
        <v>9455</v>
      </c>
      <c r="H102" s="47">
        <v>2415</v>
      </c>
      <c r="I102" s="47">
        <v>2377</v>
      </c>
      <c r="J102" s="83">
        <v>2420</v>
      </c>
      <c r="K102" s="1"/>
    </row>
    <row r="103">
      <c r="A103" s="1"/>
      <c r="B103" s="4" t="s">
        <v>108</v>
      </c>
      <c r="C103" s="1"/>
      <c r="D103" s="1"/>
      <c r="E103" s="1"/>
      <c r="F103" s="1"/>
      <c r="G103" s="1"/>
      <c r="H103" s="25">
        <f>IFERROR(H102/C102-1,"n/m")</f>
        <v>0.010460251046025215</v>
      </c>
      <c r="I103" s="25">
        <f>IFERROR(I102/D102-1,"n/m")</f>
        <v>0.027669693039342746</v>
      </c>
      <c r="J103" s="33">
        <f>IFERROR(J102/E102-1,"n/m")</f>
        <v>0.0189473684210526</v>
      </c>
      <c r="K103" s="1"/>
    </row>
    <row r="104">
      <c r="A104" s="1"/>
      <c r="B104" s="4" t="s">
        <v>71</v>
      </c>
      <c r="C104" s="1"/>
      <c r="D104" s="34">
        <f>D102-C102</f>
        <v>-77</v>
      </c>
      <c r="E104" s="34">
        <f>E102-D102</f>
        <v>62</v>
      </c>
      <c r="F104" s="34">
        <f>F102-E102</f>
        <v>2</v>
      </c>
      <c r="G104" s="1"/>
      <c r="H104" s="34">
        <f>H102-F102</f>
        <v>38</v>
      </c>
      <c r="I104" s="34">
        <f>I102-H102</f>
        <v>-38</v>
      </c>
      <c r="J104" s="39">
        <f>J102-I102</f>
        <v>43</v>
      </c>
      <c r="K104" s="1"/>
    </row>
    <row r="105">
      <c r="A105" s="1"/>
      <c r="B105" s="1" t="s">
        <v>176</v>
      </c>
      <c r="C105" s="28">
        <v>67</v>
      </c>
      <c r="D105" s="28">
        <v>73</v>
      </c>
      <c r="E105" s="28">
        <v>91</v>
      </c>
      <c r="F105" s="28">
        <v>80</v>
      </c>
      <c r="G105" s="21">
        <f>SUM(C105:F105)</f>
        <v>311</v>
      </c>
      <c r="H105" s="28">
        <v>88</v>
      </c>
      <c r="I105" s="28">
        <v>57</v>
      </c>
      <c r="J105" s="55">
        <v>70</v>
      </c>
      <c r="K105" s="1"/>
    </row>
    <row r="106">
      <c r="A106" s="1"/>
      <c r="B106" s="4" t="s">
        <v>108</v>
      </c>
      <c r="C106" s="1"/>
      <c r="D106" s="1"/>
      <c r="E106" s="1"/>
      <c r="F106" s="1"/>
      <c r="G106" s="1"/>
      <c r="H106" s="25">
        <f>IFERROR(H105/C105-1,"n/m")</f>
        <v>0.31343283582089554</v>
      </c>
      <c r="I106" s="25">
        <f>IFERROR(I105/D105-1,"n/m")</f>
        <v>-0.2191780821917808</v>
      </c>
      <c r="J106" s="33">
        <f>IFERROR(J105/E105-1,"n/m")</f>
        <v>-0.23076923076923073</v>
      </c>
      <c r="K106" s="1"/>
    </row>
    <row r="107">
      <c r="A107" s="1"/>
      <c r="B107" s="4" t="s">
        <v>71</v>
      </c>
      <c r="C107" s="1"/>
      <c r="D107" s="34">
        <f>D105-C105</f>
        <v>6</v>
      </c>
      <c r="E107" s="34">
        <f>E105-D105</f>
        <v>18</v>
      </c>
      <c r="F107" s="34">
        <f>F105-E105</f>
        <v>-11</v>
      </c>
      <c r="G107" s="1"/>
      <c r="H107" s="34">
        <f>H105-F105</f>
        <v>8</v>
      </c>
      <c r="I107" s="34">
        <f>I105-H105</f>
        <v>-31</v>
      </c>
      <c r="J107" s="39">
        <f>J105-I105</f>
        <v>13</v>
      </c>
      <c r="K107" s="1"/>
    </row>
    <row r="108">
      <c r="A108" s="1"/>
      <c r="B108" s="1" t="s">
        <v>177</v>
      </c>
      <c r="C108" s="28">
        <v>64</v>
      </c>
      <c r="D108" s="28">
        <v>-65</v>
      </c>
      <c r="E108" s="28">
        <v>-16</v>
      </c>
      <c r="F108" s="28">
        <v>6</v>
      </c>
      <c r="G108" s="21">
        <f>SUM(C108:F108)</f>
        <v>-11</v>
      </c>
      <c r="H108" s="28">
        <v>13</v>
      </c>
      <c r="I108" s="28">
        <v>0</v>
      </c>
      <c r="J108" s="55">
        <v>5</v>
      </c>
      <c r="K108" s="1"/>
    </row>
    <row r="109">
      <c r="A109" s="1"/>
      <c r="B109" s="4" t="s">
        <v>87</v>
      </c>
      <c r="C109" s="1"/>
      <c r="D109" s="1"/>
      <c r="E109" s="1"/>
      <c r="F109" s="1"/>
      <c r="G109" s="1"/>
      <c r="H109" s="25">
        <f>IF(OR(C108&lt;=0,H108&lt;=0),"n/m",H108/C108-1)</f>
        <v>-0.796875</v>
      </c>
      <c r="I109" s="25" t="str">
        <f>IF(OR(D108&lt;=0,I108&lt;=0),"n/m",I108/D108-1)</f>
        <v>n/m</v>
      </c>
      <c r="J109" s="33" t="str">
        <f>IF(OR(E108&lt;=0,J108&lt;=0),"n/m",J108/E108-1)</f>
        <v>n/m</v>
      </c>
      <c r="K109" s="1"/>
    </row>
    <row r="110">
      <c r="A110" s="1"/>
      <c r="B110" s="4" t="s">
        <v>71</v>
      </c>
      <c r="C110" s="1"/>
      <c r="D110" s="34">
        <f>D108-C108</f>
        <v>-129</v>
      </c>
      <c r="E110" s="34">
        <f>E108-D108</f>
        <v>49</v>
      </c>
      <c r="F110" s="34">
        <f>F108-E108</f>
        <v>22</v>
      </c>
      <c r="G110" s="1"/>
      <c r="H110" s="34">
        <f>H108-F108</f>
        <v>7</v>
      </c>
      <c r="I110" s="34">
        <f>I108-H108</f>
        <v>-13</v>
      </c>
      <c r="J110" s="39">
        <f>J108-I108</f>
        <v>5</v>
      </c>
      <c r="K110" s="1"/>
    </row>
    <row r="111">
      <c r="A111" s="1"/>
      <c r="B111" s="1" t="s">
        <v>178</v>
      </c>
      <c r="C111" s="28">
        <v>-1</v>
      </c>
      <c r="D111" s="28">
        <v>-1</v>
      </c>
      <c r="E111" s="28">
        <v>-1</v>
      </c>
      <c r="F111" s="28">
        <v>1</v>
      </c>
      <c r="G111" s="21">
        <f>SUM(C111:F111)</f>
        <v>-2</v>
      </c>
      <c r="H111" s="28">
        <v>0</v>
      </c>
      <c r="I111" s="28">
        <v>2</v>
      </c>
      <c r="J111" s="55">
        <v>0</v>
      </c>
      <c r="K111" s="1"/>
    </row>
    <row r="112">
      <c r="A112" s="1"/>
      <c r="B112" s="1" t="s">
        <v>179</v>
      </c>
      <c r="C112" s="28">
        <v>-4</v>
      </c>
      <c r="D112" s="28">
        <v>0</v>
      </c>
      <c r="E112" s="28">
        <v>-1</v>
      </c>
      <c r="F112" s="28">
        <v>0</v>
      </c>
      <c r="G112" s="21">
        <f>SUM(C112:F112)</f>
        <v>-5</v>
      </c>
      <c r="H112" s="28">
        <v>0</v>
      </c>
      <c r="I112" s="28">
        <v>0</v>
      </c>
      <c r="J112" s="55">
        <v>0</v>
      </c>
      <c r="K112" s="1"/>
    </row>
    <row r="113">
      <c r="A113" s="1"/>
      <c r="B113" s="22" t="s">
        <v>180</v>
      </c>
      <c r="C113" s="27">
        <f>C105+C108+C111+C112</f>
        <v>126</v>
      </c>
      <c r="D113" s="27">
        <f>D105+D108+D111+D112</f>
        <v>7</v>
      </c>
      <c r="E113" s="27">
        <f>E105+E108+E111+E112</f>
        <v>73</v>
      </c>
      <c r="F113" s="27">
        <f>F105+F108+F111+F112</f>
        <v>87</v>
      </c>
      <c r="G113" s="27">
        <f>G105+G108+G111+G112</f>
        <v>293</v>
      </c>
      <c r="H113" s="27">
        <f>H105+H108+H111+H112</f>
        <v>101</v>
      </c>
      <c r="I113" s="27">
        <f>I105+I108+I111+I112</f>
        <v>59</v>
      </c>
      <c r="J113" s="32">
        <f>J105+J108+J111+J112</f>
        <v>75</v>
      </c>
      <c r="K113" s="1"/>
    </row>
    <row r="114">
      <c r="A114" s="1"/>
      <c r="B114" s="22" t="s">
        <v>181</v>
      </c>
      <c r="C114" s="27">
        <f>C101-C102-C113</f>
        <v>241</v>
      </c>
      <c r="D114" s="27">
        <f>D101-D102-D113</f>
        <v>494</v>
      </c>
      <c r="E114" s="27">
        <f>E101-E102-E113</f>
        <v>391</v>
      </c>
      <c r="F114" s="27">
        <f>F101-F102-F113</f>
        <v>398</v>
      </c>
      <c r="G114" s="27">
        <f>G101-G102-G113</f>
        <v>1524</v>
      </c>
      <c r="H114" s="27">
        <f>H101-H102-H113</f>
        <v>549</v>
      </c>
      <c r="I114" s="27">
        <f>I101-I102-I113</f>
        <v>741</v>
      </c>
      <c r="J114" s="32">
        <f>J101-J102-J113</f>
        <v>683.204273972603</v>
      </c>
      <c r="K114" s="1"/>
    </row>
    <row r="115">
      <c r="A115" s="1"/>
      <c r="B115" s="4" t="s">
        <v>108</v>
      </c>
      <c r="C115" s="1"/>
      <c r="D115" s="1"/>
      <c r="E115" s="1"/>
      <c r="F115" s="1"/>
      <c r="G115" s="1"/>
      <c r="H115" s="25">
        <f>IFERROR(H114/C114-1,"n/m")</f>
        <v>1.2780082987551866</v>
      </c>
      <c r="I115" s="25">
        <f>IFERROR(I114/D114-1,"n/m")</f>
        <v>0.5</v>
      </c>
      <c r="J115" s="33">
        <f>IFERROR(J114/E114-1,"n/m")</f>
        <v>0.7473255088813375</v>
      </c>
      <c r="K115" s="1"/>
    </row>
    <row r="116" ht="27.75">
      <c r="A116" s="1"/>
      <c r="B116" s="1" t="s">
        <v>182</v>
      </c>
      <c r="C116" s="28">
        <v>50</v>
      </c>
      <c r="D116" s="28">
        <v>109</v>
      </c>
      <c r="E116" s="28">
        <v>88</v>
      </c>
      <c r="F116" s="28">
        <v>99</v>
      </c>
      <c r="G116" s="21">
        <f>SUM(C116:F116)</f>
        <v>346</v>
      </c>
      <c r="H116" s="28">
        <v>117</v>
      </c>
      <c r="I116" s="28">
        <v>158</v>
      </c>
      <c r="J116" s="61" t="s">
        <v>48</v>
      </c>
      <c r="K116" s="112" t="s">
        <v>183</v>
      </c>
    </row>
    <row r="117">
      <c r="A117" s="1"/>
      <c r="B117" s="22" t="s">
        <v>184</v>
      </c>
      <c r="C117" s="27">
        <f>C114-C116</f>
        <v>191</v>
      </c>
      <c r="D117" s="27">
        <f>D114-D116</f>
        <v>385</v>
      </c>
      <c r="E117" s="27">
        <f>E114-E116</f>
        <v>303</v>
      </c>
      <c r="F117" s="27">
        <f>F114-F116</f>
        <v>299</v>
      </c>
      <c r="G117" s="27">
        <f>G114-G116</f>
        <v>1178</v>
      </c>
      <c r="H117" s="27">
        <f>H114-H116</f>
        <v>432</v>
      </c>
      <c r="I117" s="27">
        <f>I114-I116</f>
        <v>583</v>
      </c>
      <c r="J117" s="67" t="s">
        <v>48</v>
      </c>
      <c r="K117" s="1"/>
    </row>
    <row r="118">
      <c r="A118" s="1"/>
      <c r="B118" s="1" t="s">
        <v>185</v>
      </c>
      <c r="C118" s="28">
        <v>0</v>
      </c>
      <c r="D118" s="28">
        <v>0</v>
      </c>
      <c r="E118" s="28">
        <v>0</v>
      </c>
      <c r="F118" s="28">
        <v>0</v>
      </c>
      <c r="G118" s="21">
        <f>SUM(C118:F118)</f>
        <v>0</v>
      </c>
      <c r="H118" s="28">
        <v>0</v>
      </c>
      <c r="I118" s="28">
        <v>0</v>
      </c>
      <c r="J118" s="61" t="s">
        <v>48</v>
      </c>
      <c r="K118" s="1"/>
    </row>
    <row r="119">
      <c r="A119" s="1"/>
      <c r="B119" s="22" t="s">
        <v>186</v>
      </c>
      <c r="C119" s="27">
        <f>C117-C118</f>
        <v>191</v>
      </c>
      <c r="D119" s="27">
        <f>D117-D118</f>
        <v>385</v>
      </c>
      <c r="E119" s="27">
        <f>E117-E118</f>
        <v>303</v>
      </c>
      <c r="F119" s="27">
        <f>F117-F118</f>
        <v>299</v>
      </c>
      <c r="G119" s="27">
        <f>G117-G118</f>
        <v>1178</v>
      </c>
      <c r="H119" s="27">
        <f>H117-H118</f>
        <v>432</v>
      </c>
      <c r="I119" s="27">
        <f>I117-I118</f>
        <v>583</v>
      </c>
      <c r="J119" s="67" t="s">
        <v>48</v>
      </c>
      <c r="K119" s="1"/>
    </row>
    <row r="120">
      <c r="A120" s="1"/>
      <c r="B120" s="22" t="s">
        <v>187</v>
      </c>
      <c r="C120" s="1"/>
      <c r="D120" s="1"/>
      <c r="E120" s="1"/>
      <c r="F120" s="1"/>
      <c r="G120" s="1"/>
      <c r="H120" s="1"/>
      <c r="I120" s="1"/>
      <c r="J120" s="31"/>
      <c r="K120" s="1"/>
    </row>
    <row r="121">
      <c r="A121" s="1"/>
      <c r="B121" s="4" t="s">
        <v>188</v>
      </c>
      <c r="C121" s="25">
        <f>C102/C101</f>
        <v>0.8668842945230323</v>
      </c>
      <c r="D121" s="25">
        <f>D102/D101</f>
        <v>0.8219616204690832</v>
      </c>
      <c r="E121" s="25">
        <f>E102/E101</f>
        <v>0.8365621697780908</v>
      </c>
      <c r="F121" s="25">
        <f>F102/F101</f>
        <v>0.8305380852550663</v>
      </c>
      <c r="G121" s="25">
        <f>G102/G101</f>
        <v>0.8388041163946061</v>
      </c>
      <c r="H121" s="25">
        <f>H102/H101</f>
        <v>0.7879282218597063</v>
      </c>
      <c r="I121" s="25">
        <f>I102/I101</f>
        <v>0.7481901164620711</v>
      </c>
      <c r="J121" s="33">
        <f>J102/J101</f>
        <v>0.7614362675861347</v>
      </c>
      <c r="K121" s="1"/>
    </row>
    <row r="122">
      <c r="A122" s="1"/>
      <c r="B122" s="4" t="s">
        <v>114</v>
      </c>
      <c r="C122" s="1"/>
      <c r="D122" s="1"/>
      <c r="E122" s="1"/>
      <c r="F122" s="1"/>
      <c r="G122" s="1"/>
      <c r="H122" s="54">
        <f>(H121-C121)*10000</f>
        <v>-789.5607266332594</v>
      </c>
      <c r="I122" s="54">
        <f>(I121-D121)*10000</f>
        <v>-737.7150400701205</v>
      </c>
      <c r="J122" s="57">
        <f>(J121-E121)*10000</f>
        <v>-751.2590219195614</v>
      </c>
      <c r="K122" s="1"/>
    </row>
    <row r="123">
      <c r="A123" s="1"/>
      <c r="B123" s="4" t="s">
        <v>115</v>
      </c>
      <c r="C123" s="1"/>
      <c r="D123" s="54">
        <f>(D121-C121)*10000</f>
        <v>-449.2267405394912</v>
      </c>
      <c r="E123" s="54">
        <f>(E121-D121)*10000</f>
        <v>146.0054930900767</v>
      </c>
      <c r="F123" s="54">
        <f>(F121-E121)*10000</f>
        <v>-60.24084523024498</v>
      </c>
      <c r="G123" s="1"/>
      <c r="H123" s="54">
        <f>(H121-F121)*10000</f>
        <v>-426.0986339535999</v>
      </c>
      <c r="I123" s="54">
        <f>(I121-H121)*10000</f>
        <v>-397.38105397635223</v>
      </c>
      <c r="J123" s="57">
        <f>(J121-I121)*10000</f>
        <v>132.46151124063576</v>
      </c>
      <c r="K123" s="1"/>
    </row>
    <row r="124">
      <c r="A124" s="1"/>
      <c r="B124" s="4" t="s">
        <v>189</v>
      </c>
      <c r="C124" s="25">
        <f>C114/C101</f>
        <v>0.08741385564018861</v>
      </c>
      <c r="D124" s="25">
        <f>D114/D101</f>
        <v>0.17555081734186212</v>
      </c>
      <c r="E124" s="25">
        <f>E114/E101</f>
        <v>0.1377245508982036</v>
      </c>
      <c r="F124" s="25">
        <f>F114/F101</f>
        <v>0.13906359189378056</v>
      </c>
      <c r="G124" s="25">
        <f>G114/G101</f>
        <v>0.13520227111426544</v>
      </c>
      <c r="H124" s="25">
        <f>H114/H101</f>
        <v>0.17911908646003263</v>
      </c>
      <c r="I124" s="25">
        <f>I114/I101</f>
        <v>0.2332389046270066</v>
      </c>
      <c r="J124" s="33">
        <f>J114/J101</f>
        <v>0.21496550098041067</v>
      </c>
      <c r="K124" s="1"/>
    </row>
    <row r="125">
      <c r="A125" s="1"/>
      <c r="B125" s="4" t="s">
        <v>114</v>
      </c>
      <c r="C125" s="1"/>
      <c r="D125" s="1"/>
      <c r="E125" s="1"/>
      <c r="F125" s="1"/>
      <c r="G125" s="1"/>
      <c r="H125" s="54">
        <f>(H124-C124)*10000</f>
        <v>917.0523081984403</v>
      </c>
      <c r="I125" s="54">
        <f>(I124-D124)*10000</f>
        <v>576.8808728514449</v>
      </c>
      <c r="J125" s="57">
        <f>(J124-E124)*10000</f>
        <v>772.4095008220708</v>
      </c>
      <c r="K125" s="1"/>
    </row>
    <row r="126">
      <c r="A126" s="1"/>
      <c r="B126" s="4" t="s">
        <v>115</v>
      </c>
      <c r="C126" s="1"/>
      <c r="D126" s="54">
        <f>(D124-C124)*10000</f>
        <v>881.3696170167351</v>
      </c>
      <c r="E126" s="54">
        <f>(E124-D124)*10000</f>
        <v>-378.2626644365852</v>
      </c>
      <c r="F126" s="54">
        <f>(F124-E124)*10000</f>
        <v>13.390409955769677</v>
      </c>
      <c r="G126" s="1"/>
      <c r="H126" s="54">
        <f>(H124-F124)*10000</f>
        <v>400.5549456625207</v>
      </c>
      <c r="I126" s="54">
        <f>(I124-H124)*10000</f>
        <v>541.1981816697397</v>
      </c>
      <c r="J126" s="57">
        <f>(J124-I124)*10000</f>
        <v>-182.73403646595938</v>
      </c>
      <c r="K126" s="1"/>
    </row>
    <row r="127">
      <c r="A127" s="1"/>
      <c r="B127" s="1" t="s">
        <v>190</v>
      </c>
      <c r="C127" s="28">
        <v>15.4</v>
      </c>
      <c r="D127" s="28">
        <v>15.4</v>
      </c>
      <c r="E127" s="28">
        <v>15.4</v>
      </c>
      <c r="F127" s="28">
        <v>15.4</v>
      </c>
      <c r="G127" s="21">
        <f>SUMPRODUCT(C127:F127,C$8:F$8)/G$8</f>
        <v>15.4</v>
      </c>
      <c r="H127" s="28">
        <v>16.2</v>
      </c>
      <c r="I127" s="28">
        <v>16.2</v>
      </c>
      <c r="J127" s="61" t="s">
        <v>48</v>
      </c>
      <c r="K127" s="1"/>
    </row>
    <row r="128">
      <c r="A128" s="1"/>
      <c r="B128" s="4" t="s">
        <v>191</v>
      </c>
      <c r="C128" s="25">
        <f>C119*365/C8/(C127*1000)</f>
        <v>0.050299422799422795</v>
      </c>
      <c r="D128" s="25">
        <f>D119*365/D8/(D127*1000)</f>
        <v>0.10027472527472528</v>
      </c>
      <c r="E128" s="25">
        <f>E119*365/E8/(E127*1000)</f>
        <v>0.07805971202710332</v>
      </c>
      <c r="F128" s="25">
        <f>F119*365/F8/(F127*1000)</f>
        <v>0.07702922077922078</v>
      </c>
      <c r="G128" s="25">
        <f>G119*365/G8/(G127*1000)</f>
        <v>0.07649350649350649</v>
      </c>
      <c r="H128" s="25">
        <f>H119*365/H8/(H127*1000)</f>
        <v>0.10814814814814815</v>
      </c>
      <c r="I128" s="25">
        <f>I119*365/I8/(I127*1000)</f>
        <v>0.14434608601275267</v>
      </c>
      <c r="J128" s="40" t="s">
        <v>48</v>
      </c>
      <c r="K128" s="1"/>
    </row>
    <row r="129">
      <c r="A129" s="1"/>
      <c r="B129" s="4" t="s">
        <v>192</v>
      </c>
      <c r="C129" s="58">
        <f>C105*365/C8/(C94*1000)</f>
        <v>0.0014006300114547537</v>
      </c>
      <c r="D129" s="58">
        <f>D105*365/D8/(D94*1000)</f>
        <v>0.0014863055725999887</v>
      </c>
      <c r="E129" s="58">
        <f>E105*365/E8/(E94*1000)</f>
        <v>0.0017961821328141899</v>
      </c>
      <c r="F129" s="58">
        <f>F105*365/F8/(F94*1000)</f>
        <v>0.001563503962304562</v>
      </c>
      <c r="G129" s="58">
        <f>G105*365/G8/(G94*1000)</f>
        <v>0.0015645372476052648</v>
      </c>
      <c r="H129" s="58">
        <f>H105*365/H8/(H94*1000)</f>
        <v>0.0017409214092140922</v>
      </c>
      <c r="I129" s="58">
        <f>I105*365/I8/(I94*1000)</f>
        <v>0.001109836765176571</v>
      </c>
      <c r="J129" s="79">
        <f>J105*365/J8/(J94*1000)</f>
        <v>0.0013287913459538172</v>
      </c>
      <c r="K129" s="1"/>
    </row>
    <row r="130">
      <c r="A130" s="1"/>
      <c r="B130" s="4" t="s">
        <v>114</v>
      </c>
      <c r="C130" s="1"/>
      <c r="D130" s="1"/>
      <c r="E130" s="1"/>
      <c r="F130" s="1"/>
      <c r="G130" s="1"/>
      <c r="H130" s="54">
        <f>(H129-C129)*10000</f>
        <v>3.4029139775933843</v>
      </c>
      <c r="I130" s="54">
        <f>(I129-D129)*10000</f>
        <v>-3.7646880742341766</v>
      </c>
      <c r="J130" s="57">
        <f>(J129-E129)*10000</f>
        <v>-4.6739078686037265</v>
      </c>
      <c r="K130" s="1"/>
    </row>
    <row r="131">
      <c r="A131" s="1"/>
      <c r="B131" s="4" t="s">
        <v>115</v>
      </c>
      <c r="C131" s="1"/>
      <c r="D131" s="54">
        <f>(D129-C129)*10000</f>
        <v>0.85675561145235</v>
      </c>
      <c r="E131" s="54">
        <f>(E129-D129)*10000</f>
        <v>3.0987656021420116</v>
      </c>
      <c r="F131" s="54">
        <f>(F129-E129)*10000</f>
        <v>-2.3267817050962796</v>
      </c>
      <c r="G131" s="1"/>
      <c r="H131" s="54">
        <f>(H129-F129)*10000</f>
        <v>1.7741744690953025</v>
      </c>
      <c r="I131" s="54">
        <f>(I129-H129)*10000</f>
        <v>-6.310846440375211</v>
      </c>
      <c r="J131" s="57">
        <f>(J129-I129)*10000</f>
        <v>2.189545807772461</v>
      </c>
      <c r="K131" s="1"/>
    </row>
    <row r="132">
      <c r="A132" s="1"/>
      <c r="B132" s="22" t="s">
        <v>193</v>
      </c>
      <c r="C132" s="1"/>
      <c r="D132" s="1"/>
      <c r="E132" s="1"/>
      <c r="F132" s="1"/>
      <c r="G132" s="1"/>
      <c r="H132" s="1"/>
      <c r="I132" s="1"/>
      <c r="J132" s="31"/>
      <c r="K132" s="1"/>
    </row>
    <row r="133">
      <c r="A133" s="1"/>
      <c r="B133" s="1" t="s">
        <v>194</v>
      </c>
      <c r="C133" s="28">
        <v>1734</v>
      </c>
      <c r="D133" s="28">
        <v>1729</v>
      </c>
      <c r="E133" s="28">
        <v>1741</v>
      </c>
      <c r="F133" s="28">
        <v>1825</v>
      </c>
      <c r="G133" s="21">
        <f>SUM(C133:F133)</f>
        <v>7029</v>
      </c>
      <c r="H133" s="28">
        <v>1893</v>
      </c>
      <c r="I133" s="28">
        <v>1977</v>
      </c>
      <c r="J133" s="29">
        <f>J59*I133/(I133+I135)</f>
        <v>1977.7494018394195</v>
      </c>
      <c r="K133" s="24" t="s">
        <v>195</v>
      </c>
    </row>
    <row r="134">
      <c r="A134" s="1"/>
      <c r="B134" s="4" t="s">
        <v>108</v>
      </c>
      <c r="C134" s="1"/>
      <c r="D134" s="1"/>
      <c r="E134" s="1"/>
      <c r="F134" s="1"/>
      <c r="G134" s="1"/>
      <c r="H134" s="25">
        <f>IFERROR(H133/C133-1,"n/m")</f>
        <v>0.09169550173010377</v>
      </c>
      <c r="I134" s="25">
        <f>IFERROR(I133/D133-1,"n/m")</f>
        <v>0.14343551185656445</v>
      </c>
      <c r="J134" s="33">
        <f>IFERROR(J133/E133-1,"n/m")</f>
        <v>0.13598472248099913</v>
      </c>
      <c r="K134" s="1"/>
    </row>
    <row r="135">
      <c r="A135" s="1"/>
      <c r="B135" s="1" t="s">
        <v>196</v>
      </c>
      <c r="C135" s="28">
        <v>1023</v>
      </c>
      <c r="D135" s="28">
        <v>1085</v>
      </c>
      <c r="E135" s="28">
        <v>1098</v>
      </c>
      <c r="F135" s="28">
        <v>1037</v>
      </c>
      <c r="G135" s="21">
        <f>SUM(C135:F135)</f>
        <v>4243</v>
      </c>
      <c r="H135" s="28">
        <v>1172</v>
      </c>
      <c r="I135" s="28">
        <v>1200</v>
      </c>
      <c r="J135" s="29">
        <f>J59-J133</f>
        <v>1200.4548721331835</v>
      </c>
      <c r="K135" s="1"/>
    </row>
    <row r="136">
      <c r="A136" s="1"/>
      <c r="B136" s="4" t="s">
        <v>108</v>
      </c>
      <c r="C136" s="1"/>
      <c r="D136" s="1"/>
      <c r="E136" s="1"/>
      <c r="F136" s="1"/>
      <c r="G136" s="1"/>
      <c r="H136" s="25">
        <f>IFERROR(H135/C135-1,"n/m")</f>
        <v>0.14565004887585542</v>
      </c>
      <c r="I136" s="25">
        <f>IFERROR(I135/D135-1,"n/m")</f>
        <v>0.10599078341013835</v>
      </c>
      <c r="J136" s="33">
        <f>IFERROR(J135/E135-1,"n/m")</f>
        <v>0.09331044820872814</v>
      </c>
      <c r="K136" s="1"/>
    </row>
    <row r="137">
      <c r="A137" s="1"/>
      <c r="B137" s="22" t="s">
        <v>197</v>
      </c>
      <c r="C137" s="27">
        <f>C133+C135</f>
        <v>2757</v>
      </c>
      <c r="D137" s="27">
        <f>D133+D135</f>
        <v>2814</v>
      </c>
      <c r="E137" s="27">
        <f>E133+E135</f>
        <v>2839</v>
      </c>
      <c r="F137" s="27">
        <f>F133+F135</f>
        <v>2862</v>
      </c>
      <c r="G137" s="27">
        <f>G133+G135</f>
        <v>11272</v>
      </c>
      <c r="H137" s="27">
        <f>H133+H135</f>
        <v>3065</v>
      </c>
      <c r="I137" s="27">
        <f>I133+I135</f>
        <v>3177</v>
      </c>
      <c r="J137" s="32">
        <f>J133+J135</f>
        <v>3178.204273972603</v>
      </c>
      <c r="K137" s="1"/>
    </row>
    <row r="138">
      <c r="A138" s="1"/>
      <c r="B138" s="4" t="s">
        <v>198</v>
      </c>
      <c r="C138" s="25">
        <f>C133/C137</f>
        <v>0.6289445048966268</v>
      </c>
      <c r="D138" s="25">
        <f>D133/D137</f>
        <v>0.6144278606965174</v>
      </c>
      <c r="E138" s="25">
        <f>E133/E137</f>
        <v>0.6132441000352237</v>
      </c>
      <c r="F138" s="25">
        <f>F133/F137</f>
        <v>0.6376659678546471</v>
      </c>
      <c r="G138" s="25">
        <f>G133/G137</f>
        <v>0.6235805535841022</v>
      </c>
      <c r="H138" s="25">
        <f>H133/H137</f>
        <v>0.6176182707993475</v>
      </c>
      <c r="I138" s="25">
        <f>I133/I137</f>
        <v>0.6222851746931067</v>
      </c>
      <c r="J138" s="33">
        <f>J133/J137</f>
        <v>0.6222851746931066</v>
      </c>
      <c r="K138" s="1"/>
    </row>
    <row r="139" ht="40.5">
      <c r="A139" s="1"/>
      <c r="B139" s="1" t="s">
        <v>199</v>
      </c>
      <c r="C139" s="21">
        <f>C137-C59</f>
        <v>0</v>
      </c>
      <c r="D139" s="21">
        <f>D137-D59</f>
        <v>0</v>
      </c>
      <c r="E139" s="21">
        <f>E137-E59</f>
        <v>0</v>
      </c>
      <c r="F139" s="21">
        <f>F137-F59</f>
        <v>0</v>
      </c>
      <c r="G139" s="21">
        <f>G137-G59</f>
        <v>0</v>
      </c>
      <c r="H139" s="21">
        <f>H137-H59</f>
        <v>0</v>
      </c>
      <c r="I139" s="21">
        <f>I137-I59</f>
        <v>0</v>
      </c>
      <c r="J139" s="29">
        <f>J137-J59</f>
        <v>0</v>
      </c>
      <c r="K139" s="115" t="s">
        <v>200</v>
      </c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K17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297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298</v>
      </c>
      <c r="C10" s="1"/>
      <c r="D10" s="1"/>
      <c r="E10" s="1"/>
      <c r="F10" s="1"/>
      <c r="G10" s="1"/>
      <c r="H10" s="1"/>
      <c r="I10" s="1"/>
      <c r="J10" s="31"/>
      <c r="K10" s="1"/>
    </row>
    <row r="11" ht="27.75">
      <c r="A11" s="1"/>
      <c r="B11" s="1" t="s">
        <v>299</v>
      </c>
      <c r="C11" s="72">
        <v>1696</v>
      </c>
      <c r="D11" s="72">
        <v>1704</v>
      </c>
      <c r="E11" s="72">
        <v>1872</v>
      </c>
      <c r="F11" s="72">
        <v>2115</v>
      </c>
      <c r="G11" s="91">
        <f>SUM(C11:F11)</f>
        <v>7387</v>
      </c>
      <c r="H11" s="72">
        <v>1899</v>
      </c>
      <c r="I11" s="72">
        <v>4004</v>
      </c>
      <c r="J11" s="61" t="s">
        <v>48</v>
      </c>
      <c r="K11" s="112" t="s">
        <v>300</v>
      </c>
    </row>
    <row r="12">
      <c r="A12" s="1"/>
      <c r="B12" s="4" t="s">
        <v>108</v>
      </c>
      <c r="C12" s="1"/>
      <c r="D12" s="1"/>
      <c r="E12" s="1"/>
      <c r="F12" s="1"/>
      <c r="G12" s="1"/>
      <c r="H12" s="25">
        <f>IFERROR(H11/C11-1,"n/m")</f>
        <v>0.11969339622641506</v>
      </c>
      <c r="I12" s="25">
        <f>IFERROR(I11/D11-1,"n/m")</f>
        <v>1.3497652582159625</v>
      </c>
      <c r="J12" s="40" t="s">
        <v>48</v>
      </c>
      <c r="K12" s="1"/>
    </row>
    <row r="13">
      <c r="A13" s="1"/>
      <c r="B13" s="4" t="s">
        <v>71</v>
      </c>
      <c r="C13" s="1"/>
      <c r="D13" s="54">
        <f>D11-C11</f>
        <v>8</v>
      </c>
      <c r="E13" s="54">
        <f>E11-D11</f>
        <v>168</v>
      </c>
      <c r="F13" s="54">
        <f>F11-E11</f>
        <v>243</v>
      </c>
      <c r="G13" s="1"/>
      <c r="H13" s="54">
        <f>H11-F11</f>
        <v>-216</v>
      </c>
      <c r="I13" s="54">
        <f>I11-H11</f>
        <v>2105</v>
      </c>
      <c r="J13" s="40" t="s">
        <v>48</v>
      </c>
      <c r="K13" s="1"/>
    </row>
    <row r="14">
      <c r="A14" s="1"/>
      <c r="B14" s="1" t="s">
        <v>301</v>
      </c>
      <c r="C14" s="72">
        <v>1144</v>
      </c>
      <c r="D14" s="72">
        <v>1551</v>
      </c>
      <c r="E14" s="72">
        <v>1339</v>
      </c>
      <c r="F14" s="72">
        <v>1572</v>
      </c>
      <c r="G14" s="91">
        <f>SUM(C14:F14)</f>
        <v>5606</v>
      </c>
      <c r="H14" s="72">
        <v>1043</v>
      </c>
      <c r="I14" s="72">
        <v>1372</v>
      </c>
      <c r="J14" s="61" t="s">
        <v>48</v>
      </c>
      <c r="K14" s="1"/>
    </row>
    <row r="15">
      <c r="A15" s="1"/>
      <c r="B15" s="4" t="s">
        <v>108</v>
      </c>
      <c r="C15" s="1"/>
      <c r="D15" s="1"/>
      <c r="E15" s="1"/>
      <c r="F15" s="1"/>
      <c r="G15" s="1"/>
      <c r="H15" s="25">
        <f>IFERROR(H14/C14-1,"n/m")</f>
        <v>-0.08828671328671334</v>
      </c>
      <c r="I15" s="25">
        <f>IFERROR(I14/D14-1,"n/m")</f>
        <v>-0.11540941328175369</v>
      </c>
      <c r="J15" s="40" t="s">
        <v>48</v>
      </c>
      <c r="K15" s="1"/>
    </row>
    <row r="16">
      <c r="A16" s="1"/>
      <c r="B16" s="4" t="s">
        <v>71</v>
      </c>
      <c r="C16" s="1"/>
      <c r="D16" s="54">
        <f>D14-C14</f>
        <v>407</v>
      </c>
      <c r="E16" s="54">
        <f>E14-D14</f>
        <v>-212</v>
      </c>
      <c r="F16" s="54">
        <f>F14-E14</f>
        <v>233</v>
      </c>
      <c r="G16" s="1"/>
      <c r="H16" s="54">
        <f>H14-F14</f>
        <v>-529</v>
      </c>
      <c r="I16" s="54">
        <f>I14-H14</f>
        <v>329</v>
      </c>
      <c r="J16" s="40" t="s">
        <v>48</v>
      </c>
      <c r="K16" s="1"/>
    </row>
    <row r="17" ht="27.75">
      <c r="A17" s="1"/>
      <c r="B17" s="1" t="s">
        <v>302</v>
      </c>
      <c r="C17" s="28">
        <v>133.2</v>
      </c>
      <c r="D17" s="28">
        <v>144.8</v>
      </c>
      <c r="E17" s="28">
        <v>144.5</v>
      </c>
      <c r="F17" s="28">
        <v>152.4</v>
      </c>
      <c r="G17" s="21">
        <f>SUM(C17:F17)</f>
        <v>574.9</v>
      </c>
      <c r="H17" s="28">
        <v>141.5</v>
      </c>
      <c r="I17" s="28">
        <v>162.3</v>
      </c>
      <c r="J17" s="55">
        <v>165</v>
      </c>
      <c r="K17" s="112" t="s">
        <v>303</v>
      </c>
    </row>
    <row r="18">
      <c r="A18" s="1"/>
      <c r="B18" s="4" t="s">
        <v>108</v>
      </c>
      <c r="C18" s="1"/>
      <c r="D18" s="1"/>
      <c r="E18" s="1"/>
      <c r="F18" s="1"/>
      <c r="G18" s="1"/>
      <c r="H18" s="25">
        <f>IFERROR(H17/C17-1,"n/m")</f>
        <v>0.06231231231231238</v>
      </c>
      <c r="I18" s="25">
        <f>IFERROR(I17/D17-1,"n/m")</f>
        <v>0.1208563535911602</v>
      </c>
      <c r="J18" s="33">
        <f>IFERROR(J17/E17-1,"n/m")</f>
        <v>0.1418685121107266</v>
      </c>
      <c r="K18" s="1"/>
    </row>
    <row r="19">
      <c r="A19" s="1"/>
      <c r="B19" s="4" t="s">
        <v>71</v>
      </c>
      <c r="C19" s="1"/>
      <c r="D19" s="34">
        <f>D17-C17</f>
        <v>11.600000000000023</v>
      </c>
      <c r="E19" s="34">
        <f>E17-D17</f>
        <v>-0.30000000000001137</v>
      </c>
      <c r="F19" s="34">
        <f>F17-E17</f>
        <v>7.900000000000006</v>
      </c>
      <c r="G19" s="1"/>
      <c r="H19" s="34">
        <f>H17-F17</f>
        <v>-10.900000000000006</v>
      </c>
      <c r="I19" s="34">
        <f>I17-H17</f>
        <v>20.80000000000001</v>
      </c>
      <c r="J19" s="39">
        <f>J17-I17</f>
        <v>2.6999999999999886</v>
      </c>
      <c r="K19" s="1"/>
    </row>
    <row r="20">
      <c r="A20" s="1"/>
      <c r="B20" s="1" t="s">
        <v>304</v>
      </c>
      <c r="C20" s="28">
        <v>10.9</v>
      </c>
      <c r="D20" s="28">
        <v>13.9</v>
      </c>
      <c r="E20" s="28">
        <v>12.6</v>
      </c>
      <c r="F20" s="28">
        <v>13.9</v>
      </c>
      <c r="G20" s="21">
        <f>SUM(C20:F20)</f>
        <v>51.3</v>
      </c>
      <c r="H20" s="28">
        <v>10.5</v>
      </c>
      <c r="I20" s="28">
        <v>13.2</v>
      </c>
      <c r="J20" s="55">
        <v>12.6</v>
      </c>
      <c r="K20" s="1"/>
    </row>
    <row r="21">
      <c r="A21" s="1"/>
      <c r="B21" s="4" t="s">
        <v>108</v>
      </c>
      <c r="C21" s="1"/>
      <c r="D21" s="1"/>
      <c r="E21" s="1"/>
      <c r="F21" s="1"/>
      <c r="G21" s="1"/>
      <c r="H21" s="25">
        <f>IFERROR(H20/C20-1,"n/m")</f>
        <v>-0.03669724770642202</v>
      </c>
      <c r="I21" s="25">
        <f>IFERROR(I20/D20-1,"n/m")</f>
        <v>-0.05035971223021585</v>
      </c>
      <c r="J21" s="33">
        <f>IFERROR(J20/E20-1,"n/m")</f>
        <v>0</v>
      </c>
      <c r="K21" s="1"/>
    </row>
    <row r="22">
      <c r="A22" s="1"/>
      <c r="B22" s="4" t="s">
        <v>71</v>
      </c>
      <c r="C22" s="1"/>
      <c r="D22" s="34">
        <f>D20-C20</f>
        <v>3</v>
      </c>
      <c r="E22" s="34">
        <f>E20-D20</f>
        <v>-1.3000000000000007</v>
      </c>
      <c r="F22" s="34">
        <f>F20-E20</f>
        <v>1.3000000000000007</v>
      </c>
      <c r="G22" s="1"/>
      <c r="H22" s="34">
        <f>H20-F20</f>
        <v>-3.4000000000000004</v>
      </c>
      <c r="I22" s="34">
        <f>I20-H20</f>
        <v>2.6999999999999993</v>
      </c>
      <c r="J22" s="39">
        <f>J20-I20</f>
        <v>-0.5999999999999996</v>
      </c>
      <c r="K22" s="1"/>
    </row>
    <row r="23">
      <c r="A23" s="1"/>
      <c r="B23" s="22" t="s">
        <v>305</v>
      </c>
      <c r="C23" s="27">
        <f>C17+C20</f>
        <v>144.1</v>
      </c>
      <c r="D23" s="27">
        <f>D17+D20</f>
        <v>158.70000000000002</v>
      </c>
      <c r="E23" s="27">
        <f>E17+E20</f>
        <v>157.1</v>
      </c>
      <c r="F23" s="27">
        <f>F17+F20</f>
        <v>166.3</v>
      </c>
      <c r="G23" s="27">
        <f>G17+G20</f>
        <v>626.1999999999999</v>
      </c>
      <c r="H23" s="27">
        <f>H17+H20</f>
        <v>152</v>
      </c>
      <c r="I23" s="27">
        <f>I17+I20</f>
        <v>175.5</v>
      </c>
      <c r="J23" s="32">
        <f>J17+J20</f>
        <v>177.6</v>
      </c>
      <c r="K23" s="1"/>
    </row>
    <row r="24">
      <c r="A24" s="1"/>
      <c r="B24" s="4" t="s">
        <v>108</v>
      </c>
      <c r="C24" s="1"/>
      <c r="D24" s="1"/>
      <c r="E24" s="1"/>
      <c r="F24" s="1"/>
      <c r="G24" s="1"/>
      <c r="H24" s="25">
        <f>IFERROR(H23/C23-1,"n/m")</f>
        <v>0.054823039555863984</v>
      </c>
      <c r="I24" s="25">
        <f>IFERROR(I23/D23-1,"n/m")</f>
        <v>0.10586011342155</v>
      </c>
      <c r="J24" s="33">
        <f>IFERROR(J23/E23-1,"n/m")</f>
        <v>0.13049013367281992</v>
      </c>
      <c r="K24" s="1"/>
    </row>
    <row r="25">
      <c r="A25" s="1"/>
      <c r="B25" s="4" t="s">
        <v>71</v>
      </c>
      <c r="C25" s="1"/>
      <c r="D25" s="34">
        <f>D23-C23</f>
        <v>14.600000000000023</v>
      </c>
      <c r="E25" s="34">
        <f>E23-D23</f>
        <v>-1.6000000000000227</v>
      </c>
      <c r="F25" s="34">
        <f>F23-E23</f>
        <v>9.200000000000017</v>
      </c>
      <c r="G25" s="1"/>
      <c r="H25" s="34">
        <f>H23-F23</f>
        <v>-14.300000000000011</v>
      </c>
      <c r="I25" s="34">
        <f>I23-H23</f>
        <v>23.5</v>
      </c>
      <c r="J25" s="39">
        <f>J23-I23</f>
        <v>2.0999999999999943</v>
      </c>
      <c r="K25" s="1"/>
    </row>
    <row r="26">
      <c r="A26" s="1"/>
      <c r="B26" s="22" t="s">
        <v>306</v>
      </c>
      <c r="C26" s="1"/>
      <c r="D26" s="1"/>
      <c r="E26" s="1"/>
      <c r="F26" s="1"/>
      <c r="G26" s="1"/>
      <c r="H26" s="1"/>
      <c r="I26" s="1"/>
      <c r="J26" s="31"/>
      <c r="K26" s="1"/>
    </row>
    <row r="27">
      <c r="A27" s="1"/>
      <c r="B27" s="1" t="s">
        <v>307</v>
      </c>
      <c r="C27" s="1"/>
      <c r="D27" s="21">
        <f>C31</f>
        <v>166.5</v>
      </c>
      <c r="E27" s="21">
        <f>D31</f>
        <v>170.9</v>
      </c>
      <c r="F27" s="21">
        <f>E31</f>
        <v>171.3</v>
      </c>
      <c r="G27" s="1"/>
      <c r="H27" s="21">
        <f>F31</f>
        <v>177.5</v>
      </c>
      <c r="I27" s="21">
        <f>H31</f>
        <v>170.8</v>
      </c>
      <c r="J27" s="29">
        <f>I31</f>
        <v>181.4</v>
      </c>
      <c r="K27" s="24" t="s">
        <v>308</v>
      </c>
    </row>
    <row r="28">
      <c r="A28" s="1"/>
      <c r="B28" s="1" t="s">
        <v>309</v>
      </c>
      <c r="C28" s="21">
        <f>-C151/1000</f>
        <v>-1.954</v>
      </c>
      <c r="D28" s="21">
        <f>-D151/1000</f>
        <v>-1.856</v>
      </c>
      <c r="E28" s="21">
        <f>-E151/1000</f>
        <v>-1.741</v>
      </c>
      <c r="F28" s="21">
        <f>-F151/1000</f>
        <v>-1.739</v>
      </c>
      <c r="G28" s="21">
        <f>SUM(C28:F28)</f>
        <v>-7.29</v>
      </c>
      <c r="H28" s="21">
        <f>-H151/1000</f>
        <v>-1.742</v>
      </c>
      <c r="I28" s="21">
        <f>-I151/1000</f>
        <v>-1.85</v>
      </c>
      <c r="J28" s="29">
        <f>-J151/1000</f>
        <v>-1.8599375342465756</v>
      </c>
      <c r="K28" s="1"/>
    </row>
    <row r="29" ht="27.75">
      <c r="A29" s="1"/>
      <c r="B29" s="1" t="s">
        <v>310</v>
      </c>
      <c r="C29" s="28">
        <v>0</v>
      </c>
      <c r="D29" s="28">
        <v>0</v>
      </c>
      <c r="E29" s="28">
        <v>0</v>
      </c>
      <c r="F29" s="28">
        <v>0</v>
      </c>
      <c r="G29" s="21">
        <f>SUM(C29:F29)</f>
        <v>0</v>
      </c>
      <c r="H29" s="28">
        <v>0</v>
      </c>
      <c r="I29" s="28">
        <v>6.6</v>
      </c>
      <c r="J29" s="55">
        <v>0</v>
      </c>
      <c r="K29" s="112" t="s">
        <v>311</v>
      </c>
    </row>
    <row r="30">
      <c r="A30" s="1"/>
      <c r="B30" s="1" t="s">
        <v>312</v>
      </c>
      <c r="C30" s="1"/>
      <c r="D30" s="21">
        <f>D31-D27-D28-D29</f>
        <v>6.256000000000006</v>
      </c>
      <c r="E30" s="21">
        <f>E31-E27-E28-E29</f>
        <v>2.141000000000006</v>
      </c>
      <c r="F30" s="21">
        <f>F31-F27-F28-F29</f>
        <v>7.9389999999999885</v>
      </c>
      <c r="G30" s="1"/>
      <c r="H30" s="21">
        <f>H31-H27-H28-H29</f>
        <v>-4.957999999999989</v>
      </c>
      <c r="I30" s="21">
        <f>I31-I27-I28-I29</f>
        <v>5.849999999999994</v>
      </c>
      <c r="J30" s="29">
        <f>J31-J27-J28-J29</f>
        <v>3.4599375342465697</v>
      </c>
      <c r="K30" s="24" t="s">
        <v>313</v>
      </c>
    </row>
    <row r="31">
      <c r="A31" s="1"/>
      <c r="B31" s="22" t="s">
        <v>314</v>
      </c>
      <c r="C31" s="27">
        <f>C34+C37+C40</f>
        <v>166.5</v>
      </c>
      <c r="D31" s="27">
        <f>D34+D37+D40</f>
        <v>170.9</v>
      </c>
      <c r="E31" s="27">
        <f>E34+E37+E40</f>
        <v>171.3</v>
      </c>
      <c r="F31" s="27">
        <f>F34+F37+F40</f>
        <v>177.5</v>
      </c>
      <c r="G31" s="27">
        <f>F31</f>
        <v>177.5</v>
      </c>
      <c r="H31" s="27">
        <f>H34+H37+H40</f>
        <v>170.8</v>
      </c>
      <c r="I31" s="27">
        <f>I34+I37+I40</f>
        <v>181.4</v>
      </c>
      <c r="J31" s="32">
        <f>J34+J37+J40</f>
        <v>183</v>
      </c>
      <c r="K31" s="1"/>
    </row>
    <row r="32">
      <c r="A32" s="1"/>
      <c r="B32" s="4" t="s">
        <v>108</v>
      </c>
      <c r="C32" s="1"/>
      <c r="D32" s="1"/>
      <c r="E32" s="1"/>
      <c r="F32" s="1"/>
      <c r="G32" s="1"/>
      <c r="H32" s="25">
        <f>IFERROR(H31/C31-1,"n/m")</f>
        <v>0.025825825825825932</v>
      </c>
      <c r="I32" s="25">
        <f>IFERROR(I31/D31-1,"n/m")</f>
        <v>0.06143943826799303</v>
      </c>
      <c r="J32" s="33">
        <f>IFERROR(J31/E31-1,"n/m")</f>
        <v>0.06830122591943955</v>
      </c>
      <c r="K32" s="1"/>
    </row>
    <row r="33">
      <c r="A33" s="1"/>
      <c r="B33" s="4" t="s">
        <v>71</v>
      </c>
      <c r="C33" s="1"/>
      <c r="D33" s="34">
        <f>D31-C31</f>
        <v>4.400000000000006</v>
      </c>
      <c r="E33" s="34">
        <f>E31-D31</f>
        <v>0.4000000000000057</v>
      </c>
      <c r="F33" s="34">
        <f>F31-E31</f>
        <v>6.199999999999989</v>
      </c>
      <c r="G33" s="1"/>
      <c r="H33" s="34">
        <f>H31-F31</f>
        <v>-6.699999999999989</v>
      </c>
      <c r="I33" s="34">
        <f>I31-H31</f>
        <v>10.599999999999994</v>
      </c>
      <c r="J33" s="39">
        <f>J31-I31</f>
        <v>1.5999999999999943</v>
      </c>
      <c r="K33" s="1"/>
    </row>
    <row r="34">
      <c r="A34" s="1"/>
      <c r="B34" s="1" t="s">
        <v>315</v>
      </c>
      <c r="C34" s="28">
        <v>132.9</v>
      </c>
      <c r="D34" s="28">
        <v>136.8</v>
      </c>
      <c r="E34" s="28">
        <v>137.7</v>
      </c>
      <c r="F34" s="28">
        <v>143.2</v>
      </c>
      <c r="G34" s="21">
        <f>F34</f>
        <v>143.2</v>
      </c>
      <c r="H34" s="28">
        <v>138.7</v>
      </c>
      <c r="I34" s="28">
        <v>149.2</v>
      </c>
      <c r="J34" s="55">
        <v>151</v>
      </c>
      <c r="K34" s="1"/>
    </row>
    <row r="35">
      <c r="A35" s="1"/>
      <c r="B35" s="4" t="s">
        <v>108</v>
      </c>
      <c r="C35" s="1"/>
      <c r="D35" s="1"/>
      <c r="E35" s="1"/>
      <c r="F35" s="1"/>
      <c r="G35" s="1"/>
      <c r="H35" s="25">
        <f>IFERROR(H34/C34-1,"n/m")</f>
        <v>0.043641835966892195</v>
      </c>
      <c r="I35" s="25">
        <f>IFERROR(I34/D34-1,"n/m")</f>
        <v>0.09064327485380108</v>
      </c>
      <c r="J35" s="33">
        <f>IFERROR(J34/E34-1,"n/m")</f>
        <v>0.09658678286129274</v>
      </c>
      <c r="K35" s="1"/>
    </row>
    <row r="36">
      <c r="A36" s="1"/>
      <c r="B36" s="4" t="s">
        <v>71</v>
      </c>
      <c r="C36" s="1"/>
      <c r="D36" s="34">
        <f>D34-C34</f>
        <v>3.9000000000000057</v>
      </c>
      <c r="E36" s="34">
        <f>E34-D34</f>
        <v>0.8999999999999773</v>
      </c>
      <c r="F36" s="34">
        <f>F34-E34</f>
        <v>5.5</v>
      </c>
      <c r="G36" s="1"/>
      <c r="H36" s="34">
        <f>H34-F34</f>
        <v>-4.5</v>
      </c>
      <c r="I36" s="34">
        <f>I34-H34</f>
        <v>10.5</v>
      </c>
      <c r="J36" s="39">
        <f>J34-I34</f>
        <v>1.8000000000000114</v>
      </c>
      <c r="K36" s="1"/>
    </row>
    <row r="37">
      <c r="A37" s="1"/>
      <c r="B37" s="1" t="s">
        <v>316</v>
      </c>
      <c r="C37" s="28">
        <v>29.9</v>
      </c>
      <c r="D37" s="28">
        <v>30.4</v>
      </c>
      <c r="E37" s="28">
        <v>29.8</v>
      </c>
      <c r="F37" s="28">
        <v>30.5</v>
      </c>
      <c r="G37" s="21">
        <f>F37</f>
        <v>30.5</v>
      </c>
      <c r="H37" s="28">
        <v>28.3</v>
      </c>
      <c r="I37" s="28">
        <v>28.4</v>
      </c>
      <c r="J37" s="55">
        <v>28.2</v>
      </c>
      <c r="K37" s="1"/>
    </row>
    <row r="38">
      <c r="A38" s="1"/>
      <c r="B38" s="4" t="s">
        <v>108</v>
      </c>
      <c r="C38" s="1"/>
      <c r="D38" s="1"/>
      <c r="E38" s="1"/>
      <c r="F38" s="1"/>
      <c r="G38" s="1"/>
      <c r="H38" s="25">
        <f>IFERROR(H37/C37-1,"n/m")</f>
        <v>-0.05351170568561869</v>
      </c>
      <c r="I38" s="25">
        <f>IFERROR(I37/D37-1,"n/m")</f>
        <v>-0.06578947368421051</v>
      </c>
      <c r="J38" s="33">
        <f>IFERROR(J37/E37-1,"n/m")</f>
        <v>-0.05369127516778527</v>
      </c>
      <c r="K38" s="1"/>
    </row>
    <row r="39">
      <c r="A39" s="1"/>
      <c r="B39" s="4" t="s">
        <v>71</v>
      </c>
      <c r="C39" s="1"/>
      <c r="D39" s="34">
        <f>D37-C37</f>
        <v>0.5</v>
      </c>
      <c r="E39" s="34">
        <f>E37-D37</f>
        <v>-0.5999999999999979</v>
      </c>
      <c r="F39" s="34">
        <f>F37-E37</f>
        <v>0.6999999999999993</v>
      </c>
      <c r="G39" s="1"/>
      <c r="H39" s="34">
        <f>H37-F37</f>
        <v>-2.1999999999999993</v>
      </c>
      <c r="I39" s="34">
        <f>I37-H37</f>
        <v>0.09999999999999787</v>
      </c>
      <c r="J39" s="39">
        <f>J37-I37</f>
        <v>-0.1999999999999993</v>
      </c>
      <c r="K39" s="1"/>
    </row>
    <row r="40">
      <c r="A40" s="1"/>
      <c r="B40" s="1" t="s">
        <v>317</v>
      </c>
      <c r="C40" s="28">
        <v>3.7</v>
      </c>
      <c r="D40" s="28">
        <v>3.7</v>
      </c>
      <c r="E40" s="28">
        <v>3.8</v>
      </c>
      <c r="F40" s="28">
        <v>3.8</v>
      </c>
      <c r="G40" s="21">
        <f>F40</f>
        <v>3.8</v>
      </c>
      <c r="H40" s="28">
        <v>3.8</v>
      </c>
      <c r="I40" s="28">
        <v>3.8</v>
      </c>
      <c r="J40" s="55">
        <v>3.8</v>
      </c>
      <c r="K40" s="1"/>
    </row>
    <row r="41">
      <c r="A41" s="1"/>
      <c r="B41" s="4" t="s">
        <v>108</v>
      </c>
      <c r="C41" s="1"/>
      <c r="D41" s="1"/>
      <c r="E41" s="1"/>
      <c r="F41" s="1"/>
      <c r="G41" s="1"/>
      <c r="H41" s="25">
        <f>IFERROR(H40/C40-1,"n/m")</f>
        <v>0.027027027027026973</v>
      </c>
      <c r="I41" s="25">
        <f>IFERROR(I40/D40-1,"n/m")</f>
        <v>0.027027027027026973</v>
      </c>
      <c r="J41" s="33">
        <f>IFERROR(J40/E40-1,"n/m")</f>
        <v>0</v>
      </c>
      <c r="K41" s="1"/>
    </row>
    <row r="42">
      <c r="A42" s="1"/>
      <c r="B42" s="4" t="s">
        <v>71</v>
      </c>
      <c r="C42" s="1"/>
      <c r="D42" s="34">
        <f>D40-C40</f>
        <v>0</v>
      </c>
      <c r="E42" s="34">
        <f>E40-D40</f>
        <v>0.09999999999999964</v>
      </c>
      <c r="F42" s="34">
        <f>F40-E40</f>
        <v>0</v>
      </c>
      <c r="G42" s="1"/>
      <c r="H42" s="34">
        <f>H40-F40</f>
        <v>0</v>
      </c>
      <c r="I42" s="34">
        <f>I40-H40</f>
        <v>0</v>
      </c>
      <c r="J42" s="39">
        <f>J40-I40</f>
        <v>0</v>
      </c>
      <c r="K42" s="1"/>
    </row>
    <row r="43">
      <c r="A43" s="1"/>
      <c r="B43" s="4" t="s">
        <v>318</v>
      </c>
      <c r="C43" s="25">
        <f>C34/C31</f>
        <v>0.7981981981981983</v>
      </c>
      <c r="D43" s="25">
        <f>D34/D31</f>
        <v>0.8004681100058514</v>
      </c>
      <c r="E43" s="25">
        <f>E34/E31</f>
        <v>0.8038528896672503</v>
      </c>
      <c r="F43" s="25">
        <f>F34/F31</f>
        <v>0.8067605633802817</v>
      </c>
      <c r="G43" s="25">
        <f>G34/G31</f>
        <v>0.8067605633802817</v>
      </c>
      <c r="H43" s="25">
        <f>H34/H31</f>
        <v>0.8120608899297422</v>
      </c>
      <c r="I43" s="25">
        <f>I34/I31</f>
        <v>0.8224917309812568</v>
      </c>
      <c r="J43" s="33">
        <f>J34/J31</f>
        <v>0.825136612021858</v>
      </c>
      <c r="K43" s="1"/>
    </row>
    <row r="44">
      <c r="A44" s="1"/>
      <c r="B44" s="4" t="s">
        <v>114</v>
      </c>
      <c r="C44" s="1"/>
      <c r="D44" s="1"/>
      <c r="E44" s="1"/>
      <c r="F44" s="1"/>
      <c r="G44" s="1"/>
      <c r="H44" s="54">
        <f>(H43-C43)*10000</f>
        <v>138.62691731543975</v>
      </c>
      <c r="I44" s="54">
        <f>(I43-D43)*10000</f>
        <v>220.23620975405444</v>
      </c>
      <c r="J44" s="57">
        <f>(J43-E43)*10000</f>
        <v>212.83722354607625</v>
      </c>
      <c r="K44" s="1"/>
    </row>
    <row r="45">
      <c r="A45" s="1"/>
      <c r="B45" s="4" t="s">
        <v>115</v>
      </c>
      <c r="C45" s="1"/>
      <c r="D45" s="54">
        <f>(D43-C43)*10000</f>
        <v>22.699118076531242</v>
      </c>
      <c r="E45" s="54">
        <f>(E43-D43)*10000</f>
        <v>33.8477966139894</v>
      </c>
      <c r="F45" s="54">
        <f>(F43-E43)*10000</f>
        <v>29.076737130313557</v>
      </c>
      <c r="G45" s="1"/>
      <c r="H45" s="54">
        <f>(H43-F43)*10000</f>
        <v>53.00326549460554</v>
      </c>
      <c r="I45" s="54">
        <f>(I43-H43)*10000</f>
        <v>104.30841051514594</v>
      </c>
      <c r="J45" s="57">
        <f>(J43-I43)*10000</f>
        <v>26.448810406011212</v>
      </c>
      <c r="K45" s="1"/>
    </row>
    <row r="46">
      <c r="A46" s="1"/>
      <c r="B46" s="1" t="s">
        <v>319</v>
      </c>
      <c r="C46" s="28">
        <v>133.6</v>
      </c>
      <c r="D46" s="28">
        <v>134.4</v>
      </c>
      <c r="E46" s="28">
        <v>136.8</v>
      </c>
      <c r="F46" s="28">
        <v>138.6</v>
      </c>
      <c r="G46" s="21">
        <f>SUMPRODUCT(C46:F46,C$8:F$8)/G$8</f>
        <v>135.866301369863</v>
      </c>
      <c r="H46" s="28">
        <v>138.6</v>
      </c>
      <c r="I46" s="28">
        <v>144.9</v>
      </c>
      <c r="J46" s="29">
        <f>(I34+J34)/2</f>
        <v>150.1</v>
      </c>
      <c r="K46" s="1"/>
    </row>
    <row r="47">
      <c r="A47" s="1"/>
      <c r="B47" s="4" t="s">
        <v>108</v>
      </c>
      <c r="C47" s="1"/>
      <c r="D47" s="1"/>
      <c r="E47" s="1"/>
      <c r="F47" s="1"/>
      <c r="G47" s="1"/>
      <c r="H47" s="25">
        <f>IFERROR(H46/C46-1,"n/m")</f>
        <v>0.03742514970059885</v>
      </c>
      <c r="I47" s="25">
        <f>IFERROR(I46/D46-1,"n/m")</f>
        <v>0.078125</v>
      </c>
      <c r="J47" s="33">
        <f>IFERROR(J46/E46-1,"n/m")</f>
        <v>0.0972222222222221</v>
      </c>
      <c r="K47" s="1"/>
    </row>
    <row r="48">
      <c r="A48" s="1"/>
      <c r="B48" s="4" t="s">
        <v>71</v>
      </c>
      <c r="C48" s="1"/>
      <c r="D48" s="34">
        <f>D46-C46</f>
        <v>0.8000000000000114</v>
      </c>
      <c r="E48" s="34">
        <f>E46-D46</f>
        <v>2.4000000000000057</v>
      </c>
      <c r="F48" s="34">
        <f>F46-E46</f>
        <v>1.799999999999983</v>
      </c>
      <c r="G48" s="1"/>
      <c r="H48" s="34">
        <f>H46-F46</f>
        <v>0</v>
      </c>
      <c r="I48" s="34">
        <f>I46-H46</f>
        <v>6.300000000000011</v>
      </c>
      <c r="J48" s="39">
        <f>J46-I46</f>
        <v>5.199999999999989</v>
      </c>
      <c r="K48" s="1"/>
    </row>
    <row r="49">
      <c r="A49" s="1"/>
      <c r="B49" s="1" t="s">
        <v>320</v>
      </c>
      <c r="C49" s="28">
        <v>30.6</v>
      </c>
      <c r="D49" s="28">
        <v>30.1</v>
      </c>
      <c r="E49" s="28">
        <v>30</v>
      </c>
      <c r="F49" s="28">
        <v>29.8</v>
      </c>
      <c r="G49" s="21">
        <f>SUMPRODUCT(C49:F49,C$8:F$8)/G$8</f>
        <v>30.12246575342466</v>
      </c>
      <c r="H49" s="28">
        <v>28.9</v>
      </c>
      <c r="I49" s="28">
        <v>28.3</v>
      </c>
      <c r="J49" s="29">
        <f>(I37+J37)/2</f>
        <v>28.299999999999997</v>
      </c>
      <c r="K49" s="1"/>
    </row>
    <row r="50">
      <c r="A50" s="1"/>
      <c r="B50" s="4" t="s">
        <v>108</v>
      </c>
      <c r="C50" s="1"/>
      <c r="D50" s="1"/>
      <c r="E50" s="1"/>
      <c r="F50" s="1"/>
      <c r="G50" s="1"/>
      <c r="H50" s="25">
        <f>IFERROR(H49/C49-1,"n/m")</f>
        <v>-0.05555555555555569</v>
      </c>
      <c r="I50" s="25">
        <f>IFERROR(I49/D49-1,"n/m")</f>
        <v>-0.0598006644518273</v>
      </c>
      <c r="J50" s="33">
        <f>IFERROR(J49/E49-1,"n/m")</f>
        <v>-0.056666666666666754</v>
      </c>
      <c r="K50" s="1"/>
    </row>
    <row r="51">
      <c r="A51" s="1"/>
      <c r="B51" s="4" t="s">
        <v>71</v>
      </c>
      <c r="C51" s="1"/>
      <c r="D51" s="34">
        <f>D49-C49</f>
        <v>-0.5</v>
      </c>
      <c r="E51" s="34">
        <f>E49-D49</f>
        <v>-0.10000000000000142</v>
      </c>
      <c r="F51" s="34">
        <f>F49-E49</f>
        <v>-0.1999999999999993</v>
      </c>
      <c r="G51" s="1"/>
      <c r="H51" s="34">
        <f>H49-F49</f>
        <v>-0.9000000000000021</v>
      </c>
      <c r="I51" s="34">
        <f>I49-H49</f>
        <v>-0.5999999999999979</v>
      </c>
      <c r="J51" s="39">
        <f>J49-I49</f>
        <v>0</v>
      </c>
      <c r="K51" s="1"/>
    </row>
    <row r="52">
      <c r="A52" s="1"/>
      <c r="B52" s="1" t="s">
        <v>321</v>
      </c>
      <c r="C52" s="28">
        <v>3.8</v>
      </c>
      <c r="D52" s="28">
        <v>3.7</v>
      </c>
      <c r="E52" s="28">
        <v>3.7</v>
      </c>
      <c r="F52" s="28">
        <v>3.9</v>
      </c>
      <c r="G52" s="21">
        <f>SUMPRODUCT(C52:F52,C$8:F$8)/G$8</f>
        <v>3.7750684931506853</v>
      </c>
      <c r="H52" s="28">
        <v>3.8</v>
      </c>
      <c r="I52" s="28">
        <v>3.8</v>
      </c>
      <c r="J52" s="29">
        <f>(I40+J40)/2</f>
        <v>3.8</v>
      </c>
      <c r="K52" s="1"/>
    </row>
    <row r="53">
      <c r="A53" s="1"/>
      <c r="B53" s="4" t="s">
        <v>108</v>
      </c>
      <c r="C53" s="1"/>
      <c r="D53" s="1"/>
      <c r="E53" s="1"/>
      <c r="F53" s="1"/>
      <c r="G53" s="1"/>
      <c r="H53" s="25">
        <f>IFERROR(H52/C52-1,"n/m")</f>
        <v>0</v>
      </c>
      <c r="I53" s="25">
        <f>IFERROR(I52/D52-1,"n/m")</f>
        <v>0.027027027027026973</v>
      </c>
      <c r="J53" s="33">
        <f>IFERROR(J52/E52-1,"n/m")</f>
        <v>0.027027027027026973</v>
      </c>
      <c r="K53" s="1"/>
    </row>
    <row r="54">
      <c r="A54" s="1"/>
      <c r="B54" s="4" t="s">
        <v>71</v>
      </c>
      <c r="C54" s="1"/>
      <c r="D54" s="34">
        <f>D52-C52</f>
        <v>-0.09999999999999964</v>
      </c>
      <c r="E54" s="34">
        <f>E52-D52</f>
        <v>0</v>
      </c>
      <c r="F54" s="34">
        <f>F52-E52</f>
        <v>0.19999999999999973</v>
      </c>
      <c r="G54" s="1"/>
      <c r="H54" s="34">
        <f>H52-F52</f>
        <v>-0.10000000000000009</v>
      </c>
      <c r="I54" s="34">
        <f>I52-H52</f>
        <v>0</v>
      </c>
      <c r="J54" s="39">
        <f>J52-I52</f>
        <v>0</v>
      </c>
      <c r="K54" s="1"/>
    </row>
    <row r="55">
      <c r="A55" s="1"/>
      <c r="B55" s="22" t="s">
        <v>322</v>
      </c>
      <c r="C55" s="27">
        <f>C46+C49+C52</f>
        <v>168</v>
      </c>
      <c r="D55" s="27">
        <f>D46+D49+D52</f>
        <v>168.2</v>
      </c>
      <c r="E55" s="27">
        <f>E46+E49+E52</f>
        <v>170.5</v>
      </c>
      <c r="F55" s="27">
        <f>F46+F49+F52</f>
        <v>172.3</v>
      </c>
      <c r="G55" s="27">
        <f>G46+G49+G52</f>
        <v>169.76383561643834</v>
      </c>
      <c r="H55" s="27">
        <f>H46+H49+H52</f>
        <v>171.3</v>
      </c>
      <c r="I55" s="27">
        <f>I46+I49+I52</f>
        <v>177.00000000000003</v>
      </c>
      <c r="J55" s="32">
        <f>J46+J49+J52</f>
        <v>182.2</v>
      </c>
      <c r="K55" s="1"/>
    </row>
    <row r="56">
      <c r="A56" s="1"/>
      <c r="B56" s="4" t="s">
        <v>108</v>
      </c>
      <c r="C56" s="1"/>
      <c r="D56" s="1"/>
      <c r="E56" s="1"/>
      <c r="F56" s="1"/>
      <c r="G56" s="1"/>
      <c r="H56" s="25">
        <f>IFERROR(H55/C55-1,"n/m")</f>
        <v>0.019642857142857295</v>
      </c>
      <c r="I56" s="25">
        <f>IFERROR(I55/D55-1,"n/m")</f>
        <v>0.05231866825208109</v>
      </c>
      <c r="J56" s="33">
        <f>IFERROR(J55/E55-1,"n/m")</f>
        <v>0.06862170087976538</v>
      </c>
      <c r="K56" s="1"/>
    </row>
    <row r="57">
      <c r="A57" s="1"/>
      <c r="B57" s="4" t="s">
        <v>71</v>
      </c>
      <c r="C57" s="1"/>
      <c r="D57" s="34">
        <f>D55-C55</f>
        <v>0.19999999999998863</v>
      </c>
      <c r="E57" s="34">
        <f>E55-D55</f>
        <v>2.3000000000000114</v>
      </c>
      <c r="F57" s="34">
        <f>F55-E55</f>
        <v>1.8000000000000114</v>
      </c>
      <c r="G57" s="1"/>
      <c r="H57" s="34">
        <f>H55-F55</f>
        <v>-1</v>
      </c>
      <c r="I57" s="34">
        <f>I55-H55</f>
        <v>5.700000000000017</v>
      </c>
      <c r="J57" s="39">
        <f>J55-I55</f>
        <v>5.19999999999996</v>
      </c>
      <c r="K57" s="1"/>
    </row>
    <row r="58">
      <c r="A58" s="1"/>
      <c r="B58" s="22" t="s">
        <v>323</v>
      </c>
      <c r="C58" s="1"/>
      <c r="D58" s="1"/>
      <c r="E58" s="1"/>
      <c r="F58" s="1"/>
      <c r="G58" s="1"/>
      <c r="H58" s="1"/>
      <c r="I58" s="1"/>
      <c r="J58" s="31"/>
      <c r="K58" s="1"/>
    </row>
    <row r="59">
      <c r="A59" s="1"/>
      <c r="B59" s="4" t="s">
        <v>324</v>
      </c>
      <c r="C59" s="58">
        <f>C62*365/C8/(C55*1000)</f>
        <v>0.12031481481481482</v>
      </c>
      <c r="D59" s="58">
        <f>D62*365/D8/(D55*1000)</f>
        <v>0.11727731246161685</v>
      </c>
      <c r="E59" s="58">
        <f>E62*365/E8/(E55*1000)</f>
        <v>0.11923116154532704</v>
      </c>
      <c r="F59" s="58">
        <f>F62*365/F8/(F55*1000)</f>
        <v>0.11842306139443336</v>
      </c>
      <c r="G59" s="58">
        <f>G62*365/G8/(G55*1000)</f>
        <v>0.1188062223427227</v>
      </c>
      <c r="H59" s="58">
        <f>H62*365/H8/(H55*1000)</f>
        <v>0.1211221378997211</v>
      </c>
      <c r="I59" s="58">
        <f>I62*365/I8/(I55*1000)</f>
        <v>0.1173837461973055</v>
      </c>
      <c r="J59" s="78">
        <v>0.117</v>
      </c>
      <c r="K59" s="1"/>
    </row>
    <row r="60">
      <c r="A60" s="1"/>
      <c r="B60" s="4" t="s">
        <v>114</v>
      </c>
      <c r="C60" s="1"/>
      <c r="D60" s="1"/>
      <c r="E60" s="1"/>
      <c r="F60" s="1"/>
      <c r="G60" s="1"/>
      <c r="H60" s="54">
        <f>(H59-C59)*10000</f>
        <v>8.073230849062751</v>
      </c>
      <c r="I60" s="54">
        <f>(I59-D59)*10000</f>
        <v>1.0643373568865189</v>
      </c>
      <c r="J60" s="57">
        <f>(J59-E59)*10000</f>
        <v>-22.31161545327029</v>
      </c>
      <c r="K60" s="1"/>
    </row>
    <row r="61">
      <c r="A61" s="1"/>
      <c r="B61" s="4" t="s">
        <v>115</v>
      </c>
      <c r="C61" s="1"/>
      <c r="D61" s="54">
        <f>(D59-C59)*10000</f>
        <v>-30.375023531979682</v>
      </c>
      <c r="E61" s="54">
        <f>(E59-D59)*10000</f>
        <v>19.53849083710185</v>
      </c>
      <c r="F61" s="54">
        <f>(F59-E59)*10000</f>
        <v>-8.081001508936787</v>
      </c>
      <c r="G61" s="1"/>
      <c r="H61" s="54">
        <f>(H59-F59)*10000</f>
        <v>26.990765052877368</v>
      </c>
      <c r="I61" s="54">
        <f>(I59-H59)*10000</f>
        <v>-37.38391702415591</v>
      </c>
      <c r="J61" s="57">
        <f>(J59-I59)*10000</f>
        <v>-3.8374619730549564</v>
      </c>
      <c r="K61" s="1"/>
    </row>
    <row r="62">
      <c r="A62" s="1"/>
      <c r="B62" s="1" t="s">
        <v>59</v>
      </c>
      <c r="C62" s="28">
        <v>4984</v>
      </c>
      <c r="D62" s="28">
        <v>4918</v>
      </c>
      <c r="E62" s="28">
        <v>5124</v>
      </c>
      <c r="F62" s="28">
        <v>5143</v>
      </c>
      <c r="G62" s="21">
        <f>SUM(C62:F62)</f>
        <v>20169</v>
      </c>
      <c r="H62" s="28">
        <v>5116</v>
      </c>
      <c r="I62" s="28">
        <v>5180</v>
      </c>
      <c r="J62" s="29">
        <f>J55*1000*J59*J8/365</f>
        <v>5373.152876712329</v>
      </c>
      <c r="K62" s="24" t="s">
        <v>136</v>
      </c>
    </row>
    <row r="63">
      <c r="A63" s="1"/>
      <c r="B63" s="4" t="s">
        <v>70</v>
      </c>
      <c r="C63" s="1"/>
      <c r="D63" s="1"/>
      <c r="E63" s="1"/>
      <c r="F63" s="1"/>
      <c r="G63" s="1"/>
      <c r="H63" s="25">
        <f>IFERROR(H62/C62-1,"n/m")</f>
        <v>0.026484751203852408</v>
      </c>
      <c r="I63" s="25">
        <f>IFERROR(I62/D62-1,"n/m")</f>
        <v>0.05327368849125658</v>
      </c>
      <c r="J63" s="33">
        <f>IFERROR(J62/E62-1,"n/m")</f>
        <v>0.048624683199127494</v>
      </c>
      <c r="K63" s="1"/>
    </row>
    <row r="64">
      <c r="A64" s="1"/>
      <c r="B64" s="4" t="s">
        <v>71</v>
      </c>
      <c r="C64" s="1"/>
      <c r="D64" s="34">
        <f>D62-C62</f>
        <v>-66</v>
      </c>
      <c r="E64" s="34">
        <f>E62-D62</f>
        <v>206</v>
      </c>
      <c r="F64" s="34">
        <f>F62-E62</f>
        <v>19</v>
      </c>
      <c r="G64" s="1"/>
      <c r="H64" s="34">
        <f>H62-F62</f>
        <v>-27</v>
      </c>
      <c r="I64" s="34">
        <f>I62-H62</f>
        <v>64</v>
      </c>
      <c r="J64" s="39">
        <f>J62-I62</f>
        <v>193.1528767123291</v>
      </c>
      <c r="K64" s="1"/>
    </row>
    <row r="65">
      <c r="A65" s="1"/>
      <c r="B65" s="4" t="s">
        <v>74</v>
      </c>
      <c r="C65" s="1"/>
      <c r="D65" s="1"/>
      <c r="E65" s="1"/>
      <c r="F65" s="1"/>
      <c r="G65" s="1"/>
      <c r="H65" s="30" t="s">
        <v>48</v>
      </c>
      <c r="I65" s="30" t="s">
        <v>48</v>
      </c>
      <c r="J65" s="40" t="s">
        <v>48</v>
      </c>
      <c r="K65" s="24" t="s">
        <v>137</v>
      </c>
    </row>
    <row r="66">
      <c r="A66" s="1"/>
      <c r="B66" s="4" t="s">
        <v>76</v>
      </c>
      <c r="C66" s="1"/>
      <c r="D66" s="1"/>
      <c r="E66" s="1"/>
      <c r="F66" s="1"/>
      <c r="G66" s="1"/>
      <c r="H66" s="30" t="s">
        <v>48</v>
      </c>
      <c r="I66" s="30" t="s">
        <v>48</v>
      </c>
      <c r="J66" s="40" t="s">
        <v>48</v>
      </c>
      <c r="K66" s="24" t="s">
        <v>137</v>
      </c>
    </row>
    <row r="67" ht="27.75">
      <c r="A67" s="1"/>
      <c r="B67" s="4" t="s">
        <v>77</v>
      </c>
      <c r="C67" s="1"/>
      <c r="D67" s="1"/>
      <c r="E67" s="1"/>
      <c r="F67" s="1"/>
      <c r="G67" s="1"/>
      <c r="H67" s="30" t="s">
        <v>48</v>
      </c>
      <c r="I67" s="30" t="s">
        <v>48</v>
      </c>
      <c r="J67" s="40" t="s">
        <v>48</v>
      </c>
      <c r="K67" s="112" t="s">
        <v>78</v>
      </c>
    </row>
    <row r="68">
      <c r="A68" s="1"/>
      <c r="B68" s="4" t="s">
        <v>325</v>
      </c>
      <c r="C68" s="58">
        <f>C71/(C23*1000)</f>
        <v>0.01585704371963914</v>
      </c>
      <c r="D68" s="58">
        <f>D71/(D23*1000)</f>
        <v>0.015494643982356645</v>
      </c>
      <c r="E68" s="58">
        <f>E71/(E23*1000)</f>
        <v>0.015582431572246976</v>
      </c>
      <c r="F68" s="58">
        <f>F71/(F23*1000)</f>
        <v>0.01518941671677691</v>
      </c>
      <c r="G68" s="58">
        <f>G71/(G23*1000)</f>
        <v>0.015519003513254553</v>
      </c>
      <c r="H68" s="58">
        <f>H71/(H23*1000)</f>
        <v>0.01581578947368421</v>
      </c>
      <c r="I68" s="58">
        <f>I71/(I23*1000)</f>
        <v>0.015612535612535613</v>
      </c>
      <c r="J68" s="78">
        <v>0.0156</v>
      </c>
      <c r="K68" s="1"/>
    </row>
    <row r="69">
      <c r="A69" s="1"/>
      <c r="B69" s="4" t="s">
        <v>114</v>
      </c>
      <c r="C69" s="1"/>
      <c r="D69" s="1"/>
      <c r="E69" s="1"/>
      <c r="F69" s="1"/>
      <c r="G69" s="1"/>
      <c r="H69" s="54">
        <f>(H68-C68)*10000</f>
        <v>-0.4125424595493102</v>
      </c>
      <c r="I69" s="54">
        <f>(I68-D68)*10000</f>
        <v>1.1789163017896822</v>
      </c>
      <c r="J69" s="57">
        <f>(J68-E68)*10000</f>
        <v>0.1756842775302303</v>
      </c>
      <c r="K69" s="1"/>
    </row>
    <row r="70">
      <c r="A70" s="1"/>
      <c r="B70" s="4" t="s">
        <v>115</v>
      </c>
      <c r="C70" s="1"/>
      <c r="D70" s="54">
        <f>(D68-C68)*10000</f>
        <v>-3.6239973728249657</v>
      </c>
      <c r="E70" s="54">
        <f>(E68-D68)*10000</f>
        <v>0.8778758989033165</v>
      </c>
      <c r="F70" s="54">
        <f>(F68-E68)*10000</f>
        <v>-3.9301485547006685</v>
      </c>
      <c r="G70" s="1"/>
      <c r="H70" s="54">
        <f>(H68-F68)*10000</f>
        <v>6.263727569073008</v>
      </c>
      <c r="I70" s="54">
        <f>(I68-H68)*10000</f>
        <v>-2.0325386114859736</v>
      </c>
      <c r="J70" s="57">
        <f>(J68-I68)*10000</f>
        <v>-0.12535612535613527</v>
      </c>
      <c r="K70" s="1"/>
    </row>
    <row r="71">
      <c r="A71" s="1"/>
      <c r="B71" s="1" t="s">
        <v>326</v>
      </c>
      <c r="C71" s="28">
        <v>2285</v>
      </c>
      <c r="D71" s="28">
        <v>2459</v>
      </c>
      <c r="E71" s="28">
        <v>2448</v>
      </c>
      <c r="F71" s="28">
        <v>2526</v>
      </c>
      <c r="G71" s="21">
        <f>SUM(C71:F71)</f>
        <v>9718</v>
      </c>
      <c r="H71" s="28">
        <v>2404</v>
      </c>
      <c r="I71" s="28">
        <v>2740</v>
      </c>
      <c r="J71" s="29">
        <f>J23*1000*J68</f>
        <v>2770.56</v>
      </c>
      <c r="K71" s="1"/>
    </row>
    <row r="72">
      <c r="A72" s="1"/>
      <c r="B72" s="4" t="s">
        <v>70</v>
      </c>
      <c r="C72" s="1"/>
      <c r="D72" s="1"/>
      <c r="E72" s="1"/>
      <c r="F72" s="1"/>
      <c r="G72" s="1"/>
      <c r="H72" s="25">
        <f>IFERROR(H71/C71-1,"n/m")</f>
        <v>0.05207877461706789</v>
      </c>
      <c r="I72" s="25">
        <f>IFERROR(I71/D71-1,"n/m")</f>
        <v>0.11427409516063447</v>
      </c>
      <c r="J72" s="33">
        <f>IFERROR(J71/E71-1,"n/m")</f>
        <v>0.131764705882353</v>
      </c>
      <c r="K72" s="1"/>
    </row>
    <row r="73">
      <c r="A73" s="1"/>
      <c r="B73" s="4" t="s">
        <v>71</v>
      </c>
      <c r="C73" s="1"/>
      <c r="D73" s="34">
        <f>D71-C71</f>
        <v>174</v>
      </c>
      <c r="E73" s="34">
        <f>E71-D71</f>
        <v>-11</v>
      </c>
      <c r="F73" s="34">
        <f>F71-E71</f>
        <v>78</v>
      </c>
      <c r="G73" s="1"/>
      <c r="H73" s="34">
        <f>H71-F71</f>
        <v>-122</v>
      </c>
      <c r="I73" s="34">
        <f>I71-H71</f>
        <v>336</v>
      </c>
      <c r="J73" s="39">
        <f>J71-I71</f>
        <v>30.559999999999945</v>
      </c>
      <c r="K73" s="1"/>
    </row>
    <row r="74">
      <c r="A74" s="1"/>
      <c r="B74" s="4" t="s">
        <v>74</v>
      </c>
      <c r="C74" s="1"/>
      <c r="D74" s="1"/>
      <c r="E74" s="1"/>
      <c r="F74" s="1"/>
      <c r="G74" s="1"/>
      <c r="H74" s="30" t="s">
        <v>48</v>
      </c>
      <c r="I74" s="30" t="s">
        <v>48</v>
      </c>
      <c r="J74" s="40" t="s">
        <v>48</v>
      </c>
      <c r="K74" s="24" t="s">
        <v>137</v>
      </c>
    </row>
    <row r="75">
      <c r="A75" s="1"/>
      <c r="B75" s="4" t="s">
        <v>76</v>
      </c>
      <c r="C75" s="1"/>
      <c r="D75" s="1"/>
      <c r="E75" s="1"/>
      <c r="F75" s="1"/>
      <c r="G75" s="1"/>
      <c r="H75" s="30" t="s">
        <v>48</v>
      </c>
      <c r="I75" s="30" t="s">
        <v>48</v>
      </c>
      <c r="J75" s="40" t="s">
        <v>48</v>
      </c>
      <c r="K75" s="24" t="s">
        <v>137</v>
      </c>
    </row>
    <row r="76" ht="27.75">
      <c r="A76" s="1"/>
      <c r="B76" s="4" t="s">
        <v>77</v>
      </c>
      <c r="C76" s="1"/>
      <c r="D76" s="1"/>
      <c r="E76" s="1"/>
      <c r="F76" s="1"/>
      <c r="G76" s="1"/>
      <c r="H76" s="30" t="s">
        <v>48</v>
      </c>
      <c r="I76" s="30" t="s">
        <v>48</v>
      </c>
      <c r="J76" s="40" t="s">
        <v>48</v>
      </c>
      <c r="K76" s="112" t="s">
        <v>78</v>
      </c>
    </row>
    <row r="77" ht="27.75">
      <c r="A77" s="1"/>
      <c r="B77" s="4" t="s">
        <v>327</v>
      </c>
      <c r="C77" s="25">
        <f>-C80/C71</f>
        <v>1.2345733041575493</v>
      </c>
      <c r="D77" s="25">
        <f>-D80/D71</f>
        <v>1.2232614884099227</v>
      </c>
      <c r="E77" s="25">
        <f>-E80/E71</f>
        <v>1.2381535947712419</v>
      </c>
      <c r="F77" s="25">
        <f>-F80/F71</f>
        <v>1.272763262074426</v>
      </c>
      <c r="G77" s="25">
        <f>-G80/G71</f>
        <v>1.2425396172051864</v>
      </c>
      <c r="H77" s="25">
        <f>-H80/H71</f>
        <v>1.2050748752079867</v>
      </c>
      <c r="I77" s="25">
        <f>-I80/I71</f>
        <v>1.3003649635036496</v>
      </c>
      <c r="J77" s="76">
        <v>1.29</v>
      </c>
      <c r="K77" s="112" t="s">
        <v>328</v>
      </c>
    </row>
    <row r="78">
      <c r="A78" s="1"/>
      <c r="B78" s="4" t="s">
        <v>114</v>
      </c>
      <c r="C78" s="1"/>
      <c r="D78" s="1"/>
      <c r="E78" s="1"/>
      <c r="F78" s="1"/>
      <c r="G78" s="1"/>
      <c r="H78" s="54">
        <f>(H77-C77)*10000</f>
        <v>-294.9842894956256</v>
      </c>
      <c r="I78" s="54">
        <f>(I77-D77)*10000</f>
        <v>771.0347509372695</v>
      </c>
      <c r="J78" s="57">
        <f>(J77-E77)*10000</f>
        <v>518.4640522875816</v>
      </c>
      <c r="K78" s="1"/>
    </row>
    <row r="79">
      <c r="A79" s="1"/>
      <c r="B79" s="4" t="s">
        <v>115</v>
      </c>
      <c r="C79" s="1"/>
      <c r="D79" s="54">
        <f>(D77-C77)*10000</f>
        <v>-113.1181574762663</v>
      </c>
      <c r="E79" s="54">
        <f>(E77-D77)*10000</f>
        <v>148.92106361319213</v>
      </c>
      <c r="F79" s="54">
        <f>(F77-E77)*10000</f>
        <v>346.09667303184153</v>
      </c>
      <c r="G79" s="1"/>
      <c r="H79" s="54">
        <f>(H77-F77)*10000</f>
        <v>-676.8838686643929</v>
      </c>
      <c r="I79" s="54">
        <f>(I77-H77)*10000</f>
        <v>952.9008829566288</v>
      </c>
      <c r="J79" s="57">
        <f>(J77-I77)*10000</f>
        <v>-103.64963503649571</v>
      </c>
      <c r="K79" s="1"/>
    </row>
    <row r="80">
      <c r="A80" s="1"/>
      <c r="B80" s="1" t="s">
        <v>329</v>
      </c>
      <c r="C80" s="28">
        <v>-2821</v>
      </c>
      <c r="D80" s="28">
        <v>-3008</v>
      </c>
      <c r="E80" s="28">
        <v>-3031</v>
      </c>
      <c r="F80" s="28">
        <v>-3215</v>
      </c>
      <c r="G80" s="21">
        <f>SUM(C80:F80)</f>
        <v>-12075</v>
      </c>
      <c r="H80" s="28">
        <v>-2897</v>
      </c>
      <c r="I80" s="28">
        <v>-3563</v>
      </c>
      <c r="J80" s="29">
        <f>-J71*J77</f>
        <v>-3574.0224</v>
      </c>
      <c r="K80" s="1"/>
    </row>
    <row r="81">
      <c r="A81" s="1"/>
      <c r="B81" s="4" t="s">
        <v>254</v>
      </c>
      <c r="C81" s="1"/>
      <c r="D81" s="1"/>
      <c r="E81" s="1"/>
      <c r="F81" s="1"/>
      <c r="G81" s="1"/>
      <c r="H81" s="25" t="str">
        <f>IF(OR(C80&lt;=0,H80&lt;=0),"n/m",H80/C80-1)</f>
        <v>n/m</v>
      </c>
      <c r="I81" s="25" t="str">
        <f>IF(OR(D80&lt;=0,I80&lt;=0),"n/m",I80/D80-1)</f>
        <v>n/m</v>
      </c>
      <c r="J81" s="33" t="str">
        <f>IF(OR(E80&lt;=0,J80&lt;=0),"n/m",J80/E80-1)</f>
        <v>n/m</v>
      </c>
      <c r="K81" s="1"/>
    </row>
    <row r="82">
      <c r="A82" s="1"/>
      <c r="B82" s="4" t="s">
        <v>71</v>
      </c>
      <c r="C82" s="1"/>
      <c r="D82" s="34">
        <f>D80-C80</f>
        <v>-187</v>
      </c>
      <c r="E82" s="34">
        <f>E80-D80</f>
        <v>-23</v>
      </c>
      <c r="F82" s="34">
        <f>F80-E80</f>
        <v>-184</v>
      </c>
      <c r="G82" s="1"/>
      <c r="H82" s="34">
        <f>H80-F80</f>
        <v>318</v>
      </c>
      <c r="I82" s="34">
        <f>I80-H80</f>
        <v>-666</v>
      </c>
      <c r="J82" s="39">
        <f>J80-I80</f>
        <v>-11.022399999999834</v>
      </c>
      <c r="K82" s="1"/>
    </row>
    <row r="83">
      <c r="A83" s="1"/>
      <c r="B83" s="4" t="s">
        <v>74</v>
      </c>
      <c r="C83" s="1"/>
      <c r="D83" s="1"/>
      <c r="E83" s="1"/>
      <c r="F83" s="1"/>
      <c r="G83" s="1"/>
      <c r="H83" s="30" t="s">
        <v>48</v>
      </c>
      <c r="I83" s="30" t="s">
        <v>48</v>
      </c>
      <c r="J83" s="40" t="s">
        <v>48</v>
      </c>
      <c r="K83" s="24" t="s">
        <v>255</v>
      </c>
    </row>
    <row r="84">
      <c r="A84" s="1"/>
      <c r="B84" s="4" t="s">
        <v>76</v>
      </c>
      <c r="C84" s="1"/>
      <c r="D84" s="1"/>
      <c r="E84" s="1"/>
      <c r="F84" s="1"/>
      <c r="G84" s="1"/>
      <c r="H84" s="30" t="s">
        <v>48</v>
      </c>
      <c r="I84" s="30" t="s">
        <v>48</v>
      </c>
      <c r="J84" s="40" t="s">
        <v>48</v>
      </c>
      <c r="K84" s="24" t="s">
        <v>255</v>
      </c>
    </row>
    <row r="85" ht="27.75">
      <c r="A85" s="1"/>
      <c r="B85" s="4" t="s">
        <v>77</v>
      </c>
      <c r="C85" s="1"/>
      <c r="D85" s="1"/>
      <c r="E85" s="1"/>
      <c r="F85" s="1"/>
      <c r="G85" s="1"/>
      <c r="H85" s="30" t="s">
        <v>48</v>
      </c>
      <c r="I85" s="30" t="s">
        <v>48</v>
      </c>
      <c r="J85" s="40" t="s">
        <v>48</v>
      </c>
      <c r="K85" s="112" t="s">
        <v>78</v>
      </c>
    </row>
    <row r="86">
      <c r="A86" s="1"/>
      <c r="B86" s="1" t="s">
        <v>330</v>
      </c>
      <c r="C86" s="28">
        <v>96</v>
      </c>
      <c r="D86" s="28">
        <v>103</v>
      </c>
      <c r="E86" s="28">
        <v>114</v>
      </c>
      <c r="F86" s="28">
        <v>114</v>
      </c>
      <c r="G86" s="21">
        <f>SUM(C86:F86)</f>
        <v>427</v>
      </c>
      <c r="H86" s="28">
        <v>112</v>
      </c>
      <c r="I86" s="28">
        <v>160</v>
      </c>
      <c r="J86" s="55">
        <v>150</v>
      </c>
      <c r="K86" s="1"/>
    </row>
    <row r="87">
      <c r="A87" s="1"/>
      <c r="B87" s="4" t="s">
        <v>70</v>
      </c>
      <c r="C87" s="1"/>
      <c r="D87" s="1"/>
      <c r="E87" s="1"/>
      <c r="F87" s="1"/>
      <c r="G87" s="1"/>
      <c r="H87" s="25">
        <f>IFERROR(H86/C86-1,"n/m")</f>
        <v>0.16666666666666674</v>
      </c>
      <c r="I87" s="25">
        <f>IFERROR(I86/D86-1,"n/m")</f>
        <v>0.5533980582524272</v>
      </c>
      <c r="J87" s="33">
        <f>IFERROR(J86/E86-1,"n/m")</f>
        <v>0.3157894736842106</v>
      </c>
      <c r="K87" s="1"/>
    </row>
    <row r="88">
      <c r="A88" s="1"/>
      <c r="B88" s="4" t="s">
        <v>71</v>
      </c>
      <c r="C88" s="1"/>
      <c r="D88" s="34">
        <f>D86-C86</f>
        <v>7</v>
      </c>
      <c r="E88" s="34">
        <f>E86-D86</f>
        <v>11</v>
      </c>
      <c r="F88" s="34">
        <f>F86-E86</f>
        <v>0</v>
      </c>
      <c r="G88" s="1"/>
      <c r="H88" s="34">
        <f>H86-F86</f>
        <v>-2</v>
      </c>
      <c r="I88" s="34">
        <f>I86-H86</f>
        <v>48</v>
      </c>
      <c r="J88" s="39">
        <f>J86-I86</f>
        <v>-10</v>
      </c>
      <c r="K88" s="1"/>
    </row>
    <row r="89">
      <c r="A89" s="1"/>
      <c r="B89" s="4" t="s">
        <v>74</v>
      </c>
      <c r="C89" s="1"/>
      <c r="D89" s="1"/>
      <c r="E89" s="1"/>
      <c r="F89" s="1"/>
      <c r="G89" s="1"/>
      <c r="H89" s="30" t="s">
        <v>48</v>
      </c>
      <c r="I89" s="30" t="s">
        <v>48</v>
      </c>
      <c r="J89" s="40" t="s">
        <v>48</v>
      </c>
      <c r="K89" s="24" t="s">
        <v>137</v>
      </c>
    </row>
    <row r="90">
      <c r="A90" s="1"/>
      <c r="B90" s="4" t="s">
        <v>76</v>
      </c>
      <c r="C90" s="1"/>
      <c r="D90" s="1"/>
      <c r="E90" s="1"/>
      <c r="F90" s="1"/>
      <c r="G90" s="1"/>
      <c r="H90" s="30" t="s">
        <v>48</v>
      </c>
      <c r="I90" s="30" t="s">
        <v>48</v>
      </c>
      <c r="J90" s="40" t="s">
        <v>48</v>
      </c>
      <c r="K90" s="24" t="s">
        <v>137</v>
      </c>
    </row>
    <row r="91" ht="27.75">
      <c r="A91" s="1"/>
      <c r="B91" s="4" t="s">
        <v>77</v>
      </c>
      <c r="C91" s="1"/>
      <c r="D91" s="1"/>
      <c r="E91" s="1"/>
      <c r="F91" s="1"/>
      <c r="G91" s="1"/>
      <c r="H91" s="30" t="s">
        <v>48</v>
      </c>
      <c r="I91" s="30" t="s">
        <v>48</v>
      </c>
      <c r="J91" s="40" t="s">
        <v>48</v>
      </c>
      <c r="K91" s="112" t="s">
        <v>78</v>
      </c>
    </row>
    <row r="92">
      <c r="A92" s="1"/>
      <c r="B92" s="22" t="s">
        <v>160</v>
      </c>
      <c r="C92" s="27">
        <f>C71+C80+C86</f>
        <v>-440</v>
      </c>
      <c r="D92" s="27">
        <f>D71+D80+D86</f>
        <v>-446</v>
      </c>
      <c r="E92" s="27">
        <f>E71+E80+E86</f>
        <v>-469</v>
      </c>
      <c r="F92" s="27">
        <f>F71+F80+F86</f>
        <v>-575</v>
      </c>
      <c r="G92" s="27">
        <f>G71+G80+G86</f>
        <v>-1930</v>
      </c>
      <c r="H92" s="27">
        <f>H71+H80+H86</f>
        <v>-381</v>
      </c>
      <c r="I92" s="27">
        <f>I71+I80+I86</f>
        <v>-663</v>
      </c>
      <c r="J92" s="32">
        <f>J71+J80+J86</f>
        <v>-653.4623999999999</v>
      </c>
      <c r="K92" s="1"/>
    </row>
    <row r="93">
      <c r="A93" s="1"/>
      <c r="B93" s="4" t="s">
        <v>254</v>
      </c>
      <c r="C93" s="1"/>
      <c r="D93" s="1"/>
      <c r="E93" s="1"/>
      <c r="F93" s="1"/>
      <c r="G93" s="1"/>
      <c r="H93" s="25" t="str">
        <f>IF(OR(C92&lt;=0,H92&lt;=0),"n/m",H92/C92-1)</f>
        <v>n/m</v>
      </c>
      <c r="I93" s="25" t="str">
        <f>IF(OR(D92&lt;=0,I92&lt;=0),"n/m",I92/D92-1)</f>
        <v>n/m</v>
      </c>
      <c r="J93" s="33" t="str">
        <f>IF(OR(E92&lt;=0,J92&lt;=0),"n/m",J92/E92-1)</f>
        <v>n/m</v>
      </c>
      <c r="K93" s="1"/>
    </row>
    <row r="94">
      <c r="A94" s="1"/>
      <c r="B94" s="4" t="s">
        <v>71</v>
      </c>
      <c r="C94" s="1"/>
      <c r="D94" s="34">
        <f>D92-C92</f>
        <v>-6</v>
      </c>
      <c r="E94" s="34">
        <f>E92-D92</f>
        <v>-23</v>
      </c>
      <c r="F94" s="34">
        <f>F92-E92</f>
        <v>-106</v>
      </c>
      <c r="G94" s="1"/>
      <c r="H94" s="34">
        <f>H92-F92</f>
        <v>194</v>
      </c>
      <c r="I94" s="34">
        <f>I92-H92</f>
        <v>-282</v>
      </c>
      <c r="J94" s="39">
        <f>J92-I92</f>
        <v>9.537600000000111</v>
      </c>
      <c r="K94" s="1"/>
    </row>
    <row r="95">
      <c r="A95" s="1"/>
      <c r="B95" s="4" t="s">
        <v>74</v>
      </c>
      <c r="C95" s="1"/>
      <c r="D95" s="1"/>
      <c r="E95" s="1"/>
      <c r="F95" s="1"/>
      <c r="G95" s="1"/>
      <c r="H95" s="30" t="s">
        <v>48</v>
      </c>
      <c r="I95" s="30" t="s">
        <v>48</v>
      </c>
      <c r="J95" s="40" t="s">
        <v>48</v>
      </c>
      <c r="K95" s="24" t="s">
        <v>331</v>
      </c>
    </row>
    <row r="96">
      <c r="A96" s="1"/>
      <c r="B96" s="4" t="s">
        <v>76</v>
      </c>
      <c r="C96" s="1"/>
      <c r="D96" s="1"/>
      <c r="E96" s="1"/>
      <c r="F96" s="1"/>
      <c r="G96" s="1"/>
      <c r="H96" s="30" t="s">
        <v>48</v>
      </c>
      <c r="I96" s="30" t="s">
        <v>48</v>
      </c>
      <c r="J96" s="40" t="s">
        <v>48</v>
      </c>
      <c r="K96" s="24" t="s">
        <v>331</v>
      </c>
    </row>
    <row r="97" ht="27.75">
      <c r="A97" s="1"/>
      <c r="B97" s="4" t="s">
        <v>77</v>
      </c>
      <c r="C97" s="1"/>
      <c r="D97" s="1"/>
      <c r="E97" s="1"/>
      <c r="F97" s="1"/>
      <c r="G97" s="1"/>
      <c r="H97" s="30" t="s">
        <v>48</v>
      </c>
      <c r="I97" s="30" t="s">
        <v>48</v>
      </c>
      <c r="J97" s="40" t="s">
        <v>48</v>
      </c>
      <c r="K97" s="112" t="s">
        <v>78</v>
      </c>
    </row>
    <row r="98">
      <c r="A98" s="1"/>
      <c r="B98" s="1" t="s">
        <v>332</v>
      </c>
      <c r="C98" s="28">
        <v>23</v>
      </c>
      <c r="D98" s="28">
        <v>-1</v>
      </c>
      <c r="E98" s="28">
        <v>1</v>
      </c>
      <c r="F98" s="28">
        <v>-4</v>
      </c>
      <c r="G98" s="21">
        <f>SUM(C98:F98)</f>
        <v>19</v>
      </c>
      <c r="H98" s="28">
        <v>22</v>
      </c>
      <c r="I98" s="28">
        <v>4</v>
      </c>
      <c r="J98" s="55">
        <v>5</v>
      </c>
      <c r="K98" s="1"/>
    </row>
    <row r="99">
      <c r="A99" s="1"/>
      <c r="B99" s="4" t="s">
        <v>254</v>
      </c>
      <c r="C99" s="1"/>
      <c r="D99" s="1"/>
      <c r="E99" s="1"/>
      <c r="F99" s="1"/>
      <c r="G99" s="1"/>
      <c r="H99" s="25">
        <f>IF(OR(C98&lt;=0,H98&lt;=0),"n/m",H98/C98-1)</f>
        <v>-0.04347826086956519</v>
      </c>
      <c r="I99" s="25" t="str">
        <f>IF(OR(D98&lt;=0,I98&lt;=0),"n/m",I98/D98-1)</f>
        <v>n/m</v>
      </c>
      <c r="J99" s="33">
        <f>IF(OR(E98&lt;=0,J98&lt;=0),"n/m",J98/E98-1)</f>
        <v>4</v>
      </c>
      <c r="K99" s="1"/>
    </row>
    <row r="100">
      <c r="A100" s="1"/>
      <c r="B100" s="4" t="s">
        <v>71</v>
      </c>
      <c r="C100" s="1"/>
      <c r="D100" s="34">
        <f>D98-C98</f>
        <v>-24</v>
      </c>
      <c r="E100" s="34">
        <f>E98-D98</f>
        <v>2</v>
      </c>
      <c r="F100" s="34">
        <f>F98-E98</f>
        <v>-5</v>
      </c>
      <c r="G100" s="1"/>
      <c r="H100" s="34">
        <f>H98-F98</f>
        <v>26</v>
      </c>
      <c r="I100" s="34">
        <f>I98-H98</f>
        <v>-18</v>
      </c>
      <c r="J100" s="39">
        <f>J98-I98</f>
        <v>1</v>
      </c>
      <c r="K100" s="1"/>
    </row>
    <row r="101">
      <c r="A101" s="1"/>
      <c r="B101" s="4" t="s">
        <v>74</v>
      </c>
      <c r="C101" s="1"/>
      <c r="D101" s="1"/>
      <c r="E101" s="1"/>
      <c r="F101" s="1"/>
      <c r="G101" s="1"/>
      <c r="H101" s="30" t="s">
        <v>48</v>
      </c>
      <c r="I101" s="30" t="s">
        <v>48</v>
      </c>
      <c r="J101" s="40" t="s">
        <v>48</v>
      </c>
      <c r="K101" s="24" t="s">
        <v>255</v>
      </c>
    </row>
    <row r="102">
      <c r="A102" s="1"/>
      <c r="B102" s="4" t="s">
        <v>76</v>
      </c>
      <c r="C102" s="1"/>
      <c r="D102" s="1"/>
      <c r="E102" s="1"/>
      <c r="F102" s="1"/>
      <c r="G102" s="1"/>
      <c r="H102" s="30" t="s">
        <v>48</v>
      </c>
      <c r="I102" s="30" t="s">
        <v>48</v>
      </c>
      <c r="J102" s="40" t="s">
        <v>48</v>
      </c>
      <c r="K102" s="24" t="s">
        <v>255</v>
      </c>
    </row>
    <row r="103" ht="27.75">
      <c r="A103" s="1"/>
      <c r="B103" s="4" t="s">
        <v>77</v>
      </c>
      <c r="C103" s="1"/>
      <c r="D103" s="1"/>
      <c r="E103" s="1"/>
      <c r="F103" s="1"/>
      <c r="G103" s="1"/>
      <c r="H103" s="30" t="s">
        <v>48</v>
      </c>
      <c r="I103" s="30" t="s">
        <v>48</v>
      </c>
      <c r="J103" s="40" t="s">
        <v>48</v>
      </c>
      <c r="K103" s="112" t="s">
        <v>78</v>
      </c>
    </row>
    <row r="104">
      <c r="A104" s="1"/>
      <c r="B104" s="22" t="s">
        <v>60</v>
      </c>
      <c r="C104" s="27">
        <f>C92+C98</f>
        <v>-417</v>
      </c>
      <c r="D104" s="27">
        <f>D92+D98</f>
        <v>-447</v>
      </c>
      <c r="E104" s="27">
        <f>E92+E98</f>
        <v>-468</v>
      </c>
      <c r="F104" s="27">
        <f>F92+F98</f>
        <v>-579</v>
      </c>
      <c r="G104" s="27">
        <f>G92+G98</f>
        <v>-1911</v>
      </c>
      <c r="H104" s="27">
        <f>H92+H98</f>
        <v>-359</v>
      </c>
      <c r="I104" s="27">
        <f>I92+I98</f>
        <v>-659</v>
      </c>
      <c r="J104" s="32">
        <f>J92+J98</f>
        <v>-648.4623999999999</v>
      </c>
      <c r="K104" s="1"/>
    </row>
    <row r="105">
      <c r="A105" s="1"/>
      <c r="B105" s="4" t="s">
        <v>254</v>
      </c>
      <c r="C105" s="1"/>
      <c r="D105" s="1"/>
      <c r="E105" s="1"/>
      <c r="F105" s="1"/>
      <c r="G105" s="1"/>
      <c r="H105" s="25" t="str">
        <f>IF(OR(C104&lt;=0,H104&lt;=0),"n/m",H104/C104-1)</f>
        <v>n/m</v>
      </c>
      <c r="I105" s="25" t="str">
        <f>IF(OR(D104&lt;=0,I104&lt;=0),"n/m",I104/D104-1)</f>
        <v>n/m</v>
      </c>
      <c r="J105" s="33" t="str">
        <f>IF(OR(E104&lt;=0,J104&lt;=0),"n/m",J104/E104-1)</f>
        <v>n/m</v>
      </c>
      <c r="K105" s="1"/>
    </row>
    <row r="106">
      <c r="A106" s="1"/>
      <c r="B106" s="4" t="s">
        <v>71</v>
      </c>
      <c r="C106" s="1"/>
      <c r="D106" s="34">
        <f>D104-C104</f>
        <v>-30</v>
      </c>
      <c r="E106" s="34">
        <f>E104-D104</f>
        <v>-21</v>
      </c>
      <c r="F106" s="34">
        <f>F104-E104</f>
        <v>-111</v>
      </c>
      <c r="G106" s="1"/>
      <c r="H106" s="34">
        <f>H104-F104</f>
        <v>220</v>
      </c>
      <c r="I106" s="34">
        <f>I104-H104</f>
        <v>-300</v>
      </c>
      <c r="J106" s="39">
        <f>J104-I104</f>
        <v>10.537600000000111</v>
      </c>
      <c r="K106" s="1"/>
    </row>
    <row r="107">
      <c r="A107" s="1"/>
      <c r="B107" s="4" t="s">
        <v>74</v>
      </c>
      <c r="C107" s="1"/>
      <c r="D107" s="1"/>
      <c r="E107" s="1"/>
      <c r="F107" s="1"/>
      <c r="G107" s="1"/>
      <c r="H107" s="30" t="s">
        <v>48</v>
      </c>
      <c r="I107" s="30" t="s">
        <v>48</v>
      </c>
      <c r="J107" s="40" t="s">
        <v>48</v>
      </c>
      <c r="K107" s="24" t="s">
        <v>331</v>
      </c>
    </row>
    <row r="108">
      <c r="A108" s="1"/>
      <c r="B108" s="4" t="s">
        <v>76</v>
      </c>
      <c r="C108" s="1"/>
      <c r="D108" s="1"/>
      <c r="E108" s="1"/>
      <c r="F108" s="1"/>
      <c r="G108" s="1"/>
      <c r="H108" s="30" t="s">
        <v>48</v>
      </c>
      <c r="I108" s="30" t="s">
        <v>48</v>
      </c>
      <c r="J108" s="40" t="s">
        <v>48</v>
      </c>
      <c r="K108" s="24" t="s">
        <v>331</v>
      </c>
    </row>
    <row r="109" ht="27.75">
      <c r="A109" s="1"/>
      <c r="B109" s="4" t="s">
        <v>77</v>
      </c>
      <c r="C109" s="1"/>
      <c r="D109" s="1"/>
      <c r="E109" s="1"/>
      <c r="F109" s="1"/>
      <c r="G109" s="1"/>
      <c r="H109" s="30" t="s">
        <v>48</v>
      </c>
      <c r="I109" s="30" t="s">
        <v>48</v>
      </c>
      <c r="J109" s="40" t="s">
        <v>48</v>
      </c>
      <c r="K109" s="112" t="s">
        <v>78</v>
      </c>
    </row>
    <row r="110">
      <c r="A110" s="1"/>
      <c r="B110" s="4" t="s">
        <v>333</v>
      </c>
      <c r="C110" s="1"/>
      <c r="D110" s="1"/>
      <c r="E110" s="1"/>
      <c r="F110" s="1"/>
      <c r="G110" s="1"/>
      <c r="H110" s="1"/>
      <c r="I110" s="1"/>
      <c r="J110" s="39">
        <f>I104</f>
        <v>-659</v>
      </c>
      <c r="K110" s="1"/>
    </row>
    <row r="111">
      <c r="A111" s="1"/>
      <c r="B111" s="22" t="s">
        <v>334</v>
      </c>
      <c r="C111" s="27">
        <f>C62+C104</f>
        <v>4567</v>
      </c>
      <c r="D111" s="27">
        <f>D62+D104</f>
        <v>4471</v>
      </c>
      <c r="E111" s="27">
        <f>E62+E104</f>
        <v>4656</v>
      </c>
      <c r="F111" s="27">
        <f>F62+F104</f>
        <v>4564</v>
      </c>
      <c r="G111" s="27">
        <f>G62+G104</f>
        <v>18258</v>
      </c>
      <c r="H111" s="27">
        <f>H62+H104</f>
        <v>4757</v>
      </c>
      <c r="I111" s="27">
        <f>I62+I104</f>
        <v>4521</v>
      </c>
      <c r="J111" s="32">
        <f>J62+J104</f>
        <v>4724.690476712329</v>
      </c>
      <c r="K111" s="1"/>
    </row>
    <row r="112">
      <c r="A112" s="1"/>
      <c r="B112" s="4" t="s">
        <v>70</v>
      </c>
      <c r="C112" s="1"/>
      <c r="D112" s="1"/>
      <c r="E112" s="1"/>
      <c r="F112" s="1"/>
      <c r="G112" s="1"/>
      <c r="H112" s="25">
        <f>IFERROR(H111/C111-1,"n/m")</f>
        <v>0.04160280271513028</v>
      </c>
      <c r="I112" s="25">
        <f>IFERROR(I111/D111-1,"n/m")</f>
        <v>0.011183180496533218</v>
      </c>
      <c r="J112" s="33">
        <f>IFERROR(J111/E111-1,"n/m")</f>
        <v>0.01475310925952078</v>
      </c>
      <c r="K112" s="1"/>
    </row>
    <row r="113">
      <c r="A113" s="1"/>
      <c r="B113" s="4" t="s">
        <v>71</v>
      </c>
      <c r="C113" s="1"/>
      <c r="D113" s="34">
        <f>D111-C111</f>
        <v>-96</v>
      </c>
      <c r="E113" s="34">
        <f>E111-D111</f>
        <v>185</v>
      </c>
      <c r="F113" s="34">
        <f>F111-E111</f>
        <v>-92</v>
      </c>
      <c r="G113" s="1"/>
      <c r="H113" s="34">
        <f>H111-F111</f>
        <v>193</v>
      </c>
      <c r="I113" s="34">
        <f>I111-H111</f>
        <v>-236</v>
      </c>
      <c r="J113" s="39">
        <f>J111-I111</f>
        <v>203.69047671232875</v>
      </c>
      <c r="K113" s="1"/>
    </row>
    <row r="114">
      <c r="A114" s="1"/>
      <c r="B114" s="4" t="s">
        <v>72</v>
      </c>
      <c r="C114" s="1"/>
      <c r="D114" s="25">
        <f>IFERROR(D111/C111-1,"n/m")</f>
        <v>-0.021020363477118442</v>
      </c>
      <c r="E114" s="25">
        <f>IFERROR(E111/D111-1,"n/m")</f>
        <v>0.04137776783717295</v>
      </c>
      <c r="F114" s="25">
        <f>IFERROR(F111/E111-1,"n/m")</f>
        <v>-0.019759450171821347</v>
      </c>
      <c r="G114" s="1"/>
      <c r="H114" s="25">
        <f>IFERROR(H111/F111-1,"n/m")</f>
        <v>0.042287467134092926</v>
      </c>
      <c r="I114" s="25">
        <f>IFERROR(I111/H111-1,"n/m")</f>
        <v>-0.04961109943241537</v>
      </c>
      <c r="J114" s="33">
        <f>IFERROR(J111/I111-1,"n/m")</f>
        <v>0.045054296994542886</v>
      </c>
      <c r="K114" s="1"/>
    </row>
    <row r="115">
      <c r="A115" s="1"/>
      <c r="B115" s="4" t="s">
        <v>74</v>
      </c>
      <c r="C115" s="1"/>
      <c r="D115" s="1"/>
      <c r="E115" s="1"/>
      <c r="F115" s="1"/>
      <c r="G115" s="1"/>
      <c r="H115" s="30" t="s">
        <v>48</v>
      </c>
      <c r="I115" s="30" t="s">
        <v>48</v>
      </c>
      <c r="J115" s="40" t="s">
        <v>48</v>
      </c>
      <c r="K115" s="24" t="s">
        <v>137</v>
      </c>
    </row>
    <row r="116">
      <c r="A116" s="1"/>
      <c r="B116" s="4" t="s">
        <v>76</v>
      </c>
      <c r="C116" s="1"/>
      <c r="D116" s="1"/>
      <c r="E116" s="1"/>
      <c r="F116" s="1"/>
      <c r="G116" s="1"/>
      <c r="H116" s="30" t="s">
        <v>48</v>
      </c>
      <c r="I116" s="30" t="s">
        <v>48</v>
      </c>
      <c r="J116" s="40" t="s">
        <v>48</v>
      </c>
      <c r="K116" s="24" t="s">
        <v>137</v>
      </c>
    </row>
    <row r="117" ht="27.75">
      <c r="A117" s="1"/>
      <c r="B117" s="4" t="s">
        <v>77</v>
      </c>
      <c r="C117" s="1"/>
      <c r="D117" s="1"/>
      <c r="E117" s="1"/>
      <c r="F117" s="1"/>
      <c r="G117" s="1"/>
      <c r="H117" s="30" t="s">
        <v>48</v>
      </c>
      <c r="I117" s="30" t="s">
        <v>48</v>
      </c>
      <c r="J117" s="40" t="s">
        <v>48</v>
      </c>
      <c r="K117" s="112" t="s">
        <v>78</v>
      </c>
    </row>
    <row r="118">
      <c r="A118" s="1"/>
      <c r="B118" s="4" t="s">
        <v>335</v>
      </c>
      <c r="C118" s="58">
        <f>C111*365/C8/(C55*1000)</f>
        <v>0.11024834656084656</v>
      </c>
      <c r="D118" s="58">
        <f>D111*365/D8/(D55*1000)</f>
        <v>0.1066179064692739</v>
      </c>
      <c r="E118" s="58">
        <f>E111*365/E8/(E55*1000)</f>
        <v>0.1083411959709295</v>
      </c>
      <c r="F118" s="58">
        <f>F111*365/F8/(F55*1000)</f>
        <v>0.10509096873501729</v>
      </c>
      <c r="G118" s="58">
        <f>G111*365/G8/(G55*1000)</f>
        <v>0.10754940788008484</v>
      </c>
      <c r="H118" s="58">
        <f>H111*365/H8/(H55*1000)</f>
        <v>0.11262275410261399</v>
      </c>
      <c r="I118" s="58">
        <f>I111*365/I8/(I55*1000)</f>
        <v>0.10245017694170236</v>
      </c>
      <c r="J118" s="79">
        <f>J111*365/J8/(J55*1000)</f>
        <v>0.1028797799837732</v>
      </c>
      <c r="K118" s="1"/>
    </row>
    <row r="119">
      <c r="A119" s="1"/>
      <c r="B119" s="4" t="s">
        <v>114</v>
      </c>
      <c r="C119" s="1"/>
      <c r="D119" s="1"/>
      <c r="E119" s="1"/>
      <c r="F119" s="1"/>
      <c r="G119" s="1"/>
      <c r="H119" s="54">
        <f>(H118-C118)*10000</f>
        <v>23.744075417674317</v>
      </c>
      <c r="I119" s="54">
        <f>(I118-D118)*10000</f>
        <v>-41.67729527571537</v>
      </c>
      <c r="J119" s="57">
        <f>(J118-E118)*10000</f>
        <v>-54.61415987156298</v>
      </c>
      <c r="K119" s="1"/>
    </row>
    <row r="120">
      <c r="A120" s="1"/>
      <c r="B120" s="4" t="s">
        <v>115</v>
      </c>
      <c r="C120" s="1"/>
      <c r="D120" s="54">
        <f>(D118-C118)*10000</f>
        <v>-36.304400915726646</v>
      </c>
      <c r="E120" s="54">
        <f>(E118-D118)*10000</f>
        <v>17.23289501655609</v>
      </c>
      <c r="F120" s="54">
        <f>(F118-E118)*10000</f>
        <v>-32.502272359122145</v>
      </c>
      <c r="G120" s="1"/>
      <c r="H120" s="54">
        <f>(H118-F118)*10000</f>
        <v>75.31785367596703</v>
      </c>
      <c r="I120" s="54">
        <f>(I118-H118)*10000</f>
        <v>-101.72577160911634</v>
      </c>
      <c r="J120" s="57">
        <f>(J118-I118)*10000</f>
        <v>4.296030420708474</v>
      </c>
      <c r="K120" s="1"/>
    </row>
    <row r="121">
      <c r="A121" s="1"/>
      <c r="B121" s="22" t="s">
        <v>336</v>
      </c>
      <c r="C121" s="1"/>
      <c r="D121" s="1"/>
      <c r="E121" s="1"/>
      <c r="F121" s="1"/>
      <c r="G121" s="1"/>
      <c r="H121" s="1"/>
      <c r="I121" s="1"/>
      <c r="J121" s="31"/>
      <c r="K121" s="1"/>
    </row>
    <row r="122">
      <c r="A122" s="1"/>
      <c r="B122" s="4" t="s">
        <v>337</v>
      </c>
      <c r="C122" s="58">
        <f>C151*365/C8/(C55*1000)</f>
        <v>0.04716997354497354</v>
      </c>
      <c r="D122" s="58">
        <f>D151*365/D8/(D55*1000)</f>
        <v>0.04425918908677529</v>
      </c>
      <c r="E122" s="58">
        <f>E151*365/E8/(E55*1000)</f>
        <v>0.0405116027030473</v>
      </c>
      <c r="F122" s="58">
        <f>F151*365/F8/(F55*1000)</f>
        <v>0.040042330111786824</v>
      </c>
      <c r="G122" s="58">
        <f>G151*365/G8/(G55*1000)</f>
        <v>0.04294200807568291</v>
      </c>
      <c r="H122" s="58">
        <f>H151*365/H8/(H55*1000)</f>
        <v>0.04124213530518259</v>
      </c>
      <c r="I122" s="58">
        <f>I151*365/I8/(I55*1000)</f>
        <v>0.04192276649903768</v>
      </c>
      <c r="J122" s="78">
        <v>0.0405</v>
      </c>
      <c r="K122" s="24" t="s">
        <v>338</v>
      </c>
    </row>
    <row r="123">
      <c r="A123" s="1"/>
      <c r="B123" s="4" t="s">
        <v>114</v>
      </c>
      <c r="C123" s="1"/>
      <c r="D123" s="1"/>
      <c r="E123" s="1"/>
      <c r="F123" s="1"/>
      <c r="G123" s="1"/>
      <c r="H123" s="54">
        <f>(H122-C122)*10000</f>
        <v>-59.27838239790956</v>
      </c>
      <c r="I123" s="54">
        <f>(I122-D122)*10000</f>
        <v>-23.364225877376132</v>
      </c>
      <c r="J123" s="57">
        <f>(J122-E122)*10000</f>
        <v>-0.11602703047300378</v>
      </c>
      <c r="K123" s="1"/>
    </row>
    <row r="124">
      <c r="A124" s="1"/>
      <c r="B124" s="4" t="s">
        <v>115</v>
      </c>
      <c r="C124" s="1"/>
      <c r="D124" s="54">
        <f>(D122-C122)*10000</f>
        <v>-29.107844581982498</v>
      </c>
      <c r="E124" s="54">
        <f>(E122-D122)*10000</f>
        <v>-37.47586383727991</v>
      </c>
      <c r="F124" s="54">
        <f>(F122-E122)*10000</f>
        <v>-4.692725912604779</v>
      </c>
      <c r="G124" s="1"/>
      <c r="H124" s="54">
        <f>(H122-F122)*10000</f>
        <v>11.99805193395763</v>
      </c>
      <c r="I124" s="54">
        <f>(I122-H122)*10000</f>
        <v>6.806311938550927</v>
      </c>
      <c r="J124" s="57">
        <f>(J122-I122)*10000</f>
        <v>-14.227664990376782</v>
      </c>
      <c r="K124" s="1"/>
    </row>
    <row r="125">
      <c r="A125" s="1"/>
      <c r="B125" s="4" t="s">
        <v>339</v>
      </c>
      <c r="C125" s="80">
        <v>0.0445</v>
      </c>
      <c r="D125" s="80">
        <v>0.042</v>
      </c>
      <c r="E125" s="80">
        <v>0.0385</v>
      </c>
      <c r="F125" s="80">
        <v>0.0378</v>
      </c>
      <c r="G125" s="30" t="s">
        <v>48</v>
      </c>
      <c r="H125" s="80">
        <v>0.0387</v>
      </c>
      <c r="I125" s="80">
        <v>0.0401</v>
      </c>
      <c r="J125" s="40" t="s">
        <v>48</v>
      </c>
      <c r="K125" s="1"/>
    </row>
    <row r="126">
      <c r="A126" s="1"/>
      <c r="B126" s="4" t="s">
        <v>114</v>
      </c>
      <c r="C126" s="1"/>
      <c r="D126" s="1"/>
      <c r="E126" s="1"/>
      <c r="F126" s="1"/>
      <c r="G126" s="1"/>
      <c r="H126" s="54">
        <f>(H125-C125)*10000</f>
        <v>-57.99999999999999</v>
      </c>
      <c r="I126" s="54">
        <f>(I125-D125)*10000</f>
        <v>-19.000000000000057</v>
      </c>
      <c r="J126" s="40" t="s">
        <v>48</v>
      </c>
      <c r="K126" s="1"/>
    </row>
    <row r="127">
      <c r="A127" s="1"/>
      <c r="B127" s="4" t="s">
        <v>115</v>
      </c>
      <c r="C127" s="1"/>
      <c r="D127" s="54">
        <f>(D125-C125)*10000</f>
        <v>-24.999999999999954</v>
      </c>
      <c r="E127" s="54">
        <f>(E125-D125)*10000</f>
        <v>-35.00000000000003</v>
      </c>
      <c r="F127" s="54">
        <f>(F125-E125)*10000</f>
        <v>-6.999999999999992</v>
      </c>
      <c r="G127" s="1"/>
      <c r="H127" s="54">
        <f>(H125-F125)*10000</f>
        <v>8.99999999999998</v>
      </c>
      <c r="I127" s="54">
        <f>(I125-H125)*10000</f>
        <v>13.999999999999984</v>
      </c>
      <c r="J127" s="40" t="s">
        <v>48</v>
      </c>
      <c r="K127" s="1"/>
    </row>
    <row r="128">
      <c r="A128" s="1"/>
      <c r="B128" s="4" t="s">
        <v>340</v>
      </c>
      <c r="C128" s="80">
        <v>0.0571</v>
      </c>
      <c r="D128" s="80">
        <v>0.0518</v>
      </c>
      <c r="E128" s="80">
        <v>0.0467</v>
      </c>
      <c r="F128" s="80">
        <v>0.0477</v>
      </c>
      <c r="G128" s="30" t="s">
        <v>48</v>
      </c>
      <c r="H128" s="80">
        <v>0.0505</v>
      </c>
      <c r="I128" s="80">
        <v>0.0479</v>
      </c>
      <c r="J128" s="40" t="s">
        <v>48</v>
      </c>
      <c r="K128" s="1"/>
    </row>
    <row r="129">
      <c r="A129" s="1"/>
      <c r="B129" s="4" t="s">
        <v>114</v>
      </c>
      <c r="C129" s="1"/>
      <c r="D129" s="1"/>
      <c r="E129" s="1"/>
      <c r="F129" s="1"/>
      <c r="G129" s="1"/>
      <c r="H129" s="54">
        <f>(H128-C128)*10000</f>
        <v>-65.99999999999994</v>
      </c>
      <c r="I129" s="54">
        <f>(I128-D128)*10000</f>
        <v>-39.00000000000001</v>
      </c>
      <c r="J129" s="40" t="s">
        <v>48</v>
      </c>
      <c r="K129" s="1"/>
    </row>
    <row r="130">
      <c r="A130" s="1"/>
      <c r="B130" s="4" t="s">
        <v>115</v>
      </c>
      <c r="C130" s="1"/>
      <c r="D130" s="54">
        <f>(D128-C128)*10000</f>
        <v>-52.99999999999999</v>
      </c>
      <c r="E130" s="54">
        <f>(E128-D128)*10000</f>
        <v>-51.00000000000001</v>
      </c>
      <c r="F130" s="54">
        <f>(F128-E128)*10000</f>
        <v>10.000000000000009</v>
      </c>
      <c r="G130" s="1"/>
      <c r="H130" s="54">
        <f>(H128-F128)*10000</f>
        <v>28.00000000000004</v>
      </c>
      <c r="I130" s="54">
        <f>(I128-H128)*10000</f>
        <v>-26.00000000000005</v>
      </c>
      <c r="J130" s="40" t="s">
        <v>48</v>
      </c>
      <c r="K130" s="1"/>
    </row>
    <row r="131">
      <c r="A131" s="1"/>
      <c r="B131" s="4" t="s">
        <v>341</v>
      </c>
      <c r="C131" s="80">
        <v>0.0619</v>
      </c>
      <c r="D131" s="80">
        <v>0.0629</v>
      </c>
      <c r="E131" s="80">
        <v>0.0643</v>
      </c>
      <c r="F131" s="80">
        <v>0.06</v>
      </c>
      <c r="G131" s="30" t="s">
        <v>48</v>
      </c>
      <c r="H131" s="80">
        <v>0.0619</v>
      </c>
      <c r="I131" s="80">
        <v>0.0654</v>
      </c>
      <c r="J131" s="40" t="s">
        <v>48</v>
      </c>
      <c r="K131" s="1"/>
    </row>
    <row r="132">
      <c r="A132" s="1"/>
      <c r="B132" s="4" t="s">
        <v>114</v>
      </c>
      <c r="C132" s="1"/>
      <c r="D132" s="1"/>
      <c r="E132" s="1"/>
      <c r="F132" s="1"/>
      <c r="G132" s="1"/>
      <c r="H132" s="54">
        <f>(H131-C131)*10000</f>
        <v>0</v>
      </c>
      <c r="I132" s="54">
        <f>(I131-D131)*10000</f>
        <v>25.00000000000002</v>
      </c>
      <c r="J132" s="40" t="s">
        <v>48</v>
      </c>
      <c r="K132" s="1"/>
    </row>
    <row r="133">
      <c r="A133" s="1"/>
      <c r="B133" s="4" t="s">
        <v>115</v>
      </c>
      <c r="C133" s="1"/>
      <c r="D133" s="54">
        <f>(D131-C131)*10000</f>
        <v>10.000000000000009</v>
      </c>
      <c r="E133" s="54">
        <f>(E131-D131)*10000</f>
        <v>13.999999999999984</v>
      </c>
      <c r="F133" s="54">
        <f>(F131-E131)*10000</f>
        <v>-42.999999999999986</v>
      </c>
      <c r="G133" s="1"/>
      <c r="H133" s="54">
        <f>(H131-F131)*10000</f>
        <v>18.99999999999999</v>
      </c>
      <c r="I133" s="54">
        <f>(I131-H131)*10000</f>
        <v>35.00000000000003</v>
      </c>
      <c r="J133" s="40" t="s">
        <v>48</v>
      </c>
      <c r="K133" s="1"/>
    </row>
    <row r="134">
      <c r="A134" s="1"/>
      <c r="B134" s="4" t="s">
        <v>342</v>
      </c>
      <c r="C134" s="80">
        <v>0.0142</v>
      </c>
      <c r="D134" s="80">
        <v>0.013</v>
      </c>
      <c r="E134" s="80">
        <v>0.0127</v>
      </c>
      <c r="F134" s="80">
        <v>0.0132</v>
      </c>
      <c r="G134" s="58">
        <f>F134</f>
        <v>0.0132</v>
      </c>
      <c r="H134" s="80">
        <v>0.0139</v>
      </c>
      <c r="I134" s="80">
        <v>0.0121</v>
      </c>
      <c r="J134" s="40" t="s">
        <v>48</v>
      </c>
      <c r="K134" s="1"/>
    </row>
    <row r="135">
      <c r="A135" s="1"/>
      <c r="B135" s="4" t="s">
        <v>114</v>
      </c>
      <c r="C135" s="1"/>
      <c r="D135" s="1"/>
      <c r="E135" s="1"/>
      <c r="F135" s="1"/>
      <c r="G135" s="1"/>
      <c r="H135" s="54">
        <f>(H134-C134)*10000</f>
        <v>-3.0000000000000164</v>
      </c>
      <c r="I135" s="54">
        <f>(I134-D134)*10000</f>
        <v>-8.999999999999998</v>
      </c>
      <c r="J135" s="40" t="s">
        <v>48</v>
      </c>
      <c r="K135" s="1"/>
    </row>
    <row r="136">
      <c r="A136" s="1"/>
      <c r="B136" s="4" t="s">
        <v>115</v>
      </c>
      <c r="C136" s="1"/>
      <c r="D136" s="54">
        <f>(D134-C134)*10000</f>
        <v>-12.000000000000014</v>
      </c>
      <c r="E136" s="54">
        <f>(E134-D134)*10000</f>
        <v>-2.999999999999999</v>
      </c>
      <c r="F136" s="54">
        <f>(F134-E134)*10000</f>
        <v>5.000000000000004</v>
      </c>
      <c r="G136" s="1"/>
      <c r="H136" s="54">
        <f>(H134-F134)*10000</f>
        <v>6.999999999999992</v>
      </c>
      <c r="I136" s="54">
        <f>(I134-H134)*10000</f>
        <v>-17.999999999999996</v>
      </c>
      <c r="J136" s="40" t="s">
        <v>48</v>
      </c>
      <c r="K136" s="1"/>
    </row>
    <row r="137">
      <c r="A137" s="1"/>
      <c r="B137" s="4" t="s">
        <v>343</v>
      </c>
      <c r="C137" s="80">
        <v>0.0223</v>
      </c>
      <c r="D137" s="80">
        <v>0.02</v>
      </c>
      <c r="E137" s="80">
        <v>0.0208</v>
      </c>
      <c r="F137" s="80">
        <v>0.0213</v>
      </c>
      <c r="G137" s="58">
        <f>F137</f>
        <v>0.0213</v>
      </c>
      <c r="H137" s="80">
        <v>0.0215</v>
      </c>
      <c r="I137" s="80">
        <v>0.0192</v>
      </c>
      <c r="J137" s="40" t="s">
        <v>48</v>
      </c>
      <c r="K137" s="1"/>
    </row>
    <row r="138">
      <c r="A138" s="1"/>
      <c r="B138" s="4" t="s">
        <v>114</v>
      </c>
      <c r="C138" s="1"/>
      <c r="D138" s="1"/>
      <c r="E138" s="1"/>
      <c r="F138" s="1"/>
      <c r="G138" s="1"/>
      <c r="H138" s="54">
        <f>(H137-C137)*10000</f>
        <v>-8.000000000000021</v>
      </c>
      <c r="I138" s="54">
        <f>(I137-D137)*10000</f>
        <v>-8.000000000000021</v>
      </c>
      <c r="J138" s="40" t="s">
        <v>48</v>
      </c>
      <c r="K138" s="1"/>
    </row>
    <row r="139">
      <c r="A139" s="1"/>
      <c r="B139" s="4" t="s">
        <v>115</v>
      </c>
      <c r="C139" s="1"/>
      <c r="D139" s="54">
        <f>(D137-C137)*10000</f>
        <v>-23</v>
      </c>
      <c r="E139" s="54">
        <f>(E137-D137)*10000</f>
        <v>7.999999999999987</v>
      </c>
      <c r="F139" s="54">
        <f>(F137-E137)*10000</f>
        <v>5.000000000000004</v>
      </c>
      <c r="G139" s="1"/>
      <c r="H139" s="54">
        <f>(H137-F137)*10000</f>
        <v>1.999999999999988</v>
      </c>
      <c r="I139" s="54">
        <f>(I137-H137)*10000</f>
        <v>-23</v>
      </c>
      <c r="J139" s="40" t="s">
        <v>48</v>
      </c>
      <c r="K139" s="1"/>
    </row>
    <row r="140">
      <c r="A140" s="1"/>
      <c r="B140" s="4" t="s">
        <v>344</v>
      </c>
      <c r="C140" s="80">
        <v>0.0121</v>
      </c>
      <c r="D140" s="80">
        <v>0.0112</v>
      </c>
      <c r="E140" s="80">
        <v>0.0121</v>
      </c>
      <c r="F140" s="80">
        <v>0.0123</v>
      </c>
      <c r="G140" s="58">
        <f>F140</f>
        <v>0.0123</v>
      </c>
      <c r="H140" s="80">
        <v>0.012</v>
      </c>
      <c r="I140" s="80">
        <v>0.0117</v>
      </c>
      <c r="J140" s="40" t="s">
        <v>48</v>
      </c>
      <c r="K140" s="1"/>
    </row>
    <row r="141">
      <c r="A141" s="1"/>
      <c r="B141" s="4" t="s">
        <v>114</v>
      </c>
      <c r="C141" s="1"/>
      <c r="D141" s="1"/>
      <c r="E141" s="1"/>
      <c r="F141" s="1"/>
      <c r="G141" s="1"/>
      <c r="H141" s="54">
        <f>(H140-C140)*10000</f>
        <v>-0.999999999999994</v>
      </c>
      <c r="I141" s="54">
        <f>(I140-D140)*10000</f>
        <v>5.000000000000004</v>
      </c>
      <c r="J141" s="40" t="s">
        <v>48</v>
      </c>
      <c r="K141" s="1"/>
    </row>
    <row r="142">
      <c r="A142" s="1"/>
      <c r="B142" s="4" t="s">
        <v>115</v>
      </c>
      <c r="C142" s="1"/>
      <c r="D142" s="54">
        <f>(D140-C140)*10000</f>
        <v>-8.999999999999998</v>
      </c>
      <c r="E142" s="54">
        <f>(E140-D140)*10000</f>
        <v>8.999999999999998</v>
      </c>
      <c r="F142" s="54">
        <f>(F140-E140)*10000</f>
        <v>2.0000000000000053</v>
      </c>
      <c r="G142" s="1"/>
      <c r="H142" s="54">
        <f>(H140-F140)*10000</f>
        <v>-2.999999999999999</v>
      </c>
      <c r="I142" s="54">
        <f>(I140-H140)*10000</f>
        <v>-2.999999999999999</v>
      </c>
      <c r="J142" s="40" t="s">
        <v>48</v>
      </c>
      <c r="K142" s="1"/>
    </row>
    <row r="143">
      <c r="A143" s="1"/>
      <c r="B143" s="4" t="s">
        <v>345</v>
      </c>
      <c r="C143" s="80">
        <v>0.0204</v>
      </c>
      <c r="D143" s="80">
        <v>0.0189</v>
      </c>
      <c r="E143" s="80">
        <v>0.0207</v>
      </c>
      <c r="F143" s="80">
        <v>0.0199</v>
      </c>
      <c r="G143" s="58">
        <f>F143</f>
        <v>0.0199</v>
      </c>
      <c r="H143" s="80">
        <v>0.0198</v>
      </c>
      <c r="I143" s="80">
        <v>0.0184</v>
      </c>
      <c r="J143" s="40" t="s">
        <v>48</v>
      </c>
      <c r="K143" s="1"/>
    </row>
    <row r="144">
      <c r="A144" s="1"/>
      <c r="B144" s="4" t="s">
        <v>114</v>
      </c>
      <c r="C144" s="1"/>
      <c r="D144" s="1"/>
      <c r="E144" s="1"/>
      <c r="F144" s="1"/>
      <c r="G144" s="1"/>
      <c r="H144" s="54">
        <f>(H143-C143)*10000</f>
        <v>-5.999999999999998</v>
      </c>
      <c r="I144" s="54">
        <f>(I143-D143)*10000</f>
        <v>-5.000000000000004</v>
      </c>
      <c r="J144" s="40" t="s">
        <v>48</v>
      </c>
      <c r="K144" s="1"/>
    </row>
    <row r="145">
      <c r="A145" s="1"/>
      <c r="B145" s="4" t="s">
        <v>115</v>
      </c>
      <c r="C145" s="1"/>
      <c r="D145" s="54">
        <f>(D143-C143)*10000</f>
        <v>-15.000000000000014</v>
      </c>
      <c r="E145" s="54">
        <f>(E143-D143)*10000</f>
        <v>17.999999999999996</v>
      </c>
      <c r="F145" s="54">
        <f>(F143-E143)*10000</f>
        <v>-7.999999999999987</v>
      </c>
      <c r="G145" s="1"/>
      <c r="H145" s="54">
        <f>(H143-F143)*10000</f>
        <v>-0.999999999999994</v>
      </c>
      <c r="I145" s="54">
        <f>(I143-H143)*10000</f>
        <v>-14.00000000000002</v>
      </c>
      <c r="J145" s="40" t="s">
        <v>48</v>
      </c>
      <c r="K145" s="1"/>
    </row>
    <row r="146">
      <c r="A146" s="1"/>
      <c r="B146" s="22" t="s">
        <v>174</v>
      </c>
      <c r="C146" s="1"/>
      <c r="D146" s="1"/>
      <c r="E146" s="1"/>
      <c r="F146" s="1"/>
      <c r="G146" s="1"/>
      <c r="H146" s="1"/>
      <c r="I146" s="1"/>
      <c r="J146" s="31"/>
      <c r="K146" s="1"/>
    </row>
    <row r="147">
      <c r="A147" s="1"/>
      <c r="B147" s="22" t="s">
        <v>90</v>
      </c>
      <c r="C147" s="27">
        <f>C111</f>
        <v>4567</v>
      </c>
      <c r="D147" s="27">
        <f>D111</f>
        <v>4471</v>
      </c>
      <c r="E147" s="27">
        <f>E111</f>
        <v>4656</v>
      </c>
      <c r="F147" s="27">
        <f>F111</f>
        <v>4564</v>
      </c>
      <c r="G147" s="27">
        <f>G111</f>
        <v>18258</v>
      </c>
      <c r="H147" s="27">
        <f>H111</f>
        <v>4757</v>
      </c>
      <c r="I147" s="27">
        <f>I111</f>
        <v>4521</v>
      </c>
      <c r="J147" s="32">
        <f>J111</f>
        <v>4724.690476712329</v>
      </c>
      <c r="K147" s="1"/>
    </row>
    <row r="148">
      <c r="A148" s="1"/>
      <c r="B148" s="22" t="s">
        <v>175</v>
      </c>
      <c r="C148" s="47">
        <v>1691</v>
      </c>
      <c r="D148" s="47">
        <v>1626</v>
      </c>
      <c r="E148" s="47">
        <v>1644</v>
      </c>
      <c r="F148" s="47">
        <v>1794</v>
      </c>
      <c r="G148" s="27">
        <f>SUM(C148:F148)</f>
        <v>6755</v>
      </c>
      <c r="H148" s="47">
        <v>1711</v>
      </c>
      <c r="I148" s="47">
        <v>1794</v>
      </c>
      <c r="J148" s="83">
        <v>1850</v>
      </c>
      <c r="K148" s="1"/>
    </row>
    <row r="149">
      <c r="A149" s="1"/>
      <c r="B149" s="4" t="s">
        <v>108</v>
      </c>
      <c r="C149" s="1"/>
      <c r="D149" s="1"/>
      <c r="E149" s="1"/>
      <c r="F149" s="1"/>
      <c r="G149" s="1"/>
      <c r="H149" s="25">
        <f>IFERROR(H148/C148-1,"n/m")</f>
        <v>0.011827321111768097</v>
      </c>
      <c r="I149" s="25">
        <f>IFERROR(I148/D148-1,"n/m")</f>
        <v>0.10332103321033204</v>
      </c>
      <c r="J149" s="33">
        <f>IFERROR(J148/E148-1,"n/m")</f>
        <v>0.12530413625304138</v>
      </c>
      <c r="K149" s="1"/>
    </row>
    <row r="150">
      <c r="A150" s="1"/>
      <c r="B150" s="4" t="s">
        <v>71</v>
      </c>
      <c r="C150" s="1"/>
      <c r="D150" s="34">
        <f>D148-C148</f>
        <v>-65</v>
      </c>
      <c r="E150" s="34">
        <f>E148-D148</f>
        <v>18</v>
      </c>
      <c r="F150" s="34">
        <f>F148-E148</f>
        <v>150</v>
      </c>
      <c r="G150" s="1"/>
      <c r="H150" s="34">
        <f>H148-F148</f>
        <v>-83</v>
      </c>
      <c r="I150" s="34">
        <f>I148-H148</f>
        <v>83</v>
      </c>
      <c r="J150" s="39">
        <f>J148-I148</f>
        <v>56</v>
      </c>
      <c r="K150" s="1"/>
    </row>
    <row r="151">
      <c r="A151" s="1"/>
      <c r="B151" s="1" t="s">
        <v>176</v>
      </c>
      <c r="C151" s="28">
        <v>1954</v>
      </c>
      <c r="D151" s="28">
        <v>1856</v>
      </c>
      <c r="E151" s="28">
        <v>1741</v>
      </c>
      <c r="F151" s="28">
        <v>1739</v>
      </c>
      <c r="G151" s="21">
        <f>SUM(C151:F151)</f>
        <v>7290</v>
      </c>
      <c r="H151" s="28">
        <v>1742</v>
      </c>
      <c r="I151" s="28">
        <v>1850</v>
      </c>
      <c r="J151" s="29">
        <f>J55*1000*J122*J8/365</f>
        <v>1859.9375342465755</v>
      </c>
      <c r="K151" s="1"/>
    </row>
    <row r="152">
      <c r="A152" s="1"/>
      <c r="B152" s="4" t="s">
        <v>108</v>
      </c>
      <c r="C152" s="1"/>
      <c r="D152" s="1"/>
      <c r="E152" s="1"/>
      <c r="F152" s="1"/>
      <c r="G152" s="1"/>
      <c r="H152" s="25">
        <f>IFERROR(H151/C151-1,"n/m")</f>
        <v>-0.10849539406345954</v>
      </c>
      <c r="I152" s="25">
        <f>IFERROR(I151/D151-1,"n/m")</f>
        <v>-0.003232758620689613</v>
      </c>
      <c r="J152" s="33">
        <f>IFERROR(J151/E151-1,"n/m")</f>
        <v>0.06831564287568948</v>
      </c>
      <c r="K152" s="1"/>
    </row>
    <row r="153">
      <c r="A153" s="1"/>
      <c r="B153" s="4" t="s">
        <v>71</v>
      </c>
      <c r="C153" s="1"/>
      <c r="D153" s="34">
        <f>D151-C151</f>
        <v>-98</v>
      </c>
      <c r="E153" s="34">
        <f>E151-D151</f>
        <v>-115</v>
      </c>
      <c r="F153" s="34">
        <f>F151-E151</f>
        <v>-2</v>
      </c>
      <c r="G153" s="1"/>
      <c r="H153" s="34">
        <f>H151-F151</f>
        <v>3</v>
      </c>
      <c r="I153" s="34">
        <f>I151-H151</f>
        <v>108</v>
      </c>
      <c r="J153" s="39">
        <f>J151-I151</f>
        <v>9.937534246575524</v>
      </c>
      <c r="K153" s="1"/>
    </row>
    <row r="154">
      <c r="A154" s="1"/>
      <c r="B154" s="1" t="s">
        <v>177</v>
      </c>
      <c r="C154" s="28">
        <v>-174</v>
      </c>
      <c r="D154" s="28">
        <v>-5</v>
      </c>
      <c r="E154" s="28">
        <v>55</v>
      </c>
      <c r="F154" s="28">
        <v>-117</v>
      </c>
      <c r="G154" s="21">
        <f>SUM(C154:F154)</f>
        <v>-241</v>
      </c>
      <c r="H154" s="28">
        <v>76</v>
      </c>
      <c r="I154" s="28">
        <v>40</v>
      </c>
      <c r="J154" s="55">
        <v>60</v>
      </c>
      <c r="K154" s="1"/>
    </row>
    <row r="155">
      <c r="A155" s="1"/>
      <c r="B155" s="4" t="s">
        <v>87</v>
      </c>
      <c r="C155" s="1"/>
      <c r="D155" s="1"/>
      <c r="E155" s="1"/>
      <c r="F155" s="1"/>
      <c r="G155" s="1"/>
      <c r="H155" s="25" t="str">
        <f>IF(OR(C154&lt;=0,H154&lt;=0),"n/m",H154/C154-1)</f>
        <v>n/m</v>
      </c>
      <c r="I155" s="25" t="str">
        <f>IF(OR(D154&lt;=0,I154&lt;=0),"n/m",I154/D154-1)</f>
        <v>n/m</v>
      </c>
      <c r="J155" s="33">
        <f>IF(OR(E154&lt;=0,J154&lt;=0),"n/m",J154/E154-1)</f>
        <v>0.09090909090909083</v>
      </c>
      <c r="K155" s="1"/>
    </row>
    <row r="156">
      <c r="A156" s="1"/>
      <c r="B156" s="4" t="s">
        <v>71</v>
      </c>
      <c r="C156" s="1"/>
      <c r="D156" s="34">
        <f>D154-C154</f>
        <v>169</v>
      </c>
      <c r="E156" s="34">
        <f>E154-D154</f>
        <v>60</v>
      </c>
      <c r="F156" s="34">
        <f>F154-E154</f>
        <v>-172</v>
      </c>
      <c r="G156" s="1"/>
      <c r="H156" s="34">
        <f>H154-F154</f>
        <v>193</v>
      </c>
      <c r="I156" s="34">
        <f>I154-H154</f>
        <v>-36</v>
      </c>
      <c r="J156" s="39">
        <f>J154-I154</f>
        <v>20</v>
      </c>
      <c r="K156" s="1"/>
    </row>
    <row r="157">
      <c r="A157" s="1"/>
      <c r="B157" s="1" t="s">
        <v>178</v>
      </c>
      <c r="C157" s="28">
        <v>0</v>
      </c>
      <c r="D157" s="28">
        <v>0</v>
      </c>
      <c r="E157" s="28">
        <v>0</v>
      </c>
      <c r="F157" s="28">
        <v>0</v>
      </c>
      <c r="G157" s="21">
        <f>SUM(C157:F157)</f>
        <v>0</v>
      </c>
      <c r="H157" s="28">
        <v>272</v>
      </c>
      <c r="I157" s="28">
        <v>-272</v>
      </c>
      <c r="J157" s="55">
        <v>0</v>
      </c>
      <c r="K157" s="1"/>
    </row>
    <row r="158">
      <c r="A158" s="1"/>
      <c r="B158" s="1" t="s">
        <v>179</v>
      </c>
      <c r="C158" s="28">
        <v>3</v>
      </c>
      <c r="D158" s="28">
        <v>1</v>
      </c>
      <c r="E158" s="28">
        <v>3</v>
      </c>
      <c r="F158" s="28">
        <v>2</v>
      </c>
      <c r="G158" s="21">
        <f>SUM(C158:F158)</f>
        <v>9</v>
      </c>
      <c r="H158" s="28">
        <v>2</v>
      </c>
      <c r="I158" s="28">
        <v>0</v>
      </c>
      <c r="J158" s="55">
        <v>2</v>
      </c>
      <c r="K158" s="1"/>
    </row>
    <row r="159">
      <c r="A159" s="1"/>
      <c r="B159" s="22" t="s">
        <v>180</v>
      </c>
      <c r="C159" s="27">
        <f>C151+C154+C157+C158</f>
        <v>1783</v>
      </c>
      <c r="D159" s="27">
        <f>D151+D154+D157+D158</f>
        <v>1852</v>
      </c>
      <c r="E159" s="27">
        <f>E151+E154+E157+E158</f>
        <v>1799</v>
      </c>
      <c r="F159" s="27">
        <f>F151+F154+F157+F158</f>
        <v>1624</v>
      </c>
      <c r="G159" s="27">
        <f>G151+G154+G157+G158</f>
        <v>7058</v>
      </c>
      <c r="H159" s="27">
        <f>H151+H154+H157+H158</f>
        <v>2092</v>
      </c>
      <c r="I159" s="27">
        <f>I151+I154+I157+I158</f>
        <v>1618</v>
      </c>
      <c r="J159" s="32">
        <f>J151+J154+J157+J158</f>
        <v>1921.9375342465755</v>
      </c>
      <c r="K159" s="1"/>
    </row>
    <row r="160">
      <c r="A160" s="1"/>
      <c r="B160" s="22" t="s">
        <v>181</v>
      </c>
      <c r="C160" s="27">
        <f>C147-C148-C159</f>
        <v>1093</v>
      </c>
      <c r="D160" s="27">
        <f>D147-D148-D159</f>
        <v>993</v>
      </c>
      <c r="E160" s="27">
        <f>E147-E148-E159</f>
        <v>1213</v>
      </c>
      <c r="F160" s="27">
        <f>F147-F148-F159</f>
        <v>1146</v>
      </c>
      <c r="G160" s="27">
        <f>G147-G148-G159</f>
        <v>4445</v>
      </c>
      <c r="H160" s="27">
        <f>H147-H148-H159</f>
        <v>954</v>
      </c>
      <c r="I160" s="27">
        <f>I147-I148-I159</f>
        <v>1109</v>
      </c>
      <c r="J160" s="32">
        <f>J147-J148-J159</f>
        <v>952.7529424657532</v>
      </c>
      <c r="K160" s="1"/>
    </row>
    <row r="161">
      <c r="A161" s="1"/>
      <c r="B161" s="4" t="s">
        <v>108</v>
      </c>
      <c r="C161" s="1"/>
      <c r="D161" s="1"/>
      <c r="E161" s="1"/>
      <c r="F161" s="1"/>
      <c r="G161" s="1"/>
      <c r="H161" s="25">
        <f>IFERROR(H160/C160-1,"n/m")</f>
        <v>-0.1271729185727356</v>
      </c>
      <c r="I161" s="25">
        <f>IFERROR(I160/D160-1,"n/m")</f>
        <v>0.11681772406847934</v>
      </c>
      <c r="J161" s="33">
        <f>IFERROR(J160/E160-1,"n/m")</f>
        <v>-0.21454827496640294</v>
      </c>
      <c r="K161" s="1"/>
    </row>
    <row r="162" ht="27.75">
      <c r="A162" s="1"/>
      <c r="B162" s="1" t="s">
        <v>182</v>
      </c>
      <c r="C162" s="28">
        <v>255</v>
      </c>
      <c r="D162" s="28">
        <v>235</v>
      </c>
      <c r="E162" s="28">
        <v>284</v>
      </c>
      <c r="F162" s="28">
        <v>262</v>
      </c>
      <c r="G162" s="21">
        <f>SUM(C162:F162)</f>
        <v>1036</v>
      </c>
      <c r="H162" s="28">
        <v>222</v>
      </c>
      <c r="I162" s="28">
        <v>257</v>
      </c>
      <c r="J162" s="61" t="s">
        <v>48</v>
      </c>
      <c r="K162" s="112" t="s">
        <v>183</v>
      </c>
    </row>
    <row r="163">
      <c r="A163" s="1"/>
      <c r="B163" s="22" t="s">
        <v>184</v>
      </c>
      <c r="C163" s="27">
        <f>C160-C162</f>
        <v>838</v>
      </c>
      <c r="D163" s="27">
        <f>D160-D162</f>
        <v>758</v>
      </c>
      <c r="E163" s="27">
        <f>E160-E162</f>
        <v>929</v>
      </c>
      <c r="F163" s="27">
        <f>F160-F162</f>
        <v>884</v>
      </c>
      <c r="G163" s="27">
        <f>G160-G162</f>
        <v>3409</v>
      </c>
      <c r="H163" s="27">
        <f>H160-H162</f>
        <v>732</v>
      </c>
      <c r="I163" s="27">
        <f>I160-I162</f>
        <v>852</v>
      </c>
      <c r="J163" s="67" t="s">
        <v>48</v>
      </c>
      <c r="K163" s="1"/>
    </row>
    <row r="164">
      <c r="A164" s="1"/>
      <c r="B164" s="1" t="s">
        <v>185</v>
      </c>
      <c r="C164" s="28">
        <v>0</v>
      </c>
      <c r="D164" s="28">
        <v>0</v>
      </c>
      <c r="E164" s="28">
        <v>0</v>
      </c>
      <c r="F164" s="28">
        <v>0</v>
      </c>
      <c r="G164" s="21">
        <f>SUM(C164:F164)</f>
        <v>0</v>
      </c>
      <c r="H164" s="28">
        <v>0</v>
      </c>
      <c r="I164" s="28">
        <v>0</v>
      </c>
      <c r="J164" s="61" t="s">
        <v>48</v>
      </c>
      <c r="K164" s="1"/>
    </row>
    <row r="165">
      <c r="A165" s="1"/>
      <c r="B165" s="22" t="s">
        <v>186</v>
      </c>
      <c r="C165" s="27">
        <f>C163-C164</f>
        <v>838</v>
      </c>
      <c r="D165" s="27">
        <f>D163-D164</f>
        <v>758</v>
      </c>
      <c r="E165" s="27">
        <f>E163-E164</f>
        <v>929</v>
      </c>
      <c r="F165" s="27">
        <f>F163-F164</f>
        <v>884</v>
      </c>
      <c r="G165" s="27">
        <f>G163-G164</f>
        <v>3409</v>
      </c>
      <c r="H165" s="27">
        <f>H163-H164</f>
        <v>732</v>
      </c>
      <c r="I165" s="27">
        <f>I163-I164</f>
        <v>852</v>
      </c>
      <c r="J165" s="67" t="s">
        <v>48</v>
      </c>
      <c r="K165" s="1"/>
    </row>
    <row r="166">
      <c r="A166" s="1"/>
      <c r="B166" s="22" t="s">
        <v>187</v>
      </c>
      <c r="C166" s="1"/>
      <c r="D166" s="1"/>
      <c r="E166" s="1"/>
      <c r="F166" s="1"/>
      <c r="G166" s="1"/>
      <c r="H166" s="1"/>
      <c r="I166" s="1"/>
      <c r="J166" s="31"/>
      <c r="K166" s="1"/>
    </row>
    <row r="167">
      <c r="A167" s="1"/>
      <c r="B167" s="4" t="s">
        <v>188</v>
      </c>
      <c r="C167" s="25">
        <f>C148/C147</f>
        <v>0.3702649441646595</v>
      </c>
      <c r="D167" s="25">
        <f>D148/D147</f>
        <v>0.3636770297472601</v>
      </c>
      <c r="E167" s="25">
        <f>E148/E147</f>
        <v>0.35309278350515466</v>
      </c>
      <c r="F167" s="25">
        <f>F148/F147</f>
        <v>0.39307624890446974</v>
      </c>
      <c r="G167" s="25">
        <f>G148/G147</f>
        <v>0.369974805564684</v>
      </c>
      <c r="H167" s="25">
        <f>H148/H147</f>
        <v>0.35968047088501154</v>
      </c>
      <c r="I167" s="25">
        <f>I148/I147</f>
        <v>0.39681486396814863</v>
      </c>
      <c r="J167" s="33">
        <f>J148/J147</f>
        <v>0.3915600416828407</v>
      </c>
      <c r="K167" s="1"/>
    </row>
    <row r="168">
      <c r="A168" s="1"/>
      <c r="B168" s="4" t="s">
        <v>114</v>
      </c>
      <c r="C168" s="1"/>
      <c r="D168" s="1"/>
      <c r="E168" s="1"/>
      <c r="F168" s="1"/>
      <c r="G168" s="1"/>
      <c r="H168" s="54">
        <f>(H167-C167)*10000</f>
        <v>-105.84473279647955</v>
      </c>
      <c r="I168" s="54">
        <f>(I167-D167)*10000</f>
        <v>331.37834220888504</v>
      </c>
      <c r="J168" s="57">
        <f>(J167-E167)*10000</f>
        <v>384.67258177686034</v>
      </c>
      <c r="K168" s="1"/>
    </row>
    <row r="169">
      <c r="A169" s="1"/>
      <c r="B169" s="4" t="s">
        <v>115</v>
      </c>
      <c r="C169" s="1"/>
      <c r="D169" s="54">
        <f>(D167-C167)*10000</f>
        <v>-65.87914417399365</v>
      </c>
      <c r="E169" s="54">
        <f>(E167-D167)*10000</f>
        <v>-105.84246242105466</v>
      </c>
      <c r="F169" s="54">
        <f>(F167-E167)*10000</f>
        <v>399.83465399315077</v>
      </c>
      <c r="G169" s="1"/>
      <c r="H169" s="54">
        <f>(H167-F167)*10000</f>
        <v>-333.95778019458197</v>
      </c>
      <c r="I169" s="54">
        <f>(I167-H167)*10000</f>
        <v>371.343930831371</v>
      </c>
      <c r="J169" s="57">
        <f>(J167-I167)*10000</f>
        <v>-52.548222853079366</v>
      </c>
      <c r="K169" s="1"/>
    </row>
    <row r="170">
      <c r="A170" s="1"/>
      <c r="B170" s="4" t="s">
        <v>189</v>
      </c>
      <c r="C170" s="25">
        <f>C160/C147</f>
        <v>0.23932559667177578</v>
      </c>
      <c r="D170" s="25">
        <f>D160/D147</f>
        <v>0.22209796466114964</v>
      </c>
      <c r="E170" s="25">
        <f>E160/E147</f>
        <v>0.2605240549828179</v>
      </c>
      <c r="F170" s="25">
        <f>F160/F147</f>
        <v>0.25109553023663456</v>
      </c>
      <c r="G170" s="25">
        <f>G160/G147</f>
        <v>0.24345492386898893</v>
      </c>
      <c r="H170" s="25">
        <f>H160/H147</f>
        <v>0.20054656295984866</v>
      </c>
      <c r="I170" s="25">
        <f>I160/I147</f>
        <v>0.24529971245299712</v>
      </c>
      <c r="J170" s="33">
        <f>J160/J147</f>
        <v>0.20165404425153485</v>
      </c>
      <c r="K170" s="1"/>
    </row>
    <row r="171">
      <c r="A171" s="1"/>
      <c r="B171" s="4" t="s">
        <v>114</v>
      </c>
      <c r="C171" s="1"/>
      <c r="D171" s="1"/>
      <c r="E171" s="1"/>
      <c r="F171" s="1"/>
      <c r="G171" s="1"/>
      <c r="H171" s="54">
        <f>(H170-C170)*10000</f>
        <v>-387.7903371192712</v>
      </c>
      <c r="I171" s="54">
        <f>(I170-D170)*10000</f>
        <v>232.01747791847473</v>
      </c>
      <c r="J171" s="57">
        <f>(J170-E170)*10000</f>
        <v>-588.7001073128304</v>
      </c>
      <c r="K171" s="1"/>
    </row>
    <row r="172">
      <c r="A172" s="1"/>
      <c r="B172" s="4" t="s">
        <v>115</v>
      </c>
      <c r="C172" s="1"/>
      <c r="D172" s="54">
        <f>(D170-C170)*10000</f>
        <v>-172.27632010626132</v>
      </c>
      <c r="E172" s="54">
        <f>(E170-D170)*10000</f>
        <v>384.26090321668244</v>
      </c>
      <c r="F172" s="54">
        <f>(F170-E170)*10000</f>
        <v>-94.28524746183331</v>
      </c>
      <c r="G172" s="1"/>
      <c r="H172" s="54">
        <f>(H170-F170)*10000</f>
        <v>-505.489672767859</v>
      </c>
      <c r="I172" s="54">
        <f>(I170-H170)*10000</f>
        <v>447.5314949314846</v>
      </c>
      <c r="J172" s="57">
        <f>(J170-I170)*10000</f>
        <v>-436.45668201462263</v>
      </c>
      <c r="K172" s="1"/>
    </row>
    <row r="173">
      <c r="A173" s="1"/>
      <c r="B173" s="1" t="s">
        <v>190</v>
      </c>
      <c r="C173" s="28">
        <v>20.3</v>
      </c>
      <c r="D173" s="28">
        <v>20.3</v>
      </c>
      <c r="E173" s="28">
        <v>20.3</v>
      </c>
      <c r="F173" s="28">
        <v>20.3</v>
      </c>
      <c r="G173" s="21">
        <f>SUMPRODUCT(C173:F173,C$8:F$8)/G$8</f>
        <v>20.3</v>
      </c>
      <c r="H173" s="28">
        <v>15.5</v>
      </c>
      <c r="I173" s="28">
        <v>15.5</v>
      </c>
      <c r="J173" s="61" t="s">
        <v>48</v>
      </c>
      <c r="K173" s="1"/>
    </row>
    <row r="174">
      <c r="A174" s="1"/>
      <c r="B174" s="4" t="s">
        <v>191</v>
      </c>
      <c r="C174" s="25">
        <f>C165*365/C8/(C173*1000)</f>
        <v>0.16741652983032293</v>
      </c>
      <c r="D174" s="25">
        <f>D165*365/D8/(D173*1000)</f>
        <v>0.14976993449899856</v>
      </c>
      <c r="E174" s="25">
        <f>E165*365/E8/(E173*1000)</f>
        <v>0.18156189762261726</v>
      </c>
      <c r="F174" s="25">
        <f>F165*365/F8/(F173*1000)</f>
        <v>0.1727671878346541</v>
      </c>
      <c r="G174" s="25">
        <f>G165*365/G8/(G173*1000)</f>
        <v>0.16793103448275862</v>
      </c>
      <c r="H174" s="25">
        <f>H165*365/H8/(H173*1000)</f>
        <v>0.1915268817204301</v>
      </c>
      <c r="I174" s="25">
        <f>I165*365/I8/(I173*1000)</f>
        <v>0.22047500886210564</v>
      </c>
      <c r="J174" s="40" t="s">
        <v>48</v>
      </c>
      <c r="K174" s="1"/>
    </row>
    <row r="175">
      <c r="A175" s="1"/>
      <c r="B175" s="1" t="s">
        <v>346</v>
      </c>
      <c r="C175" s="1"/>
      <c r="D175" s="1"/>
      <c r="E175" s="1"/>
      <c r="F175" s="1"/>
      <c r="G175" s="1"/>
      <c r="H175" s="1"/>
      <c r="I175" s="1"/>
      <c r="J175" s="31"/>
      <c r="K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K15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347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348</v>
      </c>
      <c r="C10" s="1"/>
      <c r="D10" s="1"/>
      <c r="E10" s="1"/>
      <c r="F10" s="1"/>
      <c r="G10" s="1"/>
      <c r="H10" s="1"/>
      <c r="I10" s="1"/>
      <c r="J10" s="31"/>
      <c r="K10" s="1"/>
    </row>
    <row r="11">
      <c r="A11" s="1"/>
      <c r="B11" s="1" t="s">
        <v>129</v>
      </c>
      <c r="C11" s="1"/>
      <c r="D11" s="21">
        <f>C13</f>
        <v>23.7</v>
      </c>
      <c r="E11" s="21">
        <f>D13</f>
        <v>25.5</v>
      </c>
      <c r="F11" s="21">
        <f>E13</f>
        <v>27.2</v>
      </c>
      <c r="G11" s="1"/>
      <c r="H11" s="21">
        <f>F13</f>
        <v>29.2</v>
      </c>
      <c r="I11" s="21">
        <f>H13</f>
        <v>30.7</v>
      </c>
      <c r="J11" s="29">
        <f>I13</f>
        <v>31.7</v>
      </c>
      <c r="K11" s="1"/>
    </row>
    <row r="12">
      <c r="A12" s="1"/>
      <c r="B12" s="1" t="s">
        <v>130</v>
      </c>
      <c r="C12" s="1"/>
      <c r="D12" s="21">
        <f>D13-D11</f>
        <v>1.8000000000000007</v>
      </c>
      <c r="E12" s="21">
        <f>E13-E11</f>
        <v>1.6999999999999993</v>
      </c>
      <c r="F12" s="21">
        <f>F13-F11</f>
        <v>2</v>
      </c>
      <c r="G12" s="1"/>
      <c r="H12" s="21">
        <f>H13-H11</f>
        <v>1.5</v>
      </c>
      <c r="I12" s="21">
        <f>I13-I11</f>
        <v>1</v>
      </c>
      <c r="J12" s="55">
        <v>0.8</v>
      </c>
      <c r="K12" s="24" t="s">
        <v>131</v>
      </c>
    </row>
    <row r="13">
      <c r="A13" s="1"/>
      <c r="B13" s="22" t="s">
        <v>349</v>
      </c>
      <c r="C13" s="47">
        <v>23.7</v>
      </c>
      <c r="D13" s="47">
        <v>25.5</v>
      </c>
      <c r="E13" s="47">
        <v>27.2</v>
      </c>
      <c r="F13" s="47">
        <v>29.2</v>
      </c>
      <c r="G13" s="27">
        <f>SUMPRODUCT(C13:F13,C$8:F$8)/G$8</f>
        <v>26.4172602739726</v>
      </c>
      <c r="H13" s="47">
        <v>30.7</v>
      </c>
      <c r="I13" s="47">
        <v>31.7</v>
      </c>
      <c r="J13" s="32">
        <f>J11+J12</f>
        <v>32.5</v>
      </c>
      <c r="K13" s="1"/>
    </row>
    <row r="14">
      <c r="A14" s="1"/>
      <c r="B14" s="4" t="s">
        <v>108</v>
      </c>
      <c r="C14" s="1"/>
      <c r="D14" s="1"/>
      <c r="E14" s="1"/>
      <c r="F14" s="1"/>
      <c r="G14" s="1"/>
      <c r="H14" s="25">
        <f>IFERROR(H13/C13-1,"n/m")</f>
        <v>0.2953586497890295</v>
      </c>
      <c r="I14" s="25">
        <f>IFERROR(I13/D13-1,"n/m")</f>
        <v>0.2431372549019608</v>
      </c>
      <c r="J14" s="33">
        <f>IFERROR(J13/E13-1,"n/m")</f>
        <v>0.19485294117647056</v>
      </c>
      <c r="K14" s="1"/>
    </row>
    <row r="15">
      <c r="A15" s="1"/>
      <c r="B15" s="4" t="s">
        <v>71</v>
      </c>
      <c r="C15" s="1"/>
      <c r="D15" s="34">
        <f>D13-C13</f>
        <v>1.8000000000000007</v>
      </c>
      <c r="E15" s="34">
        <f>E13-D13</f>
        <v>1.6999999999999993</v>
      </c>
      <c r="F15" s="34">
        <f>F13-E13</f>
        <v>2</v>
      </c>
      <c r="G15" s="1"/>
      <c r="H15" s="34">
        <f>H13-F13</f>
        <v>1.5</v>
      </c>
      <c r="I15" s="34">
        <f>I13-H13</f>
        <v>1</v>
      </c>
      <c r="J15" s="39">
        <f>J13-I13</f>
        <v>0.8000000000000007</v>
      </c>
      <c r="K15" s="1"/>
    </row>
    <row r="16">
      <c r="A16" s="1"/>
      <c r="B16" s="1" t="s">
        <v>167</v>
      </c>
      <c r="C16" s="1"/>
      <c r="D16" s="21">
        <f>C18</f>
        <v>24.1</v>
      </c>
      <c r="E16" s="21">
        <f>D18</f>
        <v>26.8</v>
      </c>
      <c r="F16" s="21">
        <f>E18</f>
        <v>28.5</v>
      </c>
      <c r="G16" s="1"/>
      <c r="H16" s="21">
        <f>F18</f>
        <v>30</v>
      </c>
      <c r="I16" s="21">
        <f>H18</f>
        <v>30.6</v>
      </c>
      <c r="J16" s="29">
        <f>I18</f>
        <v>32</v>
      </c>
      <c r="K16" s="1"/>
    </row>
    <row r="17">
      <c r="A17" s="1"/>
      <c r="B17" s="1" t="s">
        <v>168</v>
      </c>
      <c r="C17" s="1"/>
      <c r="D17" s="21">
        <f>D18-D16</f>
        <v>2.6999999999999993</v>
      </c>
      <c r="E17" s="21">
        <f>E18-E16</f>
        <v>1.6999999999999993</v>
      </c>
      <c r="F17" s="21">
        <f>F18-F16</f>
        <v>1.5</v>
      </c>
      <c r="G17" s="1"/>
      <c r="H17" s="21">
        <f>H18-H16</f>
        <v>0.6000000000000014</v>
      </c>
      <c r="I17" s="21">
        <f>I18-I16</f>
        <v>1.3999999999999986</v>
      </c>
      <c r="J17" s="55">
        <v>0.8</v>
      </c>
      <c r="K17" s="24" t="s">
        <v>169</v>
      </c>
    </row>
    <row r="18">
      <c r="A18" s="1"/>
      <c r="B18" s="22" t="s">
        <v>350</v>
      </c>
      <c r="C18" s="47">
        <v>24.1</v>
      </c>
      <c r="D18" s="47">
        <v>26.8</v>
      </c>
      <c r="E18" s="47">
        <v>28.5</v>
      </c>
      <c r="F18" s="47">
        <v>30</v>
      </c>
      <c r="G18" s="27">
        <f>F18</f>
        <v>30</v>
      </c>
      <c r="H18" s="47">
        <v>30.6</v>
      </c>
      <c r="I18" s="47">
        <v>32</v>
      </c>
      <c r="J18" s="32">
        <f>J16+J17</f>
        <v>32.8</v>
      </c>
      <c r="K18" s="1"/>
    </row>
    <row r="19">
      <c r="A19" s="1"/>
      <c r="B19" s="4" t="s">
        <v>108</v>
      </c>
      <c r="C19" s="1"/>
      <c r="D19" s="1"/>
      <c r="E19" s="1"/>
      <c r="F19" s="1"/>
      <c r="G19" s="1"/>
      <c r="H19" s="25">
        <f>IFERROR(H18/C18-1,"n/m")</f>
        <v>0.26970954356846466</v>
      </c>
      <c r="I19" s="25">
        <f>IFERROR(I18/D18-1,"n/m")</f>
        <v>0.19402985074626855</v>
      </c>
      <c r="J19" s="33">
        <f>IFERROR(J18/E18-1,"n/m")</f>
        <v>0.15087719298245594</v>
      </c>
      <c r="K19" s="1"/>
    </row>
    <row r="20">
      <c r="A20" s="1"/>
      <c r="B20" s="4" t="s">
        <v>71</v>
      </c>
      <c r="C20" s="1"/>
      <c r="D20" s="34">
        <f>D18-C18</f>
        <v>2.6999999999999993</v>
      </c>
      <c r="E20" s="34">
        <f>E18-D18</f>
        <v>1.6999999999999993</v>
      </c>
      <c r="F20" s="34">
        <f>F18-E18</f>
        <v>1.5</v>
      </c>
      <c r="G20" s="1"/>
      <c r="H20" s="34">
        <f>H18-F18</f>
        <v>0.6000000000000014</v>
      </c>
      <c r="I20" s="34">
        <f>I18-H18</f>
        <v>1.3999999999999986</v>
      </c>
      <c r="J20" s="39">
        <f>J18-I18</f>
        <v>0.7999999999999972</v>
      </c>
      <c r="K20" s="1"/>
    </row>
    <row r="21">
      <c r="A21" s="1"/>
      <c r="B21" s="1" t="s">
        <v>351</v>
      </c>
      <c r="C21" s="28">
        <v>35.3</v>
      </c>
      <c r="D21" s="28">
        <v>38.4</v>
      </c>
      <c r="E21" s="28">
        <v>40.6</v>
      </c>
      <c r="F21" s="28">
        <v>43.8</v>
      </c>
      <c r="G21" s="21">
        <f>F21</f>
        <v>43.8</v>
      </c>
      <c r="H21" s="28">
        <v>43.8</v>
      </c>
      <c r="I21" s="28">
        <v>46</v>
      </c>
      <c r="J21" s="61" t="s">
        <v>48</v>
      </c>
      <c r="K21" s="1"/>
    </row>
    <row r="22">
      <c r="A22" s="1"/>
      <c r="B22" s="4" t="s">
        <v>108</v>
      </c>
      <c r="C22" s="1"/>
      <c r="D22" s="1"/>
      <c r="E22" s="1"/>
      <c r="F22" s="1"/>
      <c r="G22" s="1"/>
      <c r="H22" s="25">
        <f>IFERROR(H21/C21-1,"n/m")</f>
        <v>0.2407932011331444</v>
      </c>
      <c r="I22" s="25">
        <f>IFERROR(I21/D21-1,"n/m")</f>
        <v>0.19791666666666674</v>
      </c>
      <c r="J22" s="40" t="s">
        <v>48</v>
      </c>
      <c r="K22" s="1"/>
    </row>
    <row r="23">
      <c r="A23" s="1"/>
      <c r="B23" s="4" t="s">
        <v>71</v>
      </c>
      <c r="C23" s="1"/>
      <c r="D23" s="34">
        <f>D21-C21</f>
        <v>3.1000000000000014</v>
      </c>
      <c r="E23" s="34">
        <f>E21-D21</f>
        <v>2.200000000000003</v>
      </c>
      <c r="F23" s="34">
        <f>F21-E21</f>
        <v>3.1999999999999957</v>
      </c>
      <c r="G23" s="1"/>
      <c r="H23" s="34">
        <f>H21-F21</f>
        <v>0</v>
      </c>
      <c r="I23" s="34">
        <f>I21-H21</f>
        <v>2.200000000000003</v>
      </c>
      <c r="J23" s="40" t="s">
        <v>48</v>
      </c>
      <c r="K23" s="1"/>
    </row>
    <row r="24">
      <c r="A24" s="1"/>
      <c r="B24" s="4" t="s">
        <v>352</v>
      </c>
      <c r="C24" s="25">
        <f>C27*365/C8/(C13*1000)</f>
        <v>0.2510337552742616</v>
      </c>
      <c r="D24" s="25">
        <f>D27*365/D8/(D13*1000)</f>
        <v>0.24160310277957336</v>
      </c>
      <c r="E24" s="25">
        <f>E27*365/E8/(E13*1000)</f>
        <v>0.2511708759590793</v>
      </c>
      <c r="F24" s="25">
        <f>F27*365/F8/(F13*1000)</f>
        <v>0.24116847826086957</v>
      </c>
      <c r="G24" s="25">
        <f>G27*365/G8/(G13*1000)</f>
        <v>0.246051253331674</v>
      </c>
      <c r="H24" s="25">
        <f>H27*365/H8/(H13*1000)</f>
        <v>0.2713391241404271</v>
      </c>
      <c r="I24" s="25">
        <f>I27*365/I8/(I13*1000)</f>
        <v>0.25192047699934134</v>
      </c>
      <c r="J24" s="76">
        <v>0.245</v>
      </c>
      <c r="K24" s="24" t="s">
        <v>353</v>
      </c>
    </row>
    <row r="25">
      <c r="A25" s="1"/>
      <c r="B25" s="4" t="s">
        <v>114</v>
      </c>
      <c r="C25" s="1"/>
      <c r="D25" s="1"/>
      <c r="E25" s="1"/>
      <c r="F25" s="1"/>
      <c r="G25" s="1"/>
      <c r="H25" s="54">
        <f>(H24-C24)*10000</f>
        <v>203.05368866165517</v>
      </c>
      <c r="I25" s="54">
        <f>(I24-D24)*10000</f>
        <v>103.17374219767972</v>
      </c>
      <c r="J25" s="57">
        <f>(J24-E24)*10000</f>
        <v>-61.70875959079281</v>
      </c>
      <c r="K25" s="1"/>
    </row>
    <row r="26">
      <c r="A26" s="1"/>
      <c r="B26" s="4" t="s">
        <v>115</v>
      </c>
      <c r="C26" s="1"/>
      <c r="D26" s="54">
        <f>(D24-C24)*10000</f>
        <v>-94.30652494688219</v>
      </c>
      <c r="E26" s="54">
        <f>(E24-D24)*10000</f>
        <v>95.67773179505912</v>
      </c>
      <c r="F26" s="54">
        <f>(F24-E24)*10000</f>
        <v>-100.02397698209708</v>
      </c>
      <c r="G26" s="1"/>
      <c r="H26" s="54">
        <f>(H24-F24)*10000</f>
        <v>301.7064587955753</v>
      </c>
      <c r="I26" s="54">
        <f>(I24-H24)*10000</f>
        <v>-194.18647141085765</v>
      </c>
      <c r="J26" s="57">
        <f>(J24-I24)*10000</f>
        <v>-69.20476999341341</v>
      </c>
      <c r="K26" s="1"/>
    </row>
    <row r="27">
      <c r="A27" s="1"/>
      <c r="B27" s="1" t="s">
        <v>354</v>
      </c>
      <c r="C27" s="28">
        <v>1467</v>
      </c>
      <c r="D27" s="28">
        <v>1536</v>
      </c>
      <c r="E27" s="28">
        <v>1722</v>
      </c>
      <c r="F27" s="28">
        <v>1775</v>
      </c>
      <c r="G27" s="21">
        <f>SUM(C27:F27)</f>
        <v>6500</v>
      </c>
      <c r="H27" s="28">
        <v>2054</v>
      </c>
      <c r="I27" s="28">
        <v>1991</v>
      </c>
      <c r="J27" s="29">
        <f>J13*1000*J24*J8/365</f>
        <v>2006.986301369863</v>
      </c>
      <c r="K27" s="24" t="s">
        <v>136</v>
      </c>
    </row>
    <row r="28">
      <c r="A28" s="1"/>
      <c r="B28" s="4" t="s">
        <v>70</v>
      </c>
      <c r="C28" s="1"/>
      <c r="D28" s="1"/>
      <c r="E28" s="1"/>
      <c r="F28" s="1"/>
      <c r="G28" s="1"/>
      <c r="H28" s="25">
        <f>IFERROR(H27/C27-1,"n/m")</f>
        <v>0.40013633265167003</v>
      </c>
      <c r="I28" s="25">
        <f>IFERROR(I27/D27-1,"n/m")</f>
        <v>0.29622395833333326</v>
      </c>
      <c r="J28" s="33">
        <f>IFERROR(J27/E27-1,"n/m")</f>
        <v>0.1654972714110703</v>
      </c>
      <c r="K28" s="1"/>
    </row>
    <row r="29">
      <c r="A29" s="1"/>
      <c r="B29" s="4" t="s">
        <v>71</v>
      </c>
      <c r="C29" s="1"/>
      <c r="D29" s="34">
        <f>D27-C27</f>
        <v>69</v>
      </c>
      <c r="E29" s="34">
        <f>E27-D27</f>
        <v>186</v>
      </c>
      <c r="F29" s="34">
        <f>F27-E27</f>
        <v>53</v>
      </c>
      <c r="G29" s="1"/>
      <c r="H29" s="34">
        <f>H27-F27</f>
        <v>279</v>
      </c>
      <c r="I29" s="34">
        <f>I27-H27</f>
        <v>-63</v>
      </c>
      <c r="J29" s="39">
        <f>J27-I27</f>
        <v>15.986301369862986</v>
      </c>
      <c r="K29" s="1"/>
    </row>
    <row r="30" ht="27.75">
      <c r="A30" s="1"/>
      <c r="B30" s="1" t="s">
        <v>92</v>
      </c>
      <c r="C30" s="1"/>
      <c r="D30" s="1"/>
      <c r="E30" s="1"/>
      <c r="F30" s="1"/>
      <c r="G30" s="1"/>
      <c r="H30" s="28">
        <v>220</v>
      </c>
      <c r="I30" s="28">
        <v>135</v>
      </c>
      <c r="J30" s="61" t="s">
        <v>48</v>
      </c>
      <c r="K30" s="112" t="s">
        <v>355</v>
      </c>
    </row>
    <row r="31">
      <c r="A31" s="1"/>
      <c r="B31" s="4" t="s">
        <v>74</v>
      </c>
      <c r="C31" s="1"/>
      <c r="D31" s="1"/>
      <c r="E31" s="1"/>
      <c r="F31" s="1"/>
      <c r="G31" s="1"/>
      <c r="H31" s="30" t="s">
        <v>48</v>
      </c>
      <c r="I31" s="30" t="s">
        <v>48</v>
      </c>
      <c r="J31" s="40" t="s">
        <v>48</v>
      </c>
      <c r="K31" s="24" t="s">
        <v>356</v>
      </c>
    </row>
    <row r="32">
      <c r="A32" s="1"/>
      <c r="B32" s="4" t="s">
        <v>76</v>
      </c>
      <c r="C32" s="1"/>
      <c r="D32" s="1"/>
      <c r="E32" s="1"/>
      <c r="F32" s="1"/>
      <c r="G32" s="1"/>
      <c r="H32" s="25">
        <f>H30/C27</f>
        <v>0.1499659168370825</v>
      </c>
      <c r="I32" s="25">
        <f>I30/D27</f>
        <v>0.087890625</v>
      </c>
      <c r="J32" s="40" t="s">
        <v>48</v>
      </c>
      <c r="K32" s="1"/>
    </row>
    <row r="33">
      <c r="A33" s="1"/>
      <c r="B33" s="4" t="s">
        <v>77</v>
      </c>
      <c r="C33" s="1"/>
      <c r="D33" s="1"/>
      <c r="E33" s="1"/>
      <c r="F33" s="1"/>
      <c r="G33" s="1"/>
      <c r="H33" s="30" t="s">
        <v>48</v>
      </c>
      <c r="I33" s="30" t="s">
        <v>48</v>
      </c>
      <c r="J33" s="40" t="s">
        <v>48</v>
      </c>
      <c r="K33" s="24" t="s">
        <v>357</v>
      </c>
    </row>
    <row r="34">
      <c r="A34" s="1"/>
      <c r="B34" s="4" t="s">
        <v>97</v>
      </c>
      <c r="C34" s="1"/>
      <c r="D34" s="1"/>
      <c r="E34" s="1"/>
      <c r="F34" s="1"/>
      <c r="G34" s="1"/>
      <c r="H34" s="25">
        <f>H27/(C27+H30)-1</f>
        <v>0.21754593953764068</v>
      </c>
      <c r="I34" s="25">
        <f>I27/(D27+I30)-1</f>
        <v>0.19150209455415923</v>
      </c>
      <c r="J34" s="40" t="s">
        <v>48</v>
      </c>
      <c r="K34" s="1"/>
    </row>
    <row r="35">
      <c r="A35" s="1"/>
      <c r="B35" s="4" t="s">
        <v>358</v>
      </c>
      <c r="C35" s="80">
        <v>0.0551</v>
      </c>
      <c r="D35" s="80">
        <v>0.0528</v>
      </c>
      <c r="E35" s="80">
        <v>0.0546</v>
      </c>
      <c r="F35" s="80">
        <v>0.0591</v>
      </c>
      <c r="G35" s="30" t="s">
        <v>48</v>
      </c>
      <c r="H35" s="80">
        <v>0.0637</v>
      </c>
      <c r="I35" s="80">
        <v>0.0613</v>
      </c>
      <c r="J35" s="40" t="s">
        <v>48</v>
      </c>
      <c r="K35" s="1"/>
    </row>
    <row r="36">
      <c r="A36" s="1"/>
      <c r="B36" s="4" t="s">
        <v>114</v>
      </c>
      <c r="C36" s="1"/>
      <c r="D36" s="1"/>
      <c r="E36" s="1"/>
      <c r="F36" s="1"/>
      <c r="G36" s="1"/>
      <c r="H36" s="54">
        <f>(H35-C35)*10000</f>
        <v>86.00000000000003</v>
      </c>
      <c r="I36" s="54">
        <f>(I35-D35)*10000</f>
        <v>85</v>
      </c>
      <c r="J36" s="40" t="s">
        <v>48</v>
      </c>
      <c r="K36" s="1"/>
    </row>
    <row r="37">
      <c r="A37" s="1"/>
      <c r="B37" s="4" t="s">
        <v>115</v>
      </c>
      <c r="C37" s="1"/>
      <c r="D37" s="54">
        <f>(D35-C35)*10000</f>
        <v>-23.000000000000036</v>
      </c>
      <c r="E37" s="54">
        <f>(E35-D35)*10000</f>
        <v>18.00000000000003</v>
      </c>
      <c r="F37" s="54">
        <f>(F35-E35)*10000</f>
        <v>44.99999999999997</v>
      </c>
      <c r="G37" s="1"/>
      <c r="H37" s="54">
        <f>(H35-F35)*10000</f>
        <v>46.00000000000007</v>
      </c>
      <c r="I37" s="54">
        <f>(I35-H35)*10000</f>
        <v>-24.000000000000064</v>
      </c>
      <c r="J37" s="40" t="s">
        <v>48</v>
      </c>
      <c r="K37" s="1"/>
    </row>
    <row r="38">
      <c r="A38" s="1"/>
      <c r="B38" s="22" t="s">
        <v>359</v>
      </c>
      <c r="C38" s="1"/>
      <c r="D38" s="1"/>
      <c r="E38" s="1"/>
      <c r="F38" s="1"/>
      <c r="G38" s="1"/>
      <c r="H38" s="1"/>
      <c r="I38" s="1"/>
      <c r="J38" s="31"/>
      <c r="K38" s="1"/>
    </row>
    <row r="39">
      <c r="A39" s="1"/>
      <c r="B39" s="1" t="s">
        <v>167</v>
      </c>
      <c r="C39" s="1"/>
      <c r="D39" s="21">
        <f>C41</f>
        <v>4.5</v>
      </c>
      <c r="E39" s="21">
        <f>D41</f>
        <v>3</v>
      </c>
      <c r="F39" s="21">
        <f>E41</f>
        <v>2.7</v>
      </c>
      <c r="G39" s="1"/>
      <c r="H39" s="21">
        <f>F41</f>
        <v>2.5</v>
      </c>
      <c r="I39" s="21">
        <f>H41</f>
        <v>2.2</v>
      </c>
      <c r="J39" s="29">
        <f>I41</f>
        <v>2.1</v>
      </c>
      <c r="K39" s="1"/>
    </row>
    <row r="40">
      <c r="A40" s="1"/>
      <c r="B40" s="1" t="s">
        <v>168</v>
      </c>
      <c r="C40" s="1"/>
      <c r="D40" s="21">
        <f>D41-D39</f>
        <v>-1.5</v>
      </c>
      <c r="E40" s="21">
        <f>E41-E39</f>
        <v>-0.2999999999999998</v>
      </c>
      <c r="F40" s="21">
        <f>F41-F39</f>
        <v>-0.20000000000000018</v>
      </c>
      <c r="G40" s="1"/>
      <c r="H40" s="21">
        <f>H41-H39</f>
        <v>-0.2999999999999998</v>
      </c>
      <c r="I40" s="21">
        <f>I41-I39</f>
        <v>-0.10000000000000009</v>
      </c>
      <c r="J40" s="55">
        <v>-0.2</v>
      </c>
      <c r="K40" s="24" t="s">
        <v>169</v>
      </c>
    </row>
    <row r="41">
      <c r="A41" s="1"/>
      <c r="B41" s="22" t="s">
        <v>360</v>
      </c>
      <c r="C41" s="47">
        <v>4.5</v>
      </c>
      <c r="D41" s="47">
        <v>3</v>
      </c>
      <c r="E41" s="47">
        <v>2.7</v>
      </c>
      <c r="F41" s="47">
        <v>2.5</v>
      </c>
      <c r="G41" s="27">
        <f>F41</f>
        <v>2.5</v>
      </c>
      <c r="H41" s="47">
        <v>2.2</v>
      </c>
      <c r="I41" s="47">
        <v>2.1</v>
      </c>
      <c r="J41" s="32">
        <f>J39+J40</f>
        <v>1.9000000000000001</v>
      </c>
      <c r="K41" s="1"/>
    </row>
    <row r="42">
      <c r="A42" s="1"/>
      <c r="B42" s="4" t="s">
        <v>108</v>
      </c>
      <c r="C42" s="1"/>
      <c r="D42" s="1"/>
      <c r="E42" s="1"/>
      <c r="F42" s="1"/>
      <c r="G42" s="1"/>
      <c r="H42" s="25">
        <f>IFERROR(H41/C41-1,"n/m")</f>
        <v>-0.5111111111111111</v>
      </c>
      <c r="I42" s="25">
        <f>IFERROR(I41/D41-1,"n/m")</f>
        <v>-0.29999999999999993</v>
      </c>
      <c r="J42" s="33">
        <f>IFERROR(J41/E41-1,"n/m")</f>
        <v>-0.2962962962962963</v>
      </c>
      <c r="K42" s="1"/>
    </row>
    <row r="43">
      <c r="A43" s="1"/>
      <c r="B43" s="4" t="s">
        <v>71</v>
      </c>
      <c r="C43" s="1"/>
      <c r="D43" s="34">
        <f>D41-C41</f>
        <v>-1.5</v>
      </c>
      <c r="E43" s="34">
        <f>E41-D41</f>
        <v>-0.2999999999999998</v>
      </c>
      <c r="F43" s="34">
        <f>F41-E41</f>
        <v>-0.20000000000000018</v>
      </c>
      <c r="G43" s="1"/>
      <c r="H43" s="34">
        <f>H41-F41</f>
        <v>-0.2999999999999998</v>
      </c>
      <c r="I43" s="34">
        <f>I41-H41</f>
        <v>-0.10000000000000009</v>
      </c>
      <c r="J43" s="39">
        <f>J41-I41</f>
        <v>-0.19999999999999996</v>
      </c>
      <c r="K43" s="1"/>
    </row>
    <row r="44">
      <c r="A44" s="1"/>
      <c r="B44" s="1" t="s">
        <v>129</v>
      </c>
      <c r="C44" s="1"/>
      <c r="D44" s="21">
        <f>C46</f>
        <v>4.7</v>
      </c>
      <c r="E44" s="21">
        <f>D46</f>
        <v>4</v>
      </c>
      <c r="F44" s="21">
        <f>E46</f>
        <v>2.8</v>
      </c>
      <c r="G44" s="1"/>
      <c r="H44" s="21">
        <f>F46</f>
        <v>2.6</v>
      </c>
      <c r="I44" s="21">
        <f>H46</f>
        <v>2.4</v>
      </c>
      <c r="J44" s="29">
        <f>I46</f>
        <v>2.2</v>
      </c>
      <c r="K44" s="1"/>
    </row>
    <row r="45">
      <c r="A45" s="1"/>
      <c r="B45" s="1" t="s">
        <v>130</v>
      </c>
      <c r="C45" s="1"/>
      <c r="D45" s="21">
        <f>D46-D44</f>
        <v>-0.7000000000000002</v>
      </c>
      <c r="E45" s="21">
        <f>E46-E44</f>
        <v>-1.2000000000000002</v>
      </c>
      <c r="F45" s="21">
        <f>F46-F44</f>
        <v>-0.19999999999999973</v>
      </c>
      <c r="G45" s="1"/>
      <c r="H45" s="21">
        <f>H46-H44</f>
        <v>-0.20000000000000018</v>
      </c>
      <c r="I45" s="21">
        <f>I46-I44</f>
        <v>-0.19999999999999973</v>
      </c>
      <c r="J45" s="55">
        <v>-0.2</v>
      </c>
      <c r="K45" s="24" t="s">
        <v>131</v>
      </c>
    </row>
    <row r="46">
      <c r="A46" s="1"/>
      <c r="B46" s="22" t="s">
        <v>361</v>
      </c>
      <c r="C46" s="47">
        <v>4.7</v>
      </c>
      <c r="D46" s="47">
        <v>4</v>
      </c>
      <c r="E46" s="47">
        <v>2.8</v>
      </c>
      <c r="F46" s="47">
        <v>2.6</v>
      </c>
      <c r="G46" s="27">
        <f>SUMPRODUCT(C46:F46,C$8:F$8)/G$8</f>
        <v>3.5172602739726027</v>
      </c>
      <c r="H46" s="47">
        <v>2.4</v>
      </c>
      <c r="I46" s="47">
        <v>2.2</v>
      </c>
      <c r="J46" s="32">
        <f>J44+J45</f>
        <v>2</v>
      </c>
      <c r="K46" s="24" t="s">
        <v>362</v>
      </c>
    </row>
    <row r="47">
      <c r="A47" s="1"/>
      <c r="B47" s="4" t="s">
        <v>108</v>
      </c>
      <c r="C47" s="1"/>
      <c r="D47" s="1"/>
      <c r="E47" s="1"/>
      <c r="F47" s="1"/>
      <c r="G47" s="1"/>
      <c r="H47" s="25">
        <f>IFERROR(H46/C46-1,"n/m")</f>
        <v>-0.4893617021276596</v>
      </c>
      <c r="I47" s="25">
        <f>IFERROR(I46/D46-1,"n/m")</f>
        <v>-0.44999999999999996</v>
      </c>
      <c r="J47" s="33">
        <f>IFERROR(J46/E46-1,"n/m")</f>
        <v>-0.2857142857142857</v>
      </c>
      <c r="K47" s="1"/>
    </row>
    <row r="48">
      <c r="A48" s="1"/>
      <c r="B48" s="4" t="s">
        <v>71</v>
      </c>
      <c r="C48" s="1"/>
      <c r="D48" s="34">
        <f>D46-C46</f>
        <v>-0.7000000000000002</v>
      </c>
      <c r="E48" s="34">
        <f>E46-D46</f>
        <v>-1.2000000000000002</v>
      </c>
      <c r="F48" s="34">
        <f>F46-E46</f>
        <v>-0.19999999999999973</v>
      </c>
      <c r="G48" s="1"/>
      <c r="H48" s="34">
        <f>H46-F46</f>
        <v>-0.20000000000000018</v>
      </c>
      <c r="I48" s="34">
        <f>I46-H46</f>
        <v>-0.19999999999999973</v>
      </c>
      <c r="J48" s="39">
        <f>J46-I46</f>
        <v>-0.20000000000000018</v>
      </c>
      <c r="K48" s="1"/>
    </row>
    <row r="49">
      <c r="A49" s="1"/>
      <c r="B49" s="4" t="s">
        <v>363</v>
      </c>
      <c r="C49" s="25">
        <f>C52*365/C8/(C46*1000)</f>
        <v>0.11648936170212766</v>
      </c>
      <c r="D49" s="25">
        <f>D52*365/D8/(D46*1000)</f>
        <v>0.15542582417582418</v>
      </c>
      <c r="E49" s="25">
        <f>E52*365/E8/(E46*1000)</f>
        <v>0.2111218944099379</v>
      </c>
      <c r="F49" s="25">
        <f>F52*365/F8/(F46*1000)</f>
        <v>-2.1881688963210704</v>
      </c>
      <c r="G49" s="25">
        <f>G52*365/G8/(G46*1000)</f>
        <v>-0.2828906371708989</v>
      </c>
      <c r="H49" s="25">
        <f>H52*365/H8/(H46*1000)</f>
        <v>0.17743055555555554</v>
      </c>
      <c r="I49" s="25">
        <f>I52*365/I8/(I46*1000)</f>
        <v>0.14038461538461539</v>
      </c>
      <c r="J49" s="76">
        <v>0.14</v>
      </c>
      <c r="K49" s="24" t="s">
        <v>364</v>
      </c>
    </row>
    <row r="50">
      <c r="A50" s="1"/>
      <c r="B50" s="4" t="s">
        <v>114</v>
      </c>
      <c r="C50" s="1"/>
      <c r="D50" s="1"/>
      <c r="E50" s="1"/>
      <c r="F50" s="1"/>
      <c r="G50" s="1"/>
      <c r="H50" s="54">
        <f>(H49-C49)*10000</f>
        <v>609.4119385342788</v>
      </c>
      <c r="I50" s="54">
        <f>(I49-D49)*10000</f>
        <v>-150.41208791208794</v>
      </c>
      <c r="J50" s="57">
        <f>(J49-E49)*10000</f>
        <v>-711.2189440993789</v>
      </c>
      <c r="K50" s="1"/>
    </row>
    <row r="51">
      <c r="A51" s="1"/>
      <c r="B51" s="4" t="s">
        <v>115</v>
      </c>
      <c r="C51" s="1"/>
      <c r="D51" s="54">
        <f>(D49-C49)*10000</f>
        <v>389.3646247369652</v>
      </c>
      <c r="E51" s="54">
        <f>(E49-D49)*10000</f>
        <v>556.9607023411371</v>
      </c>
      <c r="F51" s="54">
        <f>(F49-E49)*10000</f>
        <v>-23992.907907310084</v>
      </c>
      <c r="G51" s="1"/>
      <c r="H51" s="54">
        <f>(H49-F49)*10000</f>
        <v>23655.99451876626</v>
      </c>
      <c r="I51" s="54">
        <f>(I49-H49)*10000</f>
        <v>-370.4594017094015</v>
      </c>
      <c r="J51" s="57">
        <f>(J49-I49)*10000</f>
        <v>-3.8461538461537215</v>
      </c>
      <c r="K51" s="1"/>
    </row>
    <row r="52">
      <c r="A52" s="1"/>
      <c r="B52" s="1" t="s">
        <v>365</v>
      </c>
      <c r="C52" s="28">
        <v>135</v>
      </c>
      <c r="D52" s="28">
        <v>155</v>
      </c>
      <c r="E52" s="28">
        <v>149</v>
      </c>
      <c r="F52" s="28">
        <v>-1434</v>
      </c>
      <c r="G52" s="21">
        <f>SUM(C52:F52)</f>
        <v>-995</v>
      </c>
      <c r="H52" s="28">
        <v>105</v>
      </c>
      <c r="I52" s="28">
        <v>77</v>
      </c>
      <c r="J52" s="29">
        <f>J46*1000*J49*J8/365</f>
        <v>70.57534246575342</v>
      </c>
      <c r="K52" s="24" t="s">
        <v>366</v>
      </c>
    </row>
    <row r="53">
      <c r="A53" s="1"/>
      <c r="B53" s="4" t="s">
        <v>254</v>
      </c>
      <c r="C53" s="1"/>
      <c r="D53" s="1"/>
      <c r="E53" s="1"/>
      <c r="F53" s="1"/>
      <c r="G53" s="1"/>
      <c r="H53" s="25">
        <f>IF(OR(C52&lt;=0,H52&lt;=0),"n/m",H52/C52-1)</f>
        <v>-0.2222222222222222</v>
      </c>
      <c r="I53" s="25">
        <f>IF(OR(D52&lt;=0,I52&lt;=0),"n/m",I52/D52-1)</f>
        <v>-0.5032258064516129</v>
      </c>
      <c r="J53" s="33">
        <f>IF(OR(E52&lt;=0,J52&lt;=0),"n/m",J52/E52-1)</f>
        <v>-0.5263399834513194</v>
      </c>
      <c r="K53" s="1"/>
    </row>
    <row r="54">
      <c r="A54" s="1"/>
      <c r="B54" s="4" t="s">
        <v>71</v>
      </c>
      <c r="C54" s="1"/>
      <c r="D54" s="34">
        <f>D52-C52</f>
        <v>20</v>
      </c>
      <c r="E54" s="34">
        <f>E52-D52</f>
        <v>-6</v>
      </c>
      <c r="F54" s="34">
        <f>F52-E52</f>
        <v>-1583</v>
      </c>
      <c r="G54" s="1"/>
      <c r="H54" s="34">
        <f>H52-F52</f>
        <v>1539</v>
      </c>
      <c r="I54" s="34">
        <f>I52-H52</f>
        <v>-28</v>
      </c>
      <c r="J54" s="39">
        <f>J52-I52</f>
        <v>-6.4246575342465775</v>
      </c>
      <c r="K54" s="1"/>
    </row>
    <row r="55">
      <c r="A55" s="1"/>
      <c r="B55" s="4" t="s">
        <v>74</v>
      </c>
      <c r="C55" s="1"/>
      <c r="D55" s="1"/>
      <c r="E55" s="1"/>
      <c r="F55" s="1"/>
      <c r="G55" s="1"/>
      <c r="H55" s="30" t="s">
        <v>48</v>
      </c>
      <c r="I55" s="30" t="s">
        <v>48</v>
      </c>
      <c r="J55" s="40" t="s">
        <v>48</v>
      </c>
      <c r="K55" s="24" t="s">
        <v>255</v>
      </c>
    </row>
    <row r="56">
      <c r="A56" s="1"/>
      <c r="B56" s="4" t="s">
        <v>76</v>
      </c>
      <c r="C56" s="1"/>
      <c r="D56" s="1"/>
      <c r="E56" s="1"/>
      <c r="F56" s="1"/>
      <c r="G56" s="1"/>
      <c r="H56" s="30" t="s">
        <v>48</v>
      </c>
      <c r="I56" s="30" t="s">
        <v>48</v>
      </c>
      <c r="J56" s="40" t="s">
        <v>48</v>
      </c>
      <c r="K56" s="24" t="s">
        <v>255</v>
      </c>
    </row>
    <row r="57" ht="27.75">
      <c r="A57" s="1"/>
      <c r="B57" s="4" t="s">
        <v>77</v>
      </c>
      <c r="C57" s="1"/>
      <c r="D57" s="1"/>
      <c r="E57" s="1"/>
      <c r="F57" s="1"/>
      <c r="G57" s="1"/>
      <c r="H57" s="30" t="s">
        <v>48</v>
      </c>
      <c r="I57" s="30" t="s">
        <v>48</v>
      </c>
      <c r="J57" s="40" t="s">
        <v>48</v>
      </c>
      <c r="K57" s="112" t="s">
        <v>78</v>
      </c>
    </row>
    <row r="58">
      <c r="A58" s="1"/>
      <c r="B58" s="1" t="s">
        <v>367</v>
      </c>
      <c r="C58" s="28">
        <v>19</v>
      </c>
      <c r="D58" s="28">
        <v>0</v>
      </c>
      <c r="E58" s="28">
        <v>0</v>
      </c>
      <c r="F58" s="28">
        <v>-12</v>
      </c>
      <c r="G58" s="21">
        <f>SUM(C58:F58)</f>
        <v>7</v>
      </c>
      <c r="H58" s="28">
        <v>2</v>
      </c>
      <c r="I58" s="28">
        <v>-15</v>
      </c>
      <c r="J58" s="55">
        <v>0</v>
      </c>
      <c r="K58" s="24" t="s">
        <v>368</v>
      </c>
    </row>
    <row r="59">
      <c r="A59" s="1"/>
      <c r="B59" s="4" t="s">
        <v>254</v>
      </c>
      <c r="C59" s="1"/>
      <c r="D59" s="1"/>
      <c r="E59" s="1"/>
      <c r="F59" s="1"/>
      <c r="G59" s="1"/>
      <c r="H59" s="25">
        <f>IF(OR(C58&lt;=0,H58&lt;=0),"n/m",H58/C58-1)</f>
        <v>-0.8947368421052632</v>
      </c>
      <c r="I59" s="25" t="str">
        <f>IF(OR(D58&lt;=0,I58&lt;=0),"n/m",I58/D58-1)</f>
        <v>n/m</v>
      </c>
      <c r="J59" s="33" t="str">
        <f>IF(OR(E58&lt;=0,J58&lt;=0),"n/m",J58/E58-1)</f>
        <v>n/m</v>
      </c>
      <c r="K59" s="1"/>
    </row>
    <row r="60">
      <c r="A60" s="1"/>
      <c r="B60" s="4" t="s">
        <v>71</v>
      </c>
      <c r="C60" s="1"/>
      <c r="D60" s="34">
        <f>D58-C58</f>
        <v>-19</v>
      </c>
      <c r="E60" s="34">
        <f>E58-D58</f>
        <v>0</v>
      </c>
      <c r="F60" s="34">
        <f>F58-E58</f>
        <v>-12</v>
      </c>
      <c r="G60" s="1"/>
      <c r="H60" s="34">
        <f>H58-F58</f>
        <v>14</v>
      </c>
      <c r="I60" s="34">
        <f>I58-H58</f>
        <v>-17</v>
      </c>
      <c r="J60" s="39">
        <f>J58-I58</f>
        <v>15</v>
      </c>
      <c r="K60" s="1"/>
    </row>
    <row r="61">
      <c r="A61" s="1"/>
      <c r="B61" s="4" t="s">
        <v>74</v>
      </c>
      <c r="C61" s="1"/>
      <c r="D61" s="1"/>
      <c r="E61" s="1"/>
      <c r="F61" s="1"/>
      <c r="G61" s="1"/>
      <c r="H61" s="30" t="s">
        <v>48</v>
      </c>
      <c r="I61" s="30" t="s">
        <v>48</v>
      </c>
      <c r="J61" s="40" t="s">
        <v>48</v>
      </c>
      <c r="K61" s="24" t="s">
        <v>255</v>
      </c>
    </row>
    <row r="62">
      <c r="A62" s="1"/>
      <c r="B62" s="4" t="s">
        <v>76</v>
      </c>
      <c r="C62" s="1"/>
      <c r="D62" s="1"/>
      <c r="E62" s="1"/>
      <c r="F62" s="1"/>
      <c r="G62" s="1"/>
      <c r="H62" s="30" t="s">
        <v>48</v>
      </c>
      <c r="I62" s="30" t="s">
        <v>48</v>
      </c>
      <c r="J62" s="40" t="s">
        <v>48</v>
      </c>
      <c r="K62" s="24" t="s">
        <v>255</v>
      </c>
    </row>
    <row r="63" ht="27.75">
      <c r="A63" s="1"/>
      <c r="B63" s="4" t="s">
        <v>77</v>
      </c>
      <c r="C63" s="1"/>
      <c r="D63" s="1"/>
      <c r="E63" s="1"/>
      <c r="F63" s="1"/>
      <c r="G63" s="1"/>
      <c r="H63" s="30" t="s">
        <v>48</v>
      </c>
      <c r="I63" s="30" t="s">
        <v>48</v>
      </c>
      <c r="J63" s="40" t="s">
        <v>48</v>
      </c>
      <c r="K63" s="112" t="s">
        <v>78</v>
      </c>
    </row>
    <row r="64">
      <c r="A64" s="1"/>
      <c r="B64" s="22" t="s">
        <v>369</v>
      </c>
      <c r="C64" s="27">
        <f>C27+C52+C58</f>
        <v>1621</v>
      </c>
      <c r="D64" s="27">
        <f>D27+D52+D58</f>
        <v>1691</v>
      </c>
      <c r="E64" s="27">
        <f>E27+E52+E58</f>
        <v>1871</v>
      </c>
      <c r="F64" s="27">
        <f>F27+F52+F58</f>
        <v>329</v>
      </c>
      <c r="G64" s="27">
        <f>G27+G52+G58</f>
        <v>5512</v>
      </c>
      <c r="H64" s="27">
        <f>H27+H52+H58</f>
        <v>2161</v>
      </c>
      <c r="I64" s="27">
        <f>I27+I52+I58</f>
        <v>2053</v>
      </c>
      <c r="J64" s="32">
        <f>J27+J52+J58</f>
        <v>2077.5616438356165</v>
      </c>
      <c r="K64" s="1"/>
    </row>
    <row r="65">
      <c r="A65" s="1"/>
      <c r="B65" s="4" t="s">
        <v>70</v>
      </c>
      <c r="C65" s="1"/>
      <c r="D65" s="1"/>
      <c r="E65" s="1"/>
      <c r="F65" s="1"/>
      <c r="G65" s="1"/>
      <c r="H65" s="25">
        <f>IFERROR(H64/C64-1,"n/m")</f>
        <v>0.3331276989512646</v>
      </c>
      <c r="I65" s="25">
        <f>IFERROR(I64/D64-1,"n/m")</f>
        <v>0.2140745121230041</v>
      </c>
      <c r="J65" s="33">
        <f>IFERROR(J64/E64-1,"n/m")</f>
        <v>0.11040173374431661</v>
      </c>
      <c r="K65" s="1"/>
    </row>
    <row r="66">
      <c r="A66" s="1"/>
      <c r="B66" s="4" t="s">
        <v>71</v>
      </c>
      <c r="C66" s="1"/>
      <c r="D66" s="34">
        <f>D64-C64</f>
        <v>70</v>
      </c>
      <c r="E66" s="34">
        <f>E64-D64</f>
        <v>180</v>
      </c>
      <c r="F66" s="34">
        <f>F64-E64</f>
        <v>-1542</v>
      </c>
      <c r="G66" s="1"/>
      <c r="H66" s="34">
        <f>H64-F64</f>
        <v>1832</v>
      </c>
      <c r="I66" s="34">
        <f>I64-H64</f>
        <v>-108</v>
      </c>
      <c r="J66" s="39">
        <f>J64-I64</f>
        <v>24.56164383561645</v>
      </c>
      <c r="K66" s="1"/>
    </row>
    <row r="67">
      <c r="A67" s="1"/>
      <c r="B67" s="4" t="s">
        <v>74</v>
      </c>
      <c r="C67" s="1"/>
      <c r="D67" s="1"/>
      <c r="E67" s="1"/>
      <c r="F67" s="1"/>
      <c r="G67" s="1"/>
      <c r="H67" s="30" t="s">
        <v>48</v>
      </c>
      <c r="I67" s="30" t="s">
        <v>48</v>
      </c>
      <c r="J67" s="40" t="s">
        <v>48</v>
      </c>
      <c r="K67" s="24" t="s">
        <v>137</v>
      </c>
    </row>
    <row r="68">
      <c r="A68" s="1"/>
      <c r="B68" s="4" t="s">
        <v>76</v>
      </c>
      <c r="C68" s="1"/>
      <c r="D68" s="1"/>
      <c r="E68" s="1"/>
      <c r="F68" s="1"/>
      <c r="G68" s="1"/>
      <c r="H68" s="30" t="s">
        <v>48</v>
      </c>
      <c r="I68" s="30" t="s">
        <v>48</v>
      </c>
      <c r="J68" s="40" t="s">
        <v>48</v>
      </c>
      <c r="K68" s="24" t="s">
        <v>137</v>
      </c>
    </row>
    <row r="69" ht="27.75">
      <c r="A69" s="1"/>
      <c r="B69" s="4" t="s">
        <v>77</v>
      </c>
      <c r="C69" s="1"/>
      <c r="D69" s="1"/>
      <c r="E69" s="1"/>
      <c r="F69" s="1"/>
      <c r="G69" s="1"/>
      <c r="H69" s="30" t="s">
        <v>48</v>
      </c>
      <c r="I69" s="30" t="s">
        <v>48</v>
      </c>
      <c r="J69" s="40" t="s">
        <v>48</v>
      </c>
      <c r="K69" s="112" t="s">
        <v>78</v>
      </c>
    </row>
    <row r="70">
      <c r="A70" s="1"/>
      <c r="B70" s="1" t="s">
        <v>370</v>
      </c>
      <c r="C70" s="28">
        <v>1167</v>
      </c>
      <c r="D70" s="28">
        <v>1271</v>
      </c>
      <c r="E70" s="28">
        <v>1338</v>
      </c>
      <c r="F70" s="28">
        <v>1379</v>
      </c>
      <c r="G70" s="21">
        <f>SUM(C70:F70)</f>
        <v>5155</v>
      </c>
      <c r="H70" s="28">
        <v>1479</v>
      </c>
      <c r="I70" s="28">
        <v>1484</v>
      </c>
      <c r="J70" s="55">
        <v>1500</v>
      </c>
      <c r="K70" s="1"/>
    </row>
    <row r="71">
      <c r="A71" s="1"/>
      <c r="B71" s="4" t="s">
        <v>108</v>
      </c>
      <c r="C71" s="1"/>
      <c r="D71" s="1"/>
      <c r="E71" s="1"/>
      <c r="F71" s="1"/>
      <c r="G71" s="1"/>
      <c r="H71" s="25">
        <f>IFERROR(H70/C70-1,"n/m")</f>
        <v>0.26735218508997427</v>
      </c>
      <c r="I71" s="25">
        <f>IFERROR(I70/D70-1,"n/m")</f>
        <v>0.16758457907159707</v>
      </c>
      <c r="J71" s="33">
        <f>IFERROR(J70/E70-1,"n/m")</f>
        <v>0.12107623318385641</v>
      </c>
      <c r="K71" s="1"/>
    </row>
    <row r="72">
      <c r="A72" s="1"/>
      <c r="B72" s="4" t="s">
        <v>71</v>
      </c>
      <c r="C72" s="1"/>
      <c r="D72" s="34">
        <f>D70-C70</f>
        <v>104</v>
      </c>
      <c r="E72" s="34">
        <f>E70-D70</f>
        <v>67</v>
      </c>
      <c r="F72" s="34">
        <f>F70-E70</f>
        <v>41</v>
      </c>
      <c r="G72" s="1"/>
      <c r="H72" s="34">
        <f>H70-F70</f>
        <v>100</v>
      </c>
      <c r="I72" s="34">
        <f>I70-H70</f>
        <v>5</v>
      </c>
      <c r="J72" s="39">
        <f>J70-I70</f>
        <v>16</v>
      </c>
      <c r="K72" s="1"/>
    </row>
    <row r="73">
      <c r="A73" s="1"/>
      <c r="B73" s="1" t="s">
        <v>371</v>
      </c>
      <c r="C73" s="21">
        <f>C64-C70</f>
        <v>454</v>
      </c>
      <c r="D73" s="21">
        <f>D64-D70</f>
        <v>420</v>
      </c>
      <c r="E73" s="21">
        <f>E64-E70</f>
        <v>533</v>
      </c>
      <c r="F73" s="21">
        <f>F64-F70</f>
        <v>-1050</v>
      </c>
      <c r="G73" s="21">
        <f>G64-G70</f>
        <v>357</v>
      </c>
      <c r="H73" s="21">
        <f>H64-H70</f>
        <v>682</v>
      </c>
      <c r="I73" s="21">
        <f>I64-I70</f>
        <v>569</v>
      </c>
      <c r="J73" s="29">
        <f>J64-J70</f>
        <v>577.5616438356165</v>
      </c>
      <c r="K73" s="1"/>
    </row>
    <row r="74">
      <c r="A74" s="1"/>
      <c r="B74" s="22" t="s">
        <v>372</v>
      </c>
      <c r="C74" s="1"/>
      <c r="D74" s="1"/>
      <c r="E74" s="1"/>
      <c r="F74" s="1"/>
      <c r="G74" s="1"/>
      <c r="H74" s="1"/>
      <c r="I74" s="1"/>
      <c r="J74" s="31"/>
      <c r="K74" s="1"/>
    </row>
    <row r="75">
      <c r="A75" s="1"/>
      <c r="B75" s="1" t="s">
        <v>373</v>
      </c>
      <c r="C75" s="28">
        <v>117</v>
      </c>
      <c r="D75" s="28">
        <v>171</v>
      </c>
      <c r="E75" s="28">
        <v>13</v>
      </c>
      <c r="F75" s="28">
        <v>-235</v>
      </c>
      <c r="G75" s="21">
        <f>SUM(C75:F75)</f>
        <v>66</v>
      </c>
      <c r="H75" s="28">
        <v>-476</v>
      </c>
      <c r="I75" s="28">
        <v>-547</v>
      </c>
      <c r="J75" s="55">
        <v>-560</v>
      </c>
      <c r="K75" s="24" t="s">
        <v>374</v>
      </c>
    </row>
    <row r="76">
      <c r="A76" s="1"/>
      <c r="B76" s="4" t="s">
        <v>87</v>
      </c>
      <c r="C76" s="1"/>
      <c r="D76" s="1"/>
      <c r="E76" s="1"/>
      <c r="F76" s="1"/>
      <c r="G76" s="1"/>
      <c r="H76" s="25" t="str">
        <f>IF(OR(C75&lt;=0,H75&lt;=0),"n/m",H75/C75-1)</f>
        <v>n/m</v>
      </c>
      <c r="I76" s="25" t="str">
        <f>IF(OR(D75&lt;=0,I75&lt;=0),"n/m",I75/D75-1)</f>
        <v>n/m</v>
      </c>
      <c r="J76" s="33" t="str">
        <f>IF(OR(E75&lt;=0,J75&lt;=0),"n/m",J75/E75-1)</f>
        <v>n/m</v>
      </c>
      <c r="K76" s="1"/>
    </row>
    <row r="77">
      <c r="A77" s="1"/>
      <c r="B77" s="4" t="s">
        <v>71</v>
      </c>
      <c r="C77" s="1"/>
      <c r="D77" s="34">
        <f>D75-C75</f>
        <v>54</v>
      </c>
      <c r="E77" s="34">
        <f>E75-D75</f>
        <v>-158</v>
      </c>
      <c r="F77" s="34">
        <f>F75-E75</f>
        <v>-248</v>
      </c>
      <c r="G77" s="1"/>
      <c r="H77" s="34">
        <f>H75-F75</f>
        <v>-241</v>
      </c>
      <c r="I77" s="34">
        <f>I75-H75</f>
        <v>-71</v>
      </c>
      <c r="J77" s="39">
        <f>J75-I75</f>
        <v>-13</v>
      </c>
      <c r="K77" s="1"/>
    </row>
    <row r="78" ht="27.75">
      <c r="A78" s="1"/>
      <c r="B78" s="4" t="s">
        <v>74</v>
      </c>
      <c r="C78" s="1"/>
      <c r="D78" s="1"/>
      <c r="E78" s="1"/>
      <c r="F78" s="1"/>
      <c r="G78" s="1"/>
      <c r="H78" s="30" t="s">
        <v>48</v>
      </c>
      <c r="I78" s="30" t="s">
        <v>48</v>
      </c>
      <c r="J78" s="40" t="s">
        <v>48</v>
      </c>
      <c r="K78" s="112" t="s">
        <v>375</v>
      </c>
    </row>
    <row r="79" ht="27.75">
      <c r="A79" s="1"/>
      <c r="B79" s="4" t="s">
        <v>76</v>
      </c>
      <c r="C79" s="1"/>
      <c r="D79" s="1"/>
      <c r="E79" s="1"/>
      <c r="F79" s="1"/>
      <c r="G79" s="1"/>
      <c r="H79" s="30" t="s">
        <v>48</v>
      </c>
      <c r="I79" s="30" t="s">
        <v>48</v>
      </c>
      <c r="J79" s="40" t="s">
        <v>48</v>
      </c>
      <c r="K79" s="112" t="s">
        <v>375</v>
      </c>
    </row>
    <row r="80" ht="27.75">
      <c r="A80" s="1"/>
      <c r="B80" s="4" t="s">
        <v>77</v>
      </c>
      <c r="C80" s="1"/>
      <c r="D80" s="1"/>
      <c r="E80" s="1"/>
      <c r="F80" s="1"/>
      <c r="G80" s="1"/>
      <c r="H80" s="30" t="s">
        <v>48</v>
      </c>
      <c r="I80" s="30" t="s">
        <v>48</v>
      </c>
      <c r="J80" s="40" t="s">
        <v>48</v>
      </c>
      <c r="K80" s="112" t="s">
        <v>78</v>
      </c>
    </row>
    <row r="81">
      <c r="A81" s="1"/>
      <c r="B81" s="1" t="s">
        <v>376</v>
      </c>
      <c r="C81" s="28">
        <v>-275</v>
      </c>
      <c r="D81" s="28">
        <v>-146</v>
      </c>
      <c r="E81" s="28">
        <v>-413</v>
      </c>
      <c r="F81" s="28">
        <v>-302</v>
      </c>
      <c r="G81" s="21">
        <f>SUM(C81:F81)</f>
        <v>-1136</v>
      </c>
      <c r="H81" s="28">
        <v>-3</v>
      </c>
      <c r="I81" s="28">
        <v>231</v>
      </c>
      <c r="J81" s="55">
        <v>160</v>
      </c>
      <c r="K81" s="24" t="s">
        <v>377</v>
      </c>
    </row>
    <row r="82">
      <c r="A82" s="1"/>
      <c r="B82" s="4" t="s">
        <v>87</v>
      </c>
      <c r="C82" s="1"/>
      <c r="D82" s="1"/>
      <c r="E82" s="1"/>
      <c r="F82" s="1"/>
      <c r="G82" s="1"/>
      <c r="H82" s="25" t="str">
        <f>IF(OR(C81&lt;=0,H81&lt;=0),"n/m",H81/C81-1)</f>
        <v>n/m</v>
      </c>
      <c r="I82" s="25" t="str">
        <f>IF(OR(D81&lt;=0,I81&lt;=0),"n/m",I81/D81-1)</f>
        <v>n/m</v>
      </c>
      <c r="J82" s="33" t="str">
        <f>IF(OR(E81&lt;=0,J81&lt;=0),"n/m",J81/E81-1)</f>
        <v>n/m</v>
      </c>
      <c r="K82" s="1"/>
    </row>
    <row r="83">
      <c r="A83" s="1"/>
      <c r="B83" s="4" t="s">
        <v>71</v>
      </c>
      <c r="C83" s="1"/>
      <c r="D83" s="34">
        <f>D81-C81</f>
        <v>129</v>
      </c>
      <c r="E83" s="34">
        <f>E81-D81</f>
        <v>-267</v>
      </c>
      <c r="F83" s="34">
        <f>F81-E81</f>
        <v>111</v>
      </c>
      <c r="G83" s="1"/>
      <c r="H83" s="34">
        <f>H81-F81</f>
        <v>299</v>
      </c>
      <c r="I83" s="34">
        <f>I81-H81</f>
        <v>234</v>
      </c>
      <c r="J83" s="39">
        <f>J81-I81</f>
        <v>-71</v>
      </c>
      <c r="K83" s="1"/>
    </row>
    <row r="84" ht="27.75">
      <c r="A84" s="1"/>
      <c r="B84" s="4" t="s">
        <v>74</v>
      </c>
      <c r="C84" s="1"/>
      <c r="D84" s="1"/>
      <c r="E84" s="1"/>
      <c r="F84" s="1"/>
      <c r="G84" s="1"/>
      <c r="H84" s="30" t="s">
        <v>48</v>
      </c>
      <c r="I84" s="30" t="s">
        <v>48</v>
      </c>
      <c r="J84" s="40" t="s">
        <v>48</v>
      </c>
      <c r="K84" s="112" t="s">
        <v>375</v>
      </c>
    </row>
    <row r="85" ht="27.75">
      <c r="A85" s="1"/>
      <c r="B85" s="4" t="s">
        <v>76</v>
      </c>
      <c r="C85" s="1"/>
      <c r="D85" s="1"/>
      <c r="E85" s="1"/>
      <c r="F85" s="1"/>
      <c r="G85" s="1"/>
      <c r="H85" s="30" t="s">
        <v>48</v>
      </c>
      <c r="I85" s="30" t="s">
        <v>48</v>
      </c>
      <c r="J85" s="40" t="s">
        <v>48</v>
      </c>
      <c r="K85" s="112" t="s">
        <v>375</v>
      </c>
    </row>
    <row r="86" ht="27.75">
      <c r="A86" s="1"/>
      <c r="B86" s="4" t="s">
        <v>77</v>
      </c>
      <c r="C86" s="1"/>
      <c r="D86" s="1"/>
      <c r="E86" s="1"/>
      <c r="F86" s="1"/>
      <c r="G86" s="1"/>
      <c r="H86" s="30" t="s">
        <v>48</v>
      </c>
      <c r="I86" s="30" t="s">
        <v>48</v>
      </c>
      <c r="J86" s="40" t="s">
        <v>48</v>
      </c>
      <c r="K86" s="112" t="s">
        <v>78</v>
      </c>
    </row>
    <row r="87">
      <c r="A87" s="1"/>
      <c r="B87" s="22" t="s">
        <v>378</v>
      </c>
      <c r="C87" s="27">
        <f>C75+C81</f>
        <v>-158</v>
      </c>
      <c r="D87" s="27">
        <f>D75+D81</f>
        <v>25</v>
      </c>
      <c r="E87" s="27">
        <f>E75+E81</f>
        <v>-400</v>
      </c>
      <c r="F87" s="27">
        <f>F75+F81</f>
        <v>-537</v>
      </c>
      <c r="G87" s="27">
        <f>G75+G81</f>
        <v>-1070</v>
      </c>
      <c r="H87" s="27">
        <f>H75+H81</f>
        <v>-479</v>
      </c>
      <c r="I87" s="27">
        <f>I75+I81</f>
        <v>-316</v>
      </c>
      <c r="J87" s="32">
        <f>J75+J81</f>
        <v>-400</v>
      </c>
      <c r="K87" s="1"/>
    </row>
    <row r="88">
      <c r="A88" s="1"/>
      <c r="B88" s="4" t="s">
        <v>254</v>
      </c>
      <c r="C88" s="1"/>
      <c r="D88" s="1"/>
      <c r="E88" s="1"/>
      <c r="F88" s="1"/>
      <c r="G88" s="1"/>
      <c r="H88" s="25" t="str">
        <f>IF(OR(C87&lt;=0,H87&lt;=0),"n/m",H87/C87-1)</f>
        <v>n/m</v>
      </c>
      <c r="I88" s="25" t="str">
        <f>IF(OR(D87&lt;=0,I87&lt;=0),"n/m",I87/D87-1)</f>
        <v>n/m</v>
      </c>
      <c r="J88" s="33" t="str">
        <f>IF(OR(E87&lt;=0,J87&lt;=0),"n/m",J87/E87-1)</f>
        <v>n/m</v>
      </c>
      <c r="K88" s="1"/>
    </row>
    <row r="89">
      <c r="A89" s="1"/>
      <c r="B89" s="4" t="s">
        <v>71</v>
      </c>
      <c r="C89" s="1"/>
      <c r="D89" s="34">
        <f>D87-C87</f>
        <v>183</v>
      </c>
      <c r="E89" s="34">
        <f>E87-D87</f>
        <v>-425</v>
      </c>
      <c r="F89" s="34">
        <f>F87-E87</f>
        <v>-137</v>
      </c>
      <c r="G89" s="1"/>
      <c r="H89" s="34">
        <f>H87-F87</f>
        <v>58</v>
      </c>
      <c r="I89" s="34">
        <f>I87-H87</f>
        <v>163</v>
      </c>
      <c r="J89" s="39">
        <f>J87-I87</f>
        <v>-84</v>
      </c>
      <c r="K89" s="1"/>
    </row>
    <row r="90">
      <c r="A90" s="1"/>
      <c r="B90" s="4" t="s">
        <v>74</v>
      </c>
      <c r="C90" s="1"/>
      <c r="D90" s="1"/>
      <c r="E90" s="1"/>
      <c r="F90" s="1"/>
      <c r="G90" s="1"/>
      <c r="H90" s="30" t="s">
        <v>48</v>
      </c>
      <c r="I90" s="30" t="s">
        <v>48</v>
      </c>
      <c r="J90" s="40" t="s">
        <v>48</v>
      </c>
      <c r="K90" s="24" t="s">
        <v>255</v>
      </c>
    </row>
    <row r="91">
      <c r="A91" s="1"/>
      <c r="B91" s="4" t="s">
        <v>76</v>
      </c>
      <c r="C91" s="1"/>
      <c r="D91" s="1"/>
      <c r="E91" s="1"/>
      <c r="F91" s="1"/>
      <c r="G91" s="1"/>
      <c r="H91" s="30" t="s">
        <v>48</v>
      </c>
      <c r="I91" s="30" t="s">
        <v>48</v>
      </c>
      <c r="J91" s="40" t="s">
        <v>48</v>
      </c>
      <c r="K91" s="24" t="s">
        <v>255</v>
      </c>
    </row>
    <row r="92" ht="27.75">
      <c r="A92" s="1"/>
      <c r="B92" s="4" t="s">
        <v>77</v>
      </c>
      <c r="C92" s="1"/>
      <c r="D92" s="1"/>
      <c r="E92" s="1"/>
      <c r="F92" s="1"/>
      <c r="G92" s="1"/>
      <c r="H92" s="30" t="s">
        <v>48</v>
      </c>
      <c r="I92" s="30" t="s">
        <v>48</v>
      </c>
      <c r="J92" s="40" t="s">
        <v>48</v>
      </c>
      <c r="K92" s="112" t="s">
        <v>78</v>
      </c>
    </row>
    <row r="93">
      <c r="A93" s="1"/>
      <c r="B93" s="22" t="s">
        <v>379</v>
      </c>
      <c r="C93" s="1"/>
      <c r="D93" s="1"/>
      <c r="E93" s="1"/>
      <c r="F93" s="1"/>
      <c r="G93" s="1"/>
      <c r="H93" s="1"/>
      <c r="I93" s="1"/>
      <c r="J93" s="31"/>
      <c r="K93" s="1"/>
    </row>
    <row r="94">
      <c r="A94" s="1"/>
      <c r="B94" s="22" t="s">
        <v>380</v>
      </c>
      <c r="C94" s="27">
        <f>C64+C87</f>
        <v>1463</v>
      </c>
      <c r="D94" s="27">
        <f>D64+D87</f>
        <v>1716</v>
      </c>
      <c r="E94" s="27">
        <f>E64+E87</f>
        <v>1471</v>
      </c>
      <c r="F94" s="27">
        <f>F64+F87</f>
        <v>-208</v>
      </c>
      <c r="G94" s="27">
        <f>G64+G87</f>
        <v>4442</v>
      </c>
      <c r="H94" s="27">
        <f>H64+H87</f>
        <v>1682</v>
      </c>
      <c r="I94" s="27">
        <f>I64+I87</f>
        <v>1737</v>
      </c>
      <c r="J94" s="32">
        <f>J64+J87</f>
        <v>1677.5616438356165</v>
      </c>
      <c r="K94" s="1"/>
    </row>
    <row r="95">
      <c r="A95" s="1"/>
      <c r="B95" s="4" t="s">
        <v>70</v>
      </c>
      <c r="C95" s="1"/>
      <c r="D95" s="1"/>
      <c r="E95" s="1"/>
      <c r="F95" s="1"/>
      <c r="G95" s="1"/>
      <c r="H95" s="25">
        <f>IFERROR(H94/C94-1,"n/m")</f>
        <v>0.14969241285030765</v>
      </c>
      <c r="I95" s="25">
        <f>IFERROR(I94/D94-1,"n/m")</f>
        <v>0.012237762237762295</v>
      </c>
      <c r="J95" s="33">
        <f>IFERROR(J94/E94-1,"n/m")</f>
        <v>0.14042259948036473</v>
      </c>
      <c r="K95" s="1"/>
    </row>
    <row r="96">
      <c r="A96" s="1"/>
      <c r="B96" s="4" t="s">
        <v>71</v>
      </c>
      <c r="C96" s="1"/>
      <c r="D96" s="34">
        <f>D94-C94</f>
        <v>253</v>
      </c>
      <c r="E96" s="34">
        <f>E94-D94</f>
        <v>-245</v>
      </c>
      <c r="F96" s="34">
        <f>F94-E94</f>
        <v>-1679</v>
      </c>
      <c r="G96" s="1"/>
      <c r="H96" s="34">
        <f>H94-F94</f>
        <v>1890</v>
      </c>
      <c r="I96" s="34">
        <f>I94-H94</f>
        <v>55</v>
      </c>
      <c r="J96" s="39">
        <f>J94-I94</f>
        <v>-59.43835616438355</v>
      </c>
      <c r="K96" s="1"/>
    </row>
    <row r="97">
      <c r="A97" s="1"/>
      <c r="B97" s="4" t="s">
        <v>74</v>
      </c>
      <c r="C97" s="1"/>
      <c r="D97" s="1"/>
      <c r="E97" s="1"/>
      <c r="F97" s="1"/>
      <c r="G97" s="1"/>
      <c r="H97" s="30" t="s">
        <v>48</v>
      </c>
      <c r="I97" s="30" t="s">
        <v>48</v>
      </c>
      <c r="J97" s="40" t="s">
        <v>48</v>
      </c>
      <c r="K97" s="24" t="s">
        <v>85</v>
      </c>
    </row>
    <row r="98">
      <c r="A98" s="1"/>
      <c r="B98" s="4" t="s">
        <v>76</v>
      </c>
      <c r="C98" s="1"/>
      <c r="D98" s="1"/>
      <c r="E98" s="1"/>
      <c r="F98" s="1"/>
      <c r="G98" s="1"/>
      <c r="H98" s="30" t="s">
        <v>48</v>
      </c>
      <c r="I98" s="30" t="s">
        <v>48</v>
      </c>
      <c r="J98" s="40" t="s">
        <v>48</v>
      </c>
      <c r="K98" s="24" t="s">
        <v>85</v>
      </c>
    </row>
    <row r="99" ht="27.75">
      <c r="A99" s="1"/>
      <c r="B99" s="4" t="s">
        <v>77</v>
      </c>
      <c r="C99" s="1"/>
      <c r="D99" s="1"/>
      <c r="E99" s="1"/>
      <c r="F99" s="1"/>
      <c r="G99" s="1"/>
      <c r="H99" s="30" t="s">
        <v>48</v>
      </c>
      <c r="I99" s="30" t="s">
        <v>48</v>
      </c>
      <c r="J99" s="40" t="s">
        <v>48</v>
      </c>
      <c r="K99" s="112" t="s">
        <v>78</v>
      </c>
    </row>
    <row r="100">
      <c r="A100" s="1"/>
      <c r="B100" s="22" t="s">
        <v>381</v>
      </c>
      <c r="C100" s="27">
        <f>C70+C75</f>
        <v>1284</v>
      </c>
      <c r="D100" s="27">
        <f>D70+D75</f>
        <v>1442</v>
      </c>
      <c r="E100" s="27">
        <f>E70+E75</f>
        <v>1351</v>
      </c>
      <c r="F100" s="27">
        <f>F70+F75</f>
        <v>1144</v>
      </c>
      <c r="G100" s="27">
        <f>G70+G75</f>
        <v>5221</v>
      </c>
      <c r="H100" s="27">
        <f>H70+H75</f>
        <v>1003</v>
      </c>
      <c r="I100" s="27">
        <f>I70+I75</f>
        <v>937</v>
      </c>
      <c r="J100" s="32">
        <f>J70+J75</f>
        <v>940</v>
      </c>
      <c r="K100" s="1"/>
    </row>
    <row r="101">
      <c r="A101" s="1"/>
      <c r="B101" s="22" t="s">
        <v>382</v>
      </c>
      <c r="C101" s="27">
        <f>C94-C100</f>
        <v>179</v>
      </c>
      <c r="D101" s="27">
        <f>D94-D100</f>
        <v>274</v>
      </c>
      <c r="E101" s="27">
        <f>E94-E100</f>
        <v>120</v>
      </c>
      <c r="F101" s="27">
        <f>F94-F100</f>
        <v>-1352</v>
      </c>
      <c r="G101" s="27">
        <f>G94-G100</f>
        <v>-779</v>
      </c>
      <c r="H101" s="27">
        <f>H94-H100</f>
        <v>679</v>
      </c>
      <c r="I101" s="27">
        <f>I94-I100</f>
        <v>800</v>
      </c>
      <c r="J101" s="32">
        <f>J94-J100</f>
        <v>737.5616438356165</v>
      </c>
      <c r="K101" s="1"/>
    </row>
    <row r="102">
      <c r="A102" s="1"/>
      <c r="B102" s="22" t="s">
        <v>383</v>
      </c>
      <c r="C102" s="1"/>
      <c r="D102" s="1"/>
      <c r="E102" s="1"/>
      <c r="F102" s="1"/>
      <c r="G102" s="1"/>
      <c r="H102" s="1"/>
      <c r="I102" s="1"/>
      <c r="J102" s="31"/>
      <c r="K102" s="1"/>
    </row>
    <row r="103">
      <c r="A103" s="1"/>
      <c r="B103" s="1" t="s">
        <v>384</v>
      </c>
      <c r="C103" s="28">
        <v>1334</v>
      </c>
      <c r="D103" s="28">
        <v>1287</v>
      </c>
      <c r="E103" s="28">
        <v>1320</v>
      </c>
      <c r="F103" s="28">
        <v>1222</v>
      </c>
      <c r="G103" s="21">
        <f>SUM(C103:F103)</f>
        <v>5163</v>
      </c>
      <c r="H103" s="28">
        <v>1324</v>
      </c>
      <c r="I103" s="28">
        <v>1243</v>
      </c>
      <c r="J103" s="55">
        <v>1265</v>
      </c>
      <c r="K103" s="1"/>
    </row>
    <row r="104">
      <c r="A104" s="1"/>
      <c r="B104" s="4" t="s">
        <v>108</v>
      </c>
      <c r="C104" s="1"/>
      <c r="D104" s="1"/>
      <c r="E104" s="1"/>
      <c r="F104" s="1"/>
      <c r="G104" s="1"/>
      <c r="H104" s="25">
        <f>IFERROR(H103/C103-1,"n/m")</f>
        <v>-0.007496251874062998</v>
      </c>
      <c r="I104" s="25">
        <f>IFERROR(I103/D103-1,"n/m")</f>
        <v>-0.03418803418803418</v>
      </c>
      <c r="J104" s="33">
        <f>IFERROR(J103/E103-1,"n/m")</f>
        <v>-0.04166666666666663</v>
      </c>
      <c r="K104" s="1"/>
    </row>
    <row r="105">
      <c r="A105" s="1"/>
      <c r="B105" s="4" t="s">
        <v>71</v>
      </c>
      <c r="C105" s="1"/>
      <c r="D105" s="34">
        <f>D103-C103</f>
        <v>-47</v>
      </c>
      <c r="E105" s="34">
        <f>E103-D103</f>
        <v>33</v>
      </c>
      <c r="F105" s="34">
        <f>F103-E103</f>
        <v>-98</v>
      </c>
      <c r="G105" s="1"/>
      <c r="H105" s="34">
        <f>H103-F103</f>
        <v>102</v>
      </c>
      <c r="I105" s="34">
        <f>I103-H103</f>
        <v>-81</v>
      </c>
      <c r="J105" s="39">
        <f>J103-I103</f>
        <v>22</v>
      </c>
      <c r="K105" s="1"/>
    </row>
    <row r="106">
      <c r="A106" s="1"/>
      <c r="B106" s="1" t="s">
        <v>385</v>
      </c>
      <c r="C106" s="28">
        <v>256</v>
      </c>
      <c r="D106" s="28">
        <v>256</v>
      </c>
      <c r="E106" s="28">
        <v>297</v>
      </c>
      <c r="F106" s="28">
        <v>341</v>
      </c>
      <c r="G106" s="21">
        <f>SUM(C106:F106)</f>
        <v>1150</v>
      </c>
      <c r="H106" s="28">
        <v>371</v>
      </c>
      <c r="I106" s="28">
        <v>366</v>
      </c>
      <c r="J106" s="55">
        <v>375</v>
      </c>
      <c r="K106" s="1"/>
    </row>
    <row r="107">
      <c r="A107" s="1"/>
      <c r="B107" s="4" t="s">
        <v>108</v>
      </c>
      <c r="C107" s="1"/>
      <c r="D107" s="1"/>
      <c r="E107" s="1"/>
      <c r="F107" s="1"/>
      <c r="G107" s="1"/>
      <c r="H107" s="25">
        <f>IFERROR(H106/C106-1,"n/m")</f>
        <v>0.44921875</v>
      </c>
      <c r="I107" s="25">
        <f>IFERROR(I106/D106-1,"n/m")</f>
        <v>0.4296875</v>
      </c>
      <c r="J107" s="33">
        <f>IFERROR(J106/E106-1,"n/m")</f>
        <v>0.26262626262626254</v>
      </c>
      <c r="K107" s="1"/>
    </row>
    <row r="108">
      <c r="A108" s="1"/>
      <c r="B108" s="4" t="s">
        <v>71</v>
      </c>
      <c r="C108" s="1"/>
      <c r="D108" s="34">
        <f>D106-C106</f>
        <v>0</v>
      </c>
      <c r="E108" s="34">
        <f>E106-D106</f>
        <v>41</v>
      </c>
      <c r="F108" s="34">
        <f>F106-E106</f>
        <v>44</v>
      </c>
      <c r="G108" s="1"/>
      <c r="H108" s="34">
        <f>H106-F106</f>
        <v>30</v>
      </c>
      <c r="I108" s="34">
        <f>I106-H106</f>
        <v>-5</v>
      </c>
      <c r="J108" s="39">
        <f>J106-I106</f>
        <v>9</v>
      </c>
      <c r="K108" s="1"/>
    </row>
    <row r="109">
      <c r="A109" s="1"/>
      <c r="B109" s="1" t="s">
        <v>386</v>
      </c>
      <c r="C109" s="28">
        <v>73</v>
      </c>
      <c r="D109" s="28">
        <v>70</v>
      </c>
      <c r="E109" s="28">
        <v>16</v>
      </c>
      <c r="F109" s="28">
        <v>75</v>
      </c>
      <c r="G109" s="21">
        <f>SUM(C109:F109)</f>
        <v>234</v>
      </c>
      <c r="H109" s="28">
        <v>13</v>
      </c>
      <c r="I109" s="28">
        <v>61</v>
      </c>
      <c r="J109" s="55">
        <v>35</v>
      </c>
      <c r="K109" s="1"/>
    </row>
    <row r="110">
      <c r="A110" s="1"/>
      <c r="B110" s="4" t="s">
        <v>87</v>
      </c>
      <c r="C110" s="1"/>
      <c r="D110" s="1"/>
      <c r="E110" s="1"/>
      <c r="F110" s="1"/>
      <c r="G110" s="1"/>
      <c r="H110" s="25">
        <f>IF(OR(C109&lt;=0,H109&lt;=0),"n/m",H109/C109-1)</f>
        <v>-0.821917808219178</v>
      </c>
      <c r="I110" s="25">
        <f>IF(OR(D109&lt;=0,I109&lt;=0),"n/m",I109/D109-1)</f>
        <v>-0.12857142857142856</v>
      </c>
      <c r="J110" s="33">
        <f>IF(OR(E109&lt;=0,J109&lt;=0),"n/m",J109/E109-1)</f>
        <v>1.1875</v>
      </c>
      <c r="K110" s="1"/>
    </row>
    <row r="111">
      <c r="A111" s="1"/>
      <c r="B111" s="4" t="s">
        <v>71</v>
      </c>
      <c r="C111" s="1"/>
      <c r="D111" s="34">
        <f>D109-C109</f>
        <v>-3</v>
      </c>
      <c r="E111" s="34">
        <f>E109-D109</f>
        <v>-54</v>
      </c>
      <c r="F111" s="34">
        <f>F109-E109</f>
        <v>59</v>
      </c>
      <c r="G111" s="1"/>
      <c r="H111" s="34">
        <f>H109-F109</f>
        <v>-62</v>
      </c>
      <c r="I111" s="34">
        <f>I109-H109</f>
        <v>48</v>
      </c>
      <c r="J111" s="39">
        <f>J109-I109</f>
        <v>-26</v>
      </c>
      <c r="K111" s="1"/>
    </row>
    <row r="112">
      <c r="A112" s="1"/>
      <c r="B112" s="1" t="s">
        <v>387</v>
      </c>
      <c r="C112" s="28">
        <v>-1</v>
      </c>
      <c r="D112" s="28">
        <v>-6</v>
      </c>
      <c r="E112" s="28">
        <v>-6</v>
      </c>
      <c r="F112" s="28">
        <v>2</v>
      </c>
      <c r="G112" s="21">
        <f>SUM(C112:F112)</f>
        <v>-11</v>
      </c>
      <c r="H112" s="28">
        <v>-3</v>
      </c>
      <c r="I112" s="28">
        <v>-2</v>
      </c>
      <c r="J112" s="55">
        <v>0</v>
      </c>
      <c r="K112" s="1"/>
    </row>
    <row r="113">
      <c r="A113" s="1"/>
      <c r="B113" s="4" t="s">
        <v>71</v>
      </c>
      <c r="C113" s="1"/>
      <c r="D113" s="34">
        <f>D112-C112</f>
        <v>-5</v>
      </c>
      <c r="E113" s="34">
        <f>E112-D112</f>
        <v>0</v>
      </c>
      <c r="F113" s="34">
        <f>F112-E112</f>
        <v>8</v>
      </c>
      <c r="G113" s="1"/>
      <c r="H113" s="34">
        <f>H112-F112</f>
        <v>-5</v>
      </c>
      <c r="I113" s="34">
        <f>I112-H112</f>
        <v>1</v>
      </c>
      <c r="J113" s="39">
        <f>J112-I112</f>
        <v>2</v>
      </c>
      <c r="K113" s="1"/>
    </row>
    <row r="114">
      <c r="A114" s="1"/>
      <c r="B114" s="1" t="s">
        <v>388</v>
      </c>
      <c r="C114" s="28">
        <v>30</v>
      </c>
      <c r="D114" s="28">
        <v>51</v>
      </c>
      <c r="E114" s="28">
        <v>20</v>
      </c>
      <c r="F114" s="28">
        <v>29</v>
      </c>
      <c r="G114" s="21">
        <f>SUM(C114:F114)</f>
        <v>130</v>
      </c>
      <c r="H114" s="28">
        <v>28</v>
      </c>
      <c r="I114" s="28">
        <v>15</v>
      </c>
      <c r="J114" s="55">
        <v>15</v>
      </c>
      <c r="K114" s="1"/>
    </row>
    <row r="115">
      <c r="A115" s="1"/>
      <c r="B115" s="4" t="s">
        <v>71</v>
      </c>
      <c r="C115" s="1"/>
      <c r="D115" s="34">
        <f>D114-C114</f>
        <v>21</v>
      </c>
      <c r="E115" s="34">
        <f>E114-D114</f>
        <v>-31</v>
      </c>
      <c r="F115" s="34">
        <f>F114-E114</f>
        <v>9</v>
      </c>
      <c r="G115" s="1"/>
      <c r="H115" s="34">
        <f>H114-F114</f>
        <v>-1</v>
      </c>
      <c r="I115" s="34">
        <f>I114-H114</f>
        <v>-13</v>
      </c>
      <c r="J115" s="39">
        <f>J114-I114</f>
        <v>0</v>
      </c>
      <c r="K115" s="1"/>
    </row>
    <row r="116">
      <c r="A116" s="1"/>
      <c r="B116" s="22" t="s">
        <v>389</v>
      </c>
      <c r="C116" s="27">
        <f>SUM(C106,C109,C112,C114)</f>
        <v>358</v>
      </c>
      <c r="D116" s="27">
        <f>SUM(D106,D109,D112,D114)</f>
        <v>371</v>
      </c>
      <c r="E116" s="27">
        <f>SUM(E106,E109,E112,E114)</f>
        <v>327</v>
      </c>
      <c r="F116" s="27">
        <f>SUM(F106,F109,F112,F114)</f>
        <v>447</v>
      </c>
      <c r="G116" s="27">
        <f>SUM(G106,G109,G112,G114)</f>
        <v>1503</v>
      </c>
      <c r="H116" s="27">
        <f>SUM(H106,H109,H112,H114)</f>
        <v>409</v>
      </c>
      <c r="I116" s="27">
        <f>SUM(I106,I109,I112,I114)</f>
        <v>440</v>
      </c>
      <c r="J116" s="32">
        <f>SUM(J106,J109,J112,J114)</f>
        <v>425</v>
      </c>
      <c r="K116" s="1"/>
    </row>
    <row r="117">
      <c r="A117" s="1"/>
      <c r="B117" s="22" t="s">
        <v>390</v>
      </c>
      <c r="C117" s="27">
        <f>C64-C103-C116</f>
        <v>-71</v>
      </c>
      <c r="D117" s="27">
        <f>D64-D103-D116</f>
        <v>33</v>
      </c>
      <c r="E117" s="27">
        <f>E64-E103-E116</f>
        <v>224</v>
      </c>
      <c r="F117" s="27">
        <f>F64-F103-F116</f>
        <v>-1340</v>
      </c>
      <c r="G117" s="27">
        <f>G64-G103-G116</f>
        <v>-1154</v>
      </c>
      <c r="H117" s="27">
        <f>H64-H103-H116</f>
        <v>428</v>
      </c>
      <c r="I117" s="27">
        <f>I64-I103-I116</f>
        <v>370</v>
      </c>
      <c r="J117" s="32">
        <f>J64-J103-J116</f>
        <v>387.56164383561645</v>
      </c>
      <c r="K117" s="1"/>
    </row>
    <row r="118">
      <c r="A118" s="1"/>
      <c r="B118" s="22" t="s">
        <v>391</v>
      </c>
      <c r="C118" s="1"/>
      <c r="D118" s="1"/>
      <c r="E118" s="1"/>
      <c r="F118" s="1"/>
      <c r="G118" s="1"/>
      <c r="H118" s="1"/>
      <c r="I118" s="1"/>
      <c r="J118" s="31"/>
      <c r="K118" s="1"/>
    </row>
    <row r="119" ht="27.75">
      <c r="A119" s="1"/>
      <c r="B119" s="1" t="s">
        <v>392</v>
      </c>
      <c r="C119" s="28">
        <v>892</v>
      </c>
      <c r="D119" s="28">
        <v>990</v>
      </c>
      <c r="E119" s="28">
        <v>849</v>
      </c>
      <c r="F119" s="28">
        <v>804</v>
      </c>
      <c r="G119" s="21">
        <f>SUM(C119:F119)</f>
        <v>3535</v>
      </c>
      <c r="H119" s="28">
        <v>820</v>
      </c>
      <c r="I119" s="28">
        <v>977</v>
      </c>
      <c r="J119" s="55">
        <v>1140</v>
      </c>
      <c r="K119" s="112" t="s">
        <v>393</v>
      </c>
    </row>
    <row r="120">
      <c r="A120" s="1"/>
      <c r="B120" s="4" t="s">
        <v>108</v>
      </c>
      <c r="C120" s="1"/>
      <c r="D120" s="1"/>
      <c r="E120" s="1"/>
      <c r="F120" s="1"/>
      <c r="G120" s="1"/>
      <c r="H120" s="25">
        <f>IFERROR(H119/C119-1,"n/m")</f>
        <v>-0.08071748878923768</v>
      </c>
      <c r="I120" s="25">
        <f>IFERROR(I119/D119-1,"n/m")</f>
        <v>-0.013131313131313105</v>
      </c>
      <c r="J120" s="33">
        <f>IFERROR(J119/E119-1,"n/m")</f>
        <v>0.34275618374558303</v>
      </c>
      <c r="K120" s="1"/>
    </row>
    <row r="121">
      <c r="A121" s="1"/>
      <c r="B121" s="4" t="s">
        <v>71</v>
      </c>
      <c r="C121" s="1"/>
      <c r="D121" s="34">
        <f>D119-C119</f>
        <v>98</v>
      </c>
      <c r="E121" s="34">
        <f>E119-D119</f>
        <v>-141</v>
      </c>
      <c r="F121" s="34">
        <f>F119-E119</f>
        <v>-45</v>
      </c>
      <c r="G121" s="1"/>
      <c r="H121" s="34">
        <f>H119-F119</f>
        <v>16</v>
      </c>
      <c r="I121" s="34">
        <f>I119-H119</f>
        <v>157</v>
      </c>
      <c r="J121" s="39">
        <f>J119-I119</f>
        <v>163</v>
      </c>
      <c r="K121" s="1"/>
    </row>
    <row r="122">
      <c r="A122" s="1"/>
      <c r="B122" s="1" t="s">
        <v>394</v>
      </c>
      <c r="C122" s="28">
        <v>1</v>
      </c>
      <c r="D122" s="28">
        <v>3</v>
      </c>
      <c r="E122" s="28">
        <v>4</v>
      </c>
      <c r="F122" s="28">
        <v>2</v>
      </c>
      <c r="G122" s="21">
        <f>SUM(C122:F122)</f>
        <v>10</v>
      </c>
      <c r="H122" s="28">
        <v>-9</v>
      </c>
      <c r="I122" s="28">
        <v>-2</v>
      </c>
      <c r="J122" s="55">
        <v>0</v>
      </c>
      <c r="K122" s="1"/>
    </row>
    <row r="123">
      <c r="A123" s="1"/>
      <c r="B123" s="4" t="s">
        <v>87</v>
      </c>
      <c r="C123" s="1"/>
      <c r="D123" s="1"/>
      <c r="E123" s="1"/>
      <c r="F123" s="1"/>
      <c r="G123" s="1"/>
      <c r="H123" s="25" t="str">
        <f>IF(OR(C122&lt;=0,H122&lt;=0),"n/m",H122/C122-1)</f>
        <v>n/m</v>
      </c>
      <c r="I123" s="25" t="str">
        <f>IF(OR(D122&lt;=0,I122&lt;=0),"n/m",I122/D122-1)</f>
        <v>n/m</v>
      </c>
      <c r="J123" s="33" t="str">
        <f>IF(OR(E122&lt;=0,J122&lt;=0),"n/m",J122/E122-1)</f>
        <v>n/m</v>
      </c>
      <c r="K123" s="1"/>
    </row>
    <row r="124">
      <c r="A124" s="1"/>
      <c r="B124" s="4" t="s">
        <v>71</v>
      </c>
      <c r="C124" s="1"/>
      <c r="D124" s="34">
        <f>D122-C122</f>
        <v>2</v>
      </c>
      <c r="E124" s="34">
        <f>E122-D122</f>
        <v>1</v>
      </c>
      <c r="F124" s="34">
        <f>F122-E122</f>
        <v>-2</v>
      </c>
      <c r="G124" s="1"/>
      <c r="H124" s="34">
        <f>H122-F122</f>
        <v>-11</v>
      </c>
      <c r="I124" s="34">
        <f>I122-H122</f>
        <v>7</v>
      </c>
      <c r="J124" s="39">
        <f>J122-I122</f>
        <v>2</v>
      </c>
      <c r="K124" s="1"/>
    </row>
    <row r="125">
      <c r="A125" s="1"/>
      <c r="B125" s="22" t="s">
        <v>395</v>
      </c>
      <c r="C125" s="27">
        <f>C87-C119-C122</f>
        <v>-1051</v>
      </c>
      <c r="D125" s="27">
        <f>D87-D119-D122</f>
        <v>-968</v>
      </c>
      <c r="E125" s="27">
        <f>E87-E119-E122</f>
        <v>-1253</v>
      </c>
      <c r="F125" s="27">
        <f>F87-F119-F122</f>
        <v>-1343</v>
      </c>
      <c r="G125" s="27">
        <f>G87-G119-G122</f>
        <v>-4615</v>
      </c>
      <c r="H125" s="27">
        <f>H87-H119-H122</f>
        <v>-1290</v>
      </c>
      <c r="I125" s="27">
        <f>I87-I119-I122</f>
        <v>-1291</v>
      </c>
      <c r="J125" s="32">
        <f>J87-J119-J122</f>
        <v>-1540</v>
      </c>
      <c r="K125" s="1"/>
    </row>
    <row r="126">
      <c r="A126" s="1"/>
      <c r="B126" s="22" t="s">
        <v>396</v>
      </c>
      <c r="C126" s="1"/>
      <c r="D126" s="1"/>
      <c r="E126" s="1"/>
      <c r="F126" s="1"/>
      <c r="G126" s="1"/>
      <c r="H126" s="1"/>
      <c r="I126" s="1"/>
      <c r="J126" s="31"/>
      <c r="K126" s="1"/>
    </row>
    <row r="127">
      <c r="A127" s="1"/>
      <c r="B127" s="22" t="s">
        <v>90</v>
      </c>
      <c r="C127" s="27">
        <f>C94</f>
        <v>1463</v>
      </c>
      <c r="D127" s="27">
        <f>D94</f>
        <v>1716</v>
      </c>
      <c r="E127" s="27">
        <f>E94</f>
        <v>1471</v>
      </c>
      <c r="F127" s="27">
        <f>F94</f>
        <v>-208</v>
      </c>
      <c r="G127" s="27">
        <f>G94</f>
        <v>4442</v>
      </c>
      <c r="H127" s="27">
        <f>H94</f>
        <v>1682</v>
      </c>
      <c r="I127" s="27">
        <f>I94</f>
        <v>1737</v>
      </c>
      <c r="J127" s="32">
        <f>J94</f>
        <v>1677.5616438356165</v>
      </c>
      <c r="K127" s="1"/>
    </row>
    <row r="128">
      <c r="A128" s="1"/>
      <c r="B128" s="22" t="s">
        <v>175</v>
      </c>
      <c r="C128" s="27">
        <f>C103+C119</f>
        <v>2226</v>
      </c>
      <c r="D128" s="27">
        <f>D103+D119</f>
        <v>2277</v>
      </c>
      <c r="E128" s="27">
        <f>E103+E119</f>
        <v>2169</v>
      </c>
      <c r="F128" s="27">
        <f>F103+F119</f>
        <v>2026</v>
      </c>
      <c r="G128" s="27">
        <f>G103+G119</f>
        <v>8698</v>
      </c>
      <c r="H128" s="27">
        <f>H103+H119</f>
        <v>2144</v>
      </c>
      <c r="I128" s="27">
        <f>I103+I119</f>
        <v>2220</v>
      </c>
      <c r="J128" s="32">
        <f>J103+J119</f>
        <v>2405</v>
      </c>
      <c r="K128" s="1"/>
    </row>
    <row r="129">
      <c r="A129" s="1"/>
      <c r="B129" s="4" t="s">
        <v>108</v>
      </c>
      <c r="C129" s="1"/>
      <c r="D129" s="1"/>
      <c r="E129" s="1"/>
      <c r="F129" s="1"/>
      <c r="G129" s="1"/>
      <c r="H129" s="25">
        <f>IFERROR(H128/C128-1,"n/m")</f>
        <v>-0.036837376460017945</v>
      </c>
      <c r="I129" s="25">
        <f>IFERROR(I128/D128-1,"n/m")</f>
        <v>-0.025032938076416378</v>
      </c>
      <c r="J129" s="33">
        <f>IFERROR(J128/E128-1,"n/m")</f>
        <v>0.10880590133702173</v>
      </c>
      <c r="K129" s="1"/>
    </row>
    <row r="130">
      <c r="A130" s="1"/>
      <c r="B130" s="1" t="s">
        <v>176</v>
      </c>
      <c r="C130" s="21">
        <f>C106</f>
        <v>256</v>
      </c>
      <c r="D130" s="21">
        <f>D106</f>
        <v>256</v>
      </c>
      <c r="E130" s="21">
        <f>E106</f>
        <v>297</v>
      </c>
      <c r="F130" s="21">
        <f>F106</f>
        <v>341</v>
      </c>
      <c r="G130" s="21">
        <f>G106</f>
        <v>1150</v>
      </c>
      <c r="H130" s="21">
        <f>H106</f>
        <v>371</v>
      </c>
      <c r="I130" s="21">
        <f>I106</f>
        <v>366</v>
      </c>
      <c r="J130" s="29">
        <f>J106</f>
        <v>375</v>
      </c>
      <c r="K130" s="1"/>
    </row>
    <row r="131">
      <c r="A131" s="1"/>
      <c r="B131" s="1" t="s">
        <v>177</v>
      </c>
      <c r="C131" s="21">
        <f>C109</f>
        <v>73</v>
      </c>
      <c r="D131" s="21">
        <f>D109</f>
        <v>70</v>
      </c>
      <c r="E131" s="21">
        <f>E109</f>
        <v>16</v>
      </c>
      <c r="F131" s="21">
        <f>F109</f>
        <v>75</v>
      </c>
      <c r="G131" s="21">
        <f>G109</f>
        <v>234</v>
      </c>
      <c r="H131" s="21">
        <f>H109</f>
        <v>13</v>
      </c>
      <c r="I131" s="21">
        <f>I109</f>
        <v>61</v>
      </c>
      <c r="J131" s="29">
        <f>J109</f>
        <v>35</v>
      </c>
      <c r="K131" s="1"/>
    </row>
    <row r="132">
      <c r="A132" s="1"/>
      <c r="B132" s="1" t="s">
        <v>178</v>
      </c>
      <c r="C132" s="21">
        <f>C112</f>
        <v>-1</v>
      </c>
      <c r="D132" s="21">
        <f>D112</f>
        <v>-6</v>
      </c>
      <c r="E132" s="21">
        <f>E112</f>
        <v>-6</v>
      </c>
      <c r="F132" s="21">
        <f>F112</f>
        <v>2</v>
      </c>
      <c r="G132" s="21">
        <f>G112</f>
        <v>-11</v>
      </c>
      <c r="H132" s="21">
        <f>H112</f>
        <v>-3</v>
      </c>
      <c r="I132" s="21">
        <f>I112</f>
        <v>-2</v>
      </c>
      <c r="J132" s="29">
        <f>J112</f>
        <v>0</v>
      </c>
      <c r="K132" s="1"/>
    </row>
    <row r="133">
      <c r="A133" s="1"/>
      <c r="B133" s="1" t="s">
        <v>179</v>
      </c>
      <c r="C133" s="21">
        <f>C114+C122</f>
        <v>31</v>
      </c>
      <c r="D133" s="21">
        <f>D114+D122</f>
        <v>54</v>
      </c>
      <c r="E133" s="21">
        <f>E114+E122</f>
        <v>24</v>
      </c>
      <c r="F133" s="21">
        <f>F114+F122</f>
        <v>31</v>
      </c>
      <c r="G133" s="21">
        <f>G114+G122</f>
        <v>140</v>
      </c>
      <c r="H133" s="21">
        <f>H114+H122</f>
        <v>19</v>
      </c>
      <c r="I133" s="21">
        <f>I114+I122</f>
        <v>13</v>
      </c>
      <c r="J133" s="29">
        <f>J114+J122</f>
        <v>15</v>
      </c>
      <c r="K133" s="1"/>
    </row>
    <row r="134">
      <c r="A134" s="1"/>
      <c r="B134" s="22" t="s">
        <v>180</v>
      </c>
      <c r="C134" s="27">
        <f>C130+C131+C132+C133</f>
        <v>359</v>
      </c>
      <c r="D134" s="27">
        <f>D130+D131+D132+D133</f>
        <v>374</v>
      </c>
      <c r="E134" s="27">
        <f>E130+E131+E132+E133</f>
        <v>331</v>
      </c>
      <c r="F134" s="27">
        <f>F130+F131+F132+F133</f>
        <v>449</v>
      </c>
      <c r="G134" s="27">
        <f>G130+G131+G132+G133</f>
        <v>1513</v>
      </c>
      <c r="H134" s="27">
        <f>H130+H131+H132+H133</f>
        <v>400</v>
      </c>
      <c r="I134" s="27">
        <f>I130+I131+I132+I133</f>
        <v>438</v>
      </c>
      <c r="J134" s="32">
        <f>J130+J131+J132+J133</f>
        <v>425</v>
      </c>
      <c r="K134" s="1"/>
    </row>
    <row r="135">
      <c r="A135" s="1"/>
      <c r="B135" s="22" t="s">
        <v>397</v>
      </c>
      <c r="C135" s="27">
        <f>C127-C128-C134</f>
        <v>-1122</v>
      </c>
      <c r="D135" s="27">
        <f>D127-D128-D134</f>
        <v>-935</v>
      </c>
      <c r="E135" s="27">
        <f>E127-E128-E134</f>
        <v>-1029</v>
      </c>
      <c r="F135" s="27">
        <f>F127-F128-F134</f>
        <v>-2683</v>
      </c>
      <c r="G135" s="27">
        <f>G127-G128-G134</f>
        <v>-5769</v>
      </c>
      <c r="H135" s="27">
        <f>H127-H128-H134</f>
        <v>-862</v>
      </c>
      <c r="I135" s="27">
        <f>I127-I128-I134</f>
        <v>-921</v>
      </c>
      <c r="J135" s="32">
        <f>J127-J128-J134</f>
        <v>-1152.4383561643835</v>
      </c>
      <c r="K135" s="1"/>
    </row>
    <row r="136">
      <c r="A136" s="1"/>
      <c r="B136" s="1" t="s">
        <v>398</v>
      </c>
      <c r="C136" s="28">
        <v>-283</v>
      </c>
      <c r="D136" s="28">
        <v>-362</v>
      </c>
      <c r="E136" s="28">
        <v>-277</v>
      </c>
      <c r="F136" s="28">
        <v>-410</v>
      </c>
      <c r="G136" s="21">
        <f>SUM(C136:F136)</f>
        <v>-1332</v>
      </c>
      <c r="H136" s="28">
        <v>-474</v>
      </c>
      <c r="I136" s="28">
        <v>-160</v>
      </c>
      <c r="J136" s="61" t="s">
        <v>48</v>
      </c>
      <c r="K136" s="1"/>
    </row>
    <row r="137">
      <c r="A137" s="1"/>
      <c r="B137" s="1" t="s">
        <v>399</v>
      </c>
      <c r="C137" s="28">
        <v>-1</v>
      </c>
      <c r="D137" s="28">
        <v>0</v>
      </c>
      <c r="E137" s="28">
        <v>-1</v>
      </c>
      <c r="F137" s="28">
        <v>-1</v>
      </c>
      <c r="G137" s="21">
        <f>SUM(C137:F137)</f>
        <v>-3</v>
      </c>
      <c r="H137" s="28">
        <v>-1</v>
      </c>
      <c r="I137" s="28">
        <v>0</v>
      </c>
      <c r="J137" s="61" t="s">
        <v>48</v>
      </c>
      <c r="K137" s="1"/>
    </row>
    <row r="138">
      <c r="A138" s="1"/>
      <c r="B138" s="1" t="s">
        <v>185</v>
      </c>
      <c r="C138" s="28">
        <v>16</v>
      </c>
      <c r="D138" s="28">
        <v>-21</v>
      </c>
      <c r="E138" s="28">
        <v>3</v>
      </c>
      <c r="F138" s="28">
        <v>16</v>
      </c>
      <c r="G138" s="21">
        <f>SUM(C138:F138)</f>
        <v>14</v>
      </c>
      <c r="H138" s="28">
        <v>105</v>
      </c>
      <c r="I138" s="28">
        <v>162</v>
      </c>
      <c r="J138" s="61" t="s">
        <v>48</v>
      </c>
      <c r="K138" s="24" t="s">
        <v>400</v>
      </c>
    </row>
    <row r="139">
      <c r="A139" s="1"/>
      <c r="B139" s="22" t="s">
        <v>401</v>
      </c>
      <c r="C139" s="27">
        <f>C135-C136+C137-C138</f>
        <v>-856</v>
      </c>
      <c r="D139" s="27">
        <f>D135-D136+D137-D138</f>
        <v>-552</v>
      </c>
      <c r="E139" s="27">
        <f>E135-E136+E137-E138</f>
        <v>-756</v>
      </c>
      <c r="F139" s="27">
        <f>F135-F136+F137-F138</f>
        <v>-2290</v>
      </c>
      <c r="G139" s="27">
        <f>G135-G136+G137-G138</f>
        <v>-4454</v>
      </c>
      <c r="H139" s="27">
        <f>H135-H136+H137-H138</f>
        <v>-494</v>
      </c>
      <c r="I139" s="27">
        <f>I135-I136+I137-I138</f>
        <v>-923</v>
      </c>
      <c r="J139" s="67" t="s">
        <v>48</v>
      </c>
      <c r="K139" s="1"/>
    </row>
    <row r="140">
      <c r="A140" s="1"/>
      <c r="B140" s="22" t="s">
        <v>402</v>
      </c>
      <c r="C140" s="1"/>
      <c r="D140" s="1"/>
      <c r="E140" s="1"/>
      <c r="F140" s="1"/>
      <c r="G140" s="1"/>
      <c r="H140" s="1"/>
      <c r="I140" s="1"/>
      <c r="J140" s="31"/>
      <c r="K140" s="1"/>
    </row>
    <row r="141" ht="27.75">
      <c r="A141" s="1"/>
      <c r="B141" s="1" t="s">
        <v>403</v>
      </c>
      <c r="C141" s="28">
        <v>0</v>
      </c>
      <c r="D141" s="28">
        <v>-177</v>
      </c>
      <c r="E141" s="28">
        <v>2</v>
      </c>
      <c r="F141" s="28">
        <v>-1</v>
      </c>
      <c r="G141" s="21">
        <f>SUM(C141:F141)</f>
        <v>-176</v>
      </c>
      <c r="H141" s="28">
        <v>13</v>
      </c>
      <c r="I141" s="28">
        <v>20</v>
      </c>
      <c r="J141" s="55">
        <v>10</v>
      </c>
      <c r="K141" s="112" t="s">
        <v>404</v>
      </c>
    </row>
    <row r="142">
      <c r="A142" s="1"/>
      <c r="B142" s="4" t="s">
        <v>71</v>
      </c>
      <c r="C142" s="1"/>
      <c r="D142" s="34">
        <f>D141-C141</f>
        <v>-177</v>
      </c>
      <c r="E142" s="34">
        <f>E141-D141</f>
        <v>179</v>
      </c>
      <c r="F142" s="34">
        <f>F141-E141</f>
        <v>-3</v>
      </c>
      <c r="G142" s="1"/>
      <c r="H142" s="34">
        <f>H141-F141</f>
        <v>14</v>
      </c>
      <c r="I142" s="34">
        <f>I141-H141</f>
        <v>7</v>
      </c>
      <c r="J142" s="39">
        <f>J141-I141</f>
        <v>-10</v>
      </c>
      <c r="K142" s="1"/>
    </row>
    <row r="143">
      <c r="A143" s="1"/>
      <c r="B143" s="4" t="s">
        <v>74</v>
      </c>
      <c r="C143" s="1"/>
      <c r="D143" s="1"/>
      <c r="E143" s="1"/>
      <c r="F143" s="1"/>
      <c r="G143" s="1"/>
      <c r="H143" s="30" t="s">
        <v>48</v>
      </c>
      <c r="I143" s="30" t="s">
        <v>48</v>
      </c>
      <c r="J143" s="40" t="s">
        <v>48</v>
      </c>
      <c r="K143" s="24" t="s">
        <v>89</v>
      </c>
    </row>
    <row r="144">
      <c r="A144" s="1"/>
      <c r="B144" s="4" t="s">
        <v>76</v>
      </c>
      <c r="C144" s="1"/>
      <c r="D144" s="1"/>
      <c r="E144" s="1"/>
      <c r="F144" s="1"/>
      <c r="G144" s="1"/>
      <c r="H144" s="30" t="s">
        <v>48</v>
      </c>
      <c r="I144" s="30" t="s">
        <v>48</v>
      </c>
      <c r="J144" s="40" t="s">
        <v>48</v>
      </c>
      <c r="K144" s="24" t="s">
        <v>89</v>
      </c>
    </row>
    <row r="145" ht="27.75">
      <c r="A145" s="1"/>
      <c r="B145" s="4" t="s">
        <v>77</v>
      </c>
      <c r="C145" s="1"/>
      <c r="D145" s="1"/>
      <c r="E145" s="1"/>
      <c r="F145" s="1"/>
      <c r="G145" s="1"/>
      <c r="H145" s="30" t="s">
        <v>48</v>
      </c>
      <c r="I145" s="30" t="s">
        <v>48</v>
      </c>
      <c r="J145" s="40" t="s">
        <v>48</v>
      </c>
      <c r="K145" s="112" t="s">
        <v>78</v>
      </c>
    </row>
    <row r="146" ht="27.75">
      <c r="A146" s="1"/>
      <c r="B146" s="1" t="s">
        <v>405</v>
      </c>
      <c r="C146" s="28">
        <v>34</v>
      </c>
      <c r="D146" s="28">
        <v>37</v>
      </c>
      <c r="E146" s="28">
        <v>766</v>
      </c>
      <c r="F146" s="28">
        <v>40</v>
      </c>
      <c r="G146" s="21">
        <f>SUM(C146:F146)</f>
        <v>877</v>
      </c>
      <c r="H146" s="28">
        <v>31</v>
      </c>
      <c r="I146" s="28">
        <v>25</v>
      </c>
      <c r="J146" s="55">
        <v>25</v>
      </c>
      <c r="K146" s="112" t="s">
        <v>406</v>
      </c>
    </row>
    <row r="147">
      <c r="A147" s="1"/>
      <c r="B147" s="4" t="s">
        <v>71</v>
      </c>
      <c r="C147" s="1"/>
      <c r="D147" s="34">
        <f>D146-C146</f>
        <v>3</v>
      </c>
      <c r="E147" s="34">
        <f>E146-D146</f>
        <v>729</v>
      </c>
      <c r="F147" s="34">
        <f>F146-E146</f>
        <v>-726</v>
      </c>
      <c r="G147" s="1"/>
      <c r="H147" s="34">
        <f>H146-F146</f>
        <v>-9</v>
      </c>
      <c r="I147" s="34">
        <f>I146-H146</f>
        <v>-6</v>
      </c>
      <c r="J147" s="39">
        <f>J146-I146</f>
        <v>0</v>
      </c>
      <c r="K147" s="1"/>
    </row>
    <row r="148" ht="53.25">
      <c r="A148" s="1"/>
      <c r="B148" s="1" t="s">
        <v>407</v>
      </c>
      <c r="C148" s="28">
        <v>-11</v>
      </c>
      <c r="D148" s="28">
        <v>5</v>
      </c>
      <c r="E148" s="28">
        <v>-3</v>
      </c>
      <c r="F148" s="28">
        <v>-1</v>
      </c>
      <c r="G148" s="21">
        <f>SUM(C148:F148)</f>
        <v>-10</v>
      </c>
      <c r="H148" s="28">
        <v>1</v>
      </c>
      <c r="I148" s="28">
        <v>-2</v>
      </c>
      <c r="J148" s="55">
        <v>0</v>
      </c>
      <c r="K148" s="111" t="s">
        <v>408</v>
      </c>
    </row>
    <row r="149">
      <c r="A149" s="1"/>
      <c r="B149" s="22" t="s">
        <v>409</v>
      </c>
      <c r="C149" s="27">
        <f>C141-C146-C148</f>
        <v>-23</v>
      </c>
      <c r="D149" s="27">
        <f>D141-D146-D148</f>
        <v>-219</v>
      </c>
      <c r="E149" s="27">
        <f>E141-E146-E148</f>
        <v>-761</v>
      </c>
      <c r="F149" s="27">
        <f>F141-F146-F148</f>
        <v>-40</v>
      </c>
      <c r="G149" s="27">
        <f>G141-G146-G148</f>
        <v>-1043</v>
      </c>
      <c r="H149" s="27">
        <f>H141-H146-H148</f>
        <v>-19</v>
      </c>
      <c r="I149" s="27">
        <f>I141-I146-I148</f>
        <v>-3</v>
      </c>
      <c r="J149" s="32">
        <f>J141-J146-J148</f>
        <v>-15</v>
      </c>
      <c r="K149" s="1"/>
    </row>
    <row r="150" ht="66">
      <c r="A150" s="1"/>
      <c r="B150" s="4" t="s">
        <v>410</v>
      </c>
      <c r="C150" s="25">
        <f>IFERROR(C151/C149,"n/m")</f>
        <v>0.34782608695652173</v>
      </c>
      <c r="D150" s="25">
        <f>IFERROR(D151/D149,"n/m")</f>
        <v>0.1780821917808219</v>
      </c>
      <c r="E150" s="25">
        <f>IFERROR(E151/E149,"n/m")</f>
        <v>-0.02102496714848883</v>
      </c>
      <c r="F150" s="25">
        <f>IFERROR(F151/F149,"n/m")</f>
        <v>-1.75</v>
      </c>
      <c r="G150" s="25">
        <f>IFERROR(G151/G149,"n/m")</f>
        <v>-0.037392138063279005</v>
      </c>
      <c r="H150" s="25">
        <f>IFERROR(H151/H149,"n/m")</f>
        <v>0.3684210526315789</v>
      </c>
      <c r="I150" s="25">
        <f>IFERROR(I151/I149,"n/m")</f>
        <v>0.3333333333333333</v>
      </c>
      <c r="J150" s="76">
        <v>0.27</v>
      </c>
      <c r="K150" s="112" t="s">
        <v>411</v>
      </c>
    </row>
    <row r="151">
      <c r="A151" s="1"/>
      <c r="B151" s="1" t="s">
        <v>412</v>
      </c>
      <c r="C151" s="28">
        <v>-8</v>
      </c>
      <c r="D151" s="28">
        <v>-39</v>
      </c>
      <c r="E151" s="28">
        <v>16</v>
      </c>
      <c r="F151" s="28">
        <v>70</v>
      </c>
      <c r="G151" s="21">
        <f>SUM(C151:F151)</f>
        <v>39</v>
      </c>
      <c r="H151" s="28">
        <v>-7</v>
      </c>
      <c r="I151" s="28">
        <v>-1</v>
      </c>
      <c r="J151" s="29">
        <f>J149*J150</f>
        <v>-4.050000000000001</v>
      </c>
      <c r="K151" s="1"/>
    </row>
    <row r="152">
      <c r="A152" s="1"/>
      <c r="B152" s="22" t="s">
        <v>413</v>
      </c>
      <c r="C152" s="27">
        <f>C149-C151</f>
        <v>-15</v>
      </c>
      <c r="D152" s="27">
        <f>D149-D151</f>
        <v>-180</v>
      </c>
      <c r="E152" s="27">
        <f>E149-E151</f>
        <v>-777</v>
      </c>
      <c r="F152" s="27">
        <f>F149-F151</f>
        <v>-110</v>
      </c>
      <c r="G152" s="27">
        <f>G149-G151</f>
        <v>-1082</v>
      </c>
      <c r="H152" s="27">
        <f>H149-H151</f>
        <v>-12</v>
      </c>
      <c r="I152" s="27">
        <f>I149-I151</f>
        <v>-2</v>
      </c>
      <c r="J152" s="32">
        <f>J149-J151</f>
        <v>-10.95</v>
      </c>
      <c r="K152" s="1"/>
    </row>
    <row r="153">
      <c r="A153" s="1"/>
      <c r="B153" s="1" t="s">
        <v>414</v>
      </c>
      <c r="C153" s="1"/>
      <c r="D153" s="1"/>
      <c r="E153" s="1"/>
      <c r="F153" s="1"/>
      <c r="G153" s="1"/>
      <c r="H153" s="1"/>
      <c r="I153" s="1"/>
      <c r="J153" s="31"/>
      <c r="K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K12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415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416</v>
      </c>
      <c r="C10" s="1"/>
      <c r="D10" s="1"/>
      <c r="E10" s="1"/>
      <c r="F10" s="1"/>
      <c r="G10" s="1"/>
      <c r="H10" s="1"/>
      <c r="I10" s="1"/>
      <c r="J10" s="31"/>
      <c r="K10" s="1"/>
    </row>
    <row r="11">
      <c r="A11" s="1"/>
      <c r="B11" s="1" t="s">
        <v>417</v>
      </c>
      <c r="C11" s="28">
        <v>33666</v>
      </c>
      <c r="D11" s="28">
        <v>35859</v>
      </c>
      <c r="E11" s="28">
        <v>36690</v>
      </c>
      <c r="F11" s="28">
        <v>36649</v>
      </c>
      <c r="G11" s="21">
        <f>SUM(C11:F11)</f>
        <v>142864</v>
      </c>
      <c r="H11" s="28">
        <v>35513</v>
      </c>
      <c r="I11" s="28">
        <v>37662</v>
      </c>
      <c r="J11" s="61" t="s">
        <v>48</v>
      </c>
      <c r="K11" s="1"/>
    </row>
    <row r="12">
      <c r="A12" s="1"/>
      <c r="B12" s="1" t="s">
        <v>418</v>
      </c>
      <c r="C12" s="28">
        <v>19654</v>
      </c>
      <c r="D12" s="28">
        <v>20684</v>
      </c>
      <c r="E12" s="28">
        <v>21750</v>
      </c>
      <c r="F12" s="28">
        <v>20984</v>
      </c>
      <c r="G12" s="21">
        <f>SUM(C12:F12)</f>
        <v>83072</v>
      </c>
      <c r="H12" s="28">
        <v>19772</v>
      </c>
      <c r="I12" s="28">
        <v>20537</v>
      </c>
      <c r="J12" s="61" t="s">
        <v>48</v>
      </c>
      <c r="K12" s="1"/>
    </row>
    <row r="13">
      <c r="A13" s="1"/>
      <c r="B13" s="22" t="s">
        <v>59</v>
      </c>
      <c r="C13" s="27">
        <f>C11-C12</f>
        <v>14012</v>
      </c>
      <c r="D13" s="27">
        <f>D11-D12</f>
        <v>15175</v>
      </c>
      <c r="E13" s="27">
        <f>E11-E12</f>
        <v>14940</v>
      </c>
      <c r="F13" s="27">
        <f>F11-F12</f>
        <v>15665</v>
      </c>
      <c r="G13" s="27">
        <f>G11-G12</f>
        <v>59792</v>
      </c>
      <c r="H13" s="27">
        <f>H11-H12</f>
        <v>15741</v>
      </c>
      <c r="I13" s="27">
        <f>I11-I12</f>
        <v>17125</v>
      </c>
      <c r="J13" s="89">
        <f>'Segment - Services'!J90+'Segment - Markets'!J50+'Segment - Banking'!J64+'Segment - Wealth'!J36+'Segment - USCC'!J62+'Segment - All Other'!J100</f>
        <v>16753.13424657534</v>
      </c>
      <c r="K13" s="24" t="s">
        <v>419</v>
      </c>
    </row>
    <row r="14">
      <c r="A14" s="1"/>
      <c r="B14" s="4" t="s">
        <v>108</v>
      </c>
      <c r="C14" s="1"/>
      <c r="D14" s="1"/>
      <c r="E14" s="1"/>
      <c r="F14" s="1"/>
      <c r="G14" s="1"/>
      <c r="H14" s="25">
        <f>IFERROR(H13/C13-1,"n/m")</f>
        <v>0.1233942335141307</v>
      </c>
      <c r="I14" s="25">
        <f>IFERROR(I13/D13-1,"n/m")</f>
        <v>0.12850082372322902</v>
      </c>
      <c r="J14" s="33">
        <f>IFERROR(J13/E13-1,"n/m")</f>
        <v>0.12136106068108043</v>
      </c>
      <c r="K14" s="1"/>
    </row>
    <row r="15">
      <c r="A15" s="1"/>
      <c r="B15" s="4" t="s">
        <v>71</v>
      </c>
      <c r="C15" s="1"/>
      <c r="D15" s="34">
        <f>D13-C13</f>
        <v>1163</v>
      </c>
      <c r="E15" s="34">
        <f>E13-D13</f>
        <v>-235</v>
      </c>
      <c r="F15" s="34">
        <f>F13-E13</f>
        <v>725</v>
      </c>
      <c r="G15" s="1"/>
      <c r="H15" s="34">
        <f>H13-F13</f>
        <v>76</v>
      </c>
      <c r="I15" s="34">
        <f>I13-H13</f>
        <v>1384</v>
      </c>
      <c r="J15" s="39">
        <f>J13-I13</f>
        <v>-371.8657534246595</v>
      </c>
      <c r="K15" s="1"/>
    </row>
    <row r="16">
      <c r="A16" s="1"/>
      <c r="B16" s="1" t="s">
        <v>280</v>
      </c>
      <c r="C16" s="28">
        <v>2707</v>
      </c>
      <c r="D16" s="28">
        <v>2745</v>
      </c>
      <c r="E16" s="28">
        <v>2888</v>
      </c>
      <c r="F16" s="28">
        <v>2829</v>
      </c>
      <c r="G16" s="21">
        <f>SUM(C16:F16)</f>
        <v>11169</v>
      </c>
      <c r="H16" s="28">
        <v>3272</v>
      </c>
      <c r="I16" s="28">
        <v>3298</v>
      </c>
      <c r="J16" s="61" t="s">
        <v>48</v>
      </c>
      <c r="K16" s="1"/>
    </row>
    <row r="17">
      <c r="A17" s="1"/>
      <c r="B17" s="1" t="s">
        <v>225</v>
      </c>
      <c r="C17" s="28">
        <v>3510</v>
      </c>
      <c r="D17" s="28">
        <v>2503</v>
      </c>
      <c r="E17" s="28">
        <v>2772</v>
      </c>
      <c r="F17" s="28">
        <v>1450</v>
      </c>
      <c r="G17" s="21">
        <f>SUM(C17:F17)</f>
        <v>10235</v>
      </c>
      <c r="H17" s="28">
        <v>4008</v>
      </c>
      <c r="I17" s="28">
        <v>2481</v>
      </c>
      <c r="J17" s="61" t="s">
        <v>48</v>
      </c>
      <c r="K17" s="1"/>
    </row>
    <row r="18">
      <c r="A18" s="1"/>
      <c r="B18" s="1" t="s">
        <v>420</v>
      </c>
      <c r="C18" s="28">
        <v>1045</v>
      </c>
      <c r="D18" s="28">
        <v>1123</v>
      </c>
      <c r="E18" s="28">
        <v>1117</v>
      </c>
      <c r="F18" s="28">
        <v>1129</v>
      </c>
      <c r="G18" s="21">
        <f>SUM(C18:F18)</f>
        <v>4414</v>
      </c>
      <c r="H18" s="28">
        <v>1123</v>
      </c>
      <c r="I18" s="28">
        <v>1257</v>
      </c>
      <c r="J18" s="61" t="s">
        <v>48</v>
      </c>
      <c r="K18" s="1"/>
    </row>
    <row r="19">
      <c r="A19" s="1"/>
      <c r="B19" s="1" t="s">
        <v>421</v>
      </c>
      <c r="C19" s="28">
        <v>121</v>
      </c>
      <c r="D19" s="28">
        <v>138</v>
      </c>
      <c r="E19" s="28">
        <v>105</v>
      </c>
      <c r="F19" s="28">
        <v>107</v>
      </c>
      <c r="G19" s="21">
        <f>SUM(C19:F19)</f>
        <v>471</v>
      </c>
      <c r="H19" s="28">
        <v>270</v>
      </c>
      <c r="I19" s="28">
        <v>169</v>
      </c>
      <c r="J19" s="61" t="s">
        <v>48</v>
      </c>
      <c r="K19" s="1"/>
    </row>
    <row r="20">
      <c r="A20" s="1"/>
      <c r="B20" s="1" t="s">
        <v>422</v>
      </c>
      <c r="C20" s="28">
        <v>-58</v>
      </c>
      <c r="D20" s="28">
        <v>-35</v>
      </c>
      <c r="E20" s="28">
        <v>-25</v>
      </c>
      <c r="F20" s="28">
        <v>-234</v>
      </c>
      <c r="G20" s="21">
        <f>SUM(C20:F20)</f>
        <v>-352</v>
      </c>
      <c r="H20" s="28">
        <v>-140</v>
      </c>
      <c r="I20" s="28">
        <v>-68</v>
      </c>
      <c r="J20" s="61" t="s">
        <v>48</v>
      </c>
      <c r="K20" s="1"/>
    </row>
    <row r="21">
      <c r="A21" s="1"/>
      <c r="B21" s="1" t="s">
        <v>423</v>
      </c>
      <c r="C21" s="28">
        <v>259</v>
      </c>
      <c r="D21" s="28">
        <v>19</v>
      </c>
      <c r="E21" s="28">
        <v>293</v>
      </c>
      <c r="F21" s="28">
        <v>-1075</v>
      </c>
      <c r="G21" s="21">
        <f>SUM(C21:F21)</f>
        <v>-504</v>
      </c>
      <c r="H21" s="28">
        <v>359</v>
      </c>
      <c r="I21" s="28">
        <v>504</v>
      </c>
      <c r="J21" s="61" t="s">
        <v>48</v>
      </c>
      <c r="K21" s="24" t="s">
        <v>424</v>
      </c>
    </row>
    <row r="22">
      <c r="A22" s="1"/>
      <c r="B22" s="22" t="s">
        <v>425</v>
      </c>
      <c r="C22" s="27">
        <f>SUM(C16:C21)</f>
        <v>7584</v>
      </c>
      <c r="D22" s="27">
        <f>SUM(D16:D21)</f>
        <v>6493</v>
      </c>
      <c r="E22" s="27">
        <f>SUM(E16:E21)</f>
        <v>7150</v>
      </c>
      <c r="F22" s="27">
        <f>SUM(F16:F21)</f>
        <v>4206</v>
      </c>
      <c r="G22" s="27">
        <f>SUM(G16:G21)</f>
        <v>25433</v>
      </c>
      <c r="H22" s="27">
        <f>SUM(H16:H21)</f>
        <v>8892</v>
      </c>
      <c r="I22" s="27">
        <f>SUM(I16:I21)</f>
        <v>7641</v>
      </c>
      <c r="J22" s="89">
        <f>'Revenue summary'!J66-J13</f>
        <v>7261.61023013699</v>
      </c>
      <c r="K22" s="24" t="s">
        <v>426</v>
      </c>
    </row>
    <row r="23">
      <c r="A23" s="1"/>
      <c r="B23" s="4" t="s">
        <v>108</v>
      </c>
      <c r="C23" s="1"/>
      <c r="D23" s="1"/>
      <c r="E23" s="1"/>
      <c r="F23" s="1"/>
      <c r="G23" s="1"/>
      <c r="H23" s="25">
        <f>IFERROR(H22/C22-1,"n/m")</f>
        <v>0.17246835443037978</v>
      </c>
      <c r="I23" s="25">
        <f>IFERROR(I22/D22-1,"n/m")</f>
        <v>0.17680579085168646</v>
      </c>
      <c r="J23" s="33">
        <f>IFERROR(J22/E22-1,"n/m")</f>
        <v>0.01560982239678177</v>
      </c>
      <c r="K23" s="1"/>
    </row>
    <row r="24">
      <c r="A24" s="1"/>
      <c r="B24" s="22" t="s">
        <v>90</v>
      </c>
      <c r="C24" s="27">
        <f>C13+C22</f>
        <v>21596</v>
      </c>
      <c r="D24" s="27">
        <f>D13+D22</f>
        <v>21668</v>
      </c>
      <c r="E24" s="27">
        <f>E13+E22</f>
        <v>22090</v>
      </c>
      <c r="F24" s="27">
        <f>F13+F22</f>
        <v>19871</v>
      </c>
      <c r="G24" s="27">
        <f>G13+G22</f>
        <v>85225</v>
      </c>
      <c r="H24" s="27">
        <f>H13+H22</f>
        <v>24633</v>
      </c>
      <c r="I24" s="27">
        <f>I13+I22</f>
        <v>24766</v>
      </c>
      <c r="J24" s="32">
        <f>J13+J22</f>
        <v>24014.74447671233</v>
      </c>
      <c r="K24" s="1"/>
    </row>
    <row r="25">
      <c r="A25" s="1"/>
      <c r="B25" s="4" t="s">
        <v>108</v>
      </c>
      <c r="C25" s="1"/>
      <c r="D25" s="1"/>
      <c r="E25" s="1"/>
      <c r="F25" s="1"/>
      <c r="G25" s="1"/>
      <c r="H25" s="25">
        <f>IFERROR(H24/C24-1,"n/m")</f>
        <v>0.14062789405445453</v>
      </c>
      <c r="I25" s="25">
        <f>IFERROR(I24/D24-1,"n/m")</f>
        <v>0.14297581687280791</v>
      </c>
      <c r="J25" s="33">
        <f>IFERROR(J24/E24-1,"n/m")</f>
        <v>0.08713193647407569</v>
      </c>
      <c r="K25" s="1"/>
    </row>
    <row r="26">
      <c r="A26" s="1"/>
      <c r="B26" s="4" t="s">
        <v>71</v>
      </c>
      <c r="C26" s="1"/>
      <c r="D26" s="34">
        <f>D24-C24</f>
        <v>72</v>
      </c>
      <c r="E26" s="34">
        <f>E24-D24</f>
        <v>422</v>
      </c>
      <c r="F26" s="34">
        <f>F24-E24</f>
        <v>-2219</v>
      </c>
      <c r="G26" s="1"/>
      <c r="H26" s="34">
        <f>H24-F24</f>
        <v>4762</v>
      </c>
      <c r="I26" s="34">
        <f>I24-H24</f>
        <v>133</v>
      </c>
      <c r="J26" s="39">
        <f>J24-I24</f>
        <v>-751.2555232876693</v>
      </c>
      <c r="K26" s="1"/>
    </row>
    <row r="27">
      <c r="A27" s="1"/>
      <c r="B27" s="4" t="s">
        <v>72</v>
      </c>
      <c r="C27" s="1"/>
      <c r="D27" s="25">
        <f>IFERROR(D24/C24-1,"n/m")</f>
        <v>0.003333950731617019</v>
      </c>
      <c r="E27" s="25">
        <f>IFERROR(E24/D24-1,"n/m")</f>
        <v>0.019475724570795716</v>
      </c>
      <c r="F27" s="25">
        <f>IFERROR(F24/E24-1,"n/m")</f>
        <v>-0.10045269352648256</v>
      </c>
      <c r="G27" s="1"/>
      <c r="H27" s="25">
        <f>IFERROR(H24/F24-1,"n/m")</f>
        <v>0.2396457148608524</v>
      </c>
      <c r="I27" s="25">
        <f>IFERROR(I24/H24-1,"n/m")</f>
        <v>0.00539926115373679</v>
      </c>
      <c r="J27" s="33">
        <f>IFERROR(J24/I24-1,"n/m")</f>
        <v>-0.030334148562047525</v>
      </c>
      <c r="K27" s="1"/>
    </row>
    <row r="28">
      <c r="A28" s="1"/>
      <c r="B28" s="4" t="s">
        <v>427</v>
      </c>
      <c r="C28" s="25">
        <f>C22/C24</f>
        <v>0.3511761437303204</v>
      </c>
      <c r="D28" s="25">
        <f>D22/D24</f>
        <v>0.29965848255491967</v>
      </c>
      <c r="E28" s="25">
        <f>E22/E24</f>
        <v>0.32367587143503845</v>
      </c>
      <c r="F28" s="25">
        <f>F22/F24</f>
        <v>0.21166524080318053</v>
      </c>
      <c r="G28" s="25">
        <f>G22/G24</f>
        <v>0.29842182458198885</v>
      </c>
      <c r="H28" s="25">
        <f>H22/H24</f>
        <v>0.36097917427840703</v>
      </c>
      <c r="I28" s="25">
        <f>I22/I24</f>
        <v>0.308527820398934</v>
      </c>
      <c r="J28" s="33">
        <f>J22/J24</f>
        <v>0.302381323989466</v>
      </c>
      <c r="K28" s="1"/>
    </row>
    <row r="29">
      <c r="A29" s="1"/>
      <c r="B29" s="22" t="s">
        <v>428</v>
      </c>
      <c r="C29" s="1"/>
      <c r="D29" s="1"/>
      <c r="E29" s="1"/>
      <c r="F29" s="1"/>
      <c r="G29" s="1"/>
      <c r="H29" s="1"/>
      <c r="I29" s="1"/>
      <c r="J29" s="31"/>
      <c r="K29" s="1"/>
    </row>
    <row r="30">
      <c r="A30" s="1"/>
      <c r="B30" s="1" t="s">
        <v>176</v>
      </c>
      <c r="C30" s="28">
        <v>2459</v>
      </c>
      <c r="D30" s="28">
        <v>2234</v>
      </c>
      <c r="E30" s="28">
        <v>2214</v>
      </c>
      <c r="F30" s="28">
        <v>2190</v>
      </c>
      <c r="G30" s="21">
        <f>SUM(C30:F30)</f>
        <v>9097</v>
      </c>
      <c r="H30" s="28">
        <v>2208</v>
      </c>
      <c r="I30" s="28">
        <v>2404</v>
      </c>
      <c r="J30" s="36">
        <f>'Segment - Services'!J126+'Segment - Markets'!J86+'Segment - Banking'!J93+'Segment - Wealth'!J105+'Segment - USCC'!J151+'Segment - All Other'!J130</f>
        <v>2349.9375342465755</v>
      </c>
      <c r="K30" s="1"/>
    </row>
    <row r="31">
      <c r="A31" s="1"/>
      <c r="B31" s="4" t="s">
        <v>108</v>
      </c>
      <c r="C31" s="1"/>
      <c r="D31" s="1"/>
      <c r="E31" s="1"/>
      <c r="F31" s="1"/>
      <c r="G31" s="1"/>
      <c r="H31" s="25">
        <f>IFERROR(H30/C30-1,"n/m")</f>
        <v>-0.10207401382675885</v>
      </c>
      <c r="I31" s="25">
        <f>IFERROR(I30/D30-1,"n/m")</f>
        <v>0.07609668755595345</v>
      </c>
      <c r="J31" s="33">
        <f>IFERROR(J30/E30-1,"n/m")</f>
        <v>0.06139906695870612</v>
      </c>
      <c r="K31" s="1"/>
    </row>
    <row r="32">
      <c r="A32" s="1"/>
      <c r="B32" s="1" t="s">
        <v>177</v>
      </c>
      <c r="C32" s="28">
        <v>102</v>
      </c>
      <c r="D32" s="28">
        <v>243</v>
      </c>
      <c r="E32" s="28">
        <v>45</v>
      </c>
      <c r="F32" s="28">
        <v>10</v>
      </c>
      <c r="G32" s="21">
        <f>SUM(C32:F32)</f>
        <v>400</v>
      </c>
      <c r="H32" s="28">
        <v>397</v>
      </c>
      <c r="I32" s="28">
        <v>199</v>
      </c>
      <c r="J32" s="36">
        <f>'Segment - Services'!J129+'Segment - Markets'!J89+'Segment - Banking'!J96+'Segment - Wealth'!J108+'Segment - USCC'!J154+'Segment - All Other'!J131</f>
        <v>190</v>
      </c>
      <c r="K32" s="1"/>
    </row>
    <row r="33">
      <c r="A33" s="1"/>
      <c r="B33" s="1" t="s">
        <v>429</v>
      </c>
      <c r="C33" s="28">
        <v>-5</v>
      </c>
      <c r="D33" s="28">
        <v>7</v>
      </c>
      <c r="E33" s="28">
        <v>-5</v>
      </c>
      <c r="F33" s="28">
        <v>15</v>
      </c>
      <c r="G33" s="21">
        <f>SUM(C33:F33)</f>
        <v>12</v>
      </c>
      <c r="H33" s="28">
        <v>-30</v>
      </c>
      <c r="I33" s="28">
        <v>1</v>
      </c>
      <c r="J33" s="61" t="s">
        <v>48</v>
      </c>
      <c r="K33" s="1"/>
    </row>
    <row r="34">
      <c r="A34" s="1"/>
      <c r="B34" s="1" t="s">
        <v>430</v>
      </c>
      <c r="C34" s="28">
        <v>39</v>
      </c>
      <c r="D34" s="28">
        <v>381</v>
      </c>
      <c r="E34" s="28">
        <v>79</v>
      </c>
      <c r="F34" s="28">
        <v>-32</v>
      </c>
      <c r="G34" s="21">
        <f>SUM(C34:F34)</f>
        <v>467</v>
      </c>
      <c r="H34" s="28">
        <v>33</v>
      </c>
      <c r="I34" s="28">
        <v>-2</v>
      </c>
      <c r="J34" s="61" t="s">
        <v>48</v>
      </c>
      <c r="K34" s="1"/>
    </row>
    <row r="35">
      <c r="A35" s="1"/>
      <c r="B35" s="1" t="s">
        <v>431</v>
      </c>
      <c r="C35" s="28">
        <v>20</v>
      </c>
      <c r="D35" s="28">
        <v>26</v>
      </c>
      <c r="E35" s="28">
        <v>17</v>
      </c>
      <c r="F35" s="28">
        <v>24</v>
      </c>
      <c r="G35" s="21">
        <f>SUM(C35:F35)</f>
        <v>87</v>
      </c>
      <c r="H35" s="28">
        <v>13</v>
      </c>
      <c r="I35" s="28">
        <v>17</v>
      </c>
      <c r="J35" s="61" t="s">
        <v>48</v>
      </c>
      <c r="K35" s="1"/>
    </row>
    <row r="36">
      <c r="A36" s="1"/>
      <c r="B36" s="22" t="s">
        <v>179</v>
      </c>
      <c r="C36" s="27">
        <f>C33+C34+C35</f>
        <v>54</v>
      </c>
      <c r="D36" s="27">
        <f>D33+D34+D35</f>
        <v>414</v>
      </c>
      <c r="E36" s="27">
        <f>E33+E34+E35</f>
        <v>91</v>
      </c>
      <c r="F36" s="27">
        <f>F33+F34+F35</f>
        <v>7</v>
      </c>
      <c r="G36" s="27">
        <f>G33+G34+G35</f>
        <v>566</v>
      </c>
      <c r="H36" s="27">
        <f>H33+H34+H35</f>
        <v>16</v>
      </c>
      <c r="I36" s="27">
        <f>I33+I34+I35</f>
        <v>16</v>
      </c>
      <c r="J36" s="89">
        <f>'Segment - Services'!J133+'Segment - Markets'!J93+'Segment - Banking'!J100+'Segment - Wealth'!J112+'Segment - USCC'!J158+'Segment - All Other'!J133+'Segment - All Other'!J148</f>
        <v>25</v>
      </c>
      <c r="K36" s="1"/>
    </row>
    <row r="37">
      <c r="A37" s="1"/>
      <c r="B37" s="1" t="s">
        <v>178</v>
      </c>
      <c r="C37" s="28">
        <v>108</v>
      </c>
      <c r="D37" s="28">
        <v>-19</v>
      </c>
      <c r="E37" s="28">
        <v>100</v>
      </c>
      <c r="F37" s="28">
        <v>13</v>
      </c>
      <c r="G37" s="21">
        <f>SUM(C37:F37)</f>
        <v>202</v>
      </c>
      <c r="H37" s="28">
        <v>184</v>
      </c>
      <c r="I37" s="28">
        <v>-97</v>
      </c>
      <c r="J37" s="36">
        <f>'Segment - Services'!J132+'Segment - Markets'!J92+'Segment - Banking'!J99+'Segment - Wealth'!J111+'Segment - USCC'!J157+'Segment - All Other'!J132</f>
        <v>20</v>
      </c>
      <c r="K37" s="1"/>
    </row>
    <row r="38">
      <c r="A38" s="1"/>
      <c r="B38" s="22" t="s">
        <v>432</v>
      </c>
      <c r="C38" s="27">
        <f>C30+C32+C36+C37</f>
        <v>2723</v>
      </c>
      <c r="D38" s="27">
        <f>D30+D32+D36+D37</f>
        <v>2872</v>
      </c>
      <c r="E38" s="27">
        <f>E30+E32+E36+E37</f>
        <v>2450</v>
      </c>
      <c r="F38" s="27">
        <f>F30+F32+F36+F37</f>
        <v>2220</v>
      </c>
      <c r="G38" s="27">
        <f>G30+G32+G36+G37</f>
        <v>10265</v>
      </c>
      <c r="H38" s="27">
        <f>H30+H32+H36+H37</f>
        <v>2805</v>
      </c>
      <c r="I38" s="27">
        <f>I30+I32+I36+I37</f>
        <v>2522</v>
      </c>
      <c r="J38" s="32">
        <f>J30+J32+J36+J37</f>
        <v>2584.9375342465755</v>
      </c>
      <c r="K38" s="1"/>
    </row>
    <row r="39">
      <c r="A39" s="1"/>
      <c r="B39" s="4" t="s">
        <v>108</v>
      </c>
      <c r="C39" s="1"/>
      <c r="D39" s="1"/>
      <c r="E39" s="1"/>
      <c r="F39" s="1"/>
      <c r="G39" s="1"/>
      <c r="H39" s="25">
        <f>IFERROR(H38/C38-1,"n/m")</f>
        <v>0.03011384502387071</v>
      </c>
      <c r="I39" s="25">
        <f>IFERROR(I38/D38-1,"n/m")</f>
        <v>-0.121866295264624</v>
      </c>
      <c r="J39" s="33">
        <f>IFERROR(J38/E38-1,"n/m")</f>
        <v>0.05507654459043909</v>
      </c>
      <c r="K39" s="1"/>
    </row>
    <row r="40">
      <c r="A40" s="1"/>
      <c r="B40" s="22" t="s">
        <v>61</v>
      </c>
      <c r="C40" s="1"/>
      <c r="D40" s="1"/>
      <c r="E40" s="1"/>
      <c r="F40" s="1"/>
      <c r="G40" s="1"/>
      <c r="H40" s="1"/>
      <c r="I40" s="1"/>
      <c r="J40" s="31"/>
      <c r="K40" s="1"/>
    </row>
    <row r="41">
      <c r="A41" s="1"/>
      <c r="B41" s="1" t="s">
        <v>433</v>
      </c>
      <c r="C41" s="28">
        <v>7464</v>
      </c>
      <c r="D41" s="28">
        <v>7633</v>
      </c>
      <c r="E41" s="28">
        <v>7474</v>
      </c>
      <c r="F41" s="28">
        <v>7068</v>
      </c>
      <c r="G41" s="21">
        <f>SUM(C41:F41)</f>
        <v>29639</v>
      </c>
      <c r="H41" s="28">
        <v>8382</v>
      </c>
      <c r="I41" s="28">
        <v>7992</v>
      </c>
      <c r="J41" s="61" t="s">
        <v>48</v>
      </c>
      <c r="K41" s="1"/>
    </row>
    <row r="42">
      <c r="A42" s="1"/>
      <c r="B42" s="1" t="s">
        <v>434</v>
      </c>
      <c r="C42" s="28">
        <v>2379</v>
      </c>
      <c r="D42" s="28">
        <v>2290</v>
      </c>
      <c r="E42" s="28">
        <v>2325</v>
      </c>
      <c r="F42" s="28">
        <v>2429</v>
      </c>
      <c r="G42" s="21">
        <f>SUM(C42:F42)</f>
        <v>9423</v>
      </c>
      <c r="H42" s="28">
        <v>2335</v>
      </c>
      <c r="I42" s="28">
        <v>2269</v>
      </c>
      <c r="J42" s="61" t="s">
        <v>48</v>
      </c>
      <c r="K42" s="1"/>
    </row>
    <row r="43">
      <c r="A43" s="1"/>
      <c r="B43" s="1" t="s">
        <v>435</v>
      </c>
      <c r="C43" s="28">
        <v>1102</v>
      </c>
      <c r="D43" s="28">
        <v>1184</v>
      </c>
      <c r="E43" s="28">
        <v>1110</v>
      </c>
      <c r="F43" s="28">
        <v>1179</v>
      </c>
      <c r="G43" s="21">
        <f>SUM(C43:F43)</f>
        <v>4575</v>
      </c>
      <c r="H43" s="28">
        <v>1225</v>
      </c>
      <c r="I43" s="28">
        <v>1341</v>
      </c>
      <c r="J43" s="61" t="s">
        <v>48</v>
      </c>
      <c r="K43" s="1"/>
    </row>
    <row r="44">
      <c r="A44" s="1"/>
      <c r="B44" s="1" t="s">
        <v>436</v>
      </c>
      <c r="C44" s="28">
        <v>574</v>
      </c>
      <c r="D44" s="28">
        <v>615</v>
      </c>
      <c r="E44" s="28">
        <v>607</v>
      </c>
      <c r="F44" s="28">
        <v>681</v>
      </c>
      <c r="G44" s="21">
        <f>SUM(C44:F44)</f>
        <v>2477</v>
      </c>
      <c r="H44" s="28">
        <v>586</v>
      </c>
      <c r="I44" s="28">
        <v>618</v>
      </c>
      <c r="J44" s="61" t="s">
        <v>48</v>
      </c>
      <c r="K44" s="1"/>
    </row>
    <row r="45">
      <c r="A45" s="1"/>
      <c r="B45" s="1" t="s">
        <v>437</v>
      </c>
      <c r="C45" s="28">
        <v>476</v>
      </c>
      <c r="D45" s="28">
        <v>510</v>
      </c>
      <c r="E45" s="28">
        <v>514</v>
      </c>
      <c r="F45" s="28">
        <v>573</v>
      </c>
      <c r="G45" s="21">
        <f>SUM(C45:F45)</f>
        <v>2073</v>
      </c>
      <c r="H45" s="28">
        <v>441</v>
      </c>
      <c r="I45" s="28">
        <v>438</v>
      </c>
      <c r="J45" s="61" t="s">
        <v>48</v>
      </c>
      <c r="K45" s="1"/>
    </row>
    <row r="46">
      <c r="A46" s="1"/>
      <c r="B46" s="1" t="s">
        <v>438</v>
      </c>
      <c r="C46" s="28">
        <v>250</v>
      </c>
      <c r="D46" s="28">
        <v>269</v>
      </c>
      <c r="E46" s="28">
        <v>260</v>
      </c>
      <c r="F46" s="28">
        <v>318</v>
      </c>
      <c r="G46" s="21">
        <f>SUM(C46:F46)</f>
        <v>1097</v>
      </c>
      <c r="H46" s="28">
        <v>233</v>
      </c>
      <c r="I46" s="28">
        <v>283</v>
      </c>
      <c r="J46" s="61" t="s">
        <v>48</v>
      </c>
      <c r="K46" s="1"/>
    </row>
    <row r="47">
      <c r="A47" s="1"/>
      <c r="B47" s="1" t="s">
        <v>439</v>
      </c>
      <c r="C47" s="28">
        <v>-3</v>
      </c>
      <c r="D47" s="28">
        <v>-2</v>
      </c>
      <c r="E47" s="28">
        <v>-5</v>
      </c>
      <c r="F47" s="28">
        <v>-4</v>
      </c>
      <c r="G47" s="21">
        <f>SUM(C47:F47)</f>
        <v>-14</v>
      </c>
      <c r="H47" s="28">
        <v>0</v>
      </c>
      <c r="I47" s="28">
        <v>0</v>
      </c>
      <c r="J47" s="61" t="s">
        <v>48</v>
      </c>
      <c r="K47" s="1"/>
    </row>
    <row r="48">
      <c r="A48" s="1"/>
      <c r="B48" s="1" t="s">
        <v>440</v>
      </c>
      <c r="C48" s="28">
        <v>1183</v>
      </c>
      <c r="D48" s="28">
        <v>1078</v>
      </c>
      <c r="E48" s="28">
        <v>2005</v>
      </c>
      <c r="F48" s="28">
        <v>1596</v>
      </c>
      <c r="G48" s="21">
        <f>SUM(C48:F48)</f>
        <v>5862</v>
      </c>
      <c r="H48" s="28">
        <v>1109</v>
      </c>
      <c r="I48" s="28">
        <v>1274</v>
      </c>
      <c r="J48" s="61" t="s">
        <v>48</v>
      </c>
      <c r="K48" s="24" t="s">
        <v>441</v>
      </c>
    </row>
    <row r="49">
      <c r="A49" s="1"/>
      <c r="B49" s="22" t="s">
        <v>175</v>
      </c>
      <c r="C49" s="27">
        <f>SUM(C41:C48)</f>
        <v>13425</v>
      </c>
      <c r="D49" s="27">
        <f>SUM(D41:D48)</f>
        <v>13577</v>
      </c>
      <c r="E49" s="27">
        <f>SUM(E41:E48)</f>
        <v>14290</v>
      </c>
      <c r="F49" s="27">
        <f>SUM(F41:F48)</f>
        <v>13840</v>
      </c>
      <c r="G49" s="27">
        <f>SUM(G41:G48)</f>
        <v>55132</v>
      </c>
      <c r="H49" s="27">
        <f>SUM(H41:H48)</f>
        <v>14311</v>
      </c>
      <c r="I49" s="27">
        <f>SUM(I41:I48)</f>
        <v>14215</v>
      </c>
      <c r="J49" s="89">
        <f>'Segment - Services'!J123+'Segment - Markets'!J83+'Segment - Banking'!J90+'Segment - Wealth'!J102+'Segment - USCC'!J148+'Segment - All Other'!J128+'Segment - All Other'!J146</f>
        <v>14461.594575342466</v>
      </c>
      <c r="K49" s="24" t="s">
        <v>442</v>
      </c>
    </row>
    <row r="50">
      <c r="A50" s="1"/>
      <c r="B50" s="4" t="s">
        <v>108</v>
      </c>
      <c r="C50" s="1"/>
      <c r="D50" s="1"/>
      <c r="E50" s="1"/>
      <c r="F50" s="1"/>
      <c r="G50" s="1"/>
      <c r="H50" s="25">
        <f>IFERROR(H49/C49-1,"n/m")</f>
        <v>0.06599627560521415</v>
      </c>
      <c r="I50" s="25">
        <f>IFERROR(I49/D49-1,"n/m")</f>
        <v>0.04699123517713777</v>
      </c>
      <c r="J50" s="33">
        <f>IFERROR(J49/E49-1,"n/m")</f>
        <v>0.012008017868611942</v>
      </c>
      <c r="K50" s="1"/>
    </row>
    <row r="51">
      <c r="A51" s="1"/>
      <c r="B51" s="4" t="s">
        <v>71</v>
      </c>
      <c r="C51" s="1"/>
      <c r="D51" s="34">
        <f>D49-C49</f>
        <v>152</v>
      </c>
      <c r="E51" s="34">
        <f>E49-D49</f>
        <v>713</v>
      </c>
      <c r="F51" s="34">
        <f>F49-E49</f>
        <v>-450</v>
      </c>
      <c r="G51" s="1"/>
      <c r="H51" s="34">
        <f>H49-F49</f>
        <v>471</v>
      </c>
      <c r="I51" s="34">
        <f>I49-H49</f>
        <v>-96</v>
      </c>
      <c r="J51" s="39">
        <f>J49-I49</f>
        <v>246.59457534246576</v>
      </c>
      <c r="K51" s="1"/>
    </row>
    <row r="52">
      <c r="A52" s="1"/>
      <c r="B52" s="22" t="s">
        <v>443</v>
      </c>
      <c r="C52" s="27">
        <f>C24-C49</f>
        <v>8171</v>
      </c>
      <c r="D52" s="27">
        <f>D24-D49</f>
        <v>8091</v>
      </c>
      <c r="E52" s="27">
        <f>E24-E49</f>
        <v>7800</v>
      </c>
      <c r="F52" s="27">
        <f>F24-F49</f>
        <v>6031</v>
      </c>
      <c r="G52" s="27">
        <f>G24-G49</f>
        <v>30093</v>
      </c>
      <c r="H52" s="27">
        <f>H24-H49</f>
        <v>10322</v>
      </c>
      <c r="I52" s="27">
        <f>I24-I49</f>
        <v>10551</v>
      </c>
      <c r="J52" s="32">
        <f>J24-J49</f>
        <v>9553.149901369865</v>
      </c>
      <c r="K52" s="1"/>
    </row>
    <row r="53">
      <c r="A53" s="1"/>
      <c r="B53" s="4" t="s">
        <v>108</v>
      </c>
      <c r="C53" s="1"/>
      <c r="D53" s="1"/>
      <c r="E53" s="1"/>
      <c r="F53" s="1"/>
      <c r="G53" s="1"/>
      <c r="H53" s="25">
        <f>IFERROR(H52/C52-1,"n/m")</f>
        <v>0.2632480724513524</v>
      </c>
      <c r="I53" s="25">
        <f>IFERROR(I52/D52-1,"n/m")</f>
        <v>0.30404152762328507</v>
      </c>
      <c r="J53" s="33">
        <f>IFERROR(J52/E52-1,"n/m")</f>
        <v>0.22476280786793135</v>
      </c>
      <c r="K53" s="1"/>
    </row>
    <row r="54">
      <c r="A54" s="1"/>
      <c r="B54" s="22" t="s">
        <v>181</v>
      </c>
      <c r="C54" s="27">
        <f>C24-C49-C38</f>
        <v>5448</v>
      </c>
      <c r="D54" s="27">
        <f>D24-D49-D38</f>
        <v>5219</v>
      </c>
      <c r="E54" s="27">
        <f>E24-E49-E38</f>
        <v>5350</v>
      </c>
      <c r="F54" s="27">
        <f>F24-F49-F38</f>
        <v>3811</v>
      </c>
      <c r="G54" s="27">
        <f>G24-G49-G38</f>
        <v>19828</v>
      </c>
      <c r="H54" s="27">
        <f>H24-H49-H38</f>
        <v>7517</v>
      </c>
      <c r="I54" s="27">
        <f>I24-I49-I38</f>
        <v>8029</v>
      </c>
      <c r="J54" s="32">
        <f>J24-J49-J38</f>
        <v>6968.212367123289</v>
      </c>
      <c r="K54" s="1"/>
    </row>
    <row r="55">
      <c r="A55" s="1"/>
      <c r="B55" s="4" t="s">
        <v>108</v>
      </c>
      <c r="C55" s="1"/>
      <c r="D55" s="1"/>
      <c r="E55" s="1"/>
      <c r="F55" s="1"/>
      <c r="G55" s="1"/>
      <c r="H55" s="25">
        <f>IFERROR(H54/C54-1,"n/m")</f>
        <v>0.37977239353891346</v>
      </c>
      <c r="I55" s="25">
        <f>IFERROR(I54/D54-1,"n/m")</f>
        <v>0.5384173213259245</v>
      </c>
      <c r="J55" s="33">
        <f>IFERROR(J54/E54-1,"n/m")</f>
        <v>0.30246960133145606</v>
      </c>
      <c r="K55" s="1"/>
    </row>
    <row r="56">
      <c r="A56" s="1"/>
      <c r="B56" s="4" t="s">
        <v>71</v>
      </c>
      <c r="C56" s="1"/>
      <c r="D56" s="34">
        <f>D54-C54</f>
        <v>-229</v>
      </c>
      <c r="E56" s="34">
        <f>E54-D54</f>
        <v>131</v>
      </c>
      <c r="F56" s="34">
        <f>F54-E54</f>
        <v>-1539</v>
      </c>
      <c r="G56" s="1"/>
      <c r="H56" s="34">
        <f>H54-F54</f>
        <v>3706</v>
      </c>
      <c r="I56" s="34">
        <f>I54-H54</f>
        <v>512</v>
      </c>
      <c r="J56" s="39">
        <f>J54-I54</f>
        <v>-1060.7876328767106</v>
      </c>
      <c r="K56" s="1"/>
    </row>
    <row r="57" ht="53.25">
      <c r="A57" s="1"/>
      <c r="B57" s="1" t="s">
        <v>444</v>
      </c>
      <c r="C57" s="2">
        <f>C54-('Segment - Services'!C135+'Segment - Markets'!C95+'Segment - Banking'!C102+'Segment - Wealth'!C114+'Segment - USCC'!C160+'Segment - All Other'!C135+'Segment - All Other'!C149)</f>
        <v>0</v>
      </c>
      <c r="D57" s="2">
        <f>D54-('Segment - Services'!D135+'Segment - Markets'!D95+'Segment - Banking'!D102+'Segment - Wealth'!D114+'Segment - USCC'!D160+'Segment - All Other'!D135+'Segment - All Other'!D149)</f>
        <v>0</v>
      </c>
      <c r="E57" s="2">
        <f>E54-('Segment - Services'!E135+'Segment - Markets'!E95+'Segment - Banking'!E102+'Segment - Wealth'!E114+'Segment - USCC'!E160+'Segment - All Other'!E135+'Segment - All Other'!E149)</f>
        <v>0</v>
      </c>
      <c r="F57" s="2">
        <f>F54-('Segment - Services'!F135+'Segment - Markets'!F95+'Segment - Banking'!F102+'Segment - Wealth'!F114+'Segment - USCC'!F160+'Segment - All Other'!F135+'Segment - All Other'!F149)</f>
        <v>0</v>
      </c>
      <c r="G57" s="2">
        <f>G54-('Segment - Services'!G135+'Segment - Markets'!G95+'Segment - Banking'!G102+'Segment - Wealth'!G114+'Segment - USCC'!G160+'Segment - All Other'!G135+'Segment - All Other'!G149)</f>
        <v>0</v>
      </c>
      <c r="H57" s="2">
        <f>H54-('Segment - Services'!H135+'Segment - Markets'!H95+'Segment - Banking'!H102+'Segment - Wealth'!H114+'Segment - USCC'!H160+'Segment - All Other'!H135+'Segment - All Other'!H149)</f>
        <v>0</v>
      </c>
      <c r="I57" s="2">
        <f>I54-('Segment - Services'!I135+'Segment - Markets'!I95+'Segment - Banking'!I102+'Segment - Wealth'!I114+'Segment - USCC'!I160+'Segment - All Other'!I135+'Segment - All Other'!I149)</f>
        <v>0</v>
      </c>
      <c r="J57" s="36">
        <f>J54-('Segment - Services'!J135+'Segment - Markets'!J95+'Segment - Banking'!J102+'Segment - Wealth'!J114+'Segment - USCC'!J160+'Segment - All Other'!J135+'Segment - All Other'!J149)</f>
        <v>0</v>
      </c>
      <c r="K57" s="111" t="s">
        <v>445</v>
      </c>
    </row>
    <row r="58" ht="27.75">
      <c r="A58" s="1"/>
      <c r="B58" s="4" t="s">
        <v>446</v>
      </c>
      <c r="C58" s="25">
        <f>C61/C54</f>
        <v>0.2459618208516887</v>
      </c>
      <c r="D58" s="25">
        <f>D61/D54</f>
        <v>0.227246598965319</v>
      </c>
      <c r="E58" s="25">
        <f>E61/E54</f>
        <v>0.2914018691588785</v>
      </c>
      <c r="F58" s="25">
        <f>F61/F54</f>
        <v>0.3379690369981632</v>
      </c>
      <c r="G58" s="25">
        <f>G61/G54</f>
        <v>0.27098043171272945</v>
      </c>
      <c r="H58" s="25">
        <f>H61/H54</f>
        <v>0.20992417187707862</v>
      </c>
      <c r="I58" s="25">
        <f>I61/I54</f>
        <v>0.2497197658487981</v>
      </c>
      <c r="J58" s="76">
        <v>0.25</v>
      </c>
      <c r="K58" s="112" t="s">
        <v>447</v>
      </c>
    </row>
    <row r="59">
      <c r="A59" s="1"/>
      <c r="B59" s="4" t="s">
        <v>114</v>
      </c>
      <c r="C59" s="1"/>
      <c r="D59" s="1"/>
      <c r="E59" s="1"/>
      <c r="F59" s="1"/>
      <c r="G59" s="1"/>
      <c r="H59" s="54">
        <f>(H58-C58)*10000</f>
        <v>-360.3764897461007</v>
      </c>
      <c r="I59" s="54">
        <f>(I58-D58)*10000</f>
        <v>224.73166883479084</v>
      </c>
      <c r="J59" s="57">
        <f>(J58-E58)*10000</f>
        <v>-414.01869158878503</v>
      </c>
      <c r="K59" s="1"/>
    </row>
    <row r="60">
      <c r="A60" s="1"/>
      <c r="B60" s="4" t="s">
        <v>115</v>
      </c>
      <c r="C60" s="1"/>
      <c r="D60" s="54">
        <f>(D58-C58)*10000</f>
        <v>-187.15221886369676</v>
      </c>
      <c r="E60" s="54">
        <f>(E58-D58)*10000</f>
        <v>641.5527019355949</v>
      </c>
      <c r="F60" s="54">
        <f>(F58-E58)*10000</f>
        <v>465.6716783928472</v>
      </c>
      <c r="G60" s="1"/>
      <c r="H60" s="54">
        <f>(H58-F58)*10000</f>
        <v>-1280.448651210846</v>
      </c>
      <c r="I60" s="54">
        <f>(I58-H58)*10000</f>
        <v>397.9559397171947</v>
      </c>
      <c r="J60" s="57">
        <f>(J58-I58)*10000</f>
        <v>2.8023415120190243</v>
      </c>
      <c r="K60" s="1"/>
    </row>
    <row r="61">
      <c r="A61" s="1"/>
      <c r="B61" s="1" t="s">
        <v>448</v>
      </c>
      <c r="C61" s="28">
        <v>1340</v>
      </c>
      <c r="D61" s="28">
        <v>1186</v>
      </c>
      <c r="E61" s="28">
        <v>1559</v>
      </c>
      <c r="F61" s="28">
        <v>1288</v>
      </c>
      <c r="G61" s="21">
        <f>SUM(C61:F61)</f>
        <v>5373</v>
      </c>
      <c r="H61" s="28">
        <v>1578</v>
      </c>
      <c r="I61" s="28">
        <v>2005</v>
      </c>
      <c r="J61" s="29">
        <f>J54*J58</f>
        <v>1742.0530917808223</v>
      </c>
      <c r="K61" s="1"/>
    </row>
    <row r="62">
      <c r="A62" s="1"/>
      <c r="B62" s="22" t="s">
        <v>184</v>
      </c>
      <c r="C62" s="27">
        <f>C54-C61</f>
        <v>4108</v>
      </c>
      <c r="D62" s="27">
        <f>D54-D61</f>
        <v>4033</v>
      </c>
      <c r="E62" s="27">
        <f>E54-E61</f>
        <v>3791</v>
      </c>
      <c r="F62" s="27">
        <f>F54-F61</f>
        <v>2523</v>
      </c>
      <c r="G62" s="27">
        <f>G54-G61</f>
        <v>14455</v>
      </c>
      <c r="H62" s="27">
        <f>H54-H61</f>
        <v>5939</v>
      </c>
      <c r="I62" s="27">
        <f>I54-I61</f>
        <v>6024</v>
      </c>
      <c r="J62" s="32">
        <f>J54-J61</f>
        <v>5226.159275342467</v>
      </c>
      <c r="K62" s="1"/>
    </row>
    <row r="63">
      <c r="A63" s="1"/>
      <c r="B63" s="1" t="s">
        <v>399</v>
      </c>
      <c r="C63" s="28">
        <v>-1</v>
      </c>
      <c r="D63" s="28">
        <v>0</v>
      </c>
      <c r="E63" s="28">
        <v>-1</v>
      </c>
      <c r="F63" s="28">
        <v>-1</v>
      </c>
      <c r="G63" s="21">
        <f>SUM(C63:F63)</f>
        <v>-3</v>
      </c>
      <c r="H63" s="28">
        <v>-1</v>
      </c>
      <c r="I63" s="28">
        <v>0</v>
      </c>
      <c r="J63" s="55">
        <v>0</v>
      </c>
      <c r="K63" s="24" t="s">
        <v>449</v>
      </c>
    </row>
    <row r="64" ht="40.5">
      <c r="A64" s="1"/>
      <c r="B64" s="1" t="s">
        <v>185</v>
      </c>
      <c r="C64" s="28">
        <v>43</v>
      </c>
      <c r="D64" s="28">
        <v>14</v>
      </c>
      <c r="E64" s="28">
        <v>38</v>
      </c>
      <c r="F64" s="28">
        <v>51</v>
      </c>
      <c r="G64" s="21">
        <f>SUM(C64:F64)</f>
        <v>146</v>
      </c>
      <c r="H64" s="28">
        <v>153</v>
      </c>
      <c r="I64" s="28">
        <v>193</v>
      </c>
      <c r="J64" s="55">
        <v>200</v>
      </c>
      <c r="K64" s="112" t="s">
        <v>450</v>
      </c>
    </row>
    <row r="65">
      <c r="A65" s="1"/>
      <c r="B65" s="4" t="s">
        <v>108</v>
      </c>
      <c r="C65" s="1"/>
      <c r="D65" s="1"/>
      <c r="E65" s="1"/>
      <c r="F65" s="1"/>
      <c r="G65" s="1"/>
      <c r="H65" s="25">
        <f>IFERROR(H64/C64-1,"n/m")</f>
        <v>2.558139534883721</v>
      </c>
      <c r="I65" s="25">
        <f>IFERROR(I64/D64-1,"n/m")</f>
        <v>12.785714285714286</v>
      </c>
      <c r="J65" s="33">
        <f>IFERROR(J64/E64-1,"n/m")</f>
        <v>4.2631578947368425</v>
      </c>
      <c r="K65" s="1"/>
    </row>
    <row r="66">
      <c r="A66" s="1"/>
      <c r="B66" s="4" t="s">
        <v>71</v>
      </c>
      <c r="C66" s="1"/>
      <c r="D66" s="34">
        <f>D64-C64</f>
        <v>-29</v>
      </c>
      <c r="E66" s="34">
        <f>E64-D64</f>
        <v>24</v>
      </c>
      <c r="F66" s="34">
        <f>F64-E64</f>
        <v>13</v>
      </c>
      <c r="G66" s="1"/>
      <c r="H66" s="34">
        <f>H64-F64</f>
        <v>102</v>
      </c>
      <c r="I66" s="34">
        <f>I64-H64</f>
        <v>40</v>
      </c>
      <c r="J66" s="39">
        <f>J64-I64</f>
        <v>7</v>
      </c>
      <c r="K66" s="1"/>
    </row>
    <row r="67">
      <c r="A67" s="1"/>
      <c r="B67" s="22" t="s">
        <v>451</v>
      </c>
      <c r="C67" s="27">
        <f>C62+C63-C64</f>
        <v>4064</v>
      </c>
      <c r="D67" s="27">
        <f>D62+D63-D64</f>
        <v>4019</v>
      </c>
      <c r="E67" s="27">
        <f>E62+E63-E64</f>
        <v>3752</v>
      </c>
      <c r="F67" s="27">
        <f>F62+F63-F64</f>
        <v>2471</v>
      </c>
      <c r="G67" s="27">
        <f>G62+G63-G64</f>
        <v>14306</v>
      </c>
      <c r="H67" s="27">
        <f>H62+H63-H64</f>
        <v>5785</v>
      </c>
      <c r="I67" s="27">
        <f>I62+I63-I64</f>
        <v>5831</v>
      </c>
      <c r="J67" s="32">
        <f>J62+J63-J64</f>
        <v>5026.159275342467</v>
      </c>
      <c r="K67" s="1"/>
    </row>
    <row r="68">
      <c r="A68" s="1"/>
      <c r="B68" s="4" t="s">
        <v>108</v>
      </c>
      <c r="C68" s="1"/>
      <c r="D68" s="1"/>
      <c r="E68" s="1"/>
      <c r="F68" s="1"/>
      <c r="G68" s="1"/>
      <c r="H68" s="25">
        <f>IFERROR(H67/C67-1,"n/m")</f>
        <v>0.423474409448819</v>
      </c>
      <c r="I68" s="25">
        <f>IFERROR(I67/D67-1,"n/m")</f>
        <v>0.45085842249315755</v>
      </c>
      <c r="J68" s="33">
        <f>IFERROR(J67/E67-1,"n/m")</f>
        <v>0.33959468959020955</v>
      </c>
      <c r="K68" s="1"/>
    </row>
    <row r="69">
      <c r="A69" s="1"/>
      <c r="B69" s="4" t="s">
        <v>71</v>
      </c>
      <c r="C69" s="1"/>
      <c r="D69" s="34">
        <f>D67-C67</f>
        <v>-45</v>
      </c>
      <c r="E69" s="34">
        <f>E67-D67</f>
        <v>-267</v>
      </c>
      <c r="F69" s="34">
        <f>F67-E67</f>
        <v>-1281</v>
      </c>
      <c r="G69" s="1"/>
      <c r="H69" s="34">
        <f>H67-F67</f>
        <v>3314</v>
      </c>
      <c r="I69" s="34">
        <f>I67-H67</f>
        <v>46</v>
      </c>
      <c r="J69" s="39">
        <f>J67-I67</f>
        <v>-804.8407246575334</v>
      </c>
      <c r="K69" s="1"/>
    </row>
    <row r="70">
      <c r="A70" s="1"/>
      <c r="B70" s="1" t="s">
        <v>452</v>
      </c>
      <c r="C70" s="28">
        <v>269</v>
      </c>
      <c r="D70" s="28">
        <v>287</v>
      </c>
      <c r="E70" s="28">
        <v>274</v>
      </c>
      <c r="F70" s="28">
        <v>284</v>
      </c>
      <c r="G70" s="21">
        <f>SUM(C70:F70)</f>
        <v>1114</v>
      </c>
      <c r="H70" s="28">
        <v>305</v>
      </c>
      <c r="I70" s="28">
        <v>338</v>
      </c>
      <c r="J70" s="29">
        <f>AVERAGE(H70,I70)</f>
        <v>321.5</v>
      </c>
      <c r="K70" s="1"/>
    </row>
    <row r="71">
      <c r="A71" s="1"/>
      <c r="B71" s="4" t="s">
        <v>108</v>
      </c>
      <c r="C71" s="1"/>
      <c r="D71" s="1"/>
      <c r="E71" s="1"/>
      <c r="F71" s="1"/>
      <c r="G71" s="1"/>
      <c r="H71" s="25">
        <f>IFERROR(H70/C70-1,"n/m")</f>
        <v>0.13382899628252787</v>
      </c>
      <c r="I71" s="25">
        <f>IFERROR(I70/D70-1,"n/m")</f>
        <v>0.17770034843205584</v>
      </c>
      <c r="J71" s="33">
        <f>IFERROR(J70/E70-1,"n/m")</f>
        <v>0.17335766423357657</v>
      </c>
      <c r="K71" s="1"/>
    </row>
    <row r="72">
      <c r="A72" s="1"/>
      <c r="B72" s="4" t="s">
        <v>71</v>
      </c>
      <c r="C72" s="1"/>
      <c r="D72" s="34">
        <f>D70-C70</f>
        <v>18</v>
      </c>
      <c r="E72" s="34">
        <f>E70-D70</f>
        <v>-13</v>
      </c>
      <c r="F72" s="34">
        <f>F70-E70</f>
        <v>10</v>
      </c>
      <c r="G72" s="1"/>
      <c r="H72" s="34">
        <f>H70-F70</f>
        <v>21</v>
      </c>
      <c r="I72" s="34">
        <f>I70-H70</f>
        <v>33</v>
      </c>
      <c r="J72" s="39">
        <f>J70-I70</f>
        <v>-16.5</v>
      </c>
      <c r="K72" s="1"/>
    </row>
    <row r="73">
      <c r="A73" s="1"/>
      <c r="B73" s="22" t="s">
        <v>453</v>
      </c>
      <c r="C73" s="27">
        <f>C67-C70</f>
        <v>3795</v>
      </c>
      <c r="D73" s="27">
        <f>D67-D70</f>
        <v>3732</v>
      </c>
      <c r="E73" s="27">
        <f>E67-E70</f>
        <v>3478</v>
      </c>
      <c r="F73" s="27">
        <f>F67-F70</f>
        <v>2187</v>
      </c>
      <c r="G73" s="27">
        <f>G67-G70</f>
        <v>13192</v>
      </c>
      <c r="H73" s="27">
        <f>H67-H70</f>
        <v>5480</v>
      </c>
      <c r="I73" s="27">
        <f>I67-I70</f>
        <v>5493</v>
      </c>
      <c r="J73" s="32">
        <f>J67-J70</f>
        <v>4704.659275342467</v>
      </c>
      <c r="K73" s="1"/>
    </row>
    <row r="74">
      <c r="A74" s="1"/>
      <c r="B74" s="1" t="s">
        <v>454</v>
      </c>
      <c r="C74" s="28">
        <v>3768</v>
      </c>
      <c r="D74" s="28">
        <v>3702</v>
      </c>
      <c r="E74" s="28">
        <v>3458</v>
      </c>
      <c r="F74" s="28">
        <v>2169</v>
      </c>
      <c r="G74" s="21">
        <f>SUM(C74:F74)</f>
        <v>13097</v>
      </c>
      <c r="H74" s="28">
        <v>5442</v>
      </c>
      <c r="I74" s="28">
        <v>5466</v>
      </c>
      <c r="J74" s="61" t="s">
        <v>48</v>
      </c>
      <c r="K74" s="1"/>
    </row>
    <row r="75">
      <c r="A75" s="1"/>
      <c r="B75" s="1" t="s">
        <v>455</v>
      </c>
      <c r="C75" s="21">
        <f>C74-C73</f>
        <v>-27</v>
      </c>
      <c r="D75" s="21">
        <f>D74-D73</f>
        <v>-30</v>
      </c>
      <c r="E75" s="21">
        <f>E74-E73</f>
        <v>-20</v>
      </c>
      <c r="F75" s="21">
        <f>F74-F73</f>
        <v>-18</v>
      </c>
      <c r="G75" s="21">
        <f>SUM(C75:F75)</f>
        <v>-95</v>
      </c>
      <c r="H75" s="21">
        <f>H74-H73</f>
        <v>-38</v>
      </c>
      <c r="I75" s="21">
        <f>I74-I73</f>
        <v>-27</v>
      </c>
      <c r="J75" s="29">
        <f>J73*J76</f>
        <v>-30.380969261060816</v>
      </c>
      <c r="K75" s="1"/>
    </row>
    <row r="76">
      <c r="A76" s="1"/>
      <c r="B76" s="4" t="s">
        <v>456</v>
      </c>
      <c r="C76" s="58">
        <f>C75/C73</f>
        <v>-0.0071146245059288534</v>
      </c>
      <c r="D76" s="58">
        <f>D75/D73</f>
        <v>-0.008038585209003215</v>
      </c>
      <c r="E76" s="58">
        <f>E75/E73</f>
        <v>-0.005750431282346176</v>
      </c>
      <c r="F76" s="58">
        <f>F75/F73</f>
        <v>-0.00823045267489712</v>
      </c>
      <c r="G76" s="58">
        <f>G75/G73</f>
        <v>-0.007201334141904184</v>
      </c>
      <c r="H76" s="58">
        <f>H75/H73</f>
        <v>-0.006934306569343066</v>
      </c>
      <c r="I76" s="58">
        <f>I75/I73</f>
        <v>-0.004915346805024577</v>
      </c>
      <c r="J76" s="79">
        <f>AVERAGE(E76,F76,H76,I76)</f>
        <v>-0.006457634332902735</v>
      </c>
      <c r="K76" s="1"/>
    </row>
    <row r="77">
      <c r="A77" s="1"/>
      <c r="B77" s="22" t="s">
        <v>457</v>
      </c>
      <c r="C77" s="27">
        <f>C73+C75</f>
        <v>3768</v>
      </c>
      <c r="D77" s="27">
        <f>D73+D75</f>
        <v>3702</v>
      </c>
      <c r="E77" s="27">
        <f>E73+E75</f>
        <v>3458</v>
      </c>
      <c r="F77" s="27">
        <f>F73+F75</f>
        <v>2169</v>
      </c>
      <c r="G77" s="27">
        <f>G73+G75</f>
        <v>13097</v>
      </c>
      <c r="H77" s="27">
        <f>H73+H75</f>
        <v>5442</v>
      </c>
      <c r="I77" s="27">
        <f>I73+I75</f>
        <v>5466</v>
      </c>
      <c r="J77" s="32">
        <f>J73+J75</f>
        <v>4674.278306081405</v>
      </c>
      <c r="K77" s="1"/>
    </row>
    <row r="78">
      <c r="A78" s="1"/>
      <c r="B78" s="1" t="s">
        <v>458</v>
      </c>
      <c r="C78" s="28">
        <v>3751</v>
      </c>
      <c r="D78" s="28">
        <v>3683</v>
      </c>
      <c r="E78" s="28">
        <v>3438</v>
      </c>
      <c r="F78" s="28">
        <v>2149</v>
      </c>
      <c r="G78" s="21">
        <f>SUM(C78:F78)</f>
        <v>13021</v>
      </c>
      <c r="H78" s="28">
        <v>5424</v>
      </c>
      <c r="I78" s="28">
        <v>5446</v>
      </c>
      <c r="J78" s="29">
        <f>J77-(I77-I78)</f>
        <v>4654.278306081405</v>
      </c>
      <c r="K78" s="1"/>
    </row>
    <row r="79">
      <c r="A79" s="1"/>
      <c r="B79" s="22" t="s">
        <v>459</v>
      </c>
      <c r="C79" s="1"/>
      <c r="D79" s="1"/>
      <c r="E79" s="1"/>
      <c r="F79" s="1"/>
      <c r="G79" s="1"/>
      <c r="H79" s="1"/>
      <c r="I79" s="1"/>
      <c r="J79" s="31"/>
      <c r="K79" s="1"/>
    </row>
    <row r="80">
      <c r="A80" s="1"/>
      <c r="B80" s="1" t="s">
        <v>460</v>
      </c>
      <c r="C80" s="2">
        <f>'Share Count'!C20</f>
        <v>1879</v>
      </c>
      <c r="D80" s="2">
        <f>'Share Count'!D20</f>
        <v>1855.9</v>
      </c>
      <c r="E80" s="2">
        <f>'Share Count'!E20</f>
        <v>1820.3</v>
      </c>
      <c r="F80" s="2">
        <f>'Share Count'!F20</f>
        <v>1772.8</v>
      </c>
      <c r="G80" s="2">
        <f>'Share Count'!G20</f>
        <v>1831.6769863013699</v>
      </c>
      <c r="H80" s="2">
        <f>'Share Count'!H20</f>
        <v>1736.9</v>
      </c>
      <c r="I80" s="2">
        <f>'Share Count'!I20</f>
        <v>1700.9</v>
      </c>
      <c r="J80" s="36">
        <f>'Share Count'!J20</f>
        <v>1669.0347485554928</v>
      </c>
      <c r="K80" s="1"/>
    </row>
    <row r="81">
      <c r="A81" s="1"/>
      <c r="B81" s="1" t="s">
        <v>461</v>
      </c>
      <c r="C81" s="2">
        <f>'Share Count'!C28</f>
        <v>1919.6</v>
      </c>
      <c r="D81" s="2">
        <f>'Share Count'!D28</f>
        <v>1893.1</v>
      </c>
      <c r="E81" s="2">
        <f>'Share Count'!E28</f>
        <v>1862.6</v>
      </c>
      <c r="F81" s="2">
        <f>'Share Count'!F28</f>
        <v>1816.9</v>
      </c>
      <c r="G81" s="2">
        <f>'Share Count'!G28</f>
        <v>1872.74</v>
      </c>
      <c r="H81" s="2">
        <f>'Share Count'!H28</f>
        <v>1776</v>
      </c>
      <c r="I81" s="2">
        <f>'Share Count'!I28</f>
        <v>1735.6</v>
      </c>
      <c r="J81" s="36">
        <f>'Share Count'!J28</f>
        <v>1703.7347485554926</v>
      </c>
      <c r="K81" s="1"/>
    </row>
    <row r="82">
      <c r="A82" s="1"/>
      <c r="B82" s="1" t="s">
        <v>462</v>
      </c>
      <c r="C82" s="45">
        <f>C78/C80</f>
        <v>1.9962746141564662</v>
      </c>
      <c r="D82" s="45">
        <f>D78/D80</f>
        <v>1.9844819225173769</v>
      </c>
      <c r="E82" s="45">
        <f>E78/E80</f>
        <v>1.8886996648904026</v>
      </c>
      <c r="F82" s="45">
        <f>F78/F80</f>
        <v>1.2122066787003611</v>
      </c>
      <c r="G82" s="45">
        <f>G78/G80</f>
        <v>7.108786154644423</v>
      </c>
      <c r="H82" s="45">
        <f>H78/H80</f>
        <v>3.122804997409177</v>
      </c>
      <c r="I82" s="45">
        <f>I78/I80</f>
        <v>3.2018343230054676</v>
      </c>
      <c r="J82" s="81">
        <f>J78/J80</f>
        <v>2.7886047969400067</v>
      </c>
      <c r="K82" s="1"/>
    </row>
    <row r="83">
      <c r="A83" s="1"/>
      <c r="B83" s="22" t="s">
        <v>463</v>
      </c>
      <c r="C83" s="60">
        <f>C77/C81</f>
        <v>1.9629089393623673</v>
      </c>
      <c r="D83" s="60">
        <f>D77/D81</f>
        <v>1.9555226876551688</v>
      </c>
      <c r="E83" s="60">
        <f>E77/E81</f>
        <v>1.8565446150542253</v>
      </c>
      <c r="F83" s="60">
        <f>F77/F81</f>
        <v>1.1937916230942813</v>
      </c>
      <c r="G83" s="60">
        <f>G77/G81</f>
        <v>6.993496160705704</v>
      </c>
      <c r="H83" s="60">
        <f>H77/H81</f>
        <v>3.064189189189189</v>
      </c>
      <c r="I83" s="60">
        <f>I77/I81</f>
        <v>3.1493431666282556</v>
      </c>
      <c r="J83" s="92">
        <f>J77/J81</f>
        <v>2.7435481433036926</v>
      </c>
      <c r="K83" s="1"/>
    </row>
    <row r="84">
      <c r="A84" s="1"/>
      <c r="B84" s="4" t="s">
        <v>108</v>
      </c>
      <c r="C84" s="1"/>
      <c r="D84" s="1"/>
      <c r="E84" s="1"/>
      <c r="F84" s="1"/>
      <c r="G84" s="1"/>
      <c r="H84" s="25">
        <f>IFERROR(H83/C83-1,"n/m")</f>
        <v>0.5610450020083777</v>
      </c>
      <c r="I84" s="25">
        <f>IFERROR(I83/D83-1,"n/m")</f>
        <v>0.6104866420161941</v>
      </c>
      <c r="J84" s="33">
        <f>IFERROR(J83/E83-1,"n/m")</f>
        <v>0.47777118904495586</v>
      </c>
      <c r="K84" s="1"/>
    </row>
    <row r="85" ht="27.75">
      <c r="A85" s="1"/>
      <c r="B85" s="1" t="s">
        <v>464</v>
      </c>
      <c r="C85" s="10">
        <v>1.96</v>
      </c>
      <c r="D85" s="10">
        <v>1.96</v>
      </c>
      <c r="E85" s="10">
        <v>1.86</v>
      </c>
      <c r="F85" s="10">
        <v>1.19</v>
      </c>
      <c r="G85" s="10">
        <v>6.99</v>
      </c>
      <c r="H85" s="10">
        <v>3.06</v>
      </c>
      <c r="I85" s="10">
        <v>3.15</v>
      </c>
      <c r="J85" s="61" t="s">
        <v>48</v>
      </c>
      <c r="K85" s="112" t="s">
        <v>465</v>
      </c>
    </row>
    <row r="86" ht="40.5">
      <c r="A86" s="1"/>
      <c r="B86" s="1" t="s">
        <v>466</v>
      </c>
      <c r="C86" s="66" t="b">
        <f>AND(ABS(C83-C77/C81)&lt;0.0001,ABS(C83-C85)&lt;0.006)</f>
        <v>1</v>
      </c>
      <c r="D86" s="66" t="b">
        <f>AND(ABS(D83-D77/D81)&lt;0.0001,ABS(D83-D85)&lt;0.006)</f>
        <v>1</v>
      </c>
      <c r="E86" s="66" t="b">
        <f>AND(ABS(E83-E77/E81)&lt;0.0001,ABS(E83-E85)&lt;0.006)</f>
        <v>1</v>
      </c>
      <c r="F86" s="66" t="b">
        <f>AND(ABS(F83-F77/F81)&lt;0.0001,ABS(F83-F85)&lt;0.006)</f>
        <v>1</v>
      </c>
      <c r="G86" s="66" t="b">
        <f>AND(ABS(G83-G77/G81)&lt;0.0001,ABS(G83-G85)&lt;0.006)</f>
        <v>1</v>
      </c>
      <c r="H86" s="66" t="b">
        <f>AND(ABS(H83-H77/H81)&lt;0.0001,ABS(H83-H85)&lt;0.006)</f>
        <v>1</v>
      </c>
      <c r="I86" s="66" t="b">
        <f>AND(ABS(I83-I77/I81)&lt;0.0001,ABS(I83-I85)&lt;0.006)</f>
        <v>1</v>
      </c>
      <c r="J86" s="96" t="b">
        <f>ABS(J83-J77/J81)&lt;0.0001</f>
        <v>1</v>
      </c>
      <c r="K86" s="111" t="s">
        <v>467</v>
      </c>
    </row>
    <row r="87">
      <c r="A87" s="1"/>
      <c r="B87" s="22" t="s">
        <v>468</v>
      </c>
      <c r="C87" s="1"/>
      <c r="D87" s="1"/>
      <c r="E87" s="1"/>
      <c r="F87" s="1"/>
      <c r="G87" s="1"/>
      <c r="H87" s="1"/>
      <c r="I87" s="1"/>
      <c r="J87" s="31"/>
      <c r="K87" s="1"/>
    </row>
    <row r="88">
      <c r="A88" s="1"/>
      <c r="B88" s="1" t="s">
        <v>469</v>
      </c>
      <c r="C88" s="21">
        <f>C77</f>
        <v>3768</v>
      </c>
      <c r="D88" s="21">
        <f>D77</f>
        <v>3702</v>
      </c>
      <c r="E88" s="21">
        <f>E77</f>
        <v>3458</v>
      </c>
      <c r="F88" s="21">
        <f>F77</f>
        <v>2169</v>
      </c>
      <c r="G88" s="21">
        <f>G77</f>
        <v>13097</v>
      </c>
      <c r="H88" s="21">
        <f>H77</f>
        <v>5442</v>
      </c>
      <c r="I88" s="21">
        <f>I77</f>
        <v>5466</v>
      </c>
      <c r="J88" s="29">
        <f>J77</f>
        <v>4674.278306081405</v>
      </c>
      <c r="K88" s="1"/>
    </row>
    <row r="89">
      <c r="A89" s="1"/>
      <c r="B89" s="1" t="s">
        <v>470</v>
      </c>
      <c r="C89" s="2">
        <f>'Segment - All Other'!C141</f>
        <v>0</v>
      </c>
      <c r="D89" s="2">
        <f>'Segment - All Other'!D141</f>
        <v>-177</v>
      </c>
      <c r="E89" s="2">
        <f>'Segment - All Other'!E141</f>
        <v>2</v>
      </c>
      <c r="F89" s="2">
        <f>'Segment - All Other'!F141</f>
        <v>-1</v>
      </c>
      <c r="G89" s="2">
        <f>'Segment - All Other'!G141</f>
        <v>-176</v>
      </c>
      <c r="H89" s="2">
        <f>'Segment - All Other'!H141</f>
        <v>13</v>
      </c>
      <c r="I89" s="2">
        <f>'Segment - All Other'!I141</f>
        <v>20</v>
      </c>
      <c r="J89" s="36">
        <f>'Segment - All Other'!J141</f>
        <v>10</v>
      </c>
      <c r="K89" s="1"/>
    </row>
    <row r="90">
      <c r="A90" s="1"/>
      <c r="B90" s="1" t="s">
        <v>471</v>
      </c>
      <c r="C90" s="2">
        <f>'Segment - All Other'!C146</f>
        <v>34</v>
      </c>
      <c r="D90" s="2">
        <f>'Segment - All Other'!D146</f>
        <v>37</v>
      </c>
      <c r="E90" s="2">
        <f>'Segment - All Other'!E146</f>
        <v>766</v>
      </c>
      <c r="F90" s="2">
        <f>'Segment - All Other'!F146</f>
        <v>40</v>
      </c>
      <c r="G90" s="2">
        <f>'Segment - All Other'!G146</f>
        <v>877</v>
      </c>
      <c r="H90" s="2">
        <f>'Segment - All Other'!H146</f>
        <v>31</v>
      </c>
      <c r="I90" s="2">
        <f>'Segment - All Other'!I146</f>
        <v>25</v>
      </c>
      <c r="J90" s="36">
        <f>'Segment - All Other'!J146</f>
        <v>25</v>
      </c>
      <c r="K90" s="1"/>
    </row>
    <row r="91">
      <c r="A91" s="1"/>
      <c r="B91" s="1" t="s">
        <v>472</v>
      </c>
      <c r="C91" s="2">
        <f>'Segment - All Other'!C148</f>
        <v>-11</v>
      </c>
      <c r="D91" s="2">
        <f>'Segment - All Other'!D148</f>
        <v>5</v>
      </c>
      <c r="E91" s="2">
        <f>'Segment - All Other'!E148</f>
        <v>-3</v>
      </c>
      <c r="F91" s="2">
        <f>'Segment - All Other'!F148</f>
        <v>-1</v>
      </c>
      <c r="G91" s="2">
        <f>'Segment - All Other'!G148</f>
        <v>-10</v>
      </c>
      <c r="H91" s="2">
        <f>'Segment - All Other'!H148</f>
        <v>1</v>
      </c>
      <c r="I91" s="2">
        <f>'Segment - All Other'!I148</f>
        <v>-2</v>
      </c>
      <c r="J91" s="36">
        <f>'Segment - All Other'!J148</f>
        <v>0</v>
      </c>
      <c r="K91" s="1"/>
    </row>
    <row r="92">
      <c r="A92" s="1"/>
      <c r="B92" s="1" t="s">
        <v>473</v>
      </c>
      <c r="C92" s="2">
        <f>'Segment - All Other'!C151</f>
        <v>-8</v>
      </c>
      <c r="D92" s="2">
        <f>'Segment - All Other'!D151</f>
        <v>-39</v>
      </c>
      <c r="E92" s="2">
        <f>'Segment - All Other'!E151</f>
        <v>16</v>
      </c>
      <c r="F92" s="2">
        <f>'Segment - All Other'!F151</f>
        <v>70</v>
      </c>
      <c r="G92" s="2">
        <f>'Segment - All Other'!G151</f>
        <v>39</v>
      </c>
      <c r="H92" s="2">
        <f>'Segment - All Other'!H151</f>
        <v>-7</v>
      </c>
      <c r="I92" s="2">
        <f>'Segment - All Other'!I151</f>
        <v>-1</v>
      </c>
      <c r="J92" s="36">
        <f>'Segment - All Other'!J151</f>
        <v>-4.050000000000001</v>
      </c>
      <c r="K92" s="1"/>
    </row>
    <row r="93" ht="66">
      <c r="A93" s="1"/>
      <c r="B93" s="22" t="s">
        <v>474</v>
      </c>
      <c r="C93" s="27">
        <f>-(C89-C90-C91-C92)</f>
        <v>15</v>
      </c>
      <c r="D93" s="27">
        <f>-(D89-D90-D91-D92)</f>
        <v>180</v>
      </c>
      <c r="E93" s="27">
        <f>-(E89-E90-E91-E92)</f>
        <v>777</v>
      </c>
      <c r="F93" s="27">
        <f>-(F89-F90-F91-F92)</f>
        <v>110</v>
      </c>
      <c r="G93" s="27">
        <f>-(G89-G90-G91-G92)</f>
        <v>1082</v>
      </c>
      <c r="H93" s="27">
        <f>-(H89-H90-H91-H92)</f>
        <v>12</v>
      </c>
      <c r="I93" s="27">
        <f>-(I89-I90-I91-I92)</f>
        <v>2</v>
      </c>
      <c r="J93" s="32">
        <f>-(J89-J90-J91-J92)</f>
        <v>10.95</v>
      </c>
      <c r="K93" s="111" t="s">
        <v>475</v>
      </c>
    </row>
    <row r="94">
      <c r="A94" s="1"/>
      <c r="B94" s="22" t="s">
        <v>476</v>
      </c>
      <c r="C94" s="27">
        <f>C88+C93</f>
        <v>3783</v>
      </c>
      <c r="D94" s="27">
        <f>D88+D93</f>
        <v>3882</v>
      </c>
      <c r="E94" s="27">
        <f>E88+E93</f>
        <v>4235</v>
      </c>
      <c r="F94" s="27">
        <f>F88+F93</f>
        <v>2279</v>
      </c>
      <c r="G94" s="27">
        <f>G88+G93</f>
        <v>14179</v>
      </c>
      <c r="H94" s="27">
        <f>H88+H93</f>
        <v>5454</v>
      </c>
      <c r="I94" s="27">
        <f>I88+I93</f>
        <v>5468</v>
      </c>
      <c r="J94" s="32">
        <f>J88+J93</f>
        <v>4685.228306081405</v>
      </c>
      <c r="K94" s="1"/>
    </row>
    <row r="95">
      <c r="A95" s="1"/>
      <c r="B95" s="4" t="s">
        <v>477</v>
      </c>
      <c r="C95" s="59">
        <f>C93/C81</f>
        <v>0.007814127943321526</v>
      </c>
      <c r="D95" s="59">
        <f>D93/D81</f>
        <v>0.09508214040462734</v>
      </c>
      <c r="E95" s="59">
        <f>E93/E81</f>
        <v>0.41715881026522067</v>
      </c>
      <c r="F95" s="59">
        <f>F93/F81</f>
        <v>0.06054268259122681</v>
      </c>
      <c r="G95" s="59">
        <f>G93/G81</f>
        <v>0.5777630637461687</v>
      </c>
      <c r="H95" s="59">
        <f>H93/H81</f>
        <v>0.006756756756756757</v>
      </c>
      <c r="I95" s="59">
        <f>I93/I81</f>
        <v>0.00115233924867481</v>
      </c>
      <c r="J95" s="90">
        <f>J93/J81</f>
        <v>0.006427056799354436</v>
      </c>
      <c r="K95" s="1"/>
    </row>
    <row r="96" ht="27.75">
      <c r="A96" s="1"/>
      <c r="B96" s="22" t="s">
        <v>478</v>
      </c>
      <c r="C96" s="60">
        <f>C94/C81</f>
        <v>1.9707230673056888</v>
      </c>
      <c r="D96" s="60">
        <f>D94/D81</f>
        <v>2.050604828059796</v>
      </c>
      <c r="E96" s="60">
        <f>E94/E81</f>
        <v>2.273703425319446</v>
      </c>
      <c r="F96" s="60">
        <f>F94/F81</f>
        <v>1.2543343056855083</v>
      </c>
      <c r="G96" s="60">
        <f>G94/G81</f>
        <v>7.571259224451873</v>
      </c>
      <c r="H96" s="60">
        <f>H94/H81</f>
        <v>3.070945945945946</v>
      </c>
      <c r="I96" s="60">
        <f>I94/I81</f>
        <v>3.1504955058769304</v>
      </c>
      <c r="J96" s="92">
        <f>J94/J81</f>
        <v>2.749975200103047</v>
      </c>
      <c r="K96" s="112" t="s">
        <v>479</v>
      </c>
    </row>
    <row r="97">
      <c r="A97" s="1"/>
      <c r="B97" s="4" t="s">
        <v>108</v>
      </c>
      <c r="C97" s="1"/>
      <c r="D97" s="1"/>
      <c r="E97" s="1"/>
      <c r="F97" s="1"/>
      <c r="G97" s="1"/>
      <c r="H97" s="25">
        <f>IFERROR(H96/C96-1,"n/m")</f>
        <v>0.5582838587993226</v>
      </c>
      <c r="I97" s="25">
        <f>IFERROR(I96/D96-1,"n/m")</f>
        <v>0.5363737872683196</v>
      </c>
      <c r="J97" s="33">
        <f>IFERROR(J96/E96-1,"n/m")</f>
        <v>0.20946961221061033</v>
      </c>
      <c r="K97" s="1"/>
    </row>
    <row r="98">
      <c r="A98" s="1"/>
      <c r="B98" s="1" t="s">
        <v>480</v>
      </c>
      <c r="C98" s="3">
        <f>Inputs!E84</f>
        <v>1.96</v>
      </c>
      <c r="D98" s="3">
        <f>Inputs!E85</f>
        <v>2.04</v>
      </c>
      <c r="E98" s="3">
        <f>Inputs!E86</f>
        <v>2.26</v>
      </c>
      <c r="F98" s="3">
        <f>Inputs!E87</f>
        <v>1.24</v>
      </c>
      <c r="G98" s="1"/>
      <c r="H98" s="3">
        <f>Inputs!E88</f>
        <v>3.06</v>
      </c>
      <c r="I98" s="3">
        <f>Inputs!E89</f>
        <v>3.14</v>
      </c>
      <c r="J98" s="50">
        <f>Inputs!C22</f>
        <v>2.62</v>
      </c>
      <c r="K98" s="24" t="s">
        <v>481</v>
      </c>
    </row>
    <row r="99">
      <c r="A99" s="1"/>
      <c r="B99" s="1" t="s">
        <v>482</v>
      </c>
      <c r="C99" s="3">
        <f>Inputs!G84</f>
        <v>1.96</v>
      </c>
      <c r="D99" s="3">
        <f>Inputs!G85</f>
        <v>1.96</v>
      </c>
      <c r="E99" s="3">
        <f>Inputs!G86</f>
        <v>1.86</v>
      </c>
      <c r="F99" s="3">
        <f>Inputs!G87</f>
        <v>1.19</v>
      </c>
      <c r="G99" s="1"/>
      <c r="H99" s="3">
        <f>Inputs!G88</f>
        <v>3.06</v>
      </c>
      <c r="I99" s="3">
        <f>Inputs!G89</f>
        <v>3.15</v>
      </c>
      <c r="J99" s="50">
        <f>Inputs!C31</f>
        <v>2.65</v>
      </c>
      <c r="K99" s="1" t="s">
        <v>483</v>
      </c>
    </row>
    <row r="100">
      <c r="A100" s="1"/>
      <c r="B100" s="1" t="s">
        <v>484</v>
      </c>
      <c r="C100" s="28">
        <v>0</v>
      </c>
      <c r="D100" s="28">
        <v>0</v>
      </c>
      <c r="E100" s="28">
        <v>0</v>
      </c>
      <c r="F100" s="28">
        <v>-1123</v>
      </c>
      <c r="G100" s="21">
        <f>SUM(C100:F100)</f>
        <v>-1123</v>
      </c>
      <c r="H100" s="28">
        <v>0</v>
      </c>
      <c r="I100" s="28">
        <v>0</v>
      </c>
      <c r="J100" s="55">
        <v>0</v>
      </c>
      <c r="K100" s="1"/>
    </row>
    <row r="101">
      <c r="A101" s="1"/>
      <c r="B101" s="1" t="s">
        <v>485</v>
      </c>
      <c r="C101" s="10">
        <v>1.96</v>
      </c>
      <c r="D101" s="10">
        <v>1.96</v>
      </c>
      <c r="E101" s="10">
        <v>2.24</v>
      </c>
      <c r="F101" s="10">
        <v>1.81</v>
      </c>
      <c r="G101" s="9" t="s">
        <v>48</v>
      </c>
      <c r="H101" s="10">
        <v>3.06</v>
      </c>
      <c r="I101" s="10">
        <v>3.15</v>
      </c>
      <c r="J101" s="61" t="s">
        <v>48</v>
      </c>
      <c r="K101" s="1"/>
    </row>
    <row r="102" ht="66">
      <c r="A102" s="1"/>
      <c r="B102" s="1" t="s">
        <v>486</v>
      </c>
      <c r="C102" s="45">
        <f>C98-C96</f>
        <v>-0.010723067305688838</v>
      </c>
      <c r="D102" s="45">
        <f>D98-D96</f>
        <v>-0.010604828059796123</v>
      </c>
      <c r="E102" s="45">
        <f>E98-E96</f>
        <v>-0.01370342531944635</v>
      </c>
      <c r="F102" s="45">
        <f>F98-F96</f>
        <v>-0.014334305685508308</v>
      </c>
      <c r="G102" s="1"/>
      <c r="H102" s="45">
        <f>H98-H96</f>
        <v>-0.010945945945946</v>
      </c>
      <c r="I102" s="45">
        <f>I98-I96</f>
        <v>-0.010495505876930267</v>
      </c>
      <c r="J102" s="81">
        <f>AVERAGE(C102,D102,E102,F102,H102,I102)</f>
        <v>-0.01180117969888598</v>
      </c>
      <c r="K102" s="112" t="s">
        <v>487</v>
      </c>
    </row>
    <row r="103" ht="53.25">
      <c r="A103" s="1"/>
      <c r="B103" s="22" t="s">
        <v>488</v>
      </c>
      <c r="C103" s="60">
        <f>C96+C102</f>
        <v>1.96</v>
      </c>
      <c r="D103" s="60">
        <f>D96+D102</f>
        <v>2.04</v>
      </c>
      <c r="E103" s="60">
        <f>E96+E102</f>
        <v>2.26</v>
      </c>
      <c r="F103" s="60">
        <f>F96+F102</f>
        <v>1.24</v>
      </c>
      <c r="G103" s="97"/>
      <c r="H103" s="60">
        <f>H96+H102</f>
        <v>3.06</v>
      </c>
      <c r="I103" s="60">
        <f>I96+I102</f>
        <v>3.14</v>
      </c>
      <c r="J103" s="92">
        <f>J96+J102</f>
        <v>2.738174020404161</v>
      </c>
      <c r="K103" s="115" t="s">
        <v>489</v>
      </c>
    </row>
    <row r="104">
      <c r="A104" s="1"/>
      <c r="B104" s="1" t="s">
        <v>490</v>
      </c>
      <c r="C104" s="21">
        <f>C103*C81</f>
        <v>3762.4159999999997</v>
      </c>
      <c r="D104" s="21">
        <f>D103*D81</f>
        <v>3861.924</v>
      </c>
      <c r="E104" s="21">
        <f>E103*E81</f>
        <v>4209.476</v>
      </c>
      <c r="F104" s="21">
        <f>F103*F81</f>
        <v>2252.956</v>
      </c>
      <c r="G104" s="1"/>
      <c r="H104" s="21">
        <f>H103*H81</f>
        <v>5434.56</v>
      </c>
      <c r="I104" s="21">
        <f>I103*I81</f>
        <v>5449.784</v>
      </c>
      <c r="J104" s="29">
        <f>J103*J81</f>
        <v>4665.122226154465</v>
      </c>
      <c r="K104" s="1"/>
    </row>
    <row r="105">
      <c r="A105" s="1"/>
      <c r="B105" s="22" t="s">
        <v>491</v>
      </c>
      <c r="C105" s="1"/>
      <c r="D105" s="1"/>
      <c r="E105" s="1"/>
      <c r="F105" s="1"/>
      <c r="G105" s="1"/>
      <c r="H105" s="1"/>
      <c r="I105" s="1"/>
      <c r="J105" s="31"/>
      <c r="K105" s="1"/>
    </row>
    <row r="106">
      <c r="A106" s="1"/>
      <c r="B106" s="4" t="s">
        <v>64</v>
      </c>
      <c r="C106" s="25">
        <f>C49/C24</f>
        <v>0.6216428968327468</v>
      </c>
      <c r="D106" s="25">
        <f>D49/D24</f>
        <v>0.6265922097101717</v>
      </c>
      <c r="E106" s="25">
        <f>E49/E24</f>
        <v>0.6468990493435944</v>
      </c>
      <c r="F106" s="25">
        <f>F49/F24</f>
        <v>0.6964923758240652</v>
      </c>
      <c r="G106" s="25">
        <f>G49/G24</f>
        <v>0.6468993839835729</v>
      </c>
      <c r="H106" s="25">
        <f>H49/H24</f>
        <v>0.5809686193317907</v>
      </c>
      <c r="I106" s="25">
        <f>I49/I24</f>
        <v>0.5739723814907535</v>
      </c>
      <c r="J106" s="33">
        <f>J49/J24</f>
        <v>0.602196479307378</v>
      </c>
      <c r="K106" s="1"/>
    </row>
    <row r="107">
      <c r="A107" s="1"/>
      <c r="B107" s="4" t="s">
        <v>114</v>
      </c>
      <c r="C107" s="1"/>
      <c r="D107" s="1"/>
      <c r="E107" s="1"/>
      <c r="F107" s="1"/>
      <c r="G107" s="1"/>
      <c r="H107" s="54">
        <f>(H106-C106)*10000</f>
        <v>-406.7427750095609</v>
      </c>
      <c r="I107" s="54">
        <f>(I106-D106)*10000</f>
        <v>-526.1982821941824</v>
      </c>
      <c r="J107" s="57">
        <f>(J106-E106)*10000</f>
        <v>-447.0257003621647</v>
      </c>
      <c r="K107" s="1"/>
    </row>
    <row r="108">
      <c r="A108" s="1"/>
      <c r="B108" s="4" t="s">
        <v>115</v>
      </c>
      <c r="C108" s="1"/>
      <c r="D108" s="54">
        <f>(D106-C106)*10000</f>
        <v>49.4931287742495</v>
      </c>
      <c r="E108" s="54">
        <f>(E106-D106)*10000</f>
        <v>203.06839633422723</v>
      </c>
      <c r="F108" s="54">
        <f>(F106-E106)*10000</f>
        <v>495.9332648047077</v>
      </c>
      <c r="G108" s="1"/>
      <c r="H108" s="54">
        <f>(H106-F106)*10000</f>
        <v>-1155.2375649227454</v>
      </c>
      <c r="I108" s="54">
        <f>(I106-H106)*10000</f>
        <v>-69.96237841037201</v>
      </c>
      <c r="J108" s="57">
        <f>(J106-I106)*10000</f>
        <v>282.24097816624493</v>
      </c>
      <c r="K108" s="1"/>
    </row>
    <row r="109">
      <c r="A109" s="1"/>
      <c r="B109" s="4" t="s">
        <v>189</v>
      </c>
      <c r="C109" s="25">
        <f>C54/C24</f>
        <v>0.25226893869235045</v>
      </c>
      <c r="D109" s="25">
        <f>D54/D24</f>
        <v>0.2408621007937973</v>
      </c>
      <c r="E109" s="25">
        <f>E54/E24</f>
        <v>0.24219103666817565</v>
      </c>
      <c r="F109" s="25">
        <f>F54/F24</f>
        <v>0.19178702631976247</v>
      </c>
      <c r="G109" s="25">
        <f>G54/G24</f>
        <v>0.23265473745966558</v>
      </c>
      <c r="H109" s="25">
        <f>H54/H24</f>
        <v>0.30515974505744325</v>
      </c>
      <c r="I109" s="25">
        <f>I54/I24</f>
        <v>0.32419446014697567</v>
      </c>
      <c r="J109" s="33">
        <f>J54/J24</f>
        <v>0.29016391883247106</v>
      </c>
      <c r="K109" s="1"/>
    </row>
    <row r="110">
      <c r="A110" s="1"/>
      <c r="B110" s="4" t="s">
        <v>114</v>
      </c>
      <c r="C110" s="1"/>
      <c r="D110" s="1"/>
      <c r="E110" s="1"/>
      <c r="F110" s="1"/>
      <c r="G110" s="1"/>
      <c r="H110" s="54">
        <f>(H109-C109)*10000</f>
        <v>528.908063650928</v>
      </c>
      <c r="I110" s="54">
        <f>(I109-D109)*10000</f>
        <v>833.3235935317837</v>
      </c>
      <c r="J110" s="57">
        <f>(J109-E109)*10000</f>
        <v>479.7288216429541</v>
      </c>
      <c r="K110" s="1"/>
    </row>
    <row r="111">
      <c r="A111" s="1"/>
      <c r="B111" s="4" t="s">
        <v>115</v>
      </c>
      <c r="C111" s="1"/>
      <c r="D111" s="54">
        <f>(D109-C109)*10000</f>
        <v>-114.06837898553151</v>
      </c>
      <c r="E111" s="54">
        <f>(E109-D109)*10000</f>
        <v>13.289358743783508</v>
      </c>
      <c r="F111" s="54">
        <f>(F109-E109)*10000</f>
        <v>-504.04010348413186</v>
      </c>
      <c r="G111" s="1"/>
      <c r="H111" s="54">
        <f>(H109-F109)*10000</f>
        <v>1133.727187376808</v>
      </c>
      <c r="I111" s="54">
        <f>(I109-H109)*10000</f>
        <v>190.34715089532418</v>
      </c>
      <c r="J111" s="57">
        <f>(J109-I109)*10000</f>
        <v>-340.30541314504615</v>
      </c>
      <c r="K111" s="1"/>
    </row>
    <row r="112">
      <c r="A112" s="1"/>
      <c r="B112" s="4" t="s">
        <v>492</v>
      </c>
      <c r="C112" s="25">
        <f>C67/C24</f>
        <v>0.18818299685126874</v>
      </c>
      <c r="D112" s="25">
        <f>D67/D24</f>
        <v>0.18548089348347793</v>
      </c>
      <c r="E112" s="25">
        <f>E67/E24</f>
        <v>0.16985061113626077</v>
      </c>
      <c r="F112" s="25">
        <f>F67/F24</f>
        <v>0.12435207085702783</v>
      </c>
      <c r="G112" s="25">
        <f>G67/G24</f>
        <v>0.16786154297447933</v>
      </c>
      <c r="H112" s="25">
        <f>H67/H24</f>
        <v>0.23484756221329112</v>
      </c>
      <c r="I112" s="25">
        <f>I67/I24</f>
        <v>0.23544375353306954</v>
      </c>
      <c r="J112" s="33">
        <f>J67/J24</f>
        <v>0.20929472225767187</v>
      </c>
      <c r="K112" s="1"/>
    </row>
    <row r="113">
      <c r="A113" s="1"/>
      <c r="B113" s="4" t="s">
        <v>114</v>
      </c>
      <c r="C113" s="1"/>
      <c r="D113" s="1"/>
      <c r="E113" s="1"/>
      <c r="F113" s="1"/>
      <c r="G113" s="1"/>
      <c r="H113" s="54">
        <f>(H112-C112)*10000</f>
        <v>466.64565362022375</v>
      </c>
      <c r="I113" s="54">
        <f>(I112-D112)*10000</f>
        <v>499.6286004959161</v>
      </c>
      <c r="J113" s="57">
        <f>(J112-E112)*10000</f>
        <v>394.44111121411106</v>
      </c>
      <c r="K113" s="1"/>
    </row>
    <row r="114">
      <c r="A114" s="1"/>
      <c r="B114" s="4" t="s">
        <v>115</v>
      </c>
      <c r="C114" s="1"/>
      <c r="D114" s="54">
        <f>(D112-C112)*10000</f>
        <v>-27.02103367790809</v>
      </c>
      <c r="E114" s="54">
        <f>(E112-D112)*10000</f>
        <v>-156.30282347217167</v>
      </c>
      <c r="F114" s="54">
        <f>(F112-E112)*10000</f>
        <v>-454.9854027923293</v>
      </c>
      <c r="G114" s="1"/>
      <c r="H114" s="54">
        <f>(H112-F112)*10000</f>
        <v>1104.9549135626328</v>
      </c>
      <c r="I114" s="54">
        <f>(I112-H112)*10000</f>
        <v>5.961913197784218</v>
      </c>
      <c r="J114" s="57">
        <f>(J112-I112)*10000</f>
        <v>-261.49031275397664</v>
      </c>
      <c r="K114" s="1"/>
    </row>
    <row r="115">
      <c r="A115" s="1"/>
      <c r="B115" s="4" t="s">
        <v>493</v>
      </c>
      <c r="C115" s="25">
        <f>C38/C24</f>
        <v>0.12608816447490276</v>
      </c>
      <c r="D115" s="25">
        <f>D38/D24</f>
        <v>0.13254568949603102</v>
      </c>
      <c r="E115" s="25">
        <f>E38/E24</f>
        <v>0.11090991398822997</v>
      </c>
      <c r="F115" s="25">
        <f>F38/F24</f>
        <v>0.1117205978561723</v>
      </c>
      <c r="G115" s="25">
        <f>G38/G24</f>
        <v>0.12044587855676152</v>
      </c>
      <c r="H115" s="25">
        <f>H38/H24</f>
        <v>0.11387163561076605</v>
      </c>
      <c r="I115" s="25">
        <f>I38/I24</f>
        <v>0.10183315836227086</v>
      </c>
      <c r="J115" s="33">
        <f>J38/J24</f>
        <v>0.107639601860151</v>
      </c>
      <c r="K115" s="1"/>
    </row>
    <row r="116">
      <c r="A116" s="1"/>
      <c r="B116" s="4" t="s">
        <v>114</v>
      </c>
      <c r="C116" s="1"/>
      <c r="D116" s="1"/>
      <c r="E116" s="1"/>
      <c r="F116" s="1"/>
      <c r="G116" s="1"/>
      <c r="H116" s="54">
        <f>(H115-C115)*10000</f>
        <v>-122.16528864136711</v>
      </c>
      <c r="I116" s="54">
        <f>(I115-D115)*10000</f>
        <v>-307.12531133760154</v>
      </c>
      <c r="J116" s="57">
        <f>(J115-E115)*10000</f>
        <v>-32.70312128078975</v>
      </c>
      <c r="K116" s="1"/>
    </row>
    <row r="117">
      <c r="A117" s="1"/>
      <c r="B117" s="4" t="s">
        <v>115</v>
      </c>
      <c r="C117" s="1"/>
      <c r="D117" s="54">
        <f>(D115-C115)*10000</f>
        <v>64.57525021128258</v>
      </c>
      <c r="E117" s="54">
        <f>(E115-D115)*10000</f>
        <v>-216.35775507801048</v>
      </c>
      <c r="F117" s="54">
        <f>(F115-E115)*10000</f>
        <v>8.106838679423356</v>
      </c>
      <c r="G117" s="1"/>
      <c r="H117" s="54">
        <f>(H115-F115)*10000</f>
        <v>21.51037754593743</v>
      </c>
      <c r="I117" s="54">
        <f>(I115-H115)*10000</f>
        <v>-120.38477248495188</v>
      </c>
      <c r="J117" s="57">
        <f>(J115-I115)*10000</f>
        <v>58.064434978801344</v>
      </c>
      <c r="K117" s="1"/>
    </row>
    <row r="118">
      <c r="A118" s="1"/>
      <c r="B118" s="1" t="s">
        <v>494</v>
      </c>
      <c r="C118" s="28">
        <v>169.3</v>
      </c>
      <c r="D118" s="28">
        <v>172.1</v>
      </c>
      <c r="E118" s="28">
        <v>172.3</v>
      </c>
      <c r="F118" s="28">
        <v>170.4</v>
      </c>
      <c r="G118" s="21">
        <f>SUMPRODUCT(C118:F118,C$8:F$8)/G$8</f>
        <v>171.03150684931506</v>
      </c>
      <c r="H118" s="28">
        <v>169.2</v>
      </c>
      <c r="I118" s="28">
        <v>169.1</v>
      </c>
      <c r="J118" s="55">
        <v>169.5</v>
      </c>
      <c r="K118" s="1"/>
    </row>
    <row r="119">
      <c r="A119" s="1"/>
      <c r="B119" s="4" t="s">
        <v>108</v>
      </c>
      <c r="C119" s="1"/>
      <c r="D119" s="1"/>
      <c r="E119" s="1"/>
      <c r="F119" s="1"/>
      <c r="G119" s="1"/>
      <c r="H119" s="25">
        <f>IFERROR(H118/C118-1,"n/m")</f>
        <v>-0.0005906674542234258</v>
      </c>
      <c r="I119" s="25">
        <f>IFERROR(I118/D118-1,"n/m")</f>
        <v>-0.01743172574084839</v>
      </c>
      <c r="J119" s="33">
        <f>IFERROR(J118/E118-1,"n/m")</f>
        <v>-0.01625072547881612</v>
      </c>
      <c r="K119" s="1"/>
    </row>
    <row r="120">
      <c r="A120" s="1"/>
      <c r="B120" s="4" t="s">
        <v>71</v>
      </c>
      <c r="C120" s="1"/>
      <c r="D120" s="34">
        <f>D118-C118</f>
        <v>2.799999999999983</v>
      </c>
      <c r="E120" s="34">
        <f>E118-D118</f>
        <v>0.20000000000001705</v>
      </c>
      <c r="F120" s="34">
        <f>F118-E118</f>
        <v>-1.9000000000000057</v>
      </c>
      <c r="G120" s="1"/>
      <c r="H120" s="34">
        <f>H118-F118</f>
        <v>-1.200000000000017</v>
      </c>
      <c r="I120" s="34">
        <f>I118-H118</f>
        <v>-0.09999999999999432</v>
      </c>
      <c r="J120" s="39">
        <f>J118-I118</f>
        <v>0.4000000000000057</v>
      </c>
      <c r="K120" s="1"/>
    </row>
    <row r="121">
      <c r="A121" s="1"/>
      <c r="B121" s="4" t="s">
        <v>495</v>
      </c>
      <c r="C121" s="25">
        <f>C73*365/C8/(C118*1000)</f>
        <v>0.0909086434337468</v>
      </c>
      <c r="D121" s="25">
        <f>D73*365/D8/(D118*1000)</f>
        <v>0.08697856472406153</v>
      </c>
      <c r="E121" s="25">
        <f>E73*365/E8/(E118*1000)</f>
        <v>0.08008466022357365</v>
      </c>
      <c r="F121" s="25">
        <f>F73*365/F8/(F118*1000)</f>
        <v>0.05091951163502756</v>
      </c>
      <c r="G121" s="25">
        <f>G73*365/G8/(G118*1000)</f>
        <v>0.07713198721696715</v>
      </c>
      <c r="H121" s="25">
        <f>H73*365/H8/(H118*1000)</f>
        <v>0.13135014447071186</v>
      </c>
      <c r="I121" s="25">
        <f>I73*365/I8/(I118*1000)</f>
        <v>0.13029191388150582</v>
      </c>
      <c r="J121" s="33">
        <f>J73*365/J8/(J118*1000)</f>
        <v>0.11011931739771709</v>
      </c>
      <c r="K121" s="1"/>
    </row>
    <row r="122">
      <c r="A122" s="1"/>
      <c r="B122" s="4" t="s">
        <v>114</v>
      </c>
      <c r="C122" s="1"/>
      <c r="D122" s="1"/>
      <c r="E122" s="1"/>
      <c r="F122" s="1"/>
      <c r="G122" s="1"/>
      <c r="H122" s="54">
        <f>(H121-C121)*10000</f>
        <v>404.4150103696506</v>
      </c>
      <c r="I122" s="54">
        <f>(I121-D121)*10000</f>
        <v>433.1334915744429</v>
      </c>
      <c r="J122" s="57">
        <f>(J121-E121)*10000</f>
        <v>300.34657174143445</v>
      </c>
      <c r="K122" s="1"/>
    </row>
    <row r="123">
      <c r="A123" s="1"/>
      <c r="B123" s="4" t="s">
        <v>115</v>
      </c>
      <c r="C123" s="1"/>
      <c r="D123" s="54">
        <f>(D121-C121)*10000</f>
        <v>-39.30078709685272</v>
      </c>
      <c r="E123" s="54">
        <f>(E121-D121)*10000</f>
        <v>-68.93904500487879</v>
      </c>
      <c r="F123" s="54">
        <f>(F121-E121)*10000</f>
        <v>-291.6514858854609</v>
      </c>
      <c r="G123" s="1"/>
      <c r="H123" s="54">
        <f>(H121-F121)*10000</f>
        <v>804.306328356843</v>
      </c>
      <c r="I123" s="54">
        <f>(I121-H121)*10000</f>
        <v>-10.582305892060385</v>
      </c>
      <c r="J123" s="57">
        <f>(J121-I121)*10000</f>
        <v>-201.72596483788732</v>
      </c>
      <c r="K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K6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496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497</v>
      </c>
      <c r="C10" s="1"/>
      <c r="D10" s="1"/>
      <c r="E10" s="1"/>
      <c r="F10" s="1"/>
      <c r="G10" s="1"/>
      <c r="H10" s="1"/>
      <c r="I10" s="1"/>
      <c r="J10" s="31"/>
      <c r="K10" s="1"/>
    </row>
    <row r="11">
      <c r="A11" s="1"/>
      <c r="B11" s="1" t="s">
        <v>498</v>
      </c>
      <c r="C11" s="28">
        <v>24463</v>
      </c>
      <c r="D11" s="28">
        <v>24991</v>
      </c>
      <c r="E11" s="28">
        <v>23545</v>
      </c>
      <c r="F11" s="28">
        <v>23717</v>
      </c>
      <c r="G11" s="21">
        <f>F11</f>
        <v>23717</v>
      </c>
      <c r="H11" s="28">
        <v>23625</v>
      </c>
      <c r="I11" s="28">
        <v>24663</v>
      </c>
      <c r="J11" s="29">
        <f>I11</f>
        <v>24663</v>
      </c>
      <c r="K11" s="1"/>
    </row>
    <row r="12" ht="53.25">
      <c r="A12" s="1"/>
      <c r="B12" s="1" t="s">
        <v>499</v>
      </c>
      <c r="C12" s="28">
        <v>283868</v>
      </c>
      <c r="D12" s="28">
        <v>312482</v>
      </c>
      <c r="E12" s="28">
        <v>324515</v>
      </c>
      <c r="F12" s="28">
        <v>325862</v>
      </c>
      <c r="G12" s="21">
        <f>F12</f>
        <v>325862</v>
      </c>
      <c r="H12" s="28">
        <v>362097</v>
      </c>
      <c r="I12" s="28">
        <v>341750</v>
      </c>
      <c r="J12" s="29">
        <f>J62-(J11+J13+J14+J15+J19+J26+J27+J28+J29+J30)</f>
        <v>342571.4059938104</v>
      </c>
      <c r="K12" s="112" t="s">
        <v>500</v>
      </c>
    </row>
    <row r="13">
      <c r="A13" s="1"/>
      <c r="B13" s="1" t="s">
        <v>501</v>
      </c>
      <c r="C13" s="28">
        <v>390215</v>
      </c>
      <c r="D13" s="28">
        <v>323892</v>
      </c>
      <c r="E13" s="28">
        <v>321347</v>
      </c>
      <c r="F13" s="28">
        <v>356195</v>
      </c>
      <c r="G13" s="21">
        <f>F13</f>
        <v>356195</v>
      </c>
      <c r="H13" s="28">
        <v>353094</v>
      </c>
      <c r="I13" s="28">
        <v>404655</v>
      </c>
      <c r="J13" s="29">
        <f>I13</f>
        <v>404655</v>
      </c>
      <c r="K13" s="1"/>
    </row>
    <row r="14">
      <c r="A14" s="1"/>
      <c r="B14" s="1" t="s">
        <v>502</v>
      </c>
      <c r="C14" s="28">
        <v>57440</v>
      </c>
      <c r="D14" s="28">
        <v>64029</v>
      </c>
      <c r="E14" s="28">
        <v>75992</v>
      </c>
      <c r="F14" s="28">
        <v>62679</v>
      </c>
      <c r="G14" s="21">
        <f>F14</f>
        <v>62679</v>
      </c>
      <c r="H14" s="28">
        <v>91720</v>
      </c>
      <c r="I14" s="28">
        <v>83322</v>
      </c>
      <c r="J14" s="29">
        <f>I14</f>
        <v>83322</v>
      </c>
      <c r="K14" s="1"/>
    </row>
    <row r="15">
      <c r="A15" s="1"/>
      <c r="B15" s="1" t="s">
        <v>503</v>
      </c>
      <c r="C15" s="28">
        <v>518577</v>
      </c>
      <c r="D15" s="28">
        <v>568558</v>
      </c>
      <c r="E15" s="28">
        <v>562254</v>
      </c>
      <c r="F15" s="28">
        <v>537139</v>
      </c>
      <c r="G15" s="21">
        <f>F15</f>
        <v>537139</v>
      </c>
      <c r="H15" s="28">
        <v>593473</v>
      </c>
      <c r="I15" s="28">
        <v>634356</v>
      </c>
      <c r="J15" s="29">
        <f>I15</f>
        <v>634356</v>
      </c>
      <c r="K15" s="1"/>
    </row>
    <row r="16">
      <c r="A16" s="1"/>
      <c r="B16" s="1" t="s">
        <v>504</v>
      </c>
      <c r="C16" s="28">
        <v>225180</v>
      </c>
      <c r="D16" s="28">
        <v>235802</v>
      </c>
      <c r="E16" s="28">
        <v>246227</v>
      </c>
      <c r="F16" s="28">
        <v>246720</v>
      </c>
      <c r="G16" s="21">
        <f>F16</f>
        <v>246720</v>
      </c>
      <c r="H16" s="28">
        <v>257822</v>
      </c>
      <c r="I16" s="28">
        <v>286765</v>
      </c>
      <c r="J16" s="29">
        <f>I16</f>
        <v>286765</v>
      </c>
      <c r="K16" s="1"/>
    </row>
    <row r="17">
      <c r="A17" s="1"/>
      <c r="B17" s="1" t="s">
        <v>505</v>
      </c>
      <c r="C17" s="28">
        <v>220385</v>
      </c>
      <c r="D17" s="28">
        <v>206094</v>
      </c>
      <c r="E17" s="28">
        <v>197092</v>
      </c>
      <c r="F17" s="28">
        <v>189831</v>
      </c>
      <c r="G17" s="21">
        <f>F17</f>
        <v>189831</v>
      </c>
      <c r="H17" s="28">
        <v>178503</v>
      </c>
      <c r="I17" s="28">
        <v>167893</v>
      </c>
      <c r="J17" s="29">
        <f>I17</f>
        <v>167893</v>
      </c>
      <c r="K17" s="1"/>
    </row>
    <row r="18">
      <c r="A18" s="1"/>
      <c r="B18" s="1" t="s">
        <v>506</v>
      </c>
      <c r="C18" s="28">
        <v>7323</v>
      </c>
      <c r="D18" s="28">
        <v>7504</v>
      </c>
      <c r="E18" s="28">
        <v>7413</v>
      </c>
      <c r="F18" s="28">
        <v>7678</v>
      </c>
      <c r="G18" s="21">
        <f>F18</f>
        <v>7678</v>
      </c>
      <c r="H18" s="28">
        <v>7839</v>
      </c>
      <c r="I18" s="28">
        <v>8263</v>
      </c>
      <c r="J18" s="29">
        <f>I18</f>
        <v>8263</v>
      </c>
      <c r="K18" s="1"/>
    </row>
    <row r="19">
      <c r="A19" s="1"/>
      <c r="B19" s="22" t="s">
        <v>507</v>
      </c>
      <c r="C19" s="27">
        <f>C16+C17+C18</f>
        <v>452888</v>
      </c>
      <c r="D19" s="27">
        <f>D16+D17+D18</f>
        <v>449400</v>
      </c>
      <c r="E19" s="27">
        <f>E16+E17+E18</f>
        <v>450732</v>
      </c>
      <c r="F19" s="27">
        <f>F16+F17+F18</f>
        <v>444229</v>
      </c>
      <c r="G19" s="27">
        <f>G16+G17+G18</f>
        <v>444229</v>
      </c>
      <c r="H19" s="27">
        <f>H16+H17+H18</f>
        <v>444164</v>
      </c>
      <c r="I19" s="27">
        <f>I16+I17+I18</f>
        <v>462921</v>
      </c>
      <c r="J19" s="32">
        <f>J16+J17+J18</f>
        <v>462921</v>
      </c>
      <c r="K19" s="1"/>
    </row>
    <row r="20" ht="27.75">
      <c r="A20" s="1"/>
      <c r="B20" s="1" t="s">
        <v>508</v>
      </c>
      <c r="C20" s="28">
        <v>386312</v>
      </c>
      <c r="D20" s="28">
        <v>395759</v>
      </c>
      <c r="E20" s="28">
        <v>398628</v>
      </c>
      <c r="F20" s="28">
        <v>408533</v>
      </c>
      <c r="G20" s="21">
        <f>F20</f>
        <v>408533</v>
      </c>
      <c r="H20" s="28">
        <v>402391</v>
      </c>
      <c r="I20" s="28">
        <v>416520</v>
      </c>
      <c r="J20" s="36">
        <f>I20+(('Segment - USCC'!J31-'Segment - USCC'!I31)+('Segment - Wealth'!J23-'Segment - Wealth'!I23)+('Segment - All Other'!J18-'Segment - All Other'!I18)+('Segment - All Other'!J41-'Segment - All Other'!I41))*1000</f>
        <v>420720</v>
      </c>
      <c r="K20" s="112" t="s">
        <v>509</v>
      </c>
    </row>
    <row r="21" ht="27.75">
      <c r="A21" s="1"/>
      <c r="B21" s="1" t="s">
        <v>510</v>
      </c>
      <c r="C21" s="28">
        <v>315744</v>
      </c>
      <c r="D21" s="28">
        <v>329586</v>
      </c>
      <c r="E21" s="28">
        <v>335277</v>
      </c>
      <c r="F21" s="28">
        <v>343697</v>
      </c>
      <c r="G21" s="21">
        <f>F21</f>
        <v>343697</v>
      </c>
      <c r="H21" s="28">
        <v>359225</v>
      </c>
      <c r="I21" s="28">
        <v>377138</v>
      </c>
      <c r="J21" s="36">
        <f>I21+(('Segment - Services'!J118-'Segment - Services'!I118)+('Segment - Markets'!J70-'Segment - Markets'!I70)+('Segment - Banking'!J85-'Segment - Banking'!I85))*1000</f>
        <v>387138</v>
      </c>
      <c r="K21" s="112" t="s">
        <v>511</v>
      </c>
    </row>
    <row r="22">
      <c r="A22" s="1"/>
      <c r="B22" s="22" t="s">
        <v>512</v>
      </c>
      <c r="C22" s="27">
        <f>C20+C21</f>
        <v>702056</v>
      </c>
      <c r="D22" s="27">
        <f>D20+D21</f>
        <v>725345</v>
      </c>
      <c r="E22" s="27">
        <f>E20+E21</f>
        <v>733905</v>
      </c>
      <c r="F22" s="27">
        <f>F20+F21</f>
        <v>752230</v>
      </c>
      <c r="G22" s="27">
        <f>G20+G21</f>
        <v>752230</v>
      </c>
      <c r="H22" s="27">
        <f>H20+H21</f>
        <v>761616</v>
      </c>
      <c r="I22" s="27">
        <f>I20+I21</f>
        <v>793658</v>
      </c>
      <c r="J22" s="32">
        <f>J20+J21</f>
        <v>807858</v>
      </c>
      <c r="K22" s="1"/>
    </row>
    <row r="23">
      <c r="A23" s="1"/>
      <c r="B23" s="4" t="s">
        <v>108</v>
      </c>
      <c r="C23" s="1"/>
      <c r="D23" s="1"/>
      <c r="E23" s="1"/>
      <c r="F23" s="1"/>
      <c r="G23" s="1"/>
      <c r="H23" s="25">
        <f>IFERROR(H22/C22-1,"n/m")</f>
        <v>0.08483653725628715</v>
      </c>
      <c r="I23" s="25">
        <f>IFERROR(I22/D22-1,"n/m")</f>
        <v>0.09418001089136885</v>
      </c>
      <c r="J23" s="33">
        <f>IFERROR(J22/E22-1,"n/m")</f>
        <v>0.10076644797351153</v>
      </c>
      <c r="K23" s="1"/>
    </row>
    <row r="24">
      <c r="A24" s="1"/>
      <c r="B24" s="4" t="s">
        <v>71</v>
      </c>
      <c r="C24" s="1"/>
      <c r="D24" s="34">
        <f>D22-C22</f>
        <v>23289</v>
      </c>
      <c r="E24" s="34">
        <f>E22-D22</f>
        <v>8560</v>
      </c>
      <c r="F24" s="34">
        <f>F22-E22</f>
        <v>18325</v>
      </c>
      <c r="G24" s="1"/>
      <c r="H24" s="34">
        <f>H22-F22</f>
        <v>9386</v>
      </c>
      <c r="I24" s="34">
        <f>I22-H22</f>
        <v>32042</v>
      </c>
      <c r="J24" s="39">
        <f>J22-I22</f>
        <v>14200</v>
      </c>
      <c r="K24" s="1"/>
    </row>
    <row r="25">
      <c r="A25" s="1"/>
      <c r="B25" s="1" t="s">
        <v>513</v>
      </c>
      <c r="C25" s="28">
        <v>-18726</v>
      </c>
      <c r="D25" s="28">
        <v>-19123</v>
      </c>
      <c r="E25" s="28">
        <v>-19206</v>
      </c>
      <c r="F25" s="28">
        <v>-19247</v>
      </c>
      <c r="G25" s="21">
        <f>F25</f>
        <v>-19247</v>
      </c>
      <c r="H25" s="28">
        <v>-19636</v>
      </c>
      <c r="I25" s="28">
        <v>-19961</v>
      </c>
      <c r="J25" s="36">
        <f>I25-'Income Statement'!J32</f>
        <v>-20151</v>
      </c>
      <c r="K25" s="1"/>
    </row>
    <row r="26">
      <c r="A26" s="1"/>
      <c r="B26" s="22" t="s">
        <v>514</v>
      </c>
      <c r="C26" s="27">
        <f>C22+C25</f>
        <v>683330</v>
      </c>
      <c r="D26" s="27">
        <f>D22+D25</f>
        <v>706222</v>
      </c>
      <c r="E26" s="27">
        <f>E22+E25</f>
        <v>714699</v>
      </c>
      <c r="F26" s="27">
        <f>F22+F25</f>
        <v>732983</v>
      </c>
      <c r="G26" s="27">
        <f>G22+G25</f>
        <v>732983</v>
      </c>
      <c r="H26" s="27">
        <f>H22+H25</f>
        <v>741980</v>
      </c>
      <c r="I26" s="27">
        <f>I22+I25</f>
        <v>773697</v>
      </c>
      <c r="J26" s="32">
        <f>J22+J25</f>
        <v>787707</v>
      </c>
      <c r="K26" s="1"/>
    </row>
    <row r="27">
      <c r="A27" s="1"/>
      <c r="B27" s="1" t="s">
        <v>515</v>
      </c>
      <c r="C27" s="28">
        <v>19422</v>
      </c>
      <c r="D27" s="28">
        <v>19878</v>
      </c>
      <c r="E27" s="28">
        <v>19126</v>
      </c>
      <c r="F27" s="28">
        <v>19098</v>
      </c>
      <c r="G27" s="21">
        <f>F27</f>
        <v>19098</v>
      </c>
      <c r="H27" s="28">
        <v>18997</v>
      </c>
      <c r="I27" s="28">
        <v>19012</v>
      </c>
      <c r="J27" s="29">
        <f>I27</f>
        <v>19012</v>
      </c>
      <c r="K27" s="1"/>
    </row>
    <row r="28">
      <c r="A28" s="1"/>
      <c r="B28" s="1" t="s">
        <v>516</v>
      </c>
      <c r="C28" s="28">
        <v>4430</v>
      </c>
      <c r="D28" s="28">
        <v>4409</v>
      </c>
      <c r="E28" s="28">
        <v>4330</v>
      </c>
      <c r="F28" s="28">
        <v>4284</v>
      </c>
      <c r="G28" s="21">
        <f>F28</f>
        <v>4284</v>
      </c>
      <c r="H28" s="28">
        <v>4305</v>
      </c>
      <c r="I28" s="28">
        <v>5004</v>
      </c>
      <c r="J28" s="29">
        <f>I28</f>
        <v>5004</v>
      </c>
      <c r="K28" s="1"/>
    </row>
    <row r="29">
      <c r="A29" s="1"/>
      <c r="B29" s="1" t="s">
        <v>517</v>
      </c>
      <c r="C29" s="28">
        <v>30814</v>
      </c>
      <c r="D29" s="28">
        <v>32312</v>
      </c>
      <c r="E29" s="28">
        <v>32819</v>
      </c>
      <c r="F29" s="28">
        <v>33339</v>
      </c>
      <c r="G29" s="21">
        <f>F29</f>
        <v>33339</v>
      </c>
      <c r="H29" s="28">
        <v>33574</v>
      </c>
      <c r="I29" s="28">
        <v>33897</v>
      </c>
      <c r="J29" s="29">
        <f>I29</f>
        <v>33897</v>
      </c>
      <c r="K29" s="1"/>
    </row>
    <row r="30">
      <c r="A30" s="1"/>
      <c r="B30" s="1" t="s">
        <v>518</v>
      </c>
      <c r="C30" s="28">
        <v>106067</v>
      </c>
      <c r="D30" s="28">
        <v>116599</v>
      </c>
      <c r="E30" s="28">
        <v>113116</v>
      </c>
      <c r="F30" s="28">
        <v>117677</v>
      </c>
      <c r="G30" s="21">
        <f>F30</f>
        <v>117677</v>
      </c>
      <c r="H30" s="28">
        <v>110658</v>
      </c>
      <c r="I30" s="28">
        <v>111377</v>
      </c>
      <c r="J30" s="29">
        <f>I30</f>
        <v>111377</v>
      </c>
      <c r="K30" s="1"/>
    </row>
    <row r="31">
      <c r="A31" s="1"/>
      <c r="B31" s="22" t="s">
        <v>519</v>
      </c>
      <c r="C31" s="27">
        <f>C11+C12+C13+C14+C15+C19+C26+C27+C28+C29+C30</f>
        <v>2571514</v>
      </c>
      <c r="D31" s="27">
        <f>D11+D12+D13+D14+D15+D19+D26+D27+D28+D29+D30</f>
        <v>2622772</v>
      </c>
      <c r="E31" s="27">
        <f>E11+E12+E13+E14+E15+E19+E26+E27+E28+E29+E30</f>
        <v>2642475</v>
      </c>
      <c r="F31" s="27">
        <f>F11+F12+F13+F14+F15+F19+F26+F27+F28+F29+F30</f>
        <v>2657202</v>
      </c>
      <c r="G31" s="27">
        <f>G11+G12+G13+G14+G15+G19+G26+G27+G28+G29+G30</f>
        <v>2657202</v>
      </c>
      <c r="H31" s="27">
        <f>H11+H12+H13+H14+H15+H19+H26+H27+H28+H29+H30</f>
        <v>2777687</v>
      </c>
      <c r="I31" s="27">
        <f>I11+I12+I13+I14+I15+I19+I26+I27+I28+I29+I30</f>
        <v>2894654</v>
      </c>
      <c r="J31" s="32">
        <f>J11+J12+J13+J14+J15+J19+J26+J27+J28+J29+J30</f>
        <v>2909485.4059938104</v>
      </c>
      <c r="K31" s="1"/>
    </row>
    <row r="32">
      <c r="A32" s="1"/>
      <c r="B32" s="4" t="s">
        <v>108</v>
      </c>
      <c r="C32" s="1"/>
      <c r="D32" s="1"/>
      <c r="E32" s="1"/>
      <c r="F32" s="1"/>
      <c r="G32" s="1"/>
      <c r="H32" s="25">
        <f>IFERROR(H31/C31-1,"n/m")</f>
        <v>0.080175725273127</v>
      </c>
      <c r="I32" s="25">
        <f>IFERROR(I31/D31-1,"n/m")</f>
        <v>0.10366207966228091</v>
      </c>
      <c r="J32" s="33">
        <f>IFERROR(J31/E31-1,"n/m")</f>
        <v>0.10104557507405376</v>
      </c>
      <c r="K32" s="1"/>
    </row>
    <row r="33">
      <c r="A33" s="1"/>
      <c r="B33" s="22" t="s">
        <v>520</v>
      </c>
      <c r="C33" s="1"/>
      <c r="D33" s="1"/>
      <c r="E33" s="1"/>
      <c r="F33" s="1"/>
      <c r="G33" s="1"/>
      <c r="H33" s="1"/>
      <c r="I33" s="1"/>
      <c r="J33" s="31"/>
      <c r="K33" s="1"/>
    </row>
    <row r="34" ht="27.75">
      <c r="A34" s="1"/>
      <c r="B34" s="4" t="s">
        <v>521</v>
      </c>
      <c r="C34" s="1"/>
      <c r="D34" s="1"/>
      <c r="E34" s="1"/>
      <c r="F34" s="1"/>
      <c r="G34" s="1"/>
      <c r="H34" s="1"/>
      <c r="I34" s="1"/>
      <c r="J34" s="63">
        <f>(('Segment - Services'!J108-'Segment - Services'!I108)+('Segment - Services'!J113-'Segment - Services'!I113)+('Segment - Wealth'!J20-'Segment - Wealth'!I20))*1000/(I35+I36+I38+I39)</f>
        <v>0.010049530787407536</v>
      </c>
      <c r="K34" s="112" t="s">
        <v>522</v>
      </c>
    </row>
    <row r="35">
      <c r="A35" s="1"/>
      <c r="B35" s="1" t="s">
        <v>523</v>
      </c>
      <c r="C35" s="28">
        <v>122472</v>
      </c>
      <c r="D35" s="28">
        <v>119898</v>
      </c>
      <c r="E35" s="28">
        <v>116921</v>
      </c>
      <c r="F35" s="28">
        <v>121610</v>
      </c>
      <c r="G35" s="21">
        <f>F35</f>
        <v>121610</v>
      </c>
      <c r="H35" s="28">
        <v>122083</v>
      </c>
      <c r="I35" s="28">
        <v>122307</v>
      </c>
      <c r="J35" s="29">
        <f>I35*(1+J34)</f>
        <v>123536.12796201545</v>
      </c>
      <c r="K35" s="1"/>
    </row>
    <row r="36">
      <c r="A36" s="1"/>
      <c r="B36" s="1" t="s">
        <v>524</v>
      </c>
      <c r="C36" s="28">
        <v>562628</v>
      </c>
      <c r="D36" s="28">
        <v>575709</v>
      </c>
      <c r="E36" s="28">
        <v>592728</v>
      </c>
      <c r="F36" s="28">
        <v>613052</v>
      </c>
      <c r="G36" s="21">
        <f>F36</f>
        <v>613052</v>
      </c>
      <c r="H36" s="28">
        <v>634812</v>
      </c>
      <c r="I36" s="28">
        <v>665841</v>
      </c>
      <c r="J36" s="29">
        <f>I36*(1+J34)</f>
        <v>672532.3896290183</v>
      </c>
      <c r="K36" s="1"/>
    </row>
    <row r="37">
      <c r="A37" s="1"/>
      <c r="B37" s="22" t="s">
        <v>525</v>
      </c>
      <c r="C37" s="27">
        <f>C35+C36</f>
        <v>685100</v>
      </c>
      <c r="D37" s="27">
        <f>D35+D36</f>
        <v>695607</v>
      </c>
      <c r="E37" s="27">
        <f>E35+E36</f>
        <v>709649</v>
      </c>
      <c r="F37" s="27">
        <f>F35+F36</f>
        <v>734662</v>
      </c>
      <c r="G37" s="27">
        <f>G35+G36</f>
        <v>734662</v>
      </c>
      <c r="H37" s="27">
        <f>H35+H36</f>
        <v>756895</v>
      </c>
      <c r="I37" s="27">
        <f>I35+I36</f>
        <v>788148</v>
      </c>
      <c r="J37" s="32">
        <f>J35+J36</f>
        <v>796068.5175910337</v>
      </c>
      <c r="K37" s="1"/>
    </row>
    <row r="38">
      <c r="A38" s="1"/>
      <c r="B38" s="1" t="s">
        <v>526</v>
      </c>
      <c r="C38" s="28">
        <v>82215</v>
      </c>
      <c r="D38" s="28">
        <v>86458</v>
      </c>
      <c r="E38" s="28">
        <v>83920</v>
      </c>
      <c r="F38" s="28">
        <v>87041</v>
      </c>
      <c r="G38" s="21">
        <f>F38</f>
        <v>87041</v>
      </c>
      <c r="H38" s="28">
        <v>86004</v>
      </c>
      <c r="I38" s="28">
        <v>83823</v>
      </c>
      <c r="J38" s="29">
        <f>I38*(1+J34)</f>
        <v>84665.38181919286</v>
      </c>
      <c r="K38" s="1"/>
    </row>
    <row r="39">
      <c r="A39" s="1"/>
      <c r="B39" s="1" t="s">
        <v>527</v>
      </c>
      <c r="C39" s="28">
        <v>549095</v>
      </c>
      <c r="D39" s="28">
        <v>575668</v>
      </c>
      <c r="E39" s="28">
        <v>590360</v>
      </c>
      <c r="F39" s="28">
        <v>581870</v>
      </c>
      <c r="G39" s="21">
        <f>F39</f>
        <v>581870</v>
      </c>
      <c r="H39" s="28">
        <v>603341</v>
      </c>
      <c r="I39" s="28">
        <v>620636</v>
      </c>
      <c r="J39" s="29">
        <f>I39*(1+J34)</f>
        <v>626873.1005897735</v>
      </c>
      <c r="K39" s="1"/>
    </row>
    <row r="40">
      <c r="A40" s="1"/>
      <c r="B40" s="22" t="s">
        <v>528</v>
      </c>
      <c r="C40" s="27">
        <f>C38+C39</f>
        <v>631310</v>
      </c>
      <c r="D40" s="27">
        <f>D38+D39</f>
        <v>662126</v>
      </c>
      <c r="E40" s="27">
        <f>E38+E39</f>
        <v>674280</v>
      </c>
      <c r="F40" s="27">
        <f>F38+F39</f>
        <v>668911</v>
      </c>
      <c r="G40" s="27">
        <f>G38+G39</f>
        <v>668911</v>
      </c>
      <c r="H40" s="27">
        <f>H38+H39</f>
        <v>689345</v>
      </c>
      <c r="I40" s="27">
        <f>I38+I39</f>
        <v>704459</v>
      </c>
      <c r="J40" s="32">
        <f>J38+J39</f>
        <v>711538.4824089664</v>
      </c>
      <c r="K40" s="1"/>
    </row>
    <row r="41">
      <c r="A41" s="1"/>
      <c r="B41" s="22" t="s">
        <v>529</v>
      </c>
      <c r="C41" s="27">
        <f>C37+C40</f>
        <v>1316410</v>
      </c>
      <c r="D41" s="27">
        <f>D37+D40</f>
        <v>1357733</v>
      </c>
      <c r="E41" s="27">
        <f>E37+E40</f>
        <v>1383929</v>
      </c>
      <c r="F41" s="27">
        <f>F37+F40</f>
        <v>1403573</v>
      </c>
      <c r="G41" s="27">
        <f>G37+G40</f>
        <v>1403573</v>
      </c>
      <c r="H41" s="27">
        <f>H37+H40</f>
        <v>1446240</v>
      </c>
      <c r="I41" s="27">
        <f>I37+I40</f>
        <v>1492607</v>
      </c>
      <c r="J41" s="32">
        <f>J37+J40</f>
        <v>1507607</v>
      </c>
      <c r="K41" s="1"/>
    </row>
    <row r="42">
      <c r="A42" s="1"/>
      <c r="B42" s="4" t="s">
        <v>108</v>
      </c>
      <c r="C42" s="1"/>
      <c r="D42" s="1"/>
      <c r="E42" s="1"/>
      <c r="F42" s="1"/>
      <c r="G42" s="1"/>
      <c r="H42" s="25">
        <f>IFERROR(H41/C41-1,"n/m")</f>
        <v>0.09862428878540874</v>
      </c>
      <c r="I42" s="25">
        <f>IFERROR(I41/D41-1,"n/m")</f>
        <v>0.09933764591418193</v>
      </c>
      <c r="J42" s="33">
        <f>IFERROR(J41/E41-1,"n/m")</f>
        <v>0.0893673013572227</v>
      </c>
      <c r="K42" s="1"/>
    </row>
    <row r="43">
      <c r="A43" s="1"/>
      <c r="B43" s="4" t="s">
        <v>71</v>
      </c>
      <c r="C43" s="1"/>
      <c r="D43" s="34">
        <f>D41-C41</f>
        <v>41323</v>
      </c>
      <c r="E43" s="34">
        <f>E41-D41</f>
        <v>26196</v>
      </c>
      <c r="F43" s="34">
        <f>F41-E41</f>
        <v>19644</v>
      </c>
      <c r="G43" s="1"/>
      <c r="H43" s="34">
        <f>H41-F41</f>
        <v>42667</v>
      </c>
      <c r="I43" s="34">
        <f>I41-H41</f>
        <v>46367</v>
      </c>
      <c r="J43" s="39">
        <f>J41-I41</f>
        <v>15000</v>
      </c>
      <c r="K43" s="1"/>
    </row>
    <row r="44">
      <c r="A44" s="1"/>
      <c r="B44" s="1" t="s">
        <v>530</v>
      </c>
      <c r="C44" s="28">
        <v>403959</v>
      </c>
      <c r="D44" s="28">
        <v>347913</v>
      </c>
      <c r="E44" s="28">
        <v>349726</v>
      </c>
      <c r="F44" s="28">
        <v>348098</v>
      </c>
      <c r="G44" s="21">
        <f>F44</f>
        <v>348098</v>
      </c>
      <c r="H44" s="28">
        <v>369585</v>
      </c>
      <c r="I44" s="28">
        <v>411126</v>
      </c>
      <c r="J44" s="29">
        <f>I44</f>
        <v>411126</v>
      </c>
      <c r="K44" s="1"/>
    </row>
    <row r="45">
      <c r="A45" s="1"/>
      <c r="B45" s="1" t="s">
        <v>531</v>
      </c>
      <c r="C45" s="28">
        <v>78302</v>
      </c>
      <c r="D45" s="28">
        <v>90949</v>
      </c>
      <c r="E45" s="28">
        <v>89596</v>
      </c>
      <c r="F45" s="28">
        <v>74836</v>
      </c>
      <c r="G45" s="21">
        <f>F45</f>
        <v>74836</v>
      </c>
      <c r="H45" s="28">
        <v>111224</v>
      </c>
      <c r="I45" s="28">
        <v>116076</v>
      </c>
      <c r="J45" s="29">
        <f>I45</f>
        <v>116076</v>
      </c>
      <c r="K45" s="1"/>
    </row>
    <row r="46">
      <c r="A46" s="1"/>
      <c r="B46" s="1" t="s">
        <v>532</v>
      </c>
      <c r="C46" s="28">
        <v>148688</v>
      </c>
      <c r="D46" s="28">
        <v>163952</v>
      </c>
      <c r="E46" s="28">
        <v>160243</v>
      </c>
      <c r="F46" s="28">
        <v>162798</v>
      </c>
      <c r="G46" s="21">
        <f>F46</f>
        <v>162798</v>
      </c>
      <c r="H46" s="28">
        <v>185266</v>
      </c>
      <c r="I46" s="28">
        <v>187193</v>
      </c>
      <c r="J46" s="29">
        <f>I46</f>
        <v>187193</v>
      </c>
      <c r="K46" s="1"/>
    </row>
    <row r="47">
      <c r="A47" s="1"/>
      <c r="B47" s="1" t="s">
        <v>533</v>
      </c>
      <c r="C47" s="28">
        <v>49139</v>
      </c>
      <c r="D47" s="28">
        <v>55560</v>
      </c>
      <c r="E47" s="28">
        <v>54760</v>
      </c>
      <c r="F47" s="28">
        <v>51878</v>
      </c>
      <c r="G47" s="21">
        <f>F47</f>
        <v>51878</v>
      </c>
      <c r="H47" s="28">
        <v>72056</v>
      </c>
      <c r="I47" s="28">
        <v>68978</v>
      </c>
      <c r="J47" s="29">
        <f>I47</f>
        <v>68978</v>
      </c>
      <c r="K47" s="1"/>
    </row>
    <row r="48">
      <c r="A48" s="1"/>
      <c r="B48" s="1" t="s">
        <v>534</v>
      </c>
      <c r="C48" s="28">
        <v>295684</v>
      </c>
      <c r="D48" s="28">
        <v>317761</v>
      </c>
      <c r="E48" s="28">
        <v>315846</v>
      </c>
      <c r="F48" s="28">
        <v>315827</v>
      </c>
      <c r="G48" s="21">
        <f>F48</f>
        <v>315827</v>
      </c>
      <c r="H48" s="28">
        <v>307566</v>
      </c>
      <c r="I48" s="28">
        <v>333749</v>
      </c>
      <c r="J48" s="29">
        <f>I48</f>
        <v>333749</v>
      </c>
      <c r="K48" s="1"/>
    </row>
    <row r="49">
      <c r="A49" s="1"/>
      <c r="B49" s="1" t="s">
        <v>535</v>
      </c>
      <c r="C49" s="28">
        <v>66074</v>
      </c>
      <c r="D49" s="28">
        <v>74774</v>
      </c>
      <c r="E49" s="28">
        <v>74498</v>
      </c>
      <c r="F49" s="28">
        <v>86370</v>
      </c>
      <c r="G49" s="21">
        <f>F49</f>
        <v>86370</v>
      </c>
      <c r="H49" s="28">
        <v>73178</v>
      </c>
      <c r="I49" s="28">
        <v>70475</v>
      </c>
      <c r="J49" s="36">
        <f>I49+('Income Statement'!J38-'Income Statement'!J30-'Income Statement'!J32)</f>
        <v>70520</v>
      </c>
      <c r="K49" s="24" t="s">
        <v>536</v>
      </c>
    </row>
    <row r="50">
      <c r="A50" s="1"/>
      <c r="B50" s="22" t="s">
        <v>537</v>
      </c>
      <c r="C50" s="27">
        <f>C41+C44+C45+C46+C47+C48+C49</f>
        <v>2358256</v>
      </c>
      <c r="D50" s="27">
        <f>D41+D44+D45+D46+D47+D48+D49</f>
        <v>2408642</v>
      </c>
      <c r="E50" s="27">
        <f>E41+E44+E45+E46+E47+E48+E49</f>
        <v>2428598</v>
      </c>
      <c r="F50" s="27">
        <f>F41+F44+F45+F46+F47+F48+F49</f>
        <v>2443380</v>
      </c>
      <c r="G50" s="27">
        <f>G41+G44+G45+G46+G47+G48+G49</f>
        <v>2443380</v>
      </c>
      <c r="H50" s="27">
        <f>H41+H44+H45+H46+H47+H48+H49</f>
        <v>2565115</v>
      </c>
      <c r="I50" s="27">
        <f>I41+I44+I45+I46+I47+I48+I49</f>
        <v>2680204</v>
      </c>
      <c r="J50" s="32">
        <f>J41+J44+J45+J46+J47+J48+J49</f>
        <v>2695249</v>
      </c>
      <c r="K50" s="1"/>
    </row>
    <row r="51">
      <c r="A51" s="1"/>
      <c r="B51" s="22" t="s">
        <v>538</v>
      </c>
      <c r="C51" s="1"/>
      <c r="D51" s="1"/>
      <c r="E51" s="1"/>
      <c r="F51" s="1"/>
      <c r="G51" s="1"/>
      <c r="H51" s="1"/>
      <c r="I51" s="1"/>
      <c r="J51" s="31"/>
      <c r="K51" s="1"/>
    </row>
    <row r="52">
      <c r="A52" s="1"/>
      <c r="B52" s="1" t="s">
        <v>539</v>
      </c>
      <c r="C52" s="28">
        <v>18350</v>
      </c>
      <c r="D52" s="28">
        <v>16350</v>
      </c>
      <c r="E52" s="28">
        <v>19050</v>
      </c>
      <c r="F52" s="28">
        <v>20050</v>
      </c>
      <c r="G52" s="21">
        <f>F52</f>
        <v>20050</v>
      </c>
      <c r="H52" s="28">
        <v>19550</v>
      </c>
      <c r="I52" s="28">
        <v>19550</v>
      </c>
      <c r="J52" s="29">
        <f>I52</f>
        <v>19550</v>
      </c>
      <c r="K52" s="1"/>
    </row>
    <row r="53">
      <c r="A53" s="1"/>
      <c r="B53" s="1" t="s">
        <v>540</v>
      </c>
      <c r="C53" s="28">
        <v>31</v>
      </c>
      <c r="D53" s="28">
        <v>31</v>
      </c>
      <c r="E53" s="28">
        <v>31</v>
      </c>
      <c r="F53" s="28">
        <v>31</v>
      </c>
      <c r="G53" s="21">
        <f>F53</f>
        <v>31</v>
      </c>
      <c r="H53" s="28">
        <v>31</v>
      </c>
      <c r="I53" s="28">
        <v>31</v>
      </c>
      <c r="J53" s="29">
        <f>I53</f>
        <v>31</v>
      </c>
      <c r="K53" s="1"/>
    </row>
    <row r="54">
      <c r="A54" s="1"/>
      <c r="B54" s="1" t="s">
        <v>541</v>
      </c>
      <c r="C54" s="28">
        <v>108616</v>
      </c>
      <c r="D54" s="28">
        <v>108839</v>
      </c>
      <c r="E54" s="28">
        <v>109010</v>
      </c>
      <c r="F54" s="28">
        <v>108452</v>
      </c>
      <c r="G54" s="21">
        <f>F54</f>
        <v>108452</v>
      </c>
      <c r="H54" s="28">
        <v>107821</v>
      </c>
      <c r="I54" s="28">
        <v>107343</v>
      </c>
      <c r="J54" s="29">
        <f>I54</f>
        <v>107343</v>
      </c>
      <c r="K54" s="1"/>
    </row>
    <row r="55">
      <c r="A55" s="1"/>
      <c r="B55" s="1" t="s">
        <v>542</v>
      </c>
      <c r="C55" s="28">
        <v>209013</v>
      </c>
      <c r="D55" s="28">
        <v>211674</v>
      </c>
      <c r="E55" s="28">
        <v>214034</v>
      </c>
      <c r="F55" s="28">
        <v>215128</v>
      </c>
      <c r="G55" s="21">
        <f>F55</f>
        <v>215128</v>
      </c>
      <c r="H55" s="28">
        <v>219542</v>
      </c>
      <c r="I55" s="28">
        <v>223989</v>
      </c>
      <c r="J55" s="36">
        <f>I55+'Income Statement'!J67-'Income Statement'!J70-'Share Count'!J35</f>
        <v>227575.4059938103</v>
      </c>
      <c r="K55" s="1"/>
    </row>
    <row r="56">
      <c r="A56" s="1"/>
      <c r="B56" s="1" t="s">
        <v>543</v>
      </c>
      <c r="C56" s="28">
        <v>-77880</v>
      </c>
      <c r="D56" s="28">
        <v>-79886</v>
      </c>
      <c r="E56" s="28">
        <v>-84932</v>
      </c>
      <c r="F56" s="28">
        <v>-89473</v>
      </c>
      <c r="G56" s="21">
        <f>F56</f>
        <v>-89473</v>
      </c>
      <c r="H56" s="28">
        <v>-95370</v>
      </c>
      <c r="I56" s="28">
        <v>-99398</v>
      </c>
      <c r="J56" s="36">
        <f>I56-'Share Count'!J14</f>
        <v>-103398</v>
      </c>
      <c r="K56" s="1"/>
    </row>
    <row r="57">
      <c r="A57" s="1"/>
      <c r="B57" s="1" t="s">
        <v>544</v>
      </c>
      <c r="C57" s="28">
        <v>-45722</v>
      </c>
      <c r="D57" s="28">
        <v>-43786</v>
      </c>
      <c r="E57" s="28">
        <v>-44170</v>
      </c>
      <c r="F57" s="28">
        <v>-41897</v>
      </c>
      <c r="G57" s="21">
        <f>F57</f>
        <v>-41897</v>
      </c>
      <c r="H57" s="28">
        <v>-40615</v>
      </c>
      <c r="I57" s="28">
        <v>-39500</v>
      </c>
      <c r="J57" s="29">
        <f>I57</f>
        <v>-39500</v>
      </c>
      <c r="K57" s="24" t="s">
        <v>545</v>
      </c>
    </row>
    <row r="58">
      <c r="A58" s="1"/>
      <c r="B58" s="22" t="s">
        <v>546</v>
      </c>
      <c r="C58" s="27">
        <f>C53+C54+C55+C56+C57</f>
        <v>194058</v>
      </c>
      <c r="D58" s="27">
        <f>D53+D54+D55+D56+D57</f>
        <v>196872</v>
      </c>
      <c r="E58" s="27">
        <f>E53+E54+E55+E56+E57</f>
        <v>193973</v>
      </c>
      <c r="F58" s="27">
        <f>F53+F54+F55+F56+F57</f>
        <v>192241</v>
      </c>
      <c r="G58" s="27">
        <f>G53+G54+G55+G56+G57</f>
        <v>192241</v>
      </c>
      <c r="H58" s="27">
        <f>H53+H54+H55+H56+H57</f>
        <v>191409</v>
      </c>
      <c r="I58" s="27">
        <f>I53+I54+I55+I56+I57</f>
        <v>192465</v>
      </c>
      <c r="J58" s="32">
        <f>J53+J54+J55+J56+J57</f>
        <v>192051.40599381027</v>
      </c>
      <c r="K58" s="1"/>
    </row>
    <row r="59">
      <c r="A59" s="1"/>
      <c r="B59" s="22" t="s">
        <v>547</v>
      </c>
      <c r="C59" s="27">
        <f>C52+C58</f>
        <v>212408</v>
      </c>
      <c r="D59" s="27">
        <f>D52+D58</f>
        <v>213222</v>
      </c>
      <c r="E59" s="27">
        <f>E52+E58</f>
        <v>213023</v>
      </c>
      <c r="F59" s="27">
        <f>F52+F58</f>
        <v>212291</v>
      </c>
      <c r="G59" s="27">
        <f>G52+G58</f>
        <v>212291</v>
      </c>
      <c r="H59" s="27">
        <f>H52+H58</f>
        <v>210959</v>
      </c>
      <c r="I59" s="27">
        <f>I52+I58</f>
        <v>212015</v>
      </c>
      <c r="J59" s="32">
        <f>J52+J58</f>
        <v>211601.40599381027</v>
      </c>
      <c r="K59" s="1"/>
    </row>
    <row r="60" ht="40.5">
      <c r="A60" s="1"/>
      <c r="B60" s="1" t="s">
        <v>185</v>
      </c>
      <c r="C60" s="28">
        <v>850</v>
      </c>
      <c r="D60" s="28">
        <v>908</v>
      </c>
      <c r="E60" s="28">
        <v>854</v>
      </c>
      <c r="F60" s="28">
        <v>1531</v>
      </c>
      <c r="G60" s="21">
        <f>F60</f>
        <v>1531</v>
      </c>
      <c r="H60" s="28">
        <v>1613</v>
      </c>
      <c r="I60" s="28">
        <v>2435</v>
      </c>
      <c r="J60" s="36">
        <f>I60+'Income Statement'!J64</f>
        <v>2635</v>
      </c>
      <c r="K60" s="111" t="s">
        <v>548</v>
      </c>
    </row>
    <row r="61">
      <c r="A61" s="1"/>
      <c r="B61" s="22" t="s">
        <v>549</v>
      </c>
      <c r="C61" s="27">
        <f>C59+C60</f>
        <v>213258</v>
      </c>
      <c r="D61" s="27">
        <f>D59+D60</f>
        <v>214130</v>
      </c>
      <c r="E61" s="27">
        <f>E59+E60</f>
        <v>213877</v>
      </c>
      <c r="F61" s="27">
        <f>F59+F60</f>
        <v>213822</v>
      </c>
      <c r="G61" s="27">
        <f>G59+G60</f>
        <v>213822</v>
      </c>
      <c r="H61" s="27">
        <f>H59+H60</f>
        <v>212572</v>
      </c>
      <c r="I61" s="27">
        <f>I59+I60</f>
        <v>214450</v>
      </c>
      <c r="J61" s="32">
        <f>J59+J60</f>
        <v>214236.40599381027</v>
      </c>
      <c r="K61" s="1"/>
    </row>
    <row r="62">
      <c r="A62" s="1"/>
      <c r="B62" s="22" t="s">
        <v>550</v>
      </c>
      <c r="C62" s="27">
        <f>C50+C61</f>
        <v>2571514</v>
      </c>
      <c r="D62" s="27">
        <f>D50+D61</f>
        <v>2622772</v>
      </c>
      <c r="E62" s="27">
        <f>E50+E61</f>
        <v>2642475</v>
      </c>
      <c r="F62" s="27">
        <f>F50+F61</f>
        <v>2657202</v>
      </c>
      <c r="G62" s="27">
        <f>G50+G61</f>
        <v>2657202</v>
      </c>
      <c r="H62" s="27">
        <f>H50+H61</f>
        <v>2777687</v>
      </c>
      <c r="I62" s="27">
        <f>I50+I61</f>
        <v>2894654</v>
      </c>
      <c r="J62" s="32">
        <f>J50+J61</f>
        <v>2909485.4059938104</v>
      </c>
      <c r="K62" s="1"/>
    </row>
    <row r="63" ht="27.75">
      <c r="A63" s="1"/>
      <c r="B63" s="22" t="s">
        <v>551</v>
      </c>
      <c r="C63" s="41">
        <f>C31-C50-C61</f>
        <v>0</v>
      </c>
      <c r="D63" s="41">
        <f>D31-D50-D61</f>
        <v>0</v>
      </c>
      <c r="E63" s="41">
        <f>E31-E50-E61</f>
        <v>0</v>
      </c>
      <c r="F63" s="41">
        <f>F31-F50-F61</f>
        <v>0</v>
      </c>
      <c r="G63" s="41">
        <f>G31-G50-G61</f>
        <v>0</v>
      </c>
      <c r="H63" s="41">
        <f>H31-H50-H61</f>
        <v>0</v>
      </c>
      <c r="I63" s="41">
        <f>I31-I50-I61</f>
        <v>0</v>
      </c>
      <c r="J63" s="64">
        <f>J31-J50-J61</f>
        <v>0</v>
      </c>
      <c r="K63" s="111" t="s">
        <v>552</v>
      </c>
    </row>
    <row r="64">
      <c r="A64" s="1"/>
      <c r="B64" s="22" t="s">
        <v>553</v>
      </c>
      <c r="C64" s="1"/>
      <c r="D64" s="1"/>
      <c r="E64" s="1"/>
      <c r="F64" s="1"/>
      <c r="G64" s="1"/>
      <c r="H64" s="1"/>
      <c r="I64" s="1"/>
      <c r="J64" s="31"/>
      <c r="K64" s="1"/>
    </row>
    <row r="65">
      <c r="A65" s="1"/>
      <c r="B65" s="1" t="s">
        <v>554</v>
      </c>
      <c r="C65" s="21">
        <f>C11+C12</f>
        <v>308331</v>
      </c>
      <c r="D65" s="21">
        <f>D11+D12</f>
        <v>337473</v>
      </c>
      <c r="E65" s="21">
        <f>E11+E12</f>
        <v>348060</v>
      </c>
      <c r="F65" s="21">
        <f>F11+F12</f>
        <v>349579</v>
      </c>
      <c r="G65" s="21">
        <f>G11+G12</f>
        <v>349579</v>
      </c>
      <c r="H65" s="21">
        <f>H11+H12</f>
        <v>385722</v>
      </c>
      <c r="I65" s="21">
        <f>I11+I12</f>
        <v>366413</v>
      </c>
      <c r="J65" s="29">
        <f>J11+J12</f>
        <v>367234.4059938104</v>
      </c>
      <c r="K65" s="1"/>
    </row>
    <row r="66">
      <c r="A66" s="1"/>
      <c r="B66" s="1" t="s">
        <v>555</v>
      </c>
      <c r="C66" s="3">
        <f>C58/'Share Count'!C11</f>
        <v>103.90212560903785</v>
      </c>
      <c r="D66" s="3">
        <f>D58/'Share Count'!D11</f>
        <v>106.94334293008853</v>
      </c>
      <c r="E66" s="3">
        <f>E58/'Share Count'!E11</f>
        <v>108.4071983457218</v>
      </c>
      <c r="F66" s="3">
        <f>F58/'Share Count'!F11</f>
        <v>110.00915593705294</v>
      </c>
      <c r="G66" s="3">
        <f>G58/'Share Count'!G11</f>
        <v>110.00915593705294</v>
      </c>
      <c r="H66" s="3">
        <f>H58/'Share Count'!H11</f>
        <v>112.22385084427768</v>
      </c>
      <c r="I66" s="3">
        <f>I58/'Share Count'!I11</f>
        <v>114.74007392392988</v>
      </c>
      <c r="J66" s="50">
        <f>J58/'Share Count'!J11</f>
        <v>116.40688573329453</v>
      </c>
      <c r="K66" s="1"/>
    </row>
    <row r="67">
      <c r="A67" s="1"/>
      <c r="B67" s="1" t="s">
        <v>556</v>
      </c>
      <c r="C67" s="43">
        <f>C31/C61</f>
        <v>12.058229937446661</v>
      </c>
      <c r="D67" s="43">
        <f>D31/D61</f>
        <v>12.24850324569187</v>
      </c>
      <c r="E67" s="43">
        <f>E31/E61</f>
        <v>12.355115323293294</v>
      </c>
      <c r="F67" s="43">
        <f>F31/F61</f>
        <v>12.427168392401157</v>
      </c>
      <c r="G67" s="43">
        <f>G31/G61</f>
        <v>12.427168392401157</v>
      </c>
      <c r="H67" s="43">
        <f>H31/H61</f>
        <v>13.067040814406413</v>
      </c>
      <c r="I67" s="43">
        <f>I31/I61</f>
        <v>13.498036838423875</v>
      </c>
      <c r="J67" s="65">
        <f>J31/J61</f>
        <v>13.580723558618097</v>
      </c>
      <c r="K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K12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557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558</v>
      </c>
      <c r="C10" s="1"/>
      <c r="D10" s="1"/>
      <c r="E10" s="1"/>
      <c r="F10" s="1"/>
      <c r="G10" s="1"/>
      <c r="H10" s="1"/>
      <c r="I10" s="1"/>
      <c r="J10" s="31"/>
      <c r="K10" s="1"/>
    </row>
    <row r="11">
      <c r="A11" s="1"/>
      <c r="B11" s="22" t="s">
        <v>559</v>
      </c>
      <c r="C11" s="1"/>
      <c r="D11" s="1"/>
      <c r="E11" s="1"/>
      <c r="F11" s="1"/>
      <c r="G11" s="1"/>
      <c r="H11" s="1"/>
      <c r="I11" s="1"/>
      <c r="J11" s="31"/>
      <c r="K11" s="1"/>
    </row>
    <row r="12">
      <c r="A12" s="1"/>
      <c r="B12" s="1" t="s">
        <v>560</v>
      </c>
      <c r="C12" s="21">
        <f>C68</f>
        <v>4065</v>
      </c>
      <c r="D12" s="21">
        <f>D68-C68</f>
        <v>4019</v>
      </c>
      <c r="E12" s="21">
        <f>E68-D68</f>
        <v>3753</v>
      </c>
      <c r="F12" s="21">
        <f>F68-E68</f>
        <v>2472</v>
      </c>
      <c r="G12" s="21">
        <f>SUM(C12:F12)</f>
        <v>14309</v>
      </c>
      <c r="H12" s="21">
        <f>H68</f>
        <v>5786</v>
      </c>
      <c r="I12" s="21">
        <f>I68-H68</f>
        <v>5831</v>
      </c>
      <c r="J12" s="36">
        <f>'Income Statement'!J67-'Income Statement'!J63</f>
        <v>5026.159275342467</v>
      </c>
      <c r="K12" s="1"/>
    </row>
    <row r="13">
      <c r="A13" s="1"/>
      <c r="B13" s="1" t="s">
        <v>561</v>
      </c>
      <c r="C13" s="21">
        <f>C69</f>
        <v>0</v>
      </c>
      <c r="D13" s="21">
        <f>D69-C69</f>
        <v>186</v>
      </c>
      <c r="E13" s="21">
        <f>E69-D69</f>
        <v>-2</v>
      </c>
      <c r="F13" s="21">
        <f>F69-E69</f>
        <v>1170</v>
      </c>
      <c r="G13" s="21">
        <f>SUM(C13:F13)</f>
        <v>1354</v>
      </c>
      <c r="H13" s="21">
        <f>H69</f>
        <v>18</v>
      </c>
      <c r="I13" s="21">
        <f>I69-H69</f>
        <v>-21</v>
      </c>
      <c r="J13" s="55">
        <v>0</v>
      </c>
      <c r="K13" s="1" t="s">
        <v>562</v>
      </c>
    </row>
    <row r="14" ht="27.75">
      <c r="A14" s="1"/>
      <c r="B14" s="1" t="s">
        <v>563</v>
      </c>
      <c r="C14" s="21">
        <f>C70</f>
        <v>1050</v>
      </c>
      <c r="D14" s="21">
        <f>D70-C70</f>
        <v>1097</v>
      </c>
      <c r="E14" s="21">
        <f>E70-D70</f>
        <v>1123</v>
      </c>
      <c r="F14" s="21">
        <f>F70-E70</f>
        <v>1103</v>
      </c>
      <c r="G14" s="21">
        <f>SUM(C14:F14)</f>
        <v>4373</v>
      </c>
      <c r="H14" s="21">
        <f>H70</f>
        <v>1115</v>
      </c>
      <c r="I14" s="21">
        <f>I70-H70</f>
        <v>1147</v>
      </c>
      <c r="J14" s="29">
        <f>-J39</f>
        <v>1553.5</v>
      </c>
      <c r="K14" s="111" t="s">
        <v>564</v>
      </c>
    </row>
    <row r="15">
      <c r="A15" s="1"/>
      <c r="B15" s="1" t="s">
        <v>565</v>
      </c>
      <c r="C15" s="21">
        <f>C71</f>
        <v>-8</v>
      </c>
      <c r="D15" s="21">
        <f>D71-C71</f>
        <v>228</v>
      </c>
      <c r="E15" s="21">
        <f>E71-D71</f>
        <v>7</v>
      </c>
      <c r="F15" s="21">
        <f>F71-E71</f>
        <v>225</v>
      </c>
      <c r="G15" s="21">
        <f>SUM(C15:F15)</f>
        <v>452</v>
      </c>
      <c r="H15" s="21">
        <f>H71</f>
        <v>-168</v>
      </c>
      <c r="I15" s="21">
        <f>I71-H71</f>
        <v>357</v>
      </c>
      <c r="J15" s="55">
        <v>0</v>
      </c>
      <c r="K15" s="1" t="s">
        <v>562</v>
      </c>
    </row>
    <row r="16">
      <c r="A16" s="1"/>
      <c r="B16" s="1" t="s">
        <v>566</v>
      </c>
      <c r="C16" s="21">
        <f>C72</f>
        <v>2723</v>
      </c>
      <c r="D16" s="21">
        <f>D72-C72</f>
        <v>2872</v>
      </c>
      <c r="E16" s="21">
        <f>E72-D72</f>
        <v>2450</v>
      </c>
      <c r="F16" s="21">
        <f>F72-E72</f>
        <v>2220</v>
      </c>
      <c r="G16" s="21">
        <f>SUM(C16:F16)</f>
        <v>10265</v>
      </c>
      <c r="H16" s="21">
        <f>H72</f>
        <v>2805</v>
      </c>
      <c r="I16" s="21">
        <f>I72-H72</f>
        <v>2522</v>
      </c>
      <c r="J16" s="36">
        <f>'Income Statement'!J38</f>
        <v>2584.9375342465755</v>
      </c>
      <c r="K16" s="1"/>
    </row>
    <row r="17" ht="27.75">
      <c r="A17" s="1"/>
      <c r="B17" s="1" t="s">
        <v>567</v>
      </c>
      <c r="C17" s="21">
        <f>C73</f>
        <v>0</v>
      </c>
      <c r="D17" s="21">
        <f>D73-C73</f>
        <v>0</v>
      </c>
      <c r="E17" s="21">
        <f>E73-D73</f>
        <v>726</v>
      </c>
      <c r="F17" s="21">
        <f>F73-E73</f>
        <v>0</v>
      </c>
      <c r="G17" s="21">
        <f>SUM(C17:F17)</f>
        <v>726</v>
      </c>
      <c r="H17" s="21">
        <f>H73</f>
        <v>0</v>
      </c>
      <c r="I17" s="21">
        <f>I73-H73</f>
        <v>0</v>
      </c>
      <c r="J17" s="55">
        <v>0</v>
      </c>
      <c r="K17" s="111" t="s">
        <v>568</v>
      </c>
    </row>
    <row r="18">
      <c r="A18" s="1"/>
      <c r="B18" s="1" t="s">
        <v>421</v>
      </c>
      <c r="C18" s="21">
        <f>C74</f>
        <v>-121</v>
      </c>
      <c r="D18" s="21">
        <f>D74-C74</f>
        <v>-138</v>
      </c>
      <c r="E18" s="21">
        <f>E74-D74</f>
        <v>-105</v>
      </c>
      <c r="F18" s="21">
        <f>F74-E74</f>
        <v>-107</v>
      </c>
      <c r="G18" s="21">
        <f>SUM(C18:F18)</f>
        <v>-471</v>
      </c>
      <c r="H18" s="21">
        <f>H74</f>
        <v>-270</v>
      </c>
      <c r="I18" s="21">
        <f>I74-H74</f>
        <v>-169</v>
      </c>
      <c r="J18" s="55">
        <v>0</v>
      </c>
      <c r="K18" s="1" t="s">
        <v>562</v>
      </c>
    </row>
    <row r="19">
      <c r="A19" s="1"/>
      <c r="B19" s="1" t="s">
        <v>422</v>
      </c>
      <c r="C19" s="21">
        <f>C75</f>
        <v>58</v>
      </c>
      <c r="D19" s="21">
        <f>D75-C75</f>
        <v>39</v>
      </c>
      <c r="E19" s="21">
        <f>E75-D75</f>
        <v>23</v>
      </c>
      <c r="F19" s="21">
        <f>F75-E75</f>
        <v>221</v>
      </c>
      <c r="G19" s="21">
        <f>SUM(C19:F19)</f>
        <v>341</v>
      </c>
      <c r="H19" s="21">
        <f>H75</f>
        <v>136</v>
      </c>
      <c r="I19" s="21">
        <f>I75-H75</f>
        <v>68</v>
      </c>
      <c r="J19" s="55">
        <v>0</v>
      </c>
      <c r="K19" s="1" t="s">
        <v>562</v>
      </c>
    </row>
    <row r="20" ht="27.75">
      <c r="A20" s="1"/>
      <c r="B20" s="1" t="s">
        <v>569</v>
      </c>
      <c r="C20" s="21">
        <f>C76</f>
        <v>-75872</v>
      </c>
      <c r="D20" s="21">
        <f>D76-C76</f>
        <v>-50025</v>
      </c>
      <c r="E20" s="21">
        <f>E76-D76</f>
        <v>6260</v>
      </c>
      <c r="F20" s="21">
        <f>F76-E76</f>
        <v>25074</v>
      </c>
      <c r="G20" s="21">
        <f>SUM(C20:F20)</f>
        <v>-94563</v>
      </c>
      <c r="H20" s="21">
        <f>H76</f>
        <v>-56371</v>
      </c>
      <c r="I20" s="21">
        <f>I76-H76</f>
        <v>-40919</v>
      </c>
      <c r="J20" s="55">
        <v>0</v>
      </c>
      <c r="K20" s="111" t="s">
        <v>570</v>
      </c>
    </row>
    <row r="21" ht="27.75">
      <c r="A21" s="1"/>
      <c r="B21" s="1" t="s">
        <v>571</v>
      </c>
      <c r="C21" s="21">
        <f>C77</f>
        <v>14842</v>
      </c>
      <c r="D21" s="21">
        <f>D77-C77</f>
        <v>15264</v>
      </c>
      <c r="E21" s="21">
        <f>E77-D77</f>
        <v>-3709</v>
      </c>
      <c r="F21" s="21">
        <f>F77-E77</f>
        <v>2555</v>
      </c>
      <c r="G21" s="21">
        <f>SUM(C21:F21)</f>
        <v>28952</v>
      </c>
      <c r="H21" s="21">
        <f>H77</f>
        <v>22468</v>
      </c>
      <c r="I21" s="21">
        <f>I77-H77</f>
        <v>1927</v>
      </c>
      <c r="J21" s="55">
        <v>0</v>
      </c>
      <c r="K21" s="111" t="s">
        <v>572</v>
      </c>
    </row>
    <row r="22" ht="27.75">
      <c r="A22" s="1"/>
      <c r="B22" s="1" t="s">
        <v>573</v>
      </c>
      <c r="C22" s="21">
        <f>C78</f>
        <v>5102</v>
      </c>
      <c r="D22" s="21">
        <f>D78-C78</f>
        <v>6058</v>
      </c>
      <c r="E22" s="21">
        <f>E78-D78</f>
        <v>-13316</v>
      </c>
      <c r="F22" s="21">
        <f>F78-E78</f>
        <v>-1447</v>
      </c>
      <c r="G22" s="21">
        <f>SUM(C22:F22)</f>
        <v>-3603</v>
      </c>
      <c r="H22" s="21">
        <f>H78</f>
        <v>7347</v>
      </c>
      <c r="I22" s="21">
        <f>I78-H78</f>
        <v>13250</v>
      </c>
      <c r="J22" s="55">
        <v>0</v>
      </c>
      <c r="K22" s="111" t="s">
        <v>574</v>
      </c>
    </row>
    <row r="23" ht="27.75">
      <c r="A23" s="1"/>
      <c r="B23" s="1" t="s">
        <v>575</v>
      </c>
      <c r="C23" s="21">
        <f>C79</f>
        <v>-856</v>
      </c>
      <c r="D23" s="21">
        <f>D79-C79</f>
        <v>-3954</v>
      </c>
      <c r="E23" s="21">
        <f>E79-D79</f>
        <v>5122</v>
      </c>
      <c r="F23" s="21">
        <f>F79-E79</f>
        <v>-2184</v>
      </c>
      <c r="G23" s="21">
        <f>SUM(C23:F23)</f>
        <v>-1872</v>
      </c>
      <c r="H23" s="21">
        <f>H79</f>
        <v>588</v>
      </c>
      <c r="I23" s="21">
        <f>I79-H79</f>
        <v>-1479</v>
      </c>
      <c r="J23" s="55">
        <v>0</v>
      </c>
      <c r="K23" s="111" t="s">
        <v>576</v>
      </c>
    </row>
    <row r="24" ht="27.75">
      <c r="A24" s="1"/>
      <c r="B24" s="1" t="s">
        <v>577</v>
      </c>
      <c r="C24" s="21">
        <f>C80</f>
        <v>-3067</v>
      </c>
      <c r="D24" s="21">
        <f>D80-C80</f>
        <v>-5521</v>
      </c>
      <c r="E24" s="21">
        <f>E80-D80</f>
        <v>-1757</v>
      </c>
      <c r="F24" s="21">
        <f>F80-E80</f>
        <v>-2578</v>
      </c>
      <c r="G24" s="21">
        <f>SUM(C24:F24)</f>
        <v>-12923</v>
      </c>
      <c r="H24" s="21">
        <f>H80</f>
        <v>-6920</v>
      </c>
      <c r="I24" s="21">
        <f>I80-H80</f>
        <v>-5527</v>
      </c>
      <c r="J24" s="55">
        <v>0</v>
      </c>
      <c r="K24" s="111" t="s">
        <v>578</v>
      </c>
    </row>
    <row r="25" ht="40.5">
      <c r="A25" s="1"/>
      <c r="B25" s="1" t="s">
        <v>579</v>
      </c>
      <c r="C25" s="21">
        <f>C81</f>
        <v>-2168</v>
      </c>
      <c r="D25" s="21">
        <f>D81-C81</f>
        <v>2605</v>
      </c>
      <c r="E25" s="21">
        <f>E81-D81</f>
        <v>-393</v>
      </c>
      <c r="F25" s="21">
        <f>F81-E81</f>
        <v>-907</v>
      </c>
      <c r="G25" s="21">
        <f>SUM(C25:F25)</f>
        <v>-863</v>
      </c>
      <c r="H25" s="21">
        <f>H81</f>
        <v>264</v>
      </c>
      <c r="I25" s="21">
        <f>I81-H81</f>
        <v>3078</v>
      </c>
      <c r="J25" s="55">
        <v>0</v>
      </c>
      <c r="K25" s="111" t="s">
        <v>580</v>
      </c>
    </row>
    <row r="26">
      <c r="A26" s="1"/>
      <c r="B26" s="1" t="s">
        <v>581</v>
      </c>
      <c r="C26" s="21">
        <f>C82</f>
        <v>-4456</v>
      </c>
      <c r="D26" s="21">
        <f>D82-C82</f>
        <v>-9309</v>
      </c>
      <c r="E26" s="21">
        <f>E82-D82</f>
        <v>918</v>
      </c>
      <c r="F26" s="21">
        <f>F82-E82</f>
        <v>-1262</v>
      </c>
      <c r="G26" s="21">
        <f>SUM(C26:F26)</f>
        <v>-14109</v>
      </c>
      <c r="H26" s="21">
        <f>H82</f>
        <v>1329</v>
      </c>
      <c r="I26" s="21">
        <f>I82-H82</f>
        <v>-4144</v>
      </c>
      <c r="J26" s="36">
        <f>'Income Statement'!J64</f>
        <v>200</v>
      </c>
      <c r="K26" s="1"/>
    </row>
    <row r="27" ht="53.25">
      <c r="A27" s="1"/>
      <c r="B27" s="22" t="s">
        <v>582</v>
      </c>
      <c r="C27" s="27">
        <f>SUM(C12:C26)</f>
        <v>-58708</v>
      </c>
      <c r="D27" s="27">
        <f>SUM(D12:D26)</f>
        <v>-36579</v>
      </c>
      <c r="E27" s="27">
        <f>SUM(E12:E26)</f>
        <v>1100</v>
      </c>
      <c r="F27" s="27">
        <f>SUM(F12:F26)</f>
        <v>26555</v>
      </c>
      <c r="G27" s="27">
        <f>SUM(G12:G26)</f>
        <v>-67632</v>
      </c>
      <c r="H27" s="27">
        <f>SUM(H12:H26)</f>
        <v>-21873</v>
      </c>
      <c r="I27" s="27">
        <f>SUM(I12:I26)</f>
        <v>-24079</v>
      </c>
      <c r="J27" s="32">
        <f>SUM(J12:J26)</f>
        <v>9364.596809589042</v>
      </c>
      <c r="K27" s="111" t="s">
        <v>583</v>
      </c>
    </row>
    <row r="28">
      <c r="A28" s="1"/>
      <c r="B28" s="22" t="s">
        <v>584</v>
      </c>
      <c r="C28" s="1"/>
      <c r="D28" s="1"/>
      <c r="E28" s="1"/>
      <c r="F28" s="1"/>
      <c r="G28" s="1"/>
      <c r="H28" s="1"/>
      <c r="I28" s="1"/>
      <c r="J28" s="31"/>
      <c r="K28" s="1"/>
    </row>
    <row r="29" ht="27.75">
      <c r="A29" s="1"/>
      <c r="B29" s="1" t="s">
        <v>585</v>
      </c>
      <c r="C29" s="21">
        <f>C87</f>
        <v>-116153</v>
      </c>
      <c r="D29" s="21">
        <f>D87-C87</f>
        <v>66323</v>
      </c>
      <c r="E29" s="21">
        <f>E87-D87</f>
        <v>2545</v>
      </c>
      <c r="F29" s="21">
        <f>F87-E87</f>
        <v>-34848</v>
      </c>
      <c r="G29" s="21">
        <f>SUM(C29:F29)</f>
        <v>-82133</v>
      </c>
      <c r="H29" s="21">
        <f>H87</f>
        <v>3101</v>
      </c>
      <c r="I29" s="21">
        <f>I87-H87</f>
        <v>-51561</v>
      </c>
      <c r="J29" s="55">
        <v>0</v>
      </c>
      <c r="K29" s="121" t="s">
        <v>586</v>
      </c>
    </row>
    <row r="30">
      <c r="A30" s="1"/>
      <c r="B30" s="1" t="s">
        <v>587</v>
      </c>
      <c r="C30" s="21">
        <f>C88</f>
        <v>-11506</v>
      </c>
      <c r="D30" s="21">
        <f>D88-C88</f>
        <v>-28787</v>
      </c>
      <c r="E30" s="21">
        <f>E88-D88</f>
        <v>-12975</v>
      </c>
      <c r="F30" s="21">
        <f>F88-E88</f>
        <v>-22770</v>
      </c>
      <c r="G30" s="21">
        <f>SUM(C30:F30)</f>
        <v>-76038</v>
      </c>
      <c r="H30" s="21">
        <f>H88</f>
        <v>-13692</v>
      </c>
      <c r="I30" s="21">
        <f>I88-H88</f>
        <v>-30454</v>
      </c>
      <c r="J30" s="36">
        <f>-(('Balance Sheet'!J22-'Balance Sheet'!I22)+'Income Statement'!J30)</f>
        <v>-16549.937534246576</v>
      </c>
      <c r="K30" s="1"/>
    </row>
    <row r="31" ht="27.75">
      <c r="A31" s="1"/>
      <c r="B31" s="1" t="s">
        <v>588</v>
      </c>
      <c r="C31" s="21">
        <f>C89</f>
        <v>0</v>
      </c>
      <c r="D31" s="21">
        <f>D89-C89</f>
        <v>0</v>
      </c>
      <c r="E31" s="21">
        <f>E89-D89</f>
        <v>0</v>
      </c>
      <c r="F31" s="21">
        <f>F89-E89</f>
        <v>0</v>
      </c>
      <c r="G31" s="21">
        <f>SUM(C31:F31)</f>
        <v>0</v>
      </c>
      <c r="H31" s="21">
        <f>H89</f>
        <v>233</v>
      </c>
      <c r="I31" s="21">
        <f>I89-H89</f>
        <v>144</v>
      </c>
      <c r="J31" s="55">
        <v>0</v>
      </c>
      <c r="K31" s="121" t="s">
        <v>589</v>
      </c>
    </row>
    <row r="32" ht="27.75">
      <c r="A32" s="1"/>
      <c r="B32" s="1" t="s">
        <v>590</v>
      </c>
      <c r="C32" s="21">
        <f>C90</f>
        <v>0</v>
      </c>
      <c r="D32" s="21">
        <f>D90-C90</f>
        <v>0</v>
      </c>
      <c r="E32" s="21">
        <f>E90-D90</f>
        <v>0</v>
      </c>
      <c r="F32" s="21">
        <f>F90-E90</f>
        <v>0</v>
      </c>
      <c r="G32" s="21">
        <f>SUM(C32:F32)</f>
        <v>0</v>
      </c>
      <c r="H32" s="21">
        <f>H90</f>
        <v>0</v>
      </c>
      <c r="I32" s="21">
        <f>I90-H90</f>
        <v>-7200</v>
      </c>
      <c r="J32" s="55">
        <v>0</v>
      </c>
      <c r="K32" s="121" t="s">
        <v>591</v>
      </c>
    </row>
    <row r="33" ht="27.75">
      <c r="A33" s="1"/>
      <c r="B33" s="1" t="s">
        <v>592</v>
      </c>
      <c r="C33" s="21">
        <f>C91</f>
        <v>1002</v>
      </c>
      <c r="D33" s="21">
        <f>D91-C91</f>
        <v>1061</v>
      </c>
      <c r="E33" s="21">
        <f>E91-D91</f>
        <v>1680</v>
      </c>
      <c r="F33" s="21">
        <f>F91-E91</f>
        <v>1717</v>
      </c>
      <c r="G33" s="21">
        <f>SUM(C33:F33)</f>
        <v>5460</v>
      </c>
      <c r="H33" s="21">
        <f>H91</f>
        <v>1473</v>
      </c>
      <c r="I33" s="21">
        <f>I91-H91</f>
        <v>2621</v>
      </c>
      <c r="J33" s="55">
        <v>0</v>
      </c>
      <c r="K33" s="121" t="s">
        <v>591</v>
      </c>
    </row>
    <row r="34" ht="27.75">
      <c r="A34" s="1"/>
      <c r="B34" s="1" t="s">
        <v>593</v>
      </c>
      <c r="C34" s="21">
        <f>C92</f>
        <v>-73927</v>
      </c>
      <c r="D34" s="21">
        <f>D92-C92</f>
        <v>-66120</v>
      </c>
      <c r="E34" s="21">
        <f>E92-D92</f>
        <v>-68981</v>
      </c>
      <c r="F34" s="21">
        <f>F92-E92</f>
        <v>-67210</v>
      </c>
      <c r="G34" s="21">
        <f>SUM(C34:F34)</f>
        <v>-276238</v>
      </c>
      <c r="H34" s="21">
        <f>H92</f>
        <v>-100769</v>
      </c>
      <c r="I34" s="21">
        <f>I92-H92</f>
        <v>-101842</v>
      </c>
      <c r="J34" s="55">
        <v>0</v>
      </c>
      <c r="K34" s="121" t="s">
        <v>594</v>
      </c>
    </row>
    <row r="35" ht="27.75">
      <c r="A35" s="1"/>
      <c r="B35" s="1" t="s">
        <v>595</v>
      </c>
      <c r="C35" s="21">
        <f>C93</f>
        <v>36332</v>
      </c>
      <c r="D35" s="21">
        <f>D93-C93</f>
        <v>18222</v>
      </c>
      <c r="E35" s="21">
        <f>E93-D93</f>
        <v>16050</v>
      </c>
      <c r="F35" s="21">
        <f>F93-E93</f>
        <v>18633</v>
      </c>
      <c r="G35" s="21">
        <f>SUM(C35:F35)</f>
        <v>89237</v>
      </c>
      <c r="H35" s="21">
        <f>H93</f>
        <v>38384</v>
      </c>
      <c r="I35" s="21">
        <f>I93-H93</f>
        <v>21922</v>
      </c>
      <c r="J35" s="55">
        <v>0</v>
      </c>
      <c r="K35" s="121" t="s">
        <v>596</v>
      </c>
    </row>
    <row r="36" ht="27.75">
      <c r="A36" s="1"/>
      <c r="B36" s="1" t="s">
        <v>597</v>
      </c>
      <c r="C36" s="21">
        <f>C94</f>
        <v>45315</v>
      </c>
      <c r="D36" s="21">
        <f>D94-C94</f>
        <v>45838</v>
      </c>
      <c r="E36" s="21">
        <f>E94-D94</f>
        <v>42576</v>
      </c>
      <c r="F36" s="21">
        <f>F94-E94</f>
        <v>49414</v>
      </c>
      <c r="G36" s="21">
        <f>SUM(C36:F36)</f>
        <v>183143</v>
      </c>
      <c r="H36" s="21">
        <f>H94</f>
        <v>48787</v>
      </c>
      <c r="I36" s="21">
        <f>I94-H94</f>
        <v>52116</v>
      </c>
      <c r="J36" s="55">
        <v>0</v>
      </c>
      <c r="K36" s="121" t="s">
        <v>598</v>
      </c>
    </row>
    <row r="37" ht="27.75">
      <c r="A37" s="1"/>
      <c r="B37" s="1" t="s">
        <v>599</v>
      </c>
      <c r="C37" s="21">
        <f>C95</f>
        <v>-4940</v>
      </c>
      <c r="D37" s="21">
        <f>D95-C95</f>
        <v>-66</v>
      </c>
      <c r="E37" s="21">
        <f>E95-D95</f>
        <v>-128</v>
      </c>
      <c r="F37" s="21">
        <f>F95-E95</f>
        <v>-149</v>
      </c>
      <c r="G37" s="21">
        <f>SUM(C37:F37)</f>
        <v>-5283</v>
      </c>
      <c r="H37" s="21">
        <f>H95</f>
        <v>-574</v>
      </c>
      <c r="I37" s="21">
        <f>I95-H95</f>
        <v>-609</v>
      </c>
      <c r="J37" s="55">
        <v>0</v>
      </c>
      <c r="K37" s="121" t="s">
        <v>600</v>
      </c>
    </row>
    <row r="38" ht="27.75">
      <c r="A38" s="1"/>
      <c r="B38" s="1" t="s">
        <v>601</v>
      </c>
      <c r="C38" s="21">
        <f>C96</f>
        <v>26941</v>
      </c>
      <c r="D38" s="21">
        <f>D96-C96</f>
        <v>14394</v>
      </c>
      <c r="E38" s="21">
        <f>E96-D96</f>
        <v>9133</v>
      </c>
      <c r="F38" s="21">
        <f>F96-E96</f>
        <v>7393</v>
      </c>
      <c r="G38" s="21">
        <f>SUM(C38:F38)</f>
        <v>57861</v>
      </c>
      <c r="H38" s="21">
        <f>H96</f>
        <v>11928</v>
      </c>
      <c r="I38" s="21">
        <f>I96-H96</f>
        <v>11215</v>
      </c>
      <c r="J38" s="55">
        <v>0</v>
      </c>
      <c r="K38" s="121" t="s">
        <v>602</v>
      </c>
    </row>
    <row r="39">
      <c r="A39" s="1"/>
      <c r="B39" s="1" t="s">
        <v>603</v>
      </c>
      <c r="C39" s="21">
        <f>C97</f>
        <v>-1517</v>
      </c>
      <c r="D39" s="21">
        <f>D97-C97</f>
        <v>-1755</v>
      </c>
      <c r="E39" s="21">
        <f>E97-D97</f>
        <v>-1617</v>
      </c>
      <c r="F39" s="21">
        <f>F97-E97</f>
        <v>-1631</v>
      </c>
      <c r="G39" s="21">
        <f>SUM(C39:F39)</f>
        <v>-6520</v>
      </c>
      <c r="H39" s="21">
        <f>H97</f>
        <v>-1415</v>
      </c>
      <c r="I39" s="21">
        <f>I97-H97</f>
        <v>-1551</v>
      </c>
      <c r="J39" s="29">
        <f>AVERAGE(E39,F39,H39,I39)</f>
        <v>-1553.5</v>
      </c>
      <c r="K39" s="1"/>
    </row>
    <row r="40">
      <c r="A40" s="1"/>
      <c r="B40" s="1" t="s">
        <v>604</v>
      </c>
      <c r="C40" s="21">
        <f>C98</f>
        <v>11</v>
      </c>
      <c r="D40" s="21">
        <f>D98-C98</f>
        <v>5</v>
      </c>
      <c r="E40" s="21">
        <f>E98-D98</f>
        <v>8</v>
      </c>
      <c r="F40" s="21">
        <f>F98-E98</f>
        <v>38</v>
      </c>
      <c r="G40" s="21">
        <f>SUM(C40:F40)</f>
        <v>62</v>
      </c>
      <c r="H40" s="21">
        <f>H98</f>
        <v>3</v>
      </c>
      <c r="I40" s="21">
        <f>I98-H98</f>
        <v>40</v>
      </c>
      <c r="J40" s="55">
        <v>0</v>
      </c>
      <c r="K40" s="121" t="s">
        <v>562</v>
      </c>
    </row>
    <row r="41">
      <c r="A41" s="1"/>
      <c r="B41" s="1" t="s">
        <v>581</v>
      </c>
      <c r="C41" s="21">
        <f>C99</f>
        <v>-541</v>
      </c>
      <c r="D41" s="21">
        <f>D99-C99</f>
        <v>919</v>
      </c>
      <c r="E41" s="21">
        <f>E99-D99</f>
        <v>1706</v>
      </c>
      <c r="F41" s="21">
        <f>F99-E99</f>
        <v>83</v>
      </c>
      <c r="G41" s="21">
        <f>SUM(C41:F41)</f>
        <v>2167</v>
      </c>
      <c r="H41" s="21">
        <f>H99</f>
        <v>150</v>
      </c>
      <c r="I41" s="21">
        <f>I99-H99</f>
        <v>-1064</v>
      </c>
      <c r="J41" s="55">
        <v>0</v>
      </c>
      <c r="K41" s="121" t="s">
        <v>562</v>
      </c>
    </row>
    <row r="42">
      <c r="A42" s="1"/>
      <c r="B42" s="22" t="s">
        <v>605</v>
      </c>
      <c r="C42" s="27">
        <f>SUM(C29:C41)</f>
        <v>-98983</v>
      </c>
      <c r="D42" s="27">
        <f>SUM(D29:D41)</f>
        <v>50034</v>
      </c>
      <c r="E42" s="27">
        <f>SUM(E29:E41)</f>
        <v>-10003</v>
      </c>
      <c r="F42" s="27">
        <f>SUM(F29:F41)</f>
        <v>-49330</v>
      </c>
      <c r="G42" s="27">
        <f>SUM(G29:G41)</f>
        <v>-108282</v>
      </c>
      <c r="H42" s="27">
        <f>SUM(H29:H41)</f>
        <v>-12391</v>
      </c>
      <c r="I42" s="27">
        <f>SUM(I29:I41)</f>
        <v>-106223</v>
      </c>
      <c r="J42" s="32">
        <f>SUM(J29:J41)</f>
        <v>-18103.437534246576</v>
      </c>
      <c r="K42" s="1"/>
    </row>
    <row r="43">
      <c r="A43" s="1"/>
      <c r="B43" s="22" t="s">
        <v>606</v>
      </c>
      <c r="C43" s="1"/>
      <c r="D43" s="1"/>
      <c r="E43" s="1"/>
      <c r="F43" s="1"/>
      <c r="G43" s="1"/>
      <c r="H43" s="1"/>
      <c r="I43" s="1"/>
      <c r="J43" s="31"/>
      <c r="K43" s="1"/>
    </row>
    <row r="44">
      <c r="A44" s="1"/>
      <c r="B44" s="1" t="s">
        <v>607</v>
      </c>
      <c r="C44" s="21">
        <f>C104</f>
        <v>-1323</v>
      </c>
      <c r="D44" s="21">
        <f>D104-C104</f>
        <v>-1328</v>
      </c>
      <c r="E44" s="21">
        <f>E104-D104</f>
        <v>-1370</v>
      </c>
      <c r="F44" s="21">
        <f>F104-E104</f>
        <v>-1351</v>
      </c>
      <c r="G44" s="21">
        <f>SUM(C44:F44)</f>
        <v>-5372</v>
      </c>
      <c r="H44" s="21">
        <f>H104</f>
        <v>-1353</v>
      </c>
      <c r="I44" s="21">
        <f>I104-H104</f>
        <v>-1361</v>
      </c>
      <c r="J44" s="36">
        <f>-('Income Statement'!J70+'Share Count'!J35)</f>
        <v>-1439.7532815321802</v>
      </c>
      <c r="K44" s="1"/>
    </row>
    <row r="45" ht="27.75">
      <c r="A45" s="1"/>
      <c r="B45" s="1" t="s">
        <v>608</v>
      </c>
      <c r="C45" s="21">
        <f>C105</f>
        <v>1995</v>
      </c>
      <c r="D45" s="21">
        <f>D105-C105</f>
        <v>0</v>
      </c>
      <c r="E45" s="21">
        <f>E105-D105</f>
        <v>2695</v>
      </c>
      <c r="F45" s="21">
        <f>F105-E105</f>
        <v>2496</v>
      </c>
      <c r="G45" s="21">
        <f>SUM(C45:F45)</f>
        <v>7186</v>
      </c>
      <c r="H45" s="21">
        <f>H105</f>
        <v>1785</v>
      </c>
      <c r="I45" s="21">
        <f>I105-H105</f>
        <v>0</v>
      </c>
      <c r="J45" s="55">
        <v>0</v>
      </c>
      <c r="K45" s="121" t="s">
        <v>609</v>
      </c>
    </row>
    <row r="46" ht="27.75">
      <c r="A46" s="1"/>
      <c r="B46" s="1" t="s">
        <v>610</v>
      </c>
      <c r="C46" s="21">
        <f>C106</f>
        <v>-1500</v>
      </c>
      <c r="D46" s="21">
        <f>D106-C106</f>
        <v>-2000</v>
      </c>
      <c r="E46" s="21">
        <f>E106-D106</f>
        <v>0</v>
      </c>
      <c r="F46" s="21">
        <f>F106-E106</f>
        <v>-1500</v>
      </c>
      <c r="G46" s="21">
        <f>SUM(C46:F46)</f>
        <v>-5000</v>
      </c>
      <c r="H46" s="21">
        <f>H106</f>
        <v>-2300</v>
      </c>
      <c r="I46" s="21">
        <f>I106-H106</f>
        <v>0</v>
      </c>
      <c r="J46" s="55">
        <v>0</v>
      </c>
      <c r="K46" s="121" t="s">
        <v>611</v>
      </c>
    </row>
    <row r="47">
      <c r="A47" s="1"/>
      <c r="B47" s="1" t="s">
        <v>612</v>
      </c>
      <c r="C47" s="21">
        <f>C107</f>
        <v>-1751</v>
      </c>
      <c r="D47" s="21">
        <f>D107-C107</f>
        <v>-1999</v>
      </c>
      <c r="E47" s="21">
        <f>E107-D107</f>
        <v>-5000</v>
      </c>
      <c r="F47" s="21">
        <f>F107-E107</f>
        <v>-4500</v>
      </c>
      <c r="G47" s="21">
        <f>SUM(C47:F47)</f>
        <v>-13250</v>
      </c>
      <c r="H47" s="21">
        <f>H107</f>
        <v>-6300</v>
      </c>
      <c r="I47" s="21">
        <f>I107-H107</f>
        <v>-4000</v>
      </c>
      <c r="J47" s="36">
        <f>-'Share Count'!J14</f>
        <v>-4000</v>
      </c>
      <c r="K47" s="1"/>
    </row>
    <row r="48">
      <c r="A48" s="1"/>
      <c r="B48" s="1" t="s">
        <v>613</v>
      </c>
      <c r="C48" s="21">
        <f>C108</f>
        <v>-754</v>
      </c>
      <c r="D48" s="21">
        <f>D108-C108</f>
        <v>-16</v>
      </c>
      <c r="E48" s="21">
        <f>E108-D108</f>
        <v>-5</v>
      </c>
      <c r="F48" s="21">
        <f>F108-E108</f>
        <v>-5</v>
      </c>
      <c r="G48" s="21">
        <f>SUM(C48:F48)</f>
        <v>-780</v>
      </c>
      <c r="H48" s="21">
        <f>H108</f>
        <v>-1147</v>
      </c>
      <c r="I48" s="21">
        <f>I108-H108</f>
        <v>-79</v>
      </c>
      <c r="J48" s="55">
        <v>0</v>
      </c>
      <c r="K48" s="121" t="s">
        <v>614</v>
      </c>
    </row>
    <row r="49" ht="27.75">
      <c r="A49" s="1"/>
      <c r="B49" s="1" t="s">
        <v>615</v>
      </c>
      <c r="C49" s="21">
        <f>C109</f>
        <v>0</v>
      </c>
      <c r="D49" s="21">
        <f>D109-C109</f>
        <v>0</v>
      </c>
      <c r="E49" s="21">
        <f>E109-D109</f>
        <v>0</v>
      </c>
      <c r="F49" s="21">
        <f>F109-E109</f>
        <v>1878</v>
      </c>
      <c r="G49" s="21">
        <f>SUM(C49:F49)</f>
        <v>1878</v>
      </c>
      <c r="H49" s="21">
        <f>H109</f>
        <v>0</v>
      </c>
      <c r="I49" s="21">
        <f>I109-H109</f>
        <v>2492</v>
      </c>
      <c r="J49" s="55">
        <v>0</v>
      </c>
      <c r="K49" s="111" t="s">
        <v>616</v>
      </c>
    </row>
    <row r="50" ht="27.75">
      <c r="A50" s="1"/>
      <c r="B50" s="1" t="s">
        <v>617</v>
      </c>
      <c r="C50" s="21">
        <f>C110</f>
        <v>149204</v>
      </c>
      <c r="D50" s="21">
        <f>D110-C110</f>
        <v>-56046</v>
      </c>
      <c r="E50" s="21">
        <f>E110-D110</f>
        <v>1813</v>
      </c>
      <c r="F50" s="21">
        <f>F110-E110</f>
        <v>-1628</v>
      </c>
      <c r="G50" s="21">
        <f>SUM(C50:F50)</f>
        <v>93343</v>
      </c>
      <c r="H50" s="21">
        <f>H110</f>
        <v>21487</v>
      </c>
      <c r="I50" s="21">
        <f>I110-H110</f>
        <v>41541</v>
      </c>
      <c r="J50" s="55">
        <v>0</v>
      </c>
      <c r="K50" s="121" t="s">
        <v>618</v>
      </c>
    </row>
    <row r="51" ht="27.75">
      <c r="A51" s="1"/>
      <c r="B51" s="1" t="s">
        <v>619</v>
      </c>
      <c r="C51" s="21">
        <f>C111</f>
        <v>29612</v>
      </c>
      <c r="D51" s="21">
        <f>D111-C111</f>
        <v>37886</v>
      </c>
      <c r="E51" s="21">
        <f>E111-D111</f>
        <v>28798</v>
      </c>
      <c r="F51" s="21">
        <f>F111-E111</f>
        <v>25733</v>
      </c>
      <c r="G51" s="21">
        <f>SUM(C51:F51)</f>
        <v>122029</v>
      </c>
      <c r="H51" s="21">
        <f>H111</f>
        <v>24924</v>
      </c>
      <c r="I51" s="21">
        <f>I111-H111</f>
        <v>59565</v>
      </c>
      <c r="J51" s="55">
        <v>0</v>
      </c>
      <c r="K51" s="121" t="s">
        <v>620</v>
      </c>
    </row>
    <row r="52" ht="27.75">
      <c r="A52" s="1"/>
      <c r="B52" s="1" t="s">
        <v>621</v>
      </c>
      <c r="C52" s="21">
        <f>C112</f>
        <v>-23093</v>
      </c>
      <c r="D52" s="21">
        <f>D112-C112</f>
        <v>-23240</v>
      </c>
      <c r="E52" s="21">
        <f>E112-D112</f>
        <v>-31642</v>
      </c>
      <c r="F52" s="21">
        <f>F112-E112</f>
        <v>-25346</v>
      </c>
      <c r="G52" s="21">
        <f>SUM(C52:F52)</f>
        <v>-103321</v>
      </c>
      <c r="H52" s="21">
        <f>H112</f>
        <v>-28692</v>
      </c>
      <c r="I52" s="21">
        <f>I112-H112</f>
        <v>-30534</v>
      </c>
      <c r="J52" s="55">
        <v>0</v>
      </c>
      <c r="K52" s="121" t="s">
        <v>622</v>
      </c>
    </row>
    <row r="53">
      <c r="A53" s="1"/>
      <c r="B53" s="1" t="s">
        <v>623</v>
      </c>
      <c r="C53" s="21">
        <f>C113</f>
        <v>31952</v>
      </c>
      <c r="D53" s="21">
        <f>D113-C113</f>
        <v>47411</v>
      </c>
      <c r="E53" s="21">
        <f>E113-D113</f>
        <v>26196</v>
      </c>
      <c r="F53" s="21">
        <f>F113-E113</f>
        <v>32386</v>
      </c>
      <c r="G53" s="21">
        <f>SUM(C53:F53)</f>
        <v>137945</v>
      </c>
      <c r="H53" s="21">
        <f>H113</f>
        <v>42667</v>
      </c>
      <c r="I53" s="21">
        <f>I113-H113</f>
        <v>46367</v>
      </c>
      <c r="J53" s="36">
        <f>'Balance Sheet'!J41-'Balance Sheet'!I41</f>
        <v>15000</v>
      </c>
      <c r="K53" s="1"/>
    </row>
    <row r="54" ht="27.75">
      <c r="A54" s="1"/>
      <c r="B54" s="1" t="s">
        <v>624</v>
      </c>
      <c r="C54" s="21">
        <f>C114</f>
        <v>634</v>
      </c>
      <c r="D54" s="21">
        <f>D114-C114</f>
        <v>6421</v>
      </c>
      <c r="E54" s="21">
        <f>E114-D114</f>
        <v>-800</v>
      </c>
      <c r="F54" s="21">
        <f>F114-E114</f>
        <v>-2882</v>
      </c>
      <c r="G54" s="21">
        <f>SUM(C54:F54)</f>
        <v>3373</v>
      </c>
      <c r="H54" s="21">
        <f>H114</f>
        <v>20178</v>
      </c>
      <c r="I54" s="21">
        <f>I114-H114</f>
        <v>-3078</v>
      </c>
      <c r="J54" s="55">
        <v>0</v>
      </c>
      <c r="K54" s="121" t="s">
        <v>625</v>
      </c>
    </row>
    <row r="55">
      <c r="A55" s="1"/>
      <c r="B55" s="22" t="s">
        <v>626</v>
      </c>
      <c r="C55" s="27">
        <f>SUM(C44:C54)</f>
        <v>184976</v>
      </c>
      <c r="D55" s="27">
        <f>SUM(D44:D54)</f>
        <v>7089</v>
      </c>
      <c r="E55" s="27">
        <f>SUM(E44:E54)</f>
        <v>20685</v>
      </c>
      <c r="F55" s="27">
        <f>SUM(F44:F54)</f>
        <v>25281</v>
      </c>
      <c r="G55" s="27">
        <f>SUM(G44:G54)</f>
        <v>238031</v>
      </c>
      <c r="H55" s="27">
        <f>SUM(H44:H54)</f>
        <v>71249</v>
      </c>
      <c r="I55" s="27">
        <f>SUM(I44:I54)</f>
        <v>110913</v>
      </c>
      <c r="J55" s="32">
        <f>SUM(J44:J54)</f>
        <v>9560.24671846782</v>
      </c>
      <c r="K55" s="1"/>
    </row>
    <row r="56" ht="27.75">
      <c r="A56" s="1"/>
      <c r="B56" s="1" t="s">
        <v>627</v>
      </c>
      <c r="C56" s="21">
        <f>C118</f>
        <v>4514</v>
      </c>
      <c r="D56" s="21">
        <f>D118-C118</f>
        <v>8598</v>
      </c>
      <c r="E56" s="21">
        <f>E118-D118</f>
        <v>-1195</v>
      </c>
      <c r="F56" s="21">
        <f>F118-E118</f>
        <v>-987</v>
      </c>
      <c r="G56" s="21">
        <f>SUM(C56:F56)</f>
        <v>10930</v>
      </c>
      <c r="H56" s="21">
        <f>H118</f>
        <v>-842</v>
      </c>
      <c r="I56" s="21">
        <f>I118-H118</f>
        <v>80</v>
      </c>
      <c r="J56" s="55">
        <v>0</v>
      </c>
      <c r="K56" s="121" t="s">
        <v>628</v>
      </c>
    </row>
    <row r="57">
      <c r="A57" s="1"/>
      <c r="B57" s="22" t="s">
        <v>629</v>
      </c>
      <c r="C57" s="27">
        <f>C27+C42+C55+C56</f>
        <v>31799</v>
      </c>
      <c r="D57" s="27">
        <f>D27+D42+D55+D56</f>
        <v>29142</v>
      </c>
      <c r="E57" s="27">
        <f>E27+E42+E55+E56</f>
        <v>10587</v>
      </c>
      <c r="F57" s="27">
        <f>F27+F42+F55+F56</f>
        <v>1519</v>
      </c>
      <c r="G57" s="27">
        <f>G27+G42+G55+G56</f>
        <v>73047</v>
      </c>
      <c r="H57" s="27">
        <f>H27+H42+H55+H56</f>
        <v>36143</v>
      </c>
      <c r="I57" s="27">
        <f>I27+I42+I55+I56</f>
        <v>-19309</v>
      </c>
      <c r="J57" s="32">
        <f>J27+J42+J55+J56</f>
        <v>821.4059938102873</v>
      </c>
      <c r="K57" s="1"/>
    </row>
    <row r="58">
      <c r="A58" s="1"/>
      <c r="B58" s="1" t="s">
        <v>630</v>
      </c>
      <c r="C58" s="28">
        <v>276532</v>
      </c>
      <c r="D58" s="2">
        <f>'Balance Sheet'!C65</f>
        <v>308331</v>
      </c>
      <c r="E58" s="2">
        <f>'Balance Sheet'!D65</f>
        <v>337473</v>
      </c>
      <c r="F58" s="2">
        <f>'Balance Sheet'!E65</f>
        <v>348060</v>
      </c>
      <c r="G58" s="21">
        <f>C58</f>
        <v>276532</v>
      </c>
      <c r="H58" s="2">
        <f>'Balance Sheet'!F65</f>
        <v>349579</v>
      </c>
      <c r="I58" s="2">
        <f>'Balance Sheet'!H65</f>
        <v>385722</v>
      </c>
      <c r="J58" s="36">
        <f>'Balance Sheet'!I65</f>
        <v>366413</v>
      </c>
      <c r="K58" s="24" t="s">
        <v>631</v>
      </c>
    </row>
    <row r="59">
      <c r="A59" s="1"/>
      <c r="B59" s="22" t="s">
        <v>632</v>
      </c>
      <c r="C59" s="27">
        <f>C58+C57</f>
        <v>308331</v>
      </c>
      <c r="D59" s="27">
        <f>D58+D57</f>
        <v>337473</v>
      </c>
      <c r="E59" s="27">
        <f>E58+E57</f>
        <v>348060</v>
      </c>
      <c r="F59" s="27">
        <f>F58+F57</f>
        <v>349579</v>
      </c>
      <c r="G59" s="27">
        <f>G58+G57</f>
        <v>349579</v>
      </c>
      <c r="H59" s="27">
        <f>H58+H57</f>
        <v>385722</v>
      </c>
      <c r="I59" s="27">
        <f>I58+I57</f>
        <v>366413</v>
      </c>
      <c r="J59" s="32">
        <f>J58+J57</f>
        <v>367234.4059938103</v>
      </c>
      <c r="K59" s="1"/>
    </row>
    <row r="60" ht="40.5">
      <c r="A60" s="1"/>
      <c r="B60" s="22" t="s">
        <v>633</v>
      </c>
      <c r="C60" s="38">
        <f>C59-'Balance Sheet'!C65</f>
        <v>0</v>
      </c>
      <c r="D60" s="38">
        <f>D59-'Balance Sheet'!D65</f>
        <v>0</v>
      </c>
      <c r="E60" s="38">
        <f>E59-'Balance Sheet'!E65</f>
        <v>0</v>
      </c>
      <c r="F60" s="38">
        <f>F59-'Balance Sheet'!F65</f>
        <v>0</v>
      </c>
      <c r="G60" s="38">
        <f>G59-'Balance Sheet'!G65</f>
        <v>0</v>
      </c>
      <c r="H60" s="38">
        <f>H59-'Balance Sheet'!H65</f>
        <v>0</v>
      </c>
      <c r="I60" s="38">
        <f>I59-'Balance Sheet'!I65</f>
        <v>0</v>
      </c>
      <c r="J60" s="53">
        <f>J59-'Balance Sheet'!J65</f>
        <v>0</v>
      </c>
      <c r="K60" s="121" t="s">
        <v>634</v>
      </c>
    </row>
    <row r="61">
      <c r="A61" s="1"/>
      <c r="B61" s="22" t="s">
        <v>635</v>
      </c>
      <c r="C61" s="1"/>
      <c r="D61" s="1"/>
      <c r="E61" s="1"/>
      <c r="F61" s="1"/>
      <c r="G61" s="1"/>
      <c r="H61" s="1"/>
      <c r="I61" s="1"/>
      <c r="J61" s="31"/>
      <c r="K61" s="1"/>
    </row>
    <row r="62">
      <c r="A62" s="1"/>
      <c r="B62" s="1" t="s">
        <v>636</v>
      </c>
      <c r="C62" s="21">
        <f>C27</f>
        <v>-58708</v>
      </c>
      <c r="D62" s="21">
        <f>D27</f>
        <v>-36579</v>
      </c>
      <c r="E62" s="21">
        <f>E27</f>
        <v>1100</v>
      </c>
      <c r="F62" s="21">
        <f>F27</f>
        <v>26555</v>
      </c>
      <c r="G62" s="21">
        <f>G27</f>
        <v>-67632</v>
      </c>
      <c r="H62" s="21">
        <f>H27</f>
        <v>-21873</v>
      </c>
      <c r="I62" s="21">
        <f>I27</f>
        <v>-24079</v>
      </c>
      <c r="J62" s="29">
        <f>J27</f>
        <v>9364.596809589042</v>
      </c>
      <c r="K62" s="1" t="s">
        <v>637</v>
      </c>
    </row>
    <row r="63">
      <c r="A63" s="1"/>
      <c r="B63" s="1" t="s">
        <v>638</v>
      </c>
      <c r="C63" s="21">
        <f>C39</f>
        <v>-1517</v>
      </c>
      <c r="D63" s="21">
        <f>D39</f>
        <v>-1755</v>
      </c>
      <c r="E63" s="21">
        <f>E39</f>
        <v>-1617</v>
      </c>
      <c r="F63" s="21">
        <f>F39</f>
        <v>-1631</v>
      </c>
      <c r="G63" s="21">
        <f>G39</f>
        <v>-6520</v>
      </c>
      <c r="H63" s="21">
        <f>H39</f>
        <v>-1415</v>
      </c>
      <c r="I63" s="21">
        <f>I39</f>
        <v>-1551</v>
      </c>
      <c r="J63" s="29">
        <f>J39</f>
        <v>-1553.5</v>
      </c>
      <c r="K63" s="1"/>
    </row>
    <row r="64">
      <c r="A64" s="1"/>
      <c r="B64" s="1" t="s">
        <v>639</v>
      </c>
      <c r="C64" s="1"/>
      <c r="D64" s="1"/>
      <c r="E64" s="1"/>
      <c r="F64" s="1"/>
      <c r="G64" s="1"/>
      <c r="H64" s="1"/>
      <c r="I64" s="1"/>
      <c r="J64" s="31"/>
      <c r="K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>
      <c r="A66" s="1"/>
      <c r="B66" s="22" t="s">
        <v>640</v>
      </c>
      <c r="C66" s="1"/>
      <c r="D66" s="1"/>
      <c r="E66" s="1"/>
      <c r="F66" s="1"/>
      <c r="G66" s="1"/>
      <c r="H66" s="1"/>
      <c r="I66" s="1"/>
      <c r="J66" s="31"/>
      <c r="K66" s="1"/>
    </row>
    <row r="67">
      <c r="A67" s="1"/>
      <c r="B67" s="22" t="s">
        <v>559</v>
      </c>
      <c r="C67" s="1"/>
      <c r="D67" s="1"/>
      <c r="E67" s="1"/>
      <c r="F67" s="1"/>
      <c r="G67" s="1"/>
      <c r="H67" s="1"/>
      <c r="I67" s="1"/>
      <c r="J67" s="31"/>
      <c r="K67" s="1"/>
    </row>
    <row r="68">
      <c r="A68" s="1"/>
      <c r="B68" s="1" t="s">
        <v>560</v>
      </c>
      <c r="C68" s="28">
        <v>4065</v>
      </c>
      <c r="D68" s="28">
        <v>8084</v>
      </c>
      <c r="E68" s="28">
        <v>11837</v>
      </c>
      <c r="F68" s="28">
        <v>14309</v>
      </c>
      <c r="G68" s="21">
        <f>F68</f>
        <v>14309</v>
      </c>
      <c r="H68" s="28">
        <v>5786</v>
      </c>
      <c r="I68" s="28">
        <v>11617</v>
      </c>
      <c r="J68" s="31"/>
      <c r="K68" s="1"/>
    </row>
    <row r="69">
      <c r="A69" s="1"/>
      <c r="B69" s="1" t="s">
        <v>561</v>
      </c>
      <c r="C69" s="28">
        <v>0</v>
      </c>
      <c r="D69" s="28">
        <v>186</v>
      </c>
      <c r="E69" s="28">
        <v>184</v>
      </c>
      <c r="F69" s="28">
        <v>1354</v>
      </c>
      <c r="G69" s="21">
        <f>F69</f>
        <v>1354</v>
      </c>
      <c r="H69" s="28">
        <v>18</v>
      </c>
      <c r="I69" s="28">
        <v>-3</v>
      </c>
      <c r="J69" s="31"/>
      <c r="K69" s="1"/>
    </row>
    <row r="70">
      <c r="A70" s="1"/>
      <c r="B70" s="1" t="s">
        <v>563</v>
      </c>
      <c r="C70" s="28">
        <v>1050</v>
      </c>
      <c r="D70" s="28">
        <v>2147</v>
      </c>
      <c r="E70" s="28">
        <v>3270</v>
      </c>
      <c r="F70" s="28">
        <v>4373</v>
      </c>
      <c r="G70" s="21">
        <f>F70</f>
        <v>4373</v>
      </c>
      <c r="H70" s="28">
        <v>1115</v>
      </c>
      <c r="I70" s="28">
        <v>2262</v>
      </c>
      <c r="J70" s="31"/>
      <c r="K70" s="1"/>
    </row>
    <row r="71">
      <c r="A71" s="1"/>
      <c r="B71" s="1" t="s">
        <v>565</v>
      </c>
      <c r="C71" s="28">
        <v>-8</v>
      </c>
      <c r="D71" s="28">
        <v>220</v>
      </c>
      <c r="E71" s="28">
        <v>227</v>
      </c>
      <c r="F71" s="28">
        <v>452</v>
      </c>
      <c r="G71" s="21">
        <f>F71</f>
        <v>452</v>
      </c>
      <c r="H71" s="28">
        <v>-168</v>
      </c>
      <c r="I71" s="28">
        <v>189</v>
      </c>
      <c r="J71" s="31"/>
      <c r="K71" s="1"/>
    </row>
    <row r="72">
      <c r="A72" s="1"/>
      <c r="B72" s="1" t="s">
        <v>566</v>
      </c>
      <c r="C72" s="28">
        <v>2723</v>
      </c>
      <c r="D72" s="28">
        <v>5595</v>
      </c>
      <c r="E72" s="28">
        <v>8045</v>
      </c>
      <c r="F72" s="28">
        <v>10265</v>
      </c>
      <c r="G72" s="21">
        <f>F72</f>
        <v>10265</v>
      </c>
      <c r="H72" s="28">
        <v>2805</v>
      </c>
      <c r="I72" s="28">
        <v>5327</v>
      </c>
      <c r="J72" s="31"/>
      <c r="K72" s="1"/>
    </row>
    <row r="73">
      <c r="A73" s="1"/>
      <c r="B73" s="1" t="s">
        <v>567</v>
      </c>
      <c r="C73" s="28">
        <v>0</v>
      </c>
      <c r="D73" s="28">
        <v>0</v>
      </c>
      <c r="E73" s="28">
        <v>726</v>
      </c>
      <c r="F73" s="28">
        <v>726</v>
      </c>
      <c r="G73" s="21">
        <f>F73</f>
        <v>726</v>
      </c>
      <c r="H73" s="28">
        <v>0</v>
      </c>
      <c r="I73" s="28">
        <v>0</v>
      </c>
      <c r="J73" s="31"/>
      <c r="K73" s="1"/>
    </row>
    <row r="74">
      <c r="A74" s="1"/>
      <c r="B74" s="1" t="s">
        <v>421</v>
      </c>
      <c r="C74" s="28">
        <v>-121</v>
      </c>
      <c r="D74" s="28">
        <v>-259</v>
      </c>
      <c r="E74" s="28">
        <v>-364</v>
      </c>
      <c r="F74" s="28">
        <v>-471</v>
      </c>
      <c r="G74" s="21">
        <f>F74</f>
        <v>-471</v>
      </c>
      <c r="H74" s="28">
        <v>-270</v>
      </c>
      <c r="I74" s="28">
        <v>-439</v>
      </c>
      <c r="J74" s="31"/>
      <c r="K74" s="1"/>
    </row>
    <row r="75">
      <c r="A75" s="1"/>
      <c r="B75" s="1" t="s">
        <v>422</v>
      </c>
      <c r="C75" s="28">
        <v>58</v>
      </c>
      <c r="D75" s="28">
        <v>97</v>
      </c>
      <c r="E75" s="28">
        <v>120</v>
      </c>
      <c r="F75" s="28">
        <v>341</v>
      </c>
      <c r="G75" s="21">
        <f>F75</f>
        <v>341</v>
      </c>
      <c r="H75" s="28">
        <v>136</v>
      </c>
      <c r="I75" s="28">
        <v>204</v>
      </c>
      <c r="J75" s="31"/>
      <c r="K75" s="1"/>
    </row>
    <row r="76">
      <c r="A76" s="1"/>
      <c r="B76" s="1" t="s">
        <v>569</v>
      </c>
      <c r="C76" s="28">
        <v>-75872</v>
      </c>
      <c r="D76" s="28">
        <v>-125897</v>
      </c>
      <c r="E76" s="28">
        <v>-119637</v>
      </c>
      <c r="F76" s="28">
        <v>-94563</v>
      </c>
      <c r="G76" s="21">
        <f>F76</f>
        <v>-94563</v>
      </c>
      <c r="H76" s="28">
        <v>-56371</v>
      </c>
      <c r="I76" s="28">
        <v>-97290</v>
      </c>
      <c r="J76" s="31"/>
      <c r="K76" s="1"/>
    </row>
    <row r="77">
      <c r="A77" s="1"/>
      <c r="B77" s="1" t="s">
        <v>571</v>
      </c>
      <c r="C77" s="28">
        <v>14842</v>
      </c>
      <c r="D77" s="28">
        <v>30106</v>
      </c>
      <c r="E77" s="28">
        <v>26397</v>
      </c>
      <c r="F77" s="28">
        <v>28952</v>
      </c>
      <c r="G77" s="21">
        <f>F77</f>
        <v>28952</v>
      </c>
      <c r="H77" s="28">
        <v>22468</v>
      </c>
      <c r="I77" s="28">
        <v>24395</v>
      </c>
      <c r="J77" s="31"/>
      <c r="K77" s="1"/>
    </row>
    <row r="78">
      <c r="A78" s="1"/>
      <c r="B78" s="1" t="s">
        <v>573</v>
      </c>
      <c r="C78" s="28">
        <v>5102</v>
      </c>
      <c r="D78" s="28">
        <v>11160</v>
      </c>
      <c r="E78" s="28">
        <v>-2156</v>
      </c>
      <c r="F78" s="28">
        <v>-3603</v>
      </c>
      <c r="G78" s="21">
        <f>F78</f>
        <v>-3603</v>
      </c>
      <c r="H78" s="28">
        <v>7347</v>
      </c>
      <c r="I78" s="28">
        <v>20597</v>
      </c>
      <c r="J78" s="31"/>
      <c r="K78" s="1"/>
    </row>
    <row r="79">
      <c r="A79" s="1"/>
      <c r="B79" s="1" t="s">
        <v>575</v>
      </c>
      <c r="C79" s="28">
        <v>-856</v>
      </c>
      <c r="D79" s="28">
        <v>-4810</v>
      </c>
      <c r="E79" s="28">
        <v>312</v>
      </c>
      <c r="F79" s="28">
        <v>-1872</v>
      </c>
      <c r="G79" s="21">
        <f>F79</f>
        <v>-1872</v>
      </c>
      <c r="H79" s="28">
        <v>588</v>
      </c>
      <c r="I79" s="28">
        <v>-891</v>
      </c>
      <c r="J79" s="31"/>
      <c r="K79" s="1"/>
    </row>
    <row r="80">
      <c r="A80" s="1"/>
      <c r="B80" s="1" t="s">
        <v>577</v>
      </c>
      <c r="C80" s="28">
        <v>-3067</v>
      </c>
      <c r="D80" s="28">
        <v>-8588</v>
      </c>
      <c r="E80" s="28">
        <v>-10345</v>
      </c>
      <c r="F80" s="28">
        <v>-12923</v>
      </c>
      <c r="G80" s="21">
        <f>F80</f>
        <v>-12923</v>
      </c>
      <c r="H80" s="28">
        <v>-6920</v>
      </c>
      <c r="I80" s="28">
        <v>-12447</v>
      </c>
      <c r="J80" s="31"/>
      <c r="K80" s="1"/>
    </row>
    <row r="81">
      <c r="A81" s="1"/>
      <c r="B81" s="1" t="s">
        <v>579</v>
      </c>
      <c r="C81" s="28">
        <v>-2168</v>
      </c>
      <c r="D81" s="28">
        <v>437</v>
      </c>
      <c r="E81" s="28">
        <v>44</v>
      </c>
      <c r="F81" s="28">
        <v>-863</v>
      </c>
      <c r="G81" s="21">
        <f>F81</f>
        <v>-863</v>
      </c>
      <c r="H81" s="28">
        <v>264</v>
      </c>
      <c r="I81" s="28">
        <v>3342</v>
      </c>
      <c r="J81" s="31"/>
      <c r="K81" s="1"/>
    </row>
    <row r="82">
      <c r="A82" s="1"/>
      <c r="B82" s="1" t="s">
        <v>581</v>
      </c>
      <c r="C82" s="28">
        <v>-4456</v>
      </c>
      <c r="D82" s="28">
        <v>-13765</v>
      </c>
      <c r="E82" s="28">
        <v>-12847</v>
      </c>
      <c r="F82" s="28">
        <v>-14109</v>
      </c>
      <c r="G82" s="21">
        <f>F82</f>
        <v>-14109</v>
      </c>
      <c r="H82" s="28">
        <v>1329</v>
      </c>
      <c r="I82" s="28">
        <v>-2815</v>
      </c>
      <c r="J82" s="31"/>
      <c r="K82" s="1"/>
    </row>
    <row r="83">
      <c r="A83" s="1"/>
      <c r="B83" s="22" t="s">
        <v>582</v>
      </c>
      <c r="C83" s="27">
        <f>SUM(C68:C82)</f>
        <v>-58708</v>
      </c>
      <c r="D83" s="27">
        <f>SUM(D68:D82)</f>
        <v>-95287</v>
      </c>
      <c r="E83" s="27">
        <f>SUM(E68:E82)</f>
        <v>-94187</v>
      </c>
      <c r="F83" s="27">
        <f>SUM(F68:F82)</f>
        <v>-67632</v>
      </c>
      <c r="G83" s="27">
        <f>SUM(G68:G82)</f>
        <v>-67632</v>
      </c>
      <c r="H83" s="27">
        <f>SUM(H68:H82)</f>
        <v>-21873</v>
      </c>
      <c r="I83" s="27">
        <f>SUM(I68:I82)</f>
        <v>-45952</v>
      </c>
      <c r="J83" s="82"/>
      <c r="K83" s="1"/>
    </row>
    <row r="84">
      <c r="A84" s="1"/>
      <c r="B84" s="1" t="s">
        <v>641</v>
      </c>
      <c r="C84" s="28">
        <v>-58708</v>
      </c>
      <c r="D84" s="28">
        <v>-95287</v>
      </c>
      <c r="E84" s="28">
        <v>-94187</v>
      </c>
      <c r="F84" s="28">
        <v>-67632</v>
      </c>
      <c r="G84" s="21">
        <f>F84</f>
        <v>-67632</v>
      </c>
      <c r="H84" s="28">
        <v>-21873</v>
      </c>
      <c r="I84" s="28">
        <v>-45952</v>
      </c>
      <c r="J84" s="31"/>
      <c r="K84" s="1"/>
    </row>
    <row r="85">
      <c r="A85" s="1"/>
      <c r="B85" s="1" t="s">
        <v>642</v>
      </c>
      <c r="C85" s="21">
        <f>C83-C84</f>
        <v>0</v>
      </c>
      <c r="D85" s="21">
        <f>D83-D84</f>
        <v>0</v>
      </c>
      <c r="E85" s="21">
        <f>E83-E84</f>
        <v>0</v>
      </c>
      <c r="F85" s="21">
        <f>F83-F84</f>
        <v>0</v>
      </c>
      <c r="G85" s="21">
        <f>G83-G84</f>
        <v>0</v>
      </c>
      <c r="H85" s="21">
        <f>H83-H84</f>
        <v>0</v>
      </c>
      <c r="I85" s="21">
        <f>I83-I84</f>
        <v>0</v>
      </c>
      <c r="J85" s="31"/>
      <c r="K85" s="1"/>
    </row>
    <row r="86">
      <c r="A86" s="1"/>
      <c r="B86" s="22" t="s">
        <v>584</v>
      </c>
      <c r="C86" s="1"/>
      <c r="D86" s="1"/>
      <c r="E86" s="1"/>
      <c r="F86" s="1"/>
      <c r="G86" s="1"/>
      <c r="H86" s="1"/>
      <c r="I86" s="1"/>
      <c r="J86" s="31"/>
      <c r="K86" s="1"/>
    </row>
    <row r="87">
      <c r="A87" s="1"/>
      <c r="B87" s="1" t="s">
        <v>585</v>
      </c>
      <c r="C87" s="28">
        <v>-116153</v>
      </c>
      <c r="D87" s="28">
        <v>-49830</v>
      </c>
      <c r="E87" s="28">
        <v>-47285</v>
      </c>
      <c r="F87" s="28">
        <v>-82133</v>
      </c>
      <c r="G87" s="21">
        <f>F87</f>
        <v>-82133</v>
      </c>
      <c r="H87" s="28">
        <v>3101</v>
      </c>
      <c r="I87" s="28">
        <v>-48460</v>
      </c>
      <c r="J87" s="31"/>
      <c r="K87" s="1"/>
    </row>
    <row r="88">
      <c r="A88" s="1"/>
      <c r="B88" s="1" t="s">
        <v>587</v>
      </c>
      <c r="C88" s="28">
        <v>-11506</v>
      </c>
      <c r="D88" s="28">
        <v>-40293</v>
      </c>
      <c r="E88" s="28">
        <v>-53268</v>
      </c>
      <c r="F88" s="28">
        <v>-76038</v>
      </c>
      <c r="G88" s="21">
        <f>F88</f>
        <v>-76038</v>
      </c>
      <c r="H88" s="28">
        <v>-13692</v>
      </c>
      <c r="I88" s="28">
        <v>-44146</v>
      </c>
      <c r="J88" s="31"/>
      <c r="K88" s="1"/>
    </row>
    <row r="89">
      <c r="A89" s="1"/>
      <c r="B89" s="1" t="s">
        <v>588</v>
      </c>
      <c r="C89" s="28">
        <v>0</v>
      </c>
      <c r="D89" s="28">
        <v>0</v>
      </c>
      <c r="E89" s="28">
        <v>0</v>
      </c>
      <c r="F89" s="28">
        <v>0</v>
      </c>
      <c r="G89" s="21">
        <f>F89</f>
        <v>0</v>
      </c>
      <c r="H89" s="28">
        <v>233</v>
      </c>
      <c r="I89" s="28">
        <v>377</v>
      </c>
      <c r="J89" s="31"/>
      <c r="K89" s="1"/>
    </row>
    <row r="90">
      <c r="A90" s="1"/>
      <c r="B90" s="1" t="s">
        <v>590</v>
      </c>
      <c r="C90" s="28">
        <v>0</v>
      </c>
      <c r="D90" s="28">
        <v>0</v>
      </c>
      <c r="E90" s="28">
        <v>0</v>
      </c>
      <c r="F90" s="28">
        <v>0</v>
      </c>
      <c r="G90" s="21">
        <f>F90</f>
        <v>0</v>
      </c>
      <c r="H90" s="28">
        <v>0</v>
      </c>
      <c r="I90" s="28">
        <v>-7200</v>
      </c>
      <c r="J90" s="31"/>
      <c r="K90" s="1"/>
    </row>
    <row r="91">
      <c r="A91" s="1"/>
      <c r="B91" s="1" t="s">
        <v>592</v>
      </c>
      <c r="C91" s="28">
        <v>1002</v>
      </c>
      <c r="D91" s="28">
        <v>2063</v>
      </c>
      <c r="E91" s="28">
        <v>3743</v>
      </c>
      <c r="F91" s="28">
        <v>5460</v>
      </c>
      <c r="G91" s="21">
        <f>F91</f>
        <v>5460</v>
      </c>
      <c r="H91" s="28">
        <v>1473</v>
      </c>
      <c r="I91" s="28">
        <v>4094</v>
      </c>
      <c r="J91" s="31"/>
      <c r="K91" s="1"/>
    </row>
    <row r="92">
      <c r="A92" s="1"/>
      <c r="B92" s="1" t="s">
        <v>593</v>
      </c>
      <c r="C92" s="28">
        <v>-73927</v>
      </c>
      <c r="D92" s="28">
        <v>-140047</v>
      </c>
      <c r="E92" s="28">
        <v>-209028</v>
      </c>
      <c r="F92" s="28">
        <v>-276238</v>
      </c>
      <c r="G92" s="21">
        <f>F92</f>
        <v>-276238</v>
      </c>
      <c r="H92" s="28">
        <v>-100769</v>
      </c>
      <c r="I92" s="28">
        <v>-202611</v>
      </c>
      <c r="J92" s="31"/>
      <c r="K92" s="1"/>
    </row>
    <row r="93">
      <c r="A93" s="1"/>
      <c r="B93" s="1" t="s">
        <v>595</v>
      </c>
      <c r="C93" s="28">
        <v>36332</v>
      </c>
      <c r="D93" s="28">
        <v>54554</v>
      </c>
      <c r="E93" s="28">
        <v>70604</v>
      </c>
      <c r="F93" s="28">
        <v>89237</v>
      </c>
      <c r="G93" s="21">
        <f>F93</f>
        <v>89237</v>
      </c>
      <c r="H93" s="28">
        <v>38384</v>
      </c>
      <c r="I93" s="28">
        <v>60306</v>
      </c>
      <c r="J93" s="31"/>
      <c r="K93" s="1"/>
    </row>
    <row r="94">
      <c r="A94" s="1"/>
      <c r="B94" s="1" t="s">
        <v>597</v>
      </c>
      <c r="C94" s="28">
        <v>45315</v>
      </c>
      <c r="D94" s="28">
        <v>91153</v>
      </c>
      <c r="E94" s="28">
        <v>133729</v>
      </c>
      <c r="F94" s="28">
        <v>183143</v>
      </c>
      <c r="G94" s="21">
        <f>F94</f>
        <v>183143</v>
      </c>
      <c r="H94" s="28">
        <v>48787</v>
      </c>
      <c r="I94" s="28">
        <v>100903</v>
      </c>
      <c r="J94" s="31"/>
      <c r="K94" s="1"/>
    </row>
    <row r="95">
      <c r="A95" s="1"/>
      <c r="B95" s="1" t="s">
        <v>599</v>
      </c>
      <c r="C95" s="28">
        <v>-4940</v>
      </c>
      <c r="D95" s="28">
        <v>-5006</v>
      </c>
      <c r="E95" s="28">
        <v>-5134</v>
      </c>
      <c r="F95" s="28">
        <v>-5283</v>
      </c>
      <c r="G95" s="21">
        <f>F95</f>
        <v>-5283</v>
      </c>
      <c r="H95" s="28">
        <v>-574</v>
      </c>
      <c r="I95" s="28">
        <v>-1183</v>
      </c>
      <c r="J95" s="31"/>
      <c r="K95" s="1"/>
    </row>
    <row r="96">
      <c r="A96" s="1"/>
      <c r="B96" s="1" t="s">
        <v>601</v>
      </c>
      <c r="C96" s="28">
        <v>26941</v>
      </c>
      <c r="D96" s="28">
        <v>41335</v>
      </c>
      <c r="E96" s="28">
        <v>50468</v>
      </c>
      <c r="F96" s="28">
        <v>57861</v>
      </c>
      <c r="G96" s="21">
        <f>F96</f>
        <v>57861</v>
      </c>
      <c r="H96" s="28">
        <v>11928</v>
      </c>
      <c r="I96" s="28">
        <v>23143</v>
      </c>
      <c r="J96" s="31"/>
      <c r="K96" s="1"/>
    </row>
    <row r="97">
      <c r="A97" s="1"/>
      <c r="B97" s="1" t="s">
        <v>603</v>
      </c>
      <c r="C97" s="28">
        <v>-1517</v>
      </c>
      <c r="D97" s="28">
        <v>-3272</v>
      </c>
      <c r="E97" s="28">
        <v>-4889</v>
      </c>
      <c r="F97" s="28">
        <v>-6520</v>
      </c>
      <c r="G97" s="21">
        <f>F97</f>
        <v>-6520</v>
      </c>
      <c r="H97" s="28">
        <v>-1415</v>
      </c>
      <c r="I97" s="28">
        <v>-2966</v>
      </c>
      <c r="J97" s="31"/>
      <c r="K97" s="1"/>
    </row>
    <row r="98">
      <c r="A98" s="1"/>
      <c r="B98" s="1" t="s">
        <v>604</v>
      </c>
      <c r="C98" s="28">
        <v>11</v>
      </c>
      <c r="D98" s="28">
        <v>16</v>
      </c>
      <c r="E98" s="28">
        <v>24</v>
      </c>
      <c r="F98" s="28">
        <v>62</v>
      </c>
      <c r="G98" s="21">
        <f>F98</f>
        <v>62</v>
      </c>
      <c r="H98" s="28">
        <v>3</v>
      </c>
      <c r="I98" s="28">
        <v>43</v>
      </c>
      <c r="J98" s="31"/>
      <c r="K98" s="1"/>
    </row>
    <row r="99">
      <c r="A99" s="1"/>
      <c r="B99" s="1" t="s">
        <v>581</v>
      </c>
      <c r="C99" s="28">
        <v>-541</v>
      </c>
      <c r="D99" s="28">
        <v>378</v>
      </c>
      <c r="E99" s="28">
        <v>2084</v>
      </c>
      <c r="F99" s="28">
        <v>2167</v>
      </c>
      <c r="G99" s="21">
        <f>F99</f>
        <v>2167</v>
      </c>
      <c r="H99" s="28">
        <v>150</v>
      </c>
      <c r="I99" s="28">
        <v>-914</v>
      </c>
      <c r="J99" s="31"/>
      <c r="K99" s="1"/>
    </row>
    <row r="100">
      <c r="A100" s="1"/>
      <c r="B100" s="22" t="s">
        <v>605</v>
      </c>
      <c r="C100" s="27">
        <f>SUM(C87:C99)</f>
        <v>-98983</v>
      </c>
      <c r="D100" s="27">
        <f>SUM(D87:D99)</f>
        <v>-48949</v>
      </c>
      <c r="E100" s="27">
        <f>SUM(E87:E99)</f>
        <v>-58952</v>
      </c>
      <c r="F100" s="27">
        <f>SUM(F87:F99)</f>
        <v>-108282</v>
      </c>
      <c r="G100" s="27">
        <f>SUM(G87:G99)</f>
        <v>-108282</v>
      </c>
      <c r="H100" s="27">
        <f>SUM(H87:H99)</f>
        <v>-12391</v>
      </c>
      <c r="I100" s="27">
        <f>SUM(I87:I99)</f>
        <v>-118614</v>
      </c>
      <c r="J100" s="82"/>
      <c r="K100" s="1"/>
    </row>
    <row r="101">
      <c r="A101" s="1"/>
      <c r="B101" s="1" t="s">
        <v>641</v>
      </c>
      <c r="C101" s="28">
        <v>-98983</v>
      </c>
      <c r="D101" s="28">
        <v>-48949</v>
      </c>
      <c r="E101" s="28">
        <v>-58952</v>
      </c>
      <c r="F101" s="28">
        <v>-108282</v>
      </c>
      <c r="G101" s="21">
        <f>F101</f>
        <v>-108282</v>
      </c>
      <c r="H101" s="28">
        <v>-12391</v>
      </c>
      <c r="I101" s="28">
        <v>-118614</v>
      </c>
      <c r="J101" s="31"/>
      <c r="K101" s="1"/>
    </row>
    <row r="102">
      <c r="A102" s="1"/>
      <c r="B102" s="1" t="s">
        <v>642</v>
      </c>
      <c r="C102" s="21">
        <f>C100-C101</f>
        <v>0</v>
      </c>
      <c r="D102" s="21">
        <f>D100-D101</f>
        <v>0</v>
      </c>
      <c r="E102" s="21">
        <f>E100-E101</f>
        <v>0</v>
      </c>
      <c r="F102" s="21">
        <f>F100-F101</f>
        <v>0</v>
      </c>
      <c r="G102" s="21">
        <f>G100-G101</f>
        <v>0</v>
      </c>
      <c r="H102" s="21">
        <f>H100-H101</f>
        <v>0</v>
      </c>
      <c r="I102" s="21">
        <f>I100-I101</f>
        <v>0</v>
      </c>
      <c r="J102" s="31"/>
      <c r="K102" s="1"/>
    </row>
    <row r="103">
      <c r="A103" s="1"/>
      <c r="B103" s="22" t="s">
        <v>606</v>
      </c>
      <c r="C103" s="1"/>
      <c r="D103" s="1"/>
      <c r="E103" s="1"/>
      <c r="F103" s="1"/>
      <c r="G103" s="1"/>
      <c r="H103" s="1"/>
      <c r="I103" s="1"/>
      <c r="J103" s="31"/>
      <c r="K103" s="1"/>
    </row>
    <row r="104">
      <c r="A104" s="1"/>
      <c r="B104" s="1" t="s">
        <v>607</v>
      </c>
      <c r="C104" s="28">
        <v>-1323</v>
      </c>
      <c r="D104" s="28">
        <v>-2651</v>
      </c>
      <c r="E104" s="28">
        <v>-4021</v>
      </c>
      <c r="F104" s="28">
        <v>-5372</v>
      </c>
      <c r="G104" s="21">
        <f>F104</f>
        <v>-5372</v>
      </c>
      <c r="H104" s="28">
        <v>-1353</v>
      </c>
      <c r="I104" s="28">
        <v>-2714</v>
      </c>
      <c r="J104" s="31"/>
      <c r="K104" s="1"/>
    </row>
    <row r="105">
      <c r="A105" s="1"/>
      <c r="B105" s="1" t="s">
        <v>608</v>
      </c>
      <c r="C105" s="28">
        <v>1995</v>
      </c>
      <c r="D105" s="28">
        <v>1995</v>
      </c>
      <c r="E105" s="28">
        <v>4690</v>
      </c>
      <c r="F105" s="28">
        <v>7186</v>
      </c>
      <c r="G105" s="21">
        <f>F105</f>
        <v>7186</v>
      </c>
      <c r="H105" s="28">
        <v>1785</v>
      </c>
      <c r="I105" s="28">
        <v>1785</v>
      </c>
      <c r="J105" s="31"/>
      <c r="K105" s="1"/>
    </row>
    <row r="106">
      <c r="A106" s="1"/>
      <c r="B106" s="1" t="s">
        <v>610</v>
      </c>
      <c r="C106" s="28">
        <v>-1500</v>
      </c>
      <c r="D106" s="28">
        <v>-3500</v>
      </c>
      <c r="E106" s="28">
        <v>-3500</v>
      </c>
      <c r="F106" s="28">
        <v>-5000</v>
      </c>
      <c r="G106" s="21">
        <f>F106</f>
        <v>-5000</v>
      </c>
      <c r="H106" s="28">
        <v>-2300</v>
      </c>
      <c r="I106" s="28">
        <v>-2300</v>
      </c>
      <c r="J106" s="31"/>
      <c r="K106" s="1"/>
    </row>
    <row r="107">
      <c r="A107" s="1"/>
      <c r="B107" s="1" t="s">
        <v>612</v>
      </c>
      <c r="C107" s="28">
        <v>-1751</v>
      </c>
      <c r="D107" s="28">
        <v>-3750</v>
      </c>
      <c r="E107" s="28">
        <v>-8750</v>
      </c>
      <c r="F107" s="28">
        <v>-13250</v>
      </c>
      <c r="G107" s="21">
        <f>F107</f>
        <v>-13250</v>
      </c>
      <c r="H107" s="28">
        <v>-6300</v>
      </c>
      <c r="I107" s="28">
        <v>-10300</v>
      </c>
      <c r="J107" s="31"/>
      <c r="K107" s="1"/>
    </row>
    <row r="108">
      <c r="A108" s="1"/>
      <c r="B108" s="1" t="s">
        <v>613</v>
      </c>
      <c r="C108" s="28">
        <v>-754</v>
      </c>
      <c r="D108" s="28">
        <v>-770</v>
      </c>
      <c r="E108" s="28">
        <v>-775</v>
      </c>
      <c r="F108" s="28">
        <v>-780</v>
      </c>
      <c r="G108" s="21">
        <f>F108</f>
        <v>-780</v>
      </c>
      <c r="H108" s="28">
        <v>-1147</v>
      </c>
      <c r="I108" s="28">
        <v>-1226</v>
      </c>
      <c r="J108" s="31"/>
      <c r="K108" s="1"/>
    </row>
    <row r="109">
      <c r="A109" s="1"/>
      <c r="B109" s="1" t="s">
        <v>615</v>
      </c>
      <c r="C109" s="28">
        <v>0</v>
      </c>
      <c r="D109" s="28">
        <v>0</v>
      </c>
      <c r="E109" s="28">
        <v>0</v>
      </c>
      <c r="F109" s="28">
        <v>1878</v>
      </c>
      <c r="G109" s="21">
        <f>F109</f>
        <v>1878</v>
      </c>
      <c r="H109" s="28">
        <v>0</v>
      </c>
      <c r="I109" s="28">
        <v>2492</v>
      </c>
      <c r="J109" s="31"/>
      <c r="K109" s="1"/>
    </row>
    <row r="110">
      <c r="A110" s="1"/>
      <c r="B110" s="1" t="s">
        <v>617</v>
      </c>
      <c r="C110" s="28">
        <v>149204</v>
      </c>
      <c r="D110" s="28">
        <v>93158</v>
      </c>
      <c r="E110" s="28">
        <v>94971</v>
      </c>
      <c r="F110" s="28">
        <v>93343</v>
      </c>
      <c r="G110" s="21">
        <f>F110</f>
        <v>93343</v>
      </c>
      <c r="H110" s="28">
        <v>21487</v>
      </c>
      <c r="I110" s="28">
        <v>63028</v>
      </c>
      <c r="J110" s="31"/>
      <c r="K110" s="1"/>
    </row>
    <row r="111">
      <c r="A111" s="1"/>
      <c r="B111" s="1" t="s">
        <v>619</v>
      </c>
      <c r="C111" s="28">
        <v>29612</v>
      </c>
      <c r="D111" s="28">
        <v>67498</v>
      </c>
      <c r="E111" s="28">
        <v>96296</v>
      </c>
      <c r="F111" s="28">
        <v>122029</v>
      </c>
      <c r="G111" s="21">
        <f>F111</f>
        <v>122029</v>
      </c>
      <c r="H111" s="28">
        <v>24924</v>
      </c>
      <c r="I111" s="28">
        <v>84489</v>
      </c>
      <c r="J111" s="31"/>
      <c r="K111" s="1"/>
    </row>
    <row r="112">
      <c r="A112" s="1"/>
      <c r="B112" s="1" t="s">
        <v>621</v>
      </c>
      <c r="C112" s="28">
        <v>-23093</v>
      </c>
      <c r="D112" s="28">
        <v>-46333</v>
      </c>
      <c r="E112" s="28">
        <v>-77975</v>
      </c>
      <c r="F112" s="28">
        <v>-103321</v>
      </c>
      <c r="G112" s="21">
        <f>F112</f>
        <v>-103321</v>
      </c>
      <c r="H112" s="28">
        <v>-28692</v>
      </c>
      <c r="I112" s="28">
        <v>-59226</v>
      </c>
      <c r="J112" s="31"/>
      <c r="K112" s="1"/>
    </row>
    <row r="113">
      <c r="A113" s="1"/>
      <c r="B113" s="1" t="s">
        <v>623</v>
      </c>
      <c r="C113" s="28">
        <v>31952</v>
      </c>
      <c r="D113" s="28">
        <v>79363</v>
      </c>
      <c r="E113" s="28">
        <v>105559</v>
      </c>
      <c r="F113" s="28">
        <v>137945</v>
      </c>
      <c r="G113" s="21">
        <f>F113</f>
        <v>137945</v>
      </c>
      <c r="H113" s="28">
        <v>42667</v>
      </c>
      <c r="I113" s="28">
        <v>89034</v>
      </c>
      <c r="J113" s="31"/>
      <c r="K113" s="1"/>
    </row>
    <row r="114">
      <c r="A114" s="1"/>
      <c r="B114" s="1" t="s">
        <v>624</v>
      </c>
      <c r="C114" s="28">
        <v>634</v>
      </c>
      <c r="D114" s="28">
        <v>7055</v>
      </c>
      <c r="E114" s="28">
        <v>6255</v>
      </c>
      <c r="F114" s="28">
        <v>3373</v>
      </c>
      <c r="G114" s="21">
        <f>F114</f>
        <v>3373</v>
      </c>
      <c r="H114" s="28">
        <v>20178</v>
      </c>
      <c r="I114" s="28">
        <v>17100</v>
      </c>
      <c r="J114" s="31"/>
      <c r="K114" s="1"/>
    </row>
    <row r="115">
      <c r="A115" s="1"/>
      <c r="B115" s="22" t="s">
        <v>626</v>
      </c>
      <c r="C115" s="27">
        <f>SUM(C104:C114)</f>
        <v>184976</v>
      </c>
      <c r="D115" s="27">
        <f>SUM(D104:D114)</f>
        <v>192065</v>
      </c>
      <c r="E115" s="27">
        <f>SUM(E104:E114)</f>
        <v>212750</v>
      </c>
      <c r="F115" s="27">
        <f>SUM(F104:F114)</f>
        <v>238031</v>
      </c>
      <c r="G115" s="27">
        <f>SUM(G104:G114)</f>
        <v>238031</v>
      </c>
      <c r="H115" s="27">
        <f>SUM(H104:H114)</f>
        <v>71249</v>
      </c>
      <c r="I115" s="27">
        <f>SUM(I104:I114)</f>
        <v>182162</v>
      </c>
      <c r="J115" s="82"/>
      <c r="K115" s="1"/>
    </row>
    <row r="116">
      <c r="A116" s="1"/>
      <c r="B116" s="1" t="s">
        <v>641</v>
      </c>
      <c r="C116" s="28">
        <v>184976</v>
      </c>
      <c r="D116" s="28">
        <v>192065</v>
      </c>
      <c r="E116" s="28">
        <v>212750</v>
      </c>
      <c r="F116" s="28">
        <v>238031</v>
      </c>
      <c r="G116" s="21">
        <f>F116</f>
        <v>238031</v>
      </c>
      <c r="H116" s="28">
        <v>71249</v>
      </c>
      <c r="I116" s="28">
        <v>182162</v>
      </c>
      <c r="J116" s="31"/>
      <c r="K116" s="1"/>
    </row>
    <row r="117">
      <c r="A117" s="1"/>
      <c r="B117" s="1" t="s">
        <v>642</v>
      </c>
      <c r="C117" s="21">
        <f>C115-C116</f>
        <v>0</v>
      </c>
      <c r="D117" s="21">
        <f>D115-D116</f>
        <v>0</v>
      </c>
      <c r="E117" s="21">
        <f>E115-E116</f>
        <v>0</v>
      </c>
      <c r="F117" s="21">
        <f>F115-F116</f>
        <v>0</v>
      </c>
      <c r="G117" s="21">
        <f>G115-G116</f>
        <v>0</v>
      </c>
      <c r="H117" s="21">
        <f>H115-H116</f>
        <v>0</v>
      </c>
      <c r="I117" s="21">
        <f>I115-I116</f>
        <v>0</v>
      </c>
      <c r="J117" s="31"/>
      <c r="K117" s="1"/>
    </row>
    <row r="118">
      <c r="A118" s="1"/>
      <c r="B118" s="1" t="s">
        <v>627</v>
      </c>
      <c r="C118" s="28">
        <v>4514</v>
      </c>
      <c r="D118" s="28">
        <v>13112</v>
      </c>
      <c r="E118" s="28">
        <v>11917</v>
      </c>
      <c r="F118" s="28">
        <v>10930</v>
      </c>
      <c r="G118" s="21">
        <f>F118</f>
        <v>10930</v>
      </c>
      <c r="H118" s="28">
        <v>-842</v>
      </c>
      <c r="I118" s="28">
        <v>-762</v>
      </c>
      <c r="J118" s="31"/>
      <c r="K118" s="1"/>
    </row>
    <row r="119">
      <c r="A119" s="1"/>
      <c r="B119" s="22" t="s">
        <v>643</v>
      </c>
      <c r="C119" s="27">
        <f>C83+C100+C115+C118</f>
        <v>31799</v>
      </c>
      <c r="D119" s="27">
        <f>D83+D100+D115+D118</f>
        <v>60941</v>
      </c>
      <c r="E119" s="27">
        <f>E83+E100+E115+E118</f>
        <v>71528</v>
      </c>
      <c r="F119" s="27">
        <f>F83+F100+F115+F118</f>
        <v>73047</v>
      </c>
      <c r="G119" s="27">
        <f>G83+G100+G115+G118</f>
        <v>73047</v>
      </c>
      <c r="H119" s="27">
        <f>H83+H100+H115+H118</f>
        <v>36143</v>
      </c>
      <c r="I119" s="27">
        <f>I83+I100+I115+I118</f>
        <v>16834</v>
      </c>
      <c r="J119" s="82"/>
      <c r="K119" s="1"/>
    </row>
    <row r="120">
      <c r="A120" s="1"/>
      <c r="B120" s="1" t="s">
        <v>641</v>
      </c>
      <c r="C120" s="28">
        <v>31799</v>
      </c>
      <c r="D120" s="28">
        <v>60941</v>
      </c>
      <c r="E120" s="28">
        <v>71528</v>
      </c>
      <c r="F120" s="28">
        <v>73047</v>
      </c>
      <c r="G120" s="21">
        <f>F120</f>
        <v>73047</v>
      </c>
      <c r="H120" s="28">
        <v>36143</v>
      </c>
      <c r="I120" s="28">
        <v>16834</v>
      </c>
      <c r="J120" s="31"/>
      <c r="K120" s="1"/>
    </row>
    <row r="121">
      <c r="A121" s="1"/>
      <c r="B121" s="1" t="s">
        <v>642</v>
      </c>
      <c r="C121" s="21">
        <f>C119-C120</f>
        <v>0</v>
      </c>
      <c r="D121" s="21">
        <f>D119-D120</f>
        <v>0</v>
      </c>
      <c r="E121" s="21">
        <f>E119-E120</f>
        <v>0</v>
      </c>
      <c r="F121" s="21">
        <f>F119-F120</f>
        <v>0</v>
      </c>
      <c r="G121" s="21">
        <f>G119-G120</f>
        <v>0</v>
      </c>
      <c r="H121" s="21">
        <f>H119-H120</f>
        <v>0</v>
      </c>
      <c r="I121" s="21">
        <f>I119-I120</f>
        <v>0</v>
      </c>
      <c r="J121" s="31"/>
      <c r="K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K5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644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194</v>
      </c>
      <c r="C10" s="1"/>
      <c r="D10" s="1"/>
      <c r="E10" s="1"/>
      <c r="F10" s="1"/>
      <c r="G10" s="1"/>
      <c r="H10" s="1"/>
      <c r="I10" s="1"/>
      <c r="J10" s="31"/>
      <c r="K10" s="1"/>
    </row>
    <row r="11">
      <c r="A11" s="1"/>
      <c r="B11" s="1" t="s">
        <v>645</v>
      </c>
      <c r="C11" s="2">
        <f>'Segment - Services'!C154</f>
        <v>1549</v>
      </c>
      <c r="D11" s="2">
        <f>'Segment - Services'!D154</f>
        <v>1660</v>
      </c>
      <c r="E11" s="2">
        <f>'Segment - Services'!E154</f>
        <v>1759</v>
      </c>
      <c r="F11" s="2">
        <f>'Segment - Services'!F154</f>
        <v>1939</v>
      </c>
      <c r="G11" s="2">
        <f>'Segment - Services'!G154</f>
        <v>6907</v>
      </c>
      <c r="H11" s="2">
        <f>'Segment - Services'!H154</f>
        <v>1976</v>
      </c>
      <c r="I11" s="2">
        <f>'Segment - Services'!I154</f>
        <v>2126</v>
      </c>
      <c r="J11" s="36">
        <f>'Segment - Services'!J154</f>
        <v>2170.0545170706996</v>
      </c>
      <c r="K11" s="1"/>
    </row>
    <row r="12">
      <c r="A12" s="1"/>
      <c r="B12" s="4" t="s">
        <v>646</v>
      </c>
      <c r="C12" s="1"/>
      <c r="D12" s="1"/>
      <c r="E12" s="1"/>
      <c r="F12" s="1"/>
      <c r="G12" s="1"/>
      <c r="H12" s="25">
        <f>IFERROR(H11/C11-1,"n/m")</f>
        <v>0.2756617172369271</v>
      </c>
      <c r="I12" s="25">
        <f>IFERROR(I11/D11-1,"n/m")</f>
        <v>0.28072289156626495</v>
      </c>
      <c r="J12" s="33">
        <f>IFERROR(J11/E11-1,"n/m")</f>
        <v>0.2336864792897666</v>
      </c>
      <c r="K12" s="1"/>
    </row>
    <row r="13">
      <c r="A13" s="1"/>
      <c r="B13" s="1" t="s">
        <v>647</v>
      </c>
      <c r="C13" s="2">
        <f>'Segment - Markets'!C112</f>
        <v>2169</v>
      </c>
      <c r="D13" s="2">
        <f>'Segment - Markets'!D112</f>
        <v>2124</v>
      </c>
      <c r="E13" s="2">
        <f>'Segment - Markets'!E112</f>
        <v>2270</v>
      </c>
      <c r="F13" s="2">
        <f>'Segment - Markets'!F112</f>
        <v>1826</v>
      </c>
      <c r="G13" s="2">
        <f>'Segment - Markets'!G112</f>
        <v>8389</v>
      </c>
      <c r="H13" s="2">
        <f>'Segment - Markets'!H112</f>
        <v>2559</v>
      </c>
      <c r="I13" s="2">
        <f>'Segment - Markets'!I112</f>
        <v>2561</v>
      </c>
      <c r="J13" s="36">
        <f>'Segment - Markets'!J112</f>
        <v>2266.3077365491654</v>
      </c>
      <c r="K13" s="1"/>
    </row>
    <row r="14">
      <c r="A14" s="1"/>
      <c r="B14" s="4" t="s">
        <v>646</v>
      </c>
      <c r="C14" s="1"/>
      <c r="D14" s="1"/>
      <c r="E14" s="1"/>
      <c r="F14" s="1"/>
      <c r="G14" s="1"/>
      <c r="H14" s="25">
        <f>IFERROR(H13/C13-1,"n/m")</f>
        <v>0.17980636237897651</v>
      </c>
      <c r="I14" s="25">
        <f>IFERROR(I13/D13-1,"n/m")</f>
        <v>0.20574387947269313</v>
      </c>
      <c r="J14" s="33">
        <f>IFERROR(J13/E13-1,"n/m")</f>
        <v>-0.0016265477756980395</v>
      </c>
      <c r="K14" s="1"/>
    </row>
    <row r="15">
      <c r="A15" s="1"/>
      <c r="B15" s="1" t="s">
        <v>648</v>
      </c>
      <c r="C15" s="2">
        <f>'Segment - Banking'!C122</f>
        <v>874</v>
      </c>
      <c r="D15" s="2">
        <f>'Segment - Banking'!D122</f>
        <v>648</v>
      </c>
      <c r="E15" s="2">
        <f>'Segment - Banking'!E122</f>
        <v>862</v>
      </c>
      <c r="F15" s="2">
        <f>'Segment - Banking'!F122</f>
        <v>1023</v>
      </c>
      <c r="G15" s="2">
        <f>'Segment - Banking'!G122</f>
        <v>3407</v>
      </c>
      <c r="H15" s="2">
        <f>'Segment - Banking'!H122</f>
        <v>1109</v>
      </c>
      <c r="I15" s="2">
        <f>'Segment - Banking'!I122</f>
        <v>1087</v>
      </c>
      <c r="J15" s="36">
        <f>'Segment - Banking'!J122</f>
        <v>966.7239837925677</v>
      </c>
      <c r="K15" s="1"/>
    </row>
    <row r="16">
      <c r="A16" s="1"/>
      <c r="B16" s="4" t="s">
        <v>646</v>
      </c>
      <c r="C16" s="1"/>
      <c r="D16" s="1"/>
      <c r="E16" s="1"/>
      <c r="F16" s="1"/>
      <c r="G16" s="1"/>
      <c r="H16" s="25">
        <f>IFERROR(H15/C15-1,"n/m")</f>
        <v>0.2688787185354691</v>
      </c>
      <c r="I16" s="25">
        <f>IFERROR(I15/D15-1,"n/m")</f>
        <v>0.6774691358024691</v>
      </c>
      <c r="J16" s="33">
        <f>IFERROR(J15/E15-1,"n/m")</f>
        <v>0.1214895403626075</v>
      </c>
      <c r="K16" s="1"/>
    </row>
    <row r="17">
      <c r="A17" s="1"/>
      <c r="B17" s="1" t="s">
        <v>649</v>
      </c>
      <c r="C17" s="2">
        <f>'Segment - Wealth'!C133</f>
        <v>1734</v>
      </c>
      <c r="D17" s="2">
        <f>'Segment - Wealth'!D133</f>
        <v>1729</v>
      </c>
      <c r="E17" s="2">
        <f>'Segment - Wealth'!E133</f>
        <v>1741</v>
      </c>
      <c r="F17" s="2">
        <f>'Segment - Wealth'!F133</f>
        <v>1825</v>
      </c>
      <c r="G17" s="2">
        <f>'Segment - Wealth'!G133</f>
        <v>7029</v>
      </c>
      <c r="H17" s="2">
        <f>'Segment - Wealth'!H133</f>
        <v>1893</v>
      </c>
      <c r="I17" s="2">
        <f>'Segment - Wealth'!I133</f>
        <v>1977</v>
      </c>
      <c r="J17" s="36">
        <f>'Segment - Wealth'!J133</f>
        <v>1977.7494018394195</v>
      </c>
      <c r="K17" s="1"/>
    </row>
    <row r="18">
      <c r="A18" s="1"/>
      <c r="B18" s="4" t="s">
        <v>646</v>
      </c>
      <c r="C18" s="1"/>
      <c r="D18" s="1"/>
      <c r="E18" s="1"/>
      <c r="F18" s="1"/>
      <c r="G18" s="1"/>
      <c r="H18" s="25">
        <f>IFERROR(H17/C17-1,"n/m")</f>
        <v>0.09169550173010377</v>
      </c>
      <c r="I18" s="25">
        <f>IFERROR(I17/D17-1,"n/m")</f>
        <v>0.14343551185656445</v>
      </c>
      <c r="J18" s="33">
        <f>IFERROR(J17/E17-1,"n/m")</f>
        <v>0.13598472248099913</v>
      </c>
      <c r="K18" s="1"/>
    </row>
    <row r="19">
      <c r="A19" s="1"/>
      <c r="B19" s="1" t="s">
        <v>650</v>
      </c>
      <c r="C19" s="2">
        <f>'Segment - USCC'!C111</f>
        <v>4567</v>
      </c>
      <c r="D19" s="2">
        <f>'Segment - USCC'!D111</f>
        <v>4471</v>
      </c>
      <c r="E19" s="2">
        <f>'Segment - USCC'!E111</f>
        <v>4656</v>
      </c>
      <c r="F19" s="2">
        <f>'Segment - USCC'!F111</f>
        <v>4564</v>
      </c>
      <c r="G19" s="2">
        <f>'Segment - USCC'!G111</f>
        <v>18258</v>
      </c>
      <c r="H19" s="2">
        <f>'Segment - USCC'!H111</f>
        <v>4757</v>
      </c>
      <c r="I19" s="2">
        <f>'Segment - USCC'!I111</f>
        <v>4521</v>
      </c>
      <c r="J19" s="36">
        <f>'Segment - USCC'!J111</f>
        <v>4724.690476712329</v>
      </c>
      <c r="K19" s="1"/>
    </row>
    <row r="20">
      <c r="A20" s="1"/>
      <c r="B20" s="4" t="s">
        <v>646</v>
      </c>
      <c r="C20" s="1"/>
      <c r="D20" s="1"/>
      <c r="E20" s="1"/>
      <c r="F20" s="1"/>
      <c r="G20" s="1"/>
      <c r="H20" s="25">
        <f>IFERROR(H19/C19-1,"n/m")</f>
        <v>0.04160280271513028</v>
      </c>
      <c r="I20" s="25">
        <f>IFERROR(I19/D19-1,"n/m")</f>
        <v>0.011183180496533218</v>
      </c>
      <c r="J20" s="33">
        <f>IFERROR(J19/E19-1,"n/m")</f>
        <v>0.01475310925952078</v>
      </c>
      <c r="K20" s="1"/>
    </row>
    <row r="21">
      <c r="A21" s="1"/>
      <c r="B21" s="22" t="s">
        <v>651</v>
      </c>
      <c r="C21" s="27">
        <f>C11+C13+C15+C17+C19</f>
        <v>10893</v>
      </c>
      <c r="D21" s="27">
        <f>D11+D13+D15+D17+D19</f>
        <v>10632</v>
      </c>
      <c r="E21" s="27">
        <f>E11+E13+E15+E17+E19</f>
        <v>11288</v>
      </c>
      <c r="F21" s="27">
        <f>F11+F13+F15+F17+F19</f>
        <v>11177</v>
      </c>
      <c r="G21" s="27">
        <f>G11+G13+G15+G17+G19</f>
        <v>43990</v>
      </c>
      <c r="H21" s="27">
        <f>H11+H13+H15+H17+H19</f>
        <v>12294</v>
      </c>
      <c r="I21" s="27">
        <f>I11+I13+I15+I17+I19</f>
        <v>12272</v>
      </c>
      <c r="J21" s="32">
        <f>J11+J13+J15+J17+J19</f>
        <v>12105.526115964181</v>
      </c>
      <c r="K21" s="1"/>
    </row>
    <row r="22">
      <c r="A22" s="1"/>
      <c r="B22" s="4" t="s">
        <v>70</v>
      </c>
      <c r="C22" s="1"/>
      <c r="D22" s="1"/>
      <c r="E22" s="1"/>
      <c r="F22" s="1"/>
      <c r="G22" s="1"/>
      <c r="H22" s="25">
        <f>IFERROR(H21/C21-1,"n/m")</f>
        <v>0.1286147066923713</v>
      </c>
      <c r="I22" s="25">
        <f>IFERROR(I21/D21-1,"n/m")</f>
        <v>0.1542513167795334</v>
      </c>
      <c r="J22" s="33">
        <f>IFERROR(J21/E21-1,"n/m")</f>
        <v>0.07242435470979647</v>
      </c>
      <c r="K22" s="1"/>
    </row>
    <row r="23">
      <c r="A23" s="1"/>
      <c r="B23" s="4" t="s">
        <v>71</v>
      </c>
      <c r="C23" s="1"/>
      <c r="D23" s="34">
        <f>D21-C21</f>
        <v>-261</v>
      </c>
      <c r="E23" s="34">
        <f>E21-D21</f>
        <v>656</v>
      </c>
      <c r="F23" s="34">
        <f>F21-E21</f>
        <v>-111</v>
      </c>
      <c r="G23" s="1"/>
      <c r="H23" s="34">
        <f>H21-F21</f>
        <v>1117</v>
      </c>
      <c r="I23" s="34">
        <f>I21-H21</f>
        <v>-22</v>
      </c>
      <c r="J23" s="39">
        <f>J21-I21</f>
        <v>-166.47388403581863</v>
      </c>
      <c r="K23" s="1"/>
    </row>
    <row r="24">
      <c r="A24" s="1"/>
      <c r="B24" s="4" t="s">
        <v>73</v>
      </c>
      <c r="C24" s="25">
        <f>IFERROR(C21/C52,"n/m")</f>
        <v>0.5043989627708835</v>
      </c>
      <c r="D24" s="25">
        <f>IFERROR(D21/D52,"n/m")</f>
        <v>0.49067749676942957</v>
      </c>
      <c r="E24" s="25">
        <f>IFERROR(E21/E52,"n/m")</f>
        <v>0.5110004526935265</v>
      </c>
      <c r="F24" s="25">
        <f>IFERROR(F21/F52,"n/m")</f>
        <v>0.5624779829902874</v>
      </c>
      <c r="G24" s="25">
        <f>IFERROR(G21/G52,"n/m")</f>
        <v>0.5161630976826048</v>
      </c>
      <c r="H24" s="25">
        <f>IFERROR(H21/H52,"n/m")</f>
        <v>0.4990865911582024</v>
      </c>
      <c r="I24" s="25">
        <f>IFERROR(I21/I52,"n/m")</f>
        <v>0.49551804893806023</v>
      </c>
      <c r="J24" s="33">
        <f>IFERROR(J21/J52,"n/m")</f>
        <v>0.5040872338951263</v>
      </c>
      <c r="K24" s="1"/>
    </row>
    <row r="25">
      <c r="A25" s="1"/>
      <c r="B25" s="4" t="s">
        <v>74</v>
      </c>
      <c r="C25" s="1"/>
      <c r="D25" s="1"/>
      <c r="E25" s="1"/>
      <c r="F25" s="1"/>
      <c r="G25" s="1"/>
      <c r="H25" s="30" t="s">
        <v>48</v>
      </c>
      <c r="I25" s="30" t="s">
        <v>48</v>
      </c>
      <c r="J25" s="40" t="s">
        <v>48</v>
      </c>
      <c r="K25" s="24" t="s">
        <v>652</v>
      </c>
    </row>
    <row r="26">
      <c r="A26" s="1"/>
      <c r="B26" s="4" t="s">
        <v>76</v>
      </c>
      <c r="C26" s="1"/>
      <c r="D26" s="1"/>
      <c r="E26" s="1"/>
      <c r="F26" s="1"/>
      <c r="G26" s="1"/>
      <c r="H26" s="30" t="s">
        <v>48</v>
      </c>
      <c r="I26" s="30" t="s">
        <v>48</v>
      </c>
      <c r="J26" s="40" t="s">
        <v>48</v>
      </c>
      <c r="K26" s="24" t="s">
        <v>652</v>
      </c>
    </row>
    <row r="27" ht="27.75">
      <c r="A27" s="1"/>
      <c r="B27" s="4" t="s">
        <v>77</v>
      </c>
      <c r="C27" s="1"/>
      <c r="D27" s="1"/>
      <c r="E27" s="1"/>
      <c r="F27" s="1"/>
      <c r="G27" s="1"/>
      <c r="H27" s="30" t="s">
        <v>48</v>
      </c>
      <c r="I27" s="30" t="s">
        <v>48</v>
      </c>
      <c r="J27" s="40" t="s">
        <v>48</v>
      </c>
      <c r="K27" s="112" t="s">
        <v>78</v>
      </c>
    </row>
    <row r="28">
      <c r="A28" s="1"/>
      <c r="B28" s="22" t="s">
        <v>196</v>
      </c>
      <c r="C28" s="1"/>
      <c r="D28" s="1"/>
      <c r="E28" s="1"/>
      <c r="F28" s="1"/>
      <c r="G28" s="1"/>
      <c r="H28" s="1"/>
      <c r="I28" s="1"/>
      <c r="J28" s="31"/>
      <c r="K28" s="1"/>
    </row>
    <row r="29">
      <c r="A29" s="1"/>
      <c r="B29" s="1" t="s">
        <v>645</v>
      </c>
      <c r="C29" s="2">
        <f>'Segment - Services'!C156</f>
        <v>3655</v>
      </c>
      <c r="D29" s="2">
        <f>'Segment - Services'!D156</f>
        <v>3770</v>
      </c>
      <c r="E29" s="2">
        <f>'Segment - Services'!E156</f>
        <v>3971</v>
      </c>
      <c r="F29" s="2">
        <f>'Segment - Services'!F156</f>
        <v>4333</v>
      </c>
      <c r="G29" s="2">
        <f>'Segment - Services'!G156</f>
        <v>15729</v>
      </c>
      <c r="H29" s="2">
        <f>'Segment - Services'!H156</f>
        <v>4127</v>
      </c>
      <c r="I29" s="2">
        <f>'Segment - Services'!I156</f>
        <v>4256</v>
      </c>
      <c r="J29" s="36">
        <f>'Segment - Services'!J156</f>
        <v>4344.191921285465</v>
      </c>
      <c r="K29" s="1"/>
    </row>
    <row r="30">
      <c r="A30" s="1"/>
      <c r="B30" s="4" t="s">
        <v>646</v>
      </c>
      <c r="C30" s="1"/>
      <c r="D30" s="1"/>
      <c r="E30" s="1"/>
      <c r="F30" s="1"/>
      <c r="G30" s="1"/>
      <c r="H30" s="25">
        <f>IFERROR(H29/C29-1,"n/m")</f>
        <v>0.12913816689466495</v>
      </c>
      <c r="I30" s="25">
        <f>IFERROR(I29/D29-1,"n/m")</f>
        <v>0.12891246684350133</v>
      </c>
      <c r="J30" s="33">
        <f>IFERROR(J29/E29-1,"n/m")</f>
        <v>0.09397933046725382</v>
      </c>
      <c r="K30" s="1"/>
    </row>
    <row r="31">
      <c r="A31" s="1"/>
      <c r="B31" s="1" t="s">
        <v>647</v>
      </c>
      <c r="C31" s="2">
        <f>'Segment - Markets'!C114</f>
        <v>3906</v>
      </c>
      <c r="D31" s="2">
        <f>'Segment - Markets'!D114</f>
        <v>3856</v>
      </c>
      <c r="E31" s="2">
        <f>'Segment - Markets'!E114</f>
        <v>3475</v>
      </c>
      <c r="F31" s="2">
        <f>'Segment - Markets'!F114</f>
        <v>2783</v>
      </c>
      <c r="G31" s="2">
        <f>'Segment - Markets'!G114</f>
        <v>14020</v>
      </c>
      <c r="H31" s="2">
        <f>'Segment - Markets'!H114</f>
        <v>4687</v>
      </c>
      <c r="I31" s="2">
        <f>'Segment - Markets'!I114</f>
        <v>4446</v>
      </c>
      <c r="J31" s="36">
        <f>'Segment - Markets'!J114</f>
        <v>3934.4022634508347</v>
      </c>
      <c r="K31" s="1"/>
    </row>
    <row r="32">
      <c r="A32" s="1"/>
      <c r="B32" s="4" t="s">
        <v>646</v>
      </c>
      <c r="C32" s="1"/>
      <c r="D32" s="1"/>
      <c r="E32" s="1"/>
      <c r="F32" s="1"/>
      <c r="G32" s="1"/>
      <c r="H32" s="25">
        <f>IFERROR(H31/C31-1,"n/m")</f>
        <v>0.19994879672299026</v>
      </c>
      <c r="I32" s="25">
        <f>IFERROR(I31/D31-1,"n/m")</f>
        <v>0.15300829875518662</v>
      </c>
      <c r="J32" s="33">
        <f>IFERROR(J31/E31-1,"n/m")</f>
        <v>0.13220209020167895</v>
      </c>
      <c r="K32" s="1"/>
    </row>
    <row r="33">
      <c r="A33" s="1"/>
      <c r="B33" s="1" t="s">
        <v>648</v>
      </c>
      <c r="C33" s="2">
        <f>'Segment - Banking'!C124</f>
        <v>656</v>
      </c>
      <c r="D33" s="2">
        <f>'Segment - Banking'!D124</f>
        <v>786</v>
      </c>
      <c r="E33" s="2">
        <f>'Segment - Banking'!E124</f>
        <v>785</v>
      </c>
      <c r="F33" s="2">
        <f>'Segment - Banking'!F124</f>
        <v>750</v>
      </c>
      <c r="G33" s="2">
        <f>'Segment - Banking'!G124</f>
        <v>2977</v>
      </c>
      <c r="H33" s="2">
        <f>'Segment - Banking'!H124</f>
        <v>658</v>
      </c>
      <c r="I33" s="2">
        <f>'Segment - Banking'!I124</f>
        <v>835</v>
      </c>
      <c r="J33" s="36">
        <f>'Segment - Banking'!J124</f>
        <v>742.6076600430488</v>
      </c>
      <c r="K33" s="1"/>
    </row>
    <row r="34">
      <c r="A34" s="1"/>
      <c r="B34" s="4" t="s">
        <v>646</v>
      </c>
      <c r="C34" s="1"/>
      <c r="D34" s="1"/>
      <c r="E34" s="1"/>
      <c r="F34" s="1"/>
      <c r="G34" s="1"/>
      <c r="H34" s="25">
        <f>IFERROR(H33/C33-1,"n/m")</f>
        <v>0.0030487804878047697</v>
      </c>
      <c r="I34" s="25">
        <f>IFERROR(I33/D33-1,"n/m")</f>
        <v>0.06234096692111968</v>
      </c>
      <c r="J34" s="33">
        <f>IFERROR(J33/E33-1,"n/m")</f>
        <v>-0.05400298083688049</v>
      </c>
      <c r="K34" s="1"/>
    </row>
    <row r="35">
      <c r="A35" s="1"/>
      <c r="B35" s="1" t="s">
        <v>649</v>
      </c>
      <c r="C35" s="2">
        <f>'Segment - Wealth'!C135</f>
        <v>1023</v>
      </c>
      <c r="D35" s="2">
        <f>'Segment - Wealth'!D135</f>
        <v>1085</v>
      </c>
      <c r="E35" s="2">
        <f>'Segment - Wealth'!E135</f>
        <v>1098</v>
      </c>
      <c r="F35" s="2">
        <f>'Segment - Wealth'!F135</f>
        <v>1037</v>
      </c>
      <c r="G35" s="2">
        <f>'Segment - Wealth'!G135</f>
        <v>4243</v>
      </c>
      <c r="H35" s="2">
        <f>'Segment - Wealth'!H135</f>
        <v>1172</v>
      </c>
      <c r="I35" s="2">
        <f>'Segment - Wealth'!I135</f>
        <v>1200</v>
      </c>
      <c r="J35" s="36">
        <f>'Segment - Wealth'!J135</f>
        <v>1200.4548721331835</v>
      </c>
      <c r="K35" s="1"/>
    </row>
    <row r="36">
      <c r="A36" s="1"/>
      <c r="B36" s="4" t="s">
        <v>646</v>
      </c>
      <c r="C36" s="1"/>
      <c r="D36" s="1"/>
      <c r="E36" s="1"/>
      <c r="F36" s="1"/>
      <c r="G36" s="1"/>
      <c r="H36" s="25">
        <f>IFERROR(H35/C35-1,"n/m")</f>
        <v>0.14565004887585542</v>
      </c>
      <c r="I36" s="25">
        <f>IFERROR(I35/D35-1,"n/m")</f>
        <v>0.10599078341013835</v>
      </c>
      <c r="J36" s="33">
        <f>IFERROR(J35/E35-1,"n/m")</f>
        <v>0.09331044820872814</v>
      </c>
      <c r="K36" s="1"/>
    </row>
    <row r="37">
      <c r="A37" s="1"/>
      <c r="B37" s="1" t="s">
        <v>653</v>
      </c>
      <c r="C37" s="2">
        <f>'Segment - All Other'!C27</f>
        <v>1467</v>
      </c>
      <c r="D37" s="2">
        <f>'Segment - All Other'!D27</f>
        <v>1536</v>
      </c>
      <c r="E37" s="2">
        <f>'Segment - All Other'!E27</f>
        <v>1722</v>
      </c>
      <c r="F37" s="2">
        <f>'Segment - All Other'!F27</f>
        <v>1775</v>
      </c>
      <c r="G37" s="2">
        <f>'Segment - All Other'!G27</f>
        <v>6500</v>
      </c>
      <c r="H37" s="2">
        <f>'Segment - All Other'!H27</f>
        <v>2054</v>
      </c>
      <c r="I37" s="2">
        <f>'Segment - All Other'!I27</f>
        <v>1991</v>
      </c>
      <c r="J37" s="36">
        <f>'Segment - All Other'!J27</f>
        <v>2006.986301369863</v>
      </c>
      <c r="K37" s="1"/>
    </row>
    <row r="38">
      <c r="A38" s="1"/>
      <c r="B38" s="4" t="s">
        <v>646</v>
      </c>
      <c r="C38" s="1"/>
      <c r="D38" s="1"/>
      <c r="E38" s="1"/>
      <c r="F38" s="1"/>
      <c r="G38" s="1"/>
      <c r="H38" s="25">
        <f>IFERROR(H37/C37-1,"n/m")</f>
        <v>0.40013633265167003</v>
      </c>
      <c r="I38" s="25">
        <f>IFERROR(I37/D37-1,"n/m")</f>
        <v>0.29622395833333326</v>
      </c>
      <c r="J38" s="33">
        <f>IFERROR(J37/E37-1,"n/m")</f>
        <v>0.1654972714110703</v>
      </c>
      <c r="K38" s="1"/>
    </row>
    <row r="39">
      <c r="A39" s="1"/>
      <c r="B39" s="1" t="s">
        <v>654</v>
      </c>
      <c r="C39" s="2">
        <f>'Segment - All Other'!C52</f>
        <v>135</v>
      </c>
      <c r="D39" s="2">
        <f>'Segment - All Other'!D52</f>
        <v>155</v>
      </c>
      <c r="E39" s="2">
        <f>'Segment - All Other'!E52</f>
        <v>149</v>
      </c>
      <c r="F39" s="2">
        <f>'Segment - All Other'!F52</f>
        <v>-1434</v>
      </c>
      <c r="G39" s="2">
        <f>'Segment - All Other'!G52</f>
        <v>-995</v>
      </c>
      <c r="H39" s="2">
        <f>'Segment - All Other'!H52</f>
        <v>105</v>
      </c>
      <c r="I39" s="2">
        <f>'Segment - All Other'!I52</f>
        <v>77</v>
      </c>
      <c r="J39" s="36">
        <f>'Segment - All Other'!J52</f>
        <v>70.57534246575342</v>
      </c>
      <c r="K39" s="1"/>
    </row>
    <row r="40">
      <c r="A40" s="1"/>
      <c r="B40" s="22" t="s">
        <v>655</v>
      </c>
      <c r="C40" s="27">
        <f>C29+C31+C33+C35+C37+C39</f>
        <v>10842</v>
      </c>
      <c r="D40" s="27">
        <f>D29+D31+D33+D35+D37+D39</f>
        <v>11188</v>
      </c>
      <c r="E40" s="27">
        <f>E29+E31+E33+E35+E37+E39</f>
        <v>11200</v>
      </c>
      <c r="F40" s="27">
        <f>F29+F31+F33+F35+F37+F39</f>
        <v>9244</v>
      </c>
      <c r="G40" s="27">
        <f>G29+G31+G33+G35+G37+G39</f>
        <v>42474</v>
      </c>
      <c r="H40" s="27">
        <f>H29+H31+H33+H35+H37+H39</f>
        <v>12803</v>
      </c>
      <c r="I40" s="27">
        <f>I29+I31+I33+I35+I37+I39</f>
        <v>12805</v>
      </c>
      <c r="J40" s="32">
        <f>J29+J31+J33+J35+J37+J39</f>
        <v>12299.21836074815</v>
      </c>
      <c r="K40" s="1"/>
    </row>
    <row r="41">
      <c r="A41" s="1"/>
      <c r="B41" s="4" t="s">
        <v>70</v>
      </c>
      <c r="C41" s="1"/>
      <c r="D41" s="1"/>
      <c r="E41" s="1"/>
      <c r="F41" s="1"/>
      <c r="G41" s="1"/>
      <c r="H41" s="25">
        <f>IFERROR(H40/C40-1,"n/m")</f>
        <v>0.18087068806493267</v>
      </c>
      <c r="I41" s="25">
        <f>IFERROR(I40/D40-1,"n/m")</f>
        <v>0.14452985341437263</v>
      </c>
      <c r="J41" s="33">
        <f>IFERROR(J40/E40-1,"n/m")</f>
        <v>0.09814449649537038</v>
      </c>
      <c r="K41" s="1"/>
    </row>
    <row r="42">
      <c r="A42" s="1"/>
      <c r="B42" s="4" t="s">
        <v>71</v>
      </c>
      <c r="C42" s="1"/>
      <c r="D42" s="34">
        <f>D40-C40</f>
        <v>346</v>
      </c>
      <c r="E42" s="34">
        <f>E40-D40</f>
        <v>12</v>
      </c>
      <c r="F42" s="34">
        <f>F40-E40</f>
        <v>-1956</v>
      </c>
      <c r="G42" s="1"/>
      <c r="H42" s="34">
        <f>H40-F40</f>
        <v>3559</v>
      </c>
      <c r="I42" s="34">
        <f>I40-H40</f>
        <v>2</v>
      </c>
      <c r="J42" s="39">
        <f>J40-I40</f>
        <v>-505.7816392518507</v>
      </c>
      <c r="K42" s="1"/>
    </row>
    <row r="43">
      <c r="A43" s="1"/>
      <c r="B43" s="4" t="s">
        <v>73</v>
      </c>
      <c r="C43" s="25">
        <f>IFERROR(C40/C52,"n/m")</f>
        <v>0.5020374143359881</v>
      </c>
      <c r="D43" s="25">
        <f>IFERROR(D40/D52,"n/m")</f>
        <v>0.5163374561565442</v>
      </c>
      <c r="E43" s="25">
        <f>IFERROR(E40/E52,"n/m")</f>
        <v>0.5070167496604798</v>
      </c>
      <c r="F43" s="25">
        <f>IFERROR(F40/F52,"n/m")</f>
        <v>0.4652005435056112</v>
      </c>
      <c r="G43" s="25">
        <f>IFERROR(G40/G52,"n/m")</f>
        <v>0.4983748899970666</v>
      </c>
      <c r="H43" s="25">
        <f>IFERROR(H40/H52,"n/m")</f>
        <v>0.51974992895709</v>
      </c>
      <c r="I43" s="25">
        <f>IFERROR(I40/I52,"n/m")</f>
        <v>0.51703948962287</v>
      </c>
      <c r="J43" s="33">
        <f>IFERROR(J40/J52,"n/m")</f>
        <v>0.5121527889949025</v>
      </c>
      <c r="K43" s="1"/>
    </row>
    <row r="44">
      <c r="A44" s="1"/>
      <c r="B44" s="4" t="s">
        <v>74</v>
      </c>
      <c r="C44" s="1"/>
      <c r="D44" s="1"/>
      <c r="E44" s="1"/>
      <c r="F44" s="1"/>
      <c r="G44" s="1"/>
      <c r="H44" s="30" t="s">
        <v>48</v>
      </c>
      <c r="I44" s="30" t="s">
        <v>48</v>
      </c>
      <c r="J44" s="40" t="s">
        <v>48</v>
      </c>
      <c r="K44" s="24" t="s">
        <v>652</v>
      </c>
    </row>
    <row r="45">
      <c r="A45" s="1"/>
      <c r="B45" s="4" t="s">
        <v>76</v>
      </c>
      <c r="C45" s="1"/>
      <c r="D45" s="1"/>
      <c r="E45" s="1"/>
      <c r="F45" s="1"/>
      <c r="G45" s="1"/>
      <c r="H45" s="30" t="s">
        <v>48</v>
      </c>
      <c r="I45" s="30" t="s">
        <v>48</v>
      </c>
      <c r="J45" s="40" t="s">
        <v>48</v>
      </c>
      <c r="K45" s="24" t="s">
        <v>652</v>
      </c>
    </row>
    <row r="46" ht="27.75">
      <c r="A46" s="1"/>
      <c r="B46" s="4" t="s">
        <v>77</v>
      </c>
      <c r="C46" s="1"/>
      <c r="D46" s="1"/>
      <c r="E46" s="1"/>
      <c r="F46" s="1"/>
      <c r="G46" s="1"/>
      <c r="H46" s="30" t="s">
        <v>48</v>
      </c>
      <c r="I46" s="30" t="s">
        <v>48</v>
      </c>
      <c r="J46" s="40" t="s">
        <v>48</v>
      </c>
      <c r="K46" s="112" t="s">
        <v>78</v>
      </c>
    </row>
    <row r="47">
      <c r="A47" s="1"/>
      <c r="B47" s="22" t="s">
        <v>656</v>
      </c>
      <c r="C47" s="1"/>
      <c r="D47" s="1"/>
      <c r="E47" s="1"/>
      <c r="F47" s="1"/>
      <c r="G47" s="1"/>
      <c r="H47" s="1"/>
      <c r="I47" s="1"/>
      <c r="J47" s="31"/>
      <c r="K47" s="1"/>
    </row>
    <row r="48">
      <c r="A48" s="1"/>
      <c r="B48" s="1" t="s">
        <v>657</v>
      </c>
      <c r="C48" s="2">
        <f>'Segment - All Other'!C58</f>
        <v>19</v>
      </c>
      <c r="D48" s="2">
        <f>'Segment - All Other'!D58</f>
        <v>0</v>
      </c>
      <c r="E48" s="2">
        <f>'Segment - All Other'!E58</f>
        <v>0</v>
      </c>
      <c r="F48" s="2">
        <f>'Segment - All Other'!F58</f>
        <v>-12</v>
      </c>
      <c r="G48" s="2">
        <f>'Segment - All Other'!G58</f>
        <v>7</v>
      </c>
      <c r="H48" s="2">
        <f>'Segment - All Other'!H58</f>
        <v>2</v>
      </c>
      <c r="I48" s="2">
        <f>'Segment - All Other'!I58</f>
        <v>-15</v>
      </c>
      <c r="J48" s="36">
        <f>'Segment - All Other'!J58</f>
        <v>0</v>
      </c>
      <c r="K48" s="1"/>
    </row>
    <row r="49">
      <c r="A49" s="1"/>
      <c r="B49" s="1" t="s">
        <v>658</v>
      </c>
      <c r="C49" s="2">
        <f>'Segment - All Other'!C87</f>
        <v>-158</v>
      </c>
      <c r="D49" s="2">
        <f>'Segment - All Other'!D87</f>
        <v>25</v>
      </c>
      <c r="E49" s="2">
        <f>'Segment - All Other'!E87</f>
        <v>-400</v>
      </c>
      <c r="F49" s="2">
        <f>'Segment - All Other'!F87</f>
        <v>-537</v>
      </c>
      <c r="G49" s="2">
        <f>'Segment - All Other'!G87</f>
        <v>-1070</v>
      </c>
      <c r="H49" s="2">
        <f>'Segment - All Other'!H87</f>
        <v>-479</v>
      </c>
      <c r="I49" s="2">
        <f>'Segment - All Other'!I87</f>
        <v>-316</v>
      </c>
      <c r="J49" s="36">
        <f>'Segment - All Other'!J87</f>
        <v>-400</v>
      </c>
      <c r="K49" s="1"/>
    </row>
    <row r="50">
      <c r="A50" s="1"/>
      <c r="B50" s="1" t="s">
        <v>659</v>
      </c>
      <c r="C50" s="2">
        <f>'Segment - All Other'!C141</f>
        <v>0</v>
      </c>
      <c r="D50" s="2">
        <f>'Segment - All Other'!D141</f>
        <v>-177</v>
      </c>
      <c r="E50" s="2">
        <f>'Segment - All Other'!E141</f>
        <v>2</v>
      </c>
      <c r="F50" s="2">
        <f>'Segment - All Other'!F141</f>
        <v>-1</v>
      </c>
      <c r="G50" s="2">
        <f>'Segment - All Other'!G141</f>
        <v>-176</v>
      </c>
      <c r="H50" s="2">
        <f>'Segment - All Other'!H141</f>
        <v>13</v>
      </c>
      <c r="I50" s="2">
        <f>'Segment - All Other'!I141</f>
        <v>20</v>
      </c>
      <c r="J50" s="36">
        <f>'Segment - All Other'!J141</f>
        <v>10</v>
      </c>
      <c r="K50" s="1"/>
    </row>
    <row r="51">
      <c r="A51" s="1"/>
      <c r="B51" s="22" t="s">
        <v>660</v>
      </c>
      <c r="C51" s="27">
        <f>C48+C49+C50</f>
        <v>-139</v>
      </c>
      <c r="D51" s="27">
        <f>D48+D49+D50</f>
        <v>-152</v>
      </c>
      <c r="E51" s="27">
        <f>E48+E49+E50</f>
        <v>-398</v>
      </c>
      <c r="F51" s="27">
        <f>F48+F49+F50</f>
        <v>-550</v>
      </c>
      <c r="G51" s="27">
        <f>G48+G49+G50</f>
        <v>-1239</v>
      </c>
      <c r="H51" s="27">
        <f>H48+H49+H50</f>
        <v>-464</v>
      </c>
      <c r="I51" s="27">
        <f>I48+I49+I50</f>
        <v>-311</v>
      </c>
      <c r="J51" s="32">
        <f>J48+J49+J50</f>
        <v>-390</v>
      </c>
      <c r="K51" s="1"/>
    </row>
    <row r="52">
      <c r="A52" s="1"/>
      <c r="B52" s="22" t="s">
        <v>661</v>
      </c>
      <c r="C52" s="27">
        <f>C21+C40+C51</f>
        <v>21596</v>
      </c>
      <c r="D52" s="27">
        <f>D21+D40+D51</f>
        <v>21668</v>
      </c>
      <c r="E52" s="27">
        <f>E21+E40+E51</f>
        <v>22090</v>
      </c>
      <c r="F52" s="27">
        <f>F21+F40+F51</f>
        <v>19871</v>
      </c>
      <c r="G52" s="27">
        <f>G21+G40+G51</f>
        <v>85225</v>
      </c>
      <c r="H52" s="27">
        <f>H21+H40+H51</f>
        <v>24633</v>
      </c>
      <c r="I52" s="27">
        <f>I21+I40+I51</f>
        <v>24766</v>
      </c>
      <c r="J52" s="32">
        <f>J21+J40+J51</f>
        <v>24014.74447671233</v>
      </c>
      <c r="K52" s="1"/>
    </row>
    <row r="53" ht="27.75">
      <c r="A53" s="1"/>
      <c r="B53" s="22" t="s">
        <v>662</v>
      </c>
      <c r="C53" s="38">
        <f>C52-'Revenue summary'!C66</f>
        <v>0</v>
      </c>
      <c r="D53" s="38">
        <f>D52-'Revenue summary'!D66</f>
        <v>0</v>
      </c>
      <c r="E53" s="38">
        <f>E52-'Revenue summary'!E66</f>
        <v>0</v>
      </c>
      <c r="F53" s="38">
        <f>F52-'Revenue summary'!F66</f>
        <v>0</v>
      </c>
      <c r="G53" s="38">
        <f>G52-'Revenue summary'!G66</f>
        <v>0</v>
      </c>
      <c r="H53" s="38">
        <f>H52-'Revenue summary'!H66</f>
        <v>0</v>
      </c>
      <c r="I53" s="38">
        <f>I52-'Revenue summary'!I66</f>
        <v>0</v>
      </c>
      <c r="J53" s="53">
        <f>J52-'Revenue summary'!J66</f>
        <v>0</v>
      </c>
      <c r="K53" s="111" t="s">
        <v>663</v>
      </c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K4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664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26" t="s">
        <v>11</v>
      </c>
      <c r="K6" s="35" t="s">
        <v>12</v>
      </c>
    </row>
    <row r="7">
      <c r="A7" s="1"/>
      <c r="B7" s="19" t="s">
        <v>13</v>
      </c>
      <c r="C7" s="15">
        <v>45747</v>
      </c>
      <c r="D7" s="15">
        <v>45838</v>
      </c>
      <c r="E7" s="15">
        <v>45930</v>
      </c>
      <c r="F7" s="15">
        <v>46022</v>
      </c>
      <c r="G7" s="15">
        <v>46022</v>
      </c>
      <c r="H7" s="15">
        <v>46112</v>
      </c>
      <c r="I7" s="15">
        <v>46203</v>
      </c>
      <c r="J7" s="37">
        <v>46295</v>
      </c>
      <c r="K7" s="19"/>
    </row>
    <row r="8">
      <c r="A8" s="1"/>
      <c r="B8" s="16" t="s">
        <v>14</v>
      </c>
      <c r="C8" s="14">
        <v>90</v>
      </c>
      <c r="D8" s="11">
        <f>D7-C7</f>
        <v>91</v>
      </c>
      <c r="E8" s="11">
        <f>E7-D7</f>
        <v>92</v>
      </c>
      <c r="F8" s="11">
        <f>F7-E7</f>
        <v>92</v>
      </c>
      <c r="G8" s="11">
        <f>SUM(C8:F8)</f>
        <v>365</v>
      </c>
      <c r="H8" s="11">
        <f>H7-F7</f>
        <v>90</v>
      </c>
      <c r="I8" s="11">
        <f>I7-H7</f>
        <v>91</v>
      </c>
      <c r="J8" s="51">
        <f>J7-I7</f>
        <v>92</v>
      </c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665</v>
      </c>
      <c r="C10" s="1"/>
      <c r="D10" s="1"/>
      <c r="E10" s="1"/>
      <c r="F10" s="1"/>
      <c r="G10" s="1"/>
      <c r="H10" s="1"/>
      <c r="I10" s="1"/>
      <c r="J10" s="31"/>
      <c r="K10" s="1"/>
    </row>
    <row r="11">
      <c r="A11" s="1"/>
      <c r="B11" s="22" t="s">
        <v>666</v>
      </c>
      <c r="C11" s="87">
        <v>1867.7</v>
      </c>
      <c r="D11" s="87">
        <v>1840.9</v>
      </c>
      <c r="E11" s="87">
        <v>1789.3</v>
      </c>
      <c r="F11" s="87">
        <v>1747.5</v>
      </c>
      <c r="G11" s="41">
        <f>F11</f>
        <v>1747.5</v>
      </c>
      <c r="H11" s="87">
        <v>1705.6</v>
      </c>
      <c r="I11" s="87">
        <v>1677.4</v>
      </c>
      <c r="J11" s="64">
        <f>I11-J18+J19</f>
        <v>1649.8285714285714</v>
      </c>
      <c r="K11" s="1"/>
    </row>
    <row r="12">
      <c r="A12" s="1"/>
      <c r="B12" s="4" t="s">
        <v>108</v>
      </c>
      <c r="C12" s="1"/>
      <c r="D12" s="1"/>
      <c r="E12" s="1"/>
      <c r="F12" s="1"/>
      <c r="G12" s="1"/>
      <c r="H12" s="25">
        <f>IFERROR(H11/C11-1,"n/m")</f>
        <v>-0.08679124056325971</v>
      </c>
      <c r="I12" s="25">
        <f>IFERROR(I11/D11-1,"n/m")</f>
        <v>-0.08881525340865881</v>
      </c>
      <c r="J12" s="33">
        <f>IFERROR(J11/E11-1,"n/m")</f>
        <v>-0.07794748145723385</v>
      </c>
      <c r="K12" s="1"/>
    </row>
    <row r="13">
      <c r="A13" s="1"/>
      <c r="B13" s="4" t="s">
        <v>667</v>
      </c>
      <c r="C13" s="1"/>
      <c r="D13" s="34">
        <f>D11-C11</f>
        <v>-26.799999999999955</v>
      </c>
      <c r="E13" s="34">
        <f>E11-D11</f>
        <v>-51.600000000000136</v>
      </c>
      <c r="F13" s="34">
        <f>F11-E11</f>
        <v>-41.799999999999955</v>
      </c>
      <c r="G13" s="1"/>
      <c r="H13" s="34">
        <f>H11-F11</f>
        <v>-41.90000000000009</v>
      </c>
      <c r="I13" s="34">
        <f>I11-H11</f>
        <v>-28.199999999999818</v>
      </c>
      <c r="J13" s="39">
        <f>J11-I11</f>
        <v>-27.57142857142867</v>
      </c>
      <c r="K13" s="1"/>
    </row>
    <row r="14" ht="27.75">
      <c r="A14" s="1"/>
      <c r="B14" s="1" t="s">
        <v>668</v>
      </c>
      <c r="C14" s="2">
        <f>-'Cash Flow Statement'!C47</f>
        <v>1751</v>
      </c>
      <c r="D14" s="2">
        <f>-'Cash Flow Statement'!D47</f>
        <v>1999</v>
      </c>
      <c r="E14" s="2">
        <f>-'Cash Flow Statement'!E47</f>
        <v>5000</v>
      </c>
      <c r="F14" s="2">
        <f>-'Cash Flow Statement'!F47</f>
        <v>4500</v>
      </c>
      <c r="G14" s="21">
        <f>SUM(C14:F14)</f>
        <v>13250</v>
      </c>
      <c r="H14" s="2">
        <f>-'Cash Flow Statement'!H47</f>
        <v>6300</v>
      </c>
      <c r="I14" s="2">
        <f>-'Cash Flow Statement'!I47</f>
        <v>4000</v>
      </c>
      <c r="J14" s="55">
        <v>4000</v>
      </c>
      <c r="K14" s="112" t="s">
        <v>669</v>
      </c>
    </row>
    <row r="15">
      <c r="A15" s="1"/>
      <c r="B15" s="4" t="s">
        <v>108</v>
      </c>
      <c r="C15" s="1"/>
      <c r="D15" s="1"/>
      <c r="E15" s="1"/>
      <c r="F15" s="1"/>
      <c r="G15" s="1"/>
      <c r="H15" s="25">
        <f>IFERROR(H14/C14-1,"n/m")</f>
        <v>2.597944031981725</v>
      </c>
      <c r="I15" s="25">
        <f>IFERROR(I14/D14-1,"n/m")</f>
        <v>1.0010005002501252</v>
      </c>
      <c r="J15" s="33">
        <f>IFERROR(J14/E14-1,"n/m")</f>
        <v>-0.19999999999999996</v>
      </c>
      <c r="K15" s="1"/>
    </row>
    <row r="16">
      <c r="A16" s="1"/>
      <c r="B16" s="4" t="s">
        <v>71</v>
      </c>
      <c r="C16" s="1"/>
      <c r="D16" s="34">
        <f>D14-C14</f>
        <v>248</v>
      </c>
      <c r="E16" s="34">
        <f>E14-D14</f>
        <v>3001</v>
      </c>
      <c r="F16" s="34">
        <f>F14-E14</f>
        <v>-500</v>
      </c>
      <c r="G16" s="1"/>
      <c r="H16" s="34">
        <f>H14-F14</f>
        <v>1800</v>
      </c>
      <c r="I16" s="34">
        <f>I14-H14</f>
        <v>-2300</v>
      </c>
      <c r="J16" s="39">
        <f>J14-I14</f>
        <v>0</v>
      </c>
      <c r="K16" s="1"/>
    </row>
    <row r="17" ht="27.75">
      <c r="A17" s="1"/>
      <c r="B17" s="1" t="s">
        <v>670</v>
      </c>
      <c r="C17" s="1"/>
      <c r="D17" s="1"/>
      <c r="E17" s="1"/>
      <c r="F17" s="1"/>
      <c r="G17" s="1"/>
      <c r="H17" s="1"/>
      <c r="I17" s="1"/>
      <c r="J17" s="86">
        <v>140</v>
      </c>
      <c r="K17" s="112" t="s">
        <v>671</v>
      </c>
    </row>
    <row r="18">
      <c r="A18" s="1"/>
      <c r="B18" s="1" t="s">
        <v>672</v>
      </c>
      <c r="C18" s="1"/>
      <c r="D18" s="1"/>
      <c r="E18" s="1"/>
      <c r="F18" s="1"/>
      <c r="G18" s="1"/>
      <c r="H18" s="1"/>
      <c r="I18" s="1"/>
      <c r="J18" s="29">
        <f>J14/J17</f>
        <v>28.571428571428573</v>
      </c>
      <c r="K18" s="1"/>
    </row>
    <row r="19">
      <c r="A19" s="1"/>
      <c r="B19" s="1" t="s">
        <v>673</v>
      </c>
      <c r="C19" s="1"/>
      <c r="D19" s="1"/>
      <c r="E19" s="1"/>
      <c r="F19" s="1"/>
      <c r="G19" s="1"/>
      <c r="H19" s="1"/>
      <c r="I19" s="1"/>
      <c r="J19" s="55">
        <v>1</v>
      </c>
      <c r="K19" s="24" t="s">
        <v>674</v>
      </c>
    </row>
    <row r="20">
      <c r="A20" s="1"/>
      <c r="B20" s="1" t="s">
        <v>675</v>
      </c>
      <c r="C20" s="28">
        <v>1879</v>
      </c>
      <c r="D20" s="28">
        <v>1855.9</v>
      </c>
      <c r="E20" s="28">
        <v>1820.3</v>
      </c>
      <c r="F20" s="28">
        <v>1772.8</v>
      </c>
      <c r="G20" s="21">
        <f>SUMPRODUCT(C20:F20,C$8:F$8)/G$8</f>
        <v>1831.6769863013699</v>
      </c>
      <c r="H20" s="28">
        <v>1736.9</v>
      </c>
      <c r="I20" s="28">
        <v>1700.9</v>
      </c>
      <c r="J20" s="29">
        <f>I11+J22*(J11-I11)</f>
        <v>1669.0347485554928</v>
      </c>
      <c r="K20" s="24" t="s">
        <v>676</v>
      </c>
    </row>
    <row r="21">
      <c r="A21" s="1"/>
      <c r="B21" s="4" t="s">
        <v>108</v>
      </c>
      <c r="C21" s="1"/>
      <c r="D21" s="1"/>
      <c r="E21" s="1"/>
      <c r="F21" s="1"/>
      <c r="G21" s="1"/>
      <c r="H21" s="25">
        <f>IFERROR(H20/C20-1,"n/m")</f>
        <v>-0.07562533262373594</v>
      </c>
      <c r="I21" s="25">
        <f>IFERROR(I20/D20-1,"n/m")</f>
        <v>-0.08351743089606123</v>
      </c>
      <c r="J21" s="33">
        <f>IFERROR(J20/E20-1,"n/m")</f>
        <v>-0.0830990778687618</v>
      </c>
      <c r="K21" s="1"/>
    </row>
    <row r="22">
      <c r="A22" s="1"/>
      <c r="B22" s="4" t="s">
        <v>677</v>
      </c>
      <c r="C22" s="1"/>
      <c r="D22" s="25">
        <f>(D20-C11)/(D11-C11)</f>
        <v>0.4402985074626856</v>
      </c>
      <c r="E22" s="25">
        <f>(E20-D11)/(E11-D11)</f>
        <v>0.399224806201552</v>
      </c>
      <c r="F22" s="25">
        <f>(F20-E11)/(F11-E11)</f>
        <v>0.3947368421052636</v>
      </c>
      <c r="G22" s="1"/>
      <c r="H22" s="25">
        <f>(H20-F11)/(H11-F11)</f>
        <v>0.2529832935560832</v>
      </c>
      <c r="I22" s="25">
        <f>(I20-H11)/(I11-H11)</f>
        <v>0.1666666666666613</v>
      </c>
      <c r="J22" s="33">
        <f>AVERAGE(E22,F22,H22,I22)</f>
        <v>0.30340290213239</v>
      </c>
      <c r="K22" s="1"/>
    </row>
    <row r="23">
      <c r="A23" s="1"/>
      <c r="B23" s="4" t="s">
        <v>114</v>
      </c>
      <c r="C23" s="1"/>
      <c r="D23" s="1"/>
      <c r="E23" s="1"/>
      <c r="F23" s="1"/>
      <c r="G23" s="1"/>
      <c r="H23" s="1"/>
      <c r="I23" s="54">
        <f>(I22-D22)*10000</f>
        <v>-2736.3184079602433</v>
      </c>
      <c r="J23" s="57">
        <f>(J22-E22)*10000</f>
        <v>-958.2190406916196</v>
      </c>
      <c r="K23" s="1"/>
    </row>
    <row r="24">
      <c r="A24" s="1"/>
      <c r="B24" s="4" t="s">
        <v>115</v>
      </c>
      <c r="C24" s="1"/>
      <c r="D24" s="1"/>
      <c r="E24" s="54">
        <f>(E22-D22)*10000</f>
        <v>-410.73701261133635</v>
      </c>
      <c r="F24" s="54">
        <f>(F22-E22)*10000</f>
        <v>-44.87964096288377</v>
      </c>
      <c r="G24" s="1"/>
      <c r="H24" s="54">
        <f>(H22-F22)*10000</f>
        <v>-1417.5354854918044</v>
      </c>
      <c r="I24" s="54">
        <f>(I22-H22)*10000</f>
        <v>-863.1662688942188</v>
      </c>
      <c r="J24" s="57">
        <f>(J22-I22)*10000</f>
        <v>1367.3623546572871</v>
      </c>
      <c r="K24" s="1"/>
    </row>
    <row r="25">
      <c r="A25" s="1"/>
      <c r="B25" s="1" t="s">
        <v>678</v>
      </c>
      <c r="C25" s="21">
        <f>C28-C20</f>
        <v>40.59999999999991</v>
      </c>
      <c r="D25" s="21">
        <f>D28-D20</f>
        <v>37.19999999999982</v>
      </c>
      <c r="E25" s="21">
        <f>E28-E20</f>
        <v>42.299999999999955</v>
      </c>
      <c r="F25" s="21">
        <f>F28-F20</f>
        <v>44.100000000000136</v>
      </c>
      <c r="G25" s="21">
        <f>G28-G20</f>
        <v>41.06301369863013</v>
      </c>
      <c r="H25" s="21">
        <f>H28-H20</f>
        <v>39.09999999999991</v>
      </c>
      <c r="I25" s="21">
        <f>I28-I20</f>
        <v>34.69999999999982</v>
      </c>
      <c r="J25" s="29">
        <f>I25</f>
        <v>34.69999999999982</v>
      </c>
      <c r="K25" s="1"/>
    </row>
    <row r="26">
      <c r="A26" s="1"/>
      <c r="B26" s="4" t="s">
        <v>108</v>
      </c>
      <c r="C26" s="1"/>
      <c r="D26" s="1"/>
      <c r="E26" s="1"/>
      <c r="F26" s="1"/>
      <c r="G26" s="1"/>
      <c r="H26" s="25">
        <f>IFERROR(H25/C25-1,"n/m")</f>
        <v>-0.036945812807881895</v>
      </c>
      <c r="I26" s="25">
        <f>IFERROR(I25/D25-1,"n/m")</f>
        <v>-0.06720430107526909</v>
      </c>
      <c r="J26" s="33">
        <f>IFERROR(J25/E25-1,"n/m")</f>
        <v>-0.1796690307328639</v>
      </c>
      <c r="K26" s="1"/>
    </row>
    <row r="27">
      <c r="A27" s="1"/>
      <c r="B27" s="4" t="s">
        <v>71</v>
      </c>
      <c r="C27" s="1"/>
      <c r="D27" s="34">
        <f>D25-C25</f>
        <v>-3.400000000000091</v>
      </c>
      <c r="E27" s="34">
        <f>E25-D25</f>
        <v>5.100000000000136</v>
      </c>
      <c r="F27" s="34">
        <f>F25-E25</f>
        <v>1.800000000000182</v>
      </c>
      <c r="G27" s="1"/>
      <c r="H27" s="34">
        <f>H25-F25</f>
        <v>-5.000000000000227</v>
      </c>
      <c r="I27" s="34">
        <f>I25-H25</f>
        <v>-4.400000000000091</v>
      </c>
      <c r="J27" s="39">
        <f>J25-I25</f>
        <v>0</v>
      </c>
      <c r="K27" s="1"/>
    </row>
    <row r="28">
      <c r="A28" s="1"/>
      <c r="B28" s="22" t="s">
        <v>679</v>
      </c>
      <c r="C28" s="47">
        <v>1919.6</v>
      </c>
      <c r="D28" s="47">
        <v>1893.1</v>
      </c>
      <c r="E28" s="47">
        <v>1862.6</v>
      </c>
      <c r="F28" s="47">
        <v>1816.9</v>
      </c>
      <c r="G28" s="27">
        <f>SUMPRODUCT(C28:F28,C$8:F$8)/G$8</f>
        <v>1872.74</v>
      </c>
      <c r="H28" s="47">
        <v>1776</v>
      </c>
      <c r="I28" s="47">
        <v>1735.6</v>
      </c>
      <c r="J28" s="32">
        <f>J20+J25</f>
        <v>1703.7347485554926</v>
      </c>
      <c r="K28" s="1"/>
    </row>
    <row r="29">
      <c r="A29" s="1"/>
      <c r="B29" s="4" t="s">
        <v>108</v>
      </c>
      <c r="C29" s="1"/>
      <c r="D29" s="1"/>
      <c r="E29" s="1"/>
      <c r="F29" s="1"/>
      <c r="G29" s="1"/>
      <c r="H29" s="25">
        <f>IFERROR(H28/C28-1,"n/m")</f>
        <v>-0.07480725151073131</v>
      </c>
      <c r="I29" s="25">
        <f>IFERROR(I28/D28-1,"n/m")</f>
        <v>-0.08319687285404886</v>
      </c>
      <c r="J29" s="33">
        <f>IFERROR(J28/E28-1,"n/m")</f>
        <v>-0.08529219985209235</v>
      </c>
      <c r="K29" s="1"/>
    </row>
    <row r="30">
      <c r="A30" s="1"/>
      <c r="B30" s="4" t="s">
        <v>71</v>
      </c>
      <c r="C30" s="1"/>
      <c r="D30" s="34">
        <f>D28-C28</f>
        <v>-26.5</v>
      </c>
      <c r="E30" s="34">
        <f>E28-D28</f>
        <v>-30.5</v>
      </c>
      <c r="F30" s="34">
        <f>F28-E28</f>
        <v>-45.69999999999982</v>
      </c>
      <c r="G30" s="1"/>
      <c r="H30" s="34">
        <f>H28-F28</f>
        <v>-40.90000000000009</v>
      </c>
      <c r="I30" s="34">
        <f>I28-H28</f>
        <v>-40.40000000000009</v>
      </c>
      <c r="J30" s="39">
        <f>J28-I28</f>
        <v>-31.865251444507294</v>
      </c>
      <c r="K30" s="1"/>
    </row>
    <row r="31">
      <c r="A31" s="1"/>
      <c r="B31" s="22" t="s">
        <v>680</v>
      </c>
      <c r="C31" s="1"/>
      <c r="D31" s="1"/>
      <c r="E31" s="1"/>
      <c r="F31" s="1"/>
      <c r="G31" s="1"/>
      <c r="H31" s="1"/>
      <c r="I31" s="1"/>
      <c r="J31" s="31"/>
      <c r="K31" s="1"/>
    </row>
    <row r="32">
      <c r="A32" s="1"/>
      <c r="B32" s="1" t="s">
        <v>681</v>
      </c>
      <c r="C32" s="10">
        <v>0.56</v>
      </c>
      <c r="D32" s="10">
        <v>0.56</v>
      </c>
      <c r="E32" s="10">
        <v>0.6</v>
      </c>
      <c r="F32" s="10">
        <v>0.6</v>
      </c>
      <c r="G32" s="45">
        <f>SUM(C32:F32)</f>
        <v>2.3200000000000003</v>
      </c>
      <c r="H32" s="10">
        <v>0.6</v>
      </c>
      <c r="I32" s="10">
        <v>0.6</v>
      </c>
      <c r="J32" s="86">
        <v>0.67</v>
      </c>
      <c r="K32" s="24" t="s">
        <v>682</v>
      </c>
    </row>
    <row r="33">
      <c r="A33" s="1"/>
      <c r="B33" s="4" t="s">
        <v>108</v>
      </c>
      <c r="C33" s="1"/>
      <c r="D33" s="1"/>
      <c r="E33" s="1"/>
      <c r="F33" s="1"/>
      <c r="G33" s="1"/>
      <c r="H33" s="25">
        <f>IFERROR(H32/C32-1,"n/m")</f>
        <v>0.0714285714285714</v>
      </c>
      <c r="I33" s="25">
        <f>IFERROR(I32/D32-1,"n/m")</f>
        <v>0.0714285714285714</v>
      </c>
      <c r="J33" s="33">
        <f>IFERROR(J32/E32-1,"n/m")</f>
        <v>0.1166666666666667</v>
      </c>
      <c r="K33" s="1"/>
    </row>
    <row r="34">
      <c r="A34" s="1"/>
      <c r="B34" s="4" t="s">
        <v>71</v>
      </c>
      <c r="C34" s="1"/>
      <c r="D34" s="59">
        <f>D32-C32</f>
        <v>0</v>
      </c>
      <c r="E34" s="59">
        <f>E32-D32</f>
        <v>0.039999999999999925</v>
      </c>
      <c r="F34" s="59">
        <f>F32-E32</f>
        <v>0</v>
      </c>
      <c r="G34" s="1"/>
      <c r="H34" s="59">
        <f>H32-F32</f>
        <v>0</v>
      </c>
      <c r="I34" s="59">
        <f>I32-H32</f>
        <v>0</v>
      </c>
      <c r="J34" s="90">
        <f>J32-I32</f>
        <v>0.07000000000000006</v>
      </c>
      <c r="K34" s="1"/>
    </row>
    <row r="35" ht="40.5">
      <c r="A35" s="1"/>
      <c r="B35" s="1" t="s">
        <v>683</v>
      </c>
      <c r="C35" s="21">
        <f>C32*C20</f>
        <v>1052.24</v>
      </c>
      <c r="D35" s="21">
        <f>D32*D20</f>
        <v>1039.304</v>
      </c>
      <c r="E35" s="21">
        <f>E32*E20</f>
        <v>1092.1799999999998</v>
      </c>
      <c r="F35" s="21">
        <f>F32*F20</f>
        <v>1063.6799999999998</v>
      </c>
      <c r="G35" s="21">
        <f>SUM(C35:F35)</f>
        <v>4247.4039999999995</v>
      </c>
      <c r="H35" s="21">
        <f>H32*H20</f>
        <v>1042.14</v>
      </c>
      <c r="I35" s="21">
        <f>I32*I20</f>
        <v>1020.54</v>
      </c>
      <c r="J35" s="29">
        <f>J32*J20</f>
        <v>1118.2532815321802</v>
      </c>
      <c r="K35" s="115" t="s">
        <v>684</v>
      </c>
    </row>
    <row r="36">
      <c r="A36" s="1"/>
      <c r="B36" s="4" t="s">
        <v>685</v>
      </c>
      <c r="C36" s="17">
        <f>(C35+C14)/'Income Statement'!C73</f>
        <v>0.7386666666666666</v>
      </c>
      <c r="D36" s="17">
        <f>(D35+D14)/'Income Statement'!D73</f>
        <v>0.8141221864951769</v>
      </c>
      <c r="E36" s="17">
        <f>(E35+E14)/'Income Statement'!E73</f>
        <v>1.7516331224841863</v>
      </c>
      <c r="F36" s="17">
        <f>(F35+F14)/'Income Statement'!F73</f>
        <v>2.5439780521262003</v>
      </c>
      <c r="G36" s="17">
        <f>(G35+G14)/'Income Statement'!G73</f>
        <v>1.3263647665251668</v>
      </c>
      <c r="H36" s="17">
        <f>(H35+H14)/'Income Statement'!H73</f>
        <v>1.3398065693430659</v>
      </c>
      <c r="I36" s="17">
        <f>(I35+I14)/'Income Statement'!I73</f>
        <v>0.9139887129073366</v>
      </c>
      <c r="J36" s="85">
        <f>(J35+J14)/'Income Statement'!J73</f>
        <v>1.0879115748843697</v>
      </c>
      <c r="K36" s="1"/>
    </row>
    <row r="37">
      <c r="A37" s="1"/>
      <c r="B37" s="22" t="s">
        <v>686</v>
      </c>
      <c r="C37" s="1"/>
      <c r="D37" s="1"/>
      <c r="E37" s="1"/>
      <c r="F37" s="1"/>
      <c r="G37" s="1"/>
      <c r="H37" s="1"/>
      <c r="I37" s="1"/>
      <c r="J37" s="31"/>
      <c r="K37" s="1"/>
    </row>
    <row r="38">
      <c r="A38" s="1"/>
      <c r="B38" s="22" t="s">
        <v>687</v>
      </c>
      <c r="C38" s="41">
        <f>C28</f>
        <v>1919.6</v>
      </c>
      <c r="D38" s="41">
        <f>D28</f>
        <v>1893.1</v>
      </c>
      <c r="E38" s="41">
        <f>E28</f>
        <v>1862.6</v>
      </c>
      <c r="F38" s="41">
        <f>F28</f>
        <v>1816.9</v>
      </c>
      <c r="G38" s="41">
        <f>G28</f>
        <v>1872.74</v>
      </c>
      <c r="H38" s="41">
        <f>H28</f>
        <v>1776</v>
      </c>
      <c r="I38" s="41">
        <f>I28</f>
        <v>1735.6</v>
      </c>
      <c r="J38" s="64">
        <f>J28</f>
        <v>1703.7347485554926</v>
      </c>
      <c r="K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A1:K3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688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689</v>
      </c>
      <c r="C6" s="5"/>
      <c r="D6" s="5"/>
      <c r="E6" s="5"/>
      <c r="F6" s="5"/>
      <c r="G6" s="5"/>
      <c r="H6" s="5"/>
      <c r="I6" s="5"/>
      <c r="J6" s="5"/>
      <c r="K6" s="35" t="s">
        <v>12</v>
      </c>
    </row>
    <row r="7">
      <c r="A7" s="1"/>
      <c r="B7" s="19"/>
      <c r="C7" s="15"/>
      <c r="D7" s="15"/>
      <c r="E7" s="15"/>
      <c r="F7" s="15"/>
      <c r="G7" s="15"/>
      <c r="H7" s="15"/>
      <c r="I7" s="15"/>
      <c r="J7" s="15"/>
      <c r="K7" s="19"/>
    </row>
    <row r="8">
      <c r="A8" s="1"/>
      <c r="B8" s="16"/>
      <c r="C8" s="14"/>
      <c r="D8" s="11"/>
      <c r="E8" s="11"/>
      <c r="F8" s="11"/>
      <c r="G8" s="11"/>
      <c r="H8" s="11"/>
      <c r="I8" s="11"/>
      <c r="J8" s="11"/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46" t="s">
        <v>690</v>
      </c>
      <c r="C10" s="6" t="s">
        <v>691</v>
      </c>
      <c r="D10" s="6" t="s">
        <v>692</v>
      </c>
      <c r="E10" s="6" t="s">
        <v>693</v>
      </c>
      <c r="F10" s="6" t="s">
        <v>694</v>
      </c>
      <c r="G10" s="6" t="s">
        <v>695</v>
      </c>
      <c r="H10" s="6" t="s">
        <v>696</v>
      </c>
      <c r="I10" s="6" t="s">
        <v>697</v>
      </c>
      <c r="J10" s="6" t="s">
        <v>698</v>
      </c>
      <c r="K10" s="1"/>
    </row>
    <row r="11">
      <c r="A11" s="1"/>
      <c r="B11" s="1" t="s">
        <v>699</v>
      </c>
      <c r="C11" s="42">
        <v>45909</v>
      </c>
      <c r="D11" s="9" t="s">
        <v>700</v>
      </c>
      <c r="E11" s="44">
        <v>0.04</v>
      </c>
      <c r="F11" s="44">
        <v>0.06</v>
      </c>
      <c r="G11" s="7">
        <f>AVERAGE(E11,F11)</f>
        <v>0.05</v>
      </c>
      <c r="H11" s="44">
        <v>0.15</v>
      </c>
      <c r="I11" s="104" t="str">
        <f>IF(H11&gt;F11,"Beat",IF(H11&lt;E11,"Miss","In line"))</f>
        <v>Beat</v>
      </c>
      <c r="J11" s="9" t="s">
        <v>701</v>
      </c>
      <c r="K11" s="24" t="s">
        <v>702</v>
      </c>
    </row>
    <row r="12">
      <c r="A12" s="1"/>
      <c r="B12" s="1" t="s">
        <v>703</v>
      </c>
      <c r="C12" s="42">
        <v>45909</v>
      </c>
      <c r="D12" s="9" t="s">
        <v>700</v>
      </c>
      <c r="E12" s="44">
        <v>0.04</v>
      </c>
      <c r="F12" s="44">
        <v>0.06</v>
      </c>
      <c r="G12" s="7">
        <f>AVERAGE(E12,F12)</f>
        <v>0.05</v>
      </c>
      <c r="H12" s="44">
        <v>0.17</v>
      </c>
      <c r="I12" s="104" t="str">
        <f>IF(H12&gt;F12,"Beat",IF(H12&lt;E12,"Miss","In line"))</f>
        <v>Beat</v>
      </c>
      <c r="J12" s="9" t="s">
        <v>701</v>
      </c>
      <c r="K12" s="24" t="s">
        <v>704</v>
      </c>
    </row>
    <row r="13">
      <c r="A13" s="1"/>
      <c r="B13" s="1" t="s">
        <v>703</v>
      </c>
      <c r="C13" s="42">
        <v>46182</v>
      </c>
      <c r="D13" s="9" t="s">
        <v>705</v>
      </c>
      <c r="E13" s="44">
        <v>0.13</v>
      </c>
      <c r="F13" s="44">
        <v>0.17</v>
      </c>
      <c r="G13" s="7">
        <f>AVERAGE(E13,F13)</f>
        <v>0.15000000000000002</v>
      </c>
      <c r="H13" s="52">
        <f>'Segment - Banking'!I68/'Segment - Banking'!D68-1</f>
        <v>0.41020793950850654</v>
      </c>
      <c r="I13" s="104" t="str">
        <f>IF(H13&gt;F13,"Beat",IF(H13&lt;E13,"Miss","In line"))</f>
        <v>Beat</v>
      </c>
      <c r="J13" s="9" t="s">
        <v>706</v>
      </c>
      <c r="K13" s="24" t="s">
        <v>707</v>
      </c>
    </row>
    <row r="14">
      <c r="A14" s="1"/>
      <c r="B14" s="1" t="s">
        <v>699</v>
      </c>
      <c r="C14" s="42">
        <v>46182</v>
      </c>
      <c r="D14" s="9" t="s">
        <v>705</v>
      </c>
      <c r="E14" s="44">
        <v>0.08</v>
      </c>
      <c r="F14" s="44">
        <v>0.11</v>
      </c>
      <c r="G14" s="7">
        <f>AVERAGE(E14,F14)</f>
        <v>0.095</v>
      </c>
      <c r="H14" s="52">
        <f>'Segment - Markets'!I40/'Segment - Markets'!D40-1</f>
        <v>0.17173913043478262</v>
      </c>
      <c r="I14" s="104" t="str">
        <f>IF(H14&gt;F14,"Beat",IF(H14&lt;E14,"Miss","In line"))</f>
        <v>Beat</v>
      </c>
      <c r="J14" s="9" t="s">
        <v>706</v>
      </c>
      <c r="K14" s="24" t="s">
        <v>708</v>
      </c>
    </row>
    <row r="15">
      <c r="A15" s="1"/>
      <c r="B15" s="1" t="s">
        <v>709</v>
      </c>
      <c r="C15" s="42">
        <v>46217</v>
      </c>
      <c r="D15" s="9" t="s">
        <v>710</v>
      </c>
      <c r="E15" s="44">
        <v>0.05</v>
      </c>
      <c r="F15" s="44">
        <v>0.06</v>
      </c>
      <c r="G15" s="7">
        <f>AVERAGE(E15,F15)</f>
        <v>0.055</v>
      </c>
      <c r="H15" s="9" t="s">
        <v>48</v>
      </c>
      <c r="I15" s="9" t="s">
        <v>711</v>
      </c>
      <c r="J15" s="9" t="s">
        <v>712</v>
      </c>
      <c r="K15" s="24" t="s">
        <v>713</v>
      </c>
    </row>
    <row r="16">
      <c r="A16" s="1"/>
      <c r="B16" s="1" t="s">
        <v>714</v>
      </c>
      <c r="C16" s="42">
        <v>46217</v>
      </c>
      <c r="D16" s="9" t="s">
        <v>710</v>
      </c>
      <c r="E16" s="44">
        <v>0.1</v>
      </c>
      <c r="F16" s="44">
        <v>0.11</v>
      </c>
      <c r="G16" s="7">
        <f>AVERAGE(E16,F16)</f>
        <v>0.10500000000000001</v>
      </c>
      <c r="H16" s="9" t="s">
        <v>48</v>
      </c>
      <c r="I16" s="9" t="s">
        <v>711</v>
      </c>
      <c r="J16" s="9" t="s">
        <v>712</v>
      </c>
      <c r="K16" s="24" t="s">
        <v>715</v>
      </c>
    </row>
    <row r="17">
      <c r="A17" s="1"/>
      <c r="B17" s="1" t="s">
        <v>716</v>
      </c>
      <c r="C17" s="42">
        <v>46217</v>
      </c>
      <c r="D17" s="9" t="s">
        <v>710</v>
      </c>
      <c r="E17" s="44">
        <v>0.6</v>
      </c>
      <c r="F17" s="44">
        <v>0.6</v>
      </c>
      <c r="G17" s="7">
        <f>AVERAGE(E17,F17)</f>
        <v>0.6</v>
      </c>
      <c r="H17" s="9" t="s">
        <v>48</v>
      </c>
      <c r="I17" s="9" t="s">
        <v>711</v>
      </c>
      <c r="J17" s="9" t="s">
        <v>712</v>
      </c>
      <c r="K17" s="24" t="s">
        <v>717</v>
      </c>
    </row>
    <row r="18">
      <c r="A18" s="1"/>
      <c r="B18" s="1" t="s">
        <v>718</v>
      </c>
      <c r="C18" s="42">
        <v>46217</v>
      </c>
      <c r="D18" s="9" t="s">
        <v>710</v>
      </c>
      <c r="E18" s="44">
        <v>0.04</v>
      </c>
      <c r="F18" s="44">
        <v>0.045</v>
      </c>
      <c r="G18" s="7">
        <f>AVERAGE(E18,F18)</f>
        <v>0.042499999999999996</v>
      </c>
      <c r="H18" s="9" t="s">
        <v>48</v>
      </c>
      <c r="I18" s="9" t="s">
        <v>711</v>
      </c>
      <c r="J18" s="9" t="s">
        <v>712</v>
      </c>
      <c r="K18" s="24" t="s">
        <v>719</v>
      </c>
    </row>
    <row r="19">
      <c r="A19" s="1"/>
      <c r="B19" s="1" t="s">
        <v>720</v>
      </c>
      <c r="C19" s="42">
        <v>46217</v>
      </c>
      <c r="D19" s="9" t="s">
        <v>721</v>
      </c>
      <c r="E19" s="2">
        <f>'Segment - USCC'!I104</f>
        <v>-659</v>
      </c>
      <c r="F19" s="2">
        <f>'Segment - USCC'!I104</f>
        <v>-659</v>
      </c>
      <c r="G19" s="21">
        <f>AVERAGE(E19,F19)</f>
        <v>-659</v>
      </c>
      <c r="H19" s="2">
        <f>'Segment - USCC'!J104</f>
        <v>-648.4623999999999</v>
      </c>
      <c r="I19" s="103" t="str">
        <f>IF(H19&gt;F19,"Above",IF(H19&lt;E19,"Below","In range"))</f>
        <v>Above</v>
      </c>
      <c r="J19" s="9" t="s">
        <v>712</v>
      </c>
      <c r="K19" s="24" t="s">
        <v>722</v>
      </c>
    </row>
    <row r="20">
      <c r="A20" s="1"/>
      <c r="B20" s="1" t="s">
        <v>723</v>
      </c>
      <c r="C20" s="42">
        <v>46279</v>
      </c>
      <c r="D20" s="9" t="s">
        <v>721</v>
      </c>
      <c r="E20" s="44">
        <v>0.04</v>
      </c>
      <c r="F20" s="44">
        <v>0.06</v>
      </c>
      <c r="G20" s="7">
        <f>AVERAGE(E20,F20)</f>
        <v>0.05</v>
      </c>
      <c r="H20" s="52">
        <f>'Segment - Markets'!J40/'Segment - Markets'!E40-1</f>
        <v>0.0793228894691036</v>
      </c>
      <c r="I20" s="104" t="str">
        <f>IF(H20&gt;F20,"Above",IF(H20&lt;E20,"Below","In range"))</f>
        <v>Above</v>
      </c>
      <c r="J20" s="9" t="s">
        <v>724</v>
      </c>
      <c r="K20" s="24" t="s">
        <v>725</v>
      </c>
    </row>
    <row r="21">
      <c r="A21" s="1"/>
      <c r="B21" s="1" t="s">
        <v>726</v>
      </c>
      <c r="C21" s="42">
        <v>46279</v>
      </c>
      <c r="D21" s="9" t="s">
        <v>721</v>
      </c>
      <c r="E21" s="44">
        <v>0.01</v>
      </c>
      <c r="F21" s="44">
        <v>0.03</v>
      </c>
      <c r="G21" s="7">
        <f>AVERAGE(E21,F21)</f>
        <v>0.02</v>
      </c>
      <c r="H21" s="52">
        <f>'Segment - Banking'!J32/'Segment - Banking'!E32-1</f>
        <v>0.05962035541195476</v>
      </c>
      <c r="I21" s="104" t="str">
        <f>IF(H21&gt;F21,"Above",IF(H21&lt;E21,"Below","In range"))</f>
        <v>Above</v>
      </c>
      <c r="J21" s="9" t="s">
        <v>724</v>
      </c>
      <c r="K21" s="24" t="s">
        <v>727</v>
      </c>
    </row>
    <row r="22">
      <c r="A22" s="1"/>
      <c r="B22" s="1" t="s">
        <v>728</v>
      </c>
      <c r="C22" s="42">
        <v>46279</v>
      </c>
      <c r="D22" s="9" t="s">
        <v>710</v>
      </c>
      <c r="E22" s="44">
        <v>0.11</v>
      </c>
      <c r="F22" s="9" t="s">
        <v>48</v>
      </c>
      <c r="G22" s="9" t="s">
        <v>48</v>
      </c>
      <c r="H22" s="9" t="s">
        <v>48</v>
      </c>
      <c r="I22" s="9" t="s">
        <v>711</v>
      </c>
      <c r="J22" s="9" t="s">
        <v>724</v>
      </c>
      <c r="K22" s="24" t="s">
        <v>729</v>
      </c>
    </row>
    <row r="23">
      <c r="A23" s="1"/>
      <c r="B23" s="1" t="s">
        <v>730</v>
      </c>
      <c r="C23" s="42">
        <v>46279</v>
      </c>
      <c r="D23" s="9" t="s">
        <v>710</v>
      </c>
      <c r="E23" s="44">
        <v>0.06</v>
      </c>
      <c r="F23" s="9" t="s">
        <v>48</v>
      </c>
      <c r="G23" s="9" t="s">
        <v>48</v>
      </c>
      <c r="H23" s="9" t="s">
        <v>48</v>
      </c>
      <c r="I23" s="9" t="s">
        <v>711</v>
      </c>
      <c r="J23" s="9" t="s">
        <v>724</v>
      </c>
      <c r="K23" s="24" t="s">
        <v>731</v>
      </c>
    </row>
    <row r="24">
      <c r="A24" s="1"/>
      <c r="B24" s="1" t="s">
        <v>732</v>
      </c>
      <c r="C24" s="42">
        <v>46279</v>
      </c>
      <c r="D24" s="9" t="s">
        <v>710</v>
      </c>
      <c r="E24" s="9" t="s">
        <v>48</v>
      </c>
      <c r="F24" s="44">
        <v>0.6</v>
      </c>
      <c r="G24" s="9" t="s">
        <v>48</v>
      </c>
      <c r="H24" s="9" t="s">
        <v>48</v>
      </c>
      <c r="I24" s="9" t="s">
        <v>711</v>
      </c>
      <c r="J24" s="9" t="s">
        <v>724</v>
      </c>
      <c r="K24" s="24" t="s">
        <v>733</v>
      </c>
    </row>
    <row r="25">
      <c r="A25" s="1"/>
      <c r="B25" s="1" t="s">
        <v>734</v>
      </c>
      <c r="C25" s="42">
        <v>46279</v>
      </c>
      <c r="D25" s="9" t="s">
        <v>735</v>
      </c>
      <c r="E25" s="28">
        <v>500</v>
      </c>
      <c r="F25" s="28">
        <v>500</v>
      </c>
      <c r="G25" s="21">
        <f>AVERAGE(E25,F25)</f>
        <v>500</v>
      </c>
      <c r="H25" s="9" t="s">
        <v>48</v>
      </c>
      <c r="I25" s="9" t="s">
        <v>711</v>
      </c>
      <c r="J25" s="9" t="s">
        <v>724</v>
      </c>
      <c r="K25" s="24" t="s">
        <v>736</v>
      </c>
    </row>
    <row r="26" ht="27.75">
      <c r="A26" s="1"/>
      <c r="B26" s="1" t="s">
        <v>737</v>
      </c>
      <c r="C26" s="42">
        <v>46197</v>
      </c>
      <c r="D26" s="9" t="s">
        <v>721</v>
      </c>
      <c r="E26" s="10">
        <v>0.67</v>
      </c>
      <c r="F26" s="10">
        <v>0.67</v>
      </c>
      <c r="G26" s="45">
        <f>AVERAGE(E26,F26)</f>
        <v>0.67</v>
      </c>
      <c r="H26" s="3">
        <f>'Share Count'!J32</f>
        <v>0.67</v>
      </c>
      <c r="I26" s="106" t="str">
        <f>IF(ABS(H26-G26)&lt;0.0001,"Met","Differs")</f>
        <v>Met</v>
      </c>
      <c r="J26" s="9" t="s">
        <v>738</v>
      </c>
      <c r="K26" s="112" t="s">
        <v>739</v>
      </c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>
      <c r="A28" s="1"/>
      <c r="B28" s="1" t="s">
        <v>740</v>
      </c>
      <c r="C28" s="1"/>
      <c r="D28" s="1"/>
      <c r="E28" s="1"/>
      <c r="F28" s="1"/>
      <c r="G28" s="1"/>
      <c r="H28" s="1"/>
      <c r="I28" s="1"/>
      <c r="J28" s="1"/>
      <c r="K28" s="1"/>
    </row>
    <row r="29">
      <c r="A29" s="1"/>
      <c r="B29" s="1" t="s">
        <v>741</v>
      </c>
      <c r="C29" s="1"/>
      <c r="D29" s="1"/>
      <c r="E29" s="1"/>
      <c r="F29" s="1"/>
      <c r="G29" s="1"/>
      <c r="H29" s="1"/>
      <c r="I29" s="1"/>
      <c r="J29" s="1"/>
      <c r="K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dimension ref="A1:K4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742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689</v>
      </c>
      <c r="C6" s="5"/>
      <c r="D6" s="5"/>
      <c r="E6" s="5"/>
      <c r="F6" s="5"/>
      <c r="G6" s="5"/>
      <c r="H6" s="5"/>
      <c r="I6" s="5"/>
      <c r="J6" s="5"/>
      <c r="K6" s="35" t="s">
        <v>12</v>
      </c>
    </row>
    <row r="7">
      <c r="A7" s="1"/>
      <c r="B7" s="19"/>
      <c r="C7" s="15"/>
      <c r="D7" s="15"/>
      <c r="E7" s="15"/>
      <c r="F7" s="15"/>
      <c r="G7" s="15"/>
      <c r="H7" s="15"/>
      <c r="I7" s="15"/>
      <c r="J7" s="15"/>
      <c r="K7" s="19"/>
    </row>
    <row r="8">
      <c r="A8" s="1"/>
      <c r="B8" s="16"/>
      <c r="C8" s="14"/>
      <c r="D8" s="11"/>
      <c r="E8" s="11"/>
      <c r="F8" s="11"/>
      <c r="G8" s="11"/>
      <c r="H8" s="11"/>
      <c r="I8" s="11"/>
      <c r="J8" s="11"/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46" t="s">
        <v>743</v>
      </c>
      <c r="C10" s="6" t="s">
        <v>744</v>
      </c>
      <c r="D10" s="105" t="s">
        <v>745</v>
      </c>
      <c r="E10" s="1"/>
      <c r="F10" s="1"/>
      <c r="G10" s="105" t="s">
        <v>746</v>
      </c>
      <c r="H10" s="1"/>
      <c r="I10" s="1"/>
      <c r="J10" s="1"/>
      <c r="K10" s="56" t="s">
        <v>747</v>
      </c>
    </row>
    <row r="11">
      <c r="A11" s="1"/>
      <c r="B11" s="1" t="s">
        <v>748</v>
      </c>
      <c r="C11" s="102">
        <v>46306</v>
      </c>
      <c r="D11" s="12" t="s">
        <v>749</v>
      </c>
      <c r="E11" s="1"/>
      <c r="F11" s="1"/>
      <c r="G11" s="12" t="s">
        <v>750</v>
      </c>
      <c r="H11" s="1"/>
      <c r="I11" s="1"/>
      <c r="J11" s="1"/>
      <c r="K11" s="48" t="s">
        <v>751</v>
      </c>
    </row>
    <row r="12">
      <c r="A12" s="1"/>
      <c r="B12" s="1" t="s">
        <v>752</v>
      </c>
      <c r="C12" s="102">
        <v>46306</v>
      </c>
      <c r="D12" s="12" t="s">
        <v>749</v>
      </c>
      <c r="E12" s="1"/>
      <c r="F12" s="1"/>
      <c r="G12" s="12" t="s">
        <v>753</v>
      </c>
      <c r="H12" s="1"/>
      <c r="I12" s="1"/>
      <c r="J12" s="1"/>
      <c r="K12" s="48" t="s">
        <v>754</v>
      </c>
    </row>
    <row r="13" ht="27.75">
      <c r="A13" s="1"/>
      <c r="B13" s="1" t="s">
        <v>755</v>
      </c>
      <c r="C13" s="102">
        <v>46217</v>
      </c>
      <c r="D13" s="12" t="s">
        <v>756</v>
      </c>
      <c r="E13" s="1"/>
      <c r="F13" s="1"/>
      <c r="G13" s="12" t="s">
        <v>757</v>
      </c>
      <c r="H13" s="1"/>
      <c r="I13" s="1"/>
      <c r="J13" s="1"/>
      <c r="K13" s="114" t="s">
        <v>758</v>
      </c>
    </row>
    <row r="14" ht="27.75">
      <c r="A14" s="1"/>
      <c r="B14" s="1" t="s">
        <v>759</v>
      </c>
      <c r="C14" s="102">
        <v>46126</v>
      </c>
      <c r="D14" s="12" t="s">
        <v>760</v>
      </c>
      <c r="E14" s="1"/>
      <c r="F14" s="1"/>
      <c r="G14" s="12" t="s">
        <v>761</v>
      </c>
      <c r="H14" s="1"/>
      <c r="I14" s="1"/>
      <c r="J14" s="1"/>
      <c r="K14" s="114" t="s">
        <v>762</v>
      </c>
    </row>
    <row r="15" ht="27.75">
      <c r="A15" s="1"/>
      <c r="B15" s="1" t="s">
        <v>763</v>
      </c>
      <c r="C15" s="102">
        <v>45944</v>
      </c>
      <c r="D15" s="12" t="s">
        <v>764</v>
      </c>
      <c r="E15" s="1"/>
      <c r="F15" s="1"/>
      <c r="G15" s="12" t="s">
        <v>765</v>
      </c>
      <c r="H15" s="1"/>
      <c r="I15" s="1"/>
      <c r="J15" s="1"/>
      <c r="K15" s="114" t="s">
        <v>766</v>
      </c>
    </row>
    <row r="16" ht="27.75">
      <c r="A16" s="1"/>
      <c r="B16" s="1" t="s">
        <v>712</v>
      </c>
      <c r="C16" s="102">
        <v>46217</v>
      </c>
      <c r="D16" s="12" t="s">
        <v>767</v>
      </c>
      <c r="E16" s="1"/>
      <c r="F16" s="1"/>
      <c r="G16" s="12" t="s">
        <v>768</v>
      </c>
      <c r="H16" s="1"/>
      <c r="I16" s="1"/>
      <c r="J16" s="1"/>
      <c r="K16" s="114" t="s">
        <v>769</v>
      </c>
    </row>
    <row r="17" ht="27.75">
      <c r="A17" s="1"/>
      <c r="B17" s="1" t="s">
        <v>770</v>
      </c>
      <c r="C17" s="102">
        <v>46217</v>
      </c>
      <c r="D17" s="12" t="s">
        <v>771</v>
      </c>
      <c r="E17" s="1"/>
      <c r="F17" s="1"/>
      <c r="G17" s="12" t="s">
        <v>772</v>
      </c>
      <c r="H17" s="1"/>
      <c r="I17" s="1"/>
      <c r="J17" s="1"/>
      <c r="K17" s="114" t="s">
        <v>773</v>
      </c>
    </row>
    <row r="18" ht="27.75">
      <c r="A18" s="1"/>
      <c r="B18" s="1" t="s">
        <v>724</v>
      </c>
      <c r="C18" s="102">
        <v>46279</v>
      </c>
      <c r="D18" s="12" t="s">
        <v>774</v>
      </c>
      <c r="E18" s="1"/>
      <c r="F18" s="1"/>
      <c r="G18" s="12" t="s">
        <v>775</v>
      </c>
      <c r="H18" s="1"/>
      <c r="I18" s="1"/>
      <c r="J18" s="1"/>
      <c r="K18" s="114" t="s">
        <v>776</v>
      </c>
    </row>
    <row r="19" ht="27.75">
      <c r="A19" s="1"/>
      <c r="B19" s="1" t="s">
        <v>777</v>
      </c>
      <c r="C19" s="102">
        <v>46240</v>
      </c>
      <c r="D19" s="12" t="s">
        <v>778</v>
      </c>
      <c r="E19" s="1"/>
      <c r="F19" s="1"/>
      <c r="G19" s="12" t="s">
        <v>779</v>
      </c>
      <c r="H19" s="1"/>
      <c r="I19" s="1"/>
      <c r="J19" s="1"/>
      <c r="K19" s="114" t="s">
        <v>780</v>
      </c>
    </row>
    <row r="20" ht="27.75">
      <c r="A20" s="1"/>
      <c r="B20" s="1" t="s">
        <v>781</v>
      </c>
      <c r="C20" s="102">
        <v>46149</v>
      </c>
      <c r="D20" s="12" t="s">
        <v>782</v>
      </c>
      <c r="E20" s="1"/>
      <c r="F20" s="1"/>
      <c r="G20" s="12" t="s">
        <v>783</v>
      </c>
      <c r="H20" s="1"/>
      <c r="I20" s="1"/>
      <c r="J20" s="1"/>
      <c r="K20" s="114" t="s">
        <v>784</v>
      </c>
    </row>
    <row r="21" ht="27.75">
      <c r="A21" s="1"/>
      <c r="B21" s="1" t="s">
        <v>785</v>
      </c>
      <c r="C21" s="102">
        <v>45967</v>
      </c>
      <c r="D21" s="12" t="s">
        <v>786</v>
      </c>
      <c r="E21" s="1"/>
      <c r="F21" s="1"/>
      <c r="G21" s="12" t="s">
        <v>787</v>
      </c>
      <c r="H21" s="1"/>
      <c r="I21" s="1"/>
      <c r="J21" s="1"/>
      <c r="K21" s="114" t="s">
        <v>788</v>
      </c>
    </row>
    <row r="22" ht="27.75">
      <c r="A22" s="1"/>
      <c r="B22" s="1" t="s">
        <v>789</v>
      </c>
      <c r="C22" s="102">
        <v>46073</v>
      </c>
      <c r="D22" s="12" t="s">
        <v>790</v>
      </c>
      <c r="E22" s="1"/>
      <c r="F22" s="1"/>
      <c r="G22" s="12" t="s">
        <v>791</v>
      </c>
      <c r="H22" s="1"/>
      <c r="I22" s="1"/>
      <c r="J22" s="1"/>
      <c r="K22" s="114" t="s">
        <v>792</v>
      </c>
    </row>
    <row r="23" ht="27.75">
      <c r="A23" s="1"/>
      <c r="B23" s="1" t="s">
        <v>793</v>
      </c>
      <c r="C23" s="102">
        <v>46297</v>
      </c>
      <c r="D23" s="12" t="s">
        <v>794</v>
      </c>
      <c r="E23" s="1"/>
      <c r="F23" s="1"/>
      <c r="G23" s="12" t="s">
        <v>795</v>
      </c>
      <c r="H23" s="1"/>
      <c r="I23" s="1"/>
      <c r="J23" s="1"/>
      <c r="K23" s="114" t="s">
        <v>796</v>
      </c>
    </row>
    <row r="24" ht="40.5">
      <c r="A24" s="1"/>
      <c r="B24" s="1" t="s">
        <v>797</v>
      </c>
      <c r="C24" s="102">
        <v>46224</v>
      </c>
      <c r="D24" s="12" t="s">
        <v>798</v>
      </c>
      <c r="E24" s="1"/>
      <c r="F24" s="1"/>
      <c r="G24" s="12" t="s">
        <v>799</v>
      </c>
      <c r="H24" s="1"/>
      <c r="I24" s="1"/>
      <c r="J24" s="1"/>
      <c r="K24" s="114" t="s">
        <v>800</v>
      </c>
    </row>
    <row r="25" ht="27.75">
      <c r="A25" s="1"/>
      <c r="B25" s="1" t="s">
        <v>801</v>
      </c>
      <c r="C25" s="102">
        <v>46303</v>
      </c>
      <c r="D25" s="12" t="s">
        <v>802</v>
      </c>
      <c r="E25" s="1"/>
      <c r="F25" s="1"/>
      <c r="G25" s="12" t="s">
        <v>803</v>
      </c>
      <c r="H25" s="1"/>
      <c r="I25" s="1"/>
      <c r="J25" s="1"/>
      <c r="K25" s="114" t="s">
        <v>804</v>
      </c>
    </row>
    <row r="26" ht="27.75">
      <c r="A26" s="1"/>
      <c r="B26" s="1" t="s">
        <v>805</v>
      </c>
      <c r="C26" s="102">
        <v>46304</v>
      </c>
      <c r="D26" s="12" t="s">
        <v>806</v>
      </c>
      <c r="E26" s="1"/>
      <c r="F26" s="1"/>
      <c r="G26" s="12" t="s">
        <v>807</v>
      </c>
      <c r="H26" s="1"/>
      <c r="I26" s="1"/>
      <c r="J26" s="1"/>
      <c r="K26" s="114" t="s">
        <v>808</v>
      </c>
    </row>
    <row r="27">
      <c r="A27" s="1"/>
      <c r="B27" s="1" t="s">
        <v>809</v>
      </c>
      <c r="C27" s="102">
        <v>46304</v>
      </c>
      <c r="D27" s="12" t="s">
        <v>810</v>
      </c>
      <c r="E27" s="1"/>
      <c r="F27" s="1"/>
      <c r="G27" s="12" t="s">
        <v>811</v>
      </c>
      <c r="H27" s="1"/>
      <c r="I27" s="1"/>
      <c r="J27" s="1"/>
      <c r="K27" s="48" t="s">
        <v>812</v>
      </c>
    </row>
    <row r="28" ht="27.75">
      <c r="A28" s="1"/>
      <c r="B28" s="1" t="s">
        <v>813</v>
      </c>
      <c r="C28" s="102">
        <v>46281</v>
      </c>
      <c r="D28" s="12" t="s">
        <v>814</v>
      </c>
      <c r="E28" s="1"/>
      <c r="F28" s="1"/>
      <c r="G28" s="12" t="s">
        <v>815</v>
      </c>
      <c r="H28" s="1"/>
      <c r="I28" s="1"/>
      <c r="J28" s="1"/>
      <c r="K28" s="114" t="s">
        <v>816</v>
      </c>
    </row>
    <row r="29" ht="27.75">
      <c r="A29" s="1"/>
      <c r="B29" s="1" t="s">
        <v>817</v>
      </c>
      <c r="C29" s="102">
        <v>46280</v>
      </c>
      <c r="D29" s="12" t="s">
        <v>818</v>
      </c>
      <c r="E29" s="1"/>
      <c r="F29" s="1"/>
      <c r="G29" s="12" t="s">
        <v>819</v>
      </c>
      <c r="H29" s="1"/>
      <c r="I29" s="1"/>
      <c r="J29" s="1"/>
      <c r="K29" s="114" t="s">
        <v>820</v>
      </c>
    </row>
    <row r="30" ht="27.75">
      <c r="A30" s="1"/>
      <c r="B30" s="1" t="s">
        <v>821</v>
      </c>
      <c r="C30" s="102">
        <v>45909</v>
      </c>
      <c r="D30" s="12" t="s">
        <v>822</v>
      </c>
      <c r="E30" s="1"/>
      <c r="F30" s="1"/>
      <c r="G30" s="12" t="s">
        <v>823</v>
      </c>
      <c r="H30" s="1"/>
      <c r="I30" s="1"/>
      <c r="J30" s="1"/>
      <c r="K30" s="114" t="s">
        <v>824</v>
      </c>
    </row>
    <row r="31" ht="27.75">
      <c r="A31" s="1"/>
      <c r="B31" s="1" t="s">
        <v>825</v>
      </c>
      <c r="C31" s="102">
        <v>46182</v>
      </c>
      <c r="D31" s="12" t="s">
        <v>826</v>
      </c>
      <c r="E31" s="1"/>
      <c r="F31" s="1"/>
      <c r="G31" s="12" t="s">
        <v>827</v>
      </c>
      <c r="H31" s="1"/>
      <c r="I31" s="1"/>
      <c r="J31" s="1"/>
      <c r="K31" s="114" t="s">
        <v>828</v>
      </c>
    </row>
    <row r="32" ht="27.75">
      <c r="A32" s="1"/>
      <c r="B32" s="1" t="s">
        <v>829</v>
      </c>
      <c r="C32" s="102">
        <v>46302</v>
      </c>
      <c r="D32" s="12" t="s">
        <v>830</v>
      </c>
      <c r="E32" s="1"/>
      <c r="F32" s="1"/>
      <c r="G32" s="12" t="s">
        <v>831</v>
      </c>
      <c r="H32" s="1"/>
      <c r="I32" s="1"/>
      <c r="J32" s="1"/>
      <c r="K32" s="114" t="s">
        <v>832</v>
      </c>
    </row>
    <row r="33" ht="27.75">
      <c r="A33" s="1"/>
      <c r="B33" s="1" t="s">
        <v>833</v>
      </c>
      <c r="C33" s="102">
        <v>46296</v>
      </c>
      <c r="D33" s="12" t="s">
        <v>834</v>
      </c>
      <c r="E33" s="1"/>
      <c r="F33" s="1"/>
      <c r="G33" s="12" t="s">
        <v>835</v>
      </c>
      <c r="H33" s="1"/>
      <c r="I33" s="1"/>
      <c r="J33" s="1"/>
      <c r="K33" s="114" t="s">
        <v>836</v>
      </c>
    </row>
    <row r="34" ht="27.75">
      <c r="A34" s="1"/>
      <c r="B34" s="1" t="s">
        <v>837</v>
      </c>
      <c r="C34" s="102">
        <v>45944</v>
      </c>
      <c r="D34" s="12" t="s">
        <v>838</v>
      </c>
      <c r="E34" s="1"/>
      <c r="F34" s="1"/>
      <c r="G34" s="12" t="s">
        <v>839</v>
      </c>
      <c r="H34" s="1"/>
      <c r="I34" s="1"/>
      <c r="J34" s="1"/>
      <c r="K34" s="114" t="s">
        <v>840</v>
      </c>
    </row>
    <row r="35" ht="27.75">
      <c r="A35" s="1"/>
      <c r="B35" s="1" t="s">
        <v>841</v>
      </c>
      <c r="C35" s="102">
        <v>46036</v>
      </c>
      <c r="D35" s="12" t="s">
        <v>842</v>
      </c>
      <c r="E35" s="1"/>
      <c r="F35" s="1"/>
      <c r="G35" s="12" t="s">
        <v>843</v>
      </c>
      <c r="H35" s="1"/>
      <c r="I35" s="1"/>
      <c r="J35" s="1"/>
      <c r="K35" s="114" t="s">
        <v>844</v>
      </c>
    </row>
    <row r="36" ht="27.75">
      <c r="A36" s="1"/>
      <c r="B36" s="1" t="s">
        <v>845</v>
      </c>
      <c r="C36" s="102">
        <v>46197</v>
      </c>
      <c r="D36" s="12" t="s">
        <v>846</v>
      </c>
      <c r="E36" s="1"/>
      <c r="F36" s="1"/>
      <c r="G36" s="12" t="s">
        <v>847</v>
      </c>
      <c r="H36" s="1"/>
      <c r="I36" s="1"/>
      <c r="J36" s="1"/>
      <c r="K36" s="114" t="s">
        <v>848</v>
      </c>
    </row>
    <row r="37" ht="40.5">
      <c r="A37" s="1"/>
      <c r="B37" s="1" t="s">
        <v>849</v>
      </c>
      <c r="C37" s="102">
        <v>46300</v>
      </c>
      <c r="D37" s="12" t="s">
        <v>850</v>
      </c>
      <c r="E37" s="1"/>
      <c r="F37" s="1"/>
      <c r="G37" s="12" t="s">
        <v>851</v>
      </c>
      <c r="H37" s="1"/>
      <c r="I37" s="1"/>
      <c r="J37" s="1"/>
      <c r="K37" s="114" t="s">
        <v>852</v>
      </c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>
      <c r="A39" s="1"/>
      <c r="B39" s="1" t="s">
        <v>853</v>
      </c>
      <c r="C39" s="1"/>
      <c r="D39" s="1"/>
      <c r="E39" s="1"/>
      <c r="F39" s="1"/>
      <c r="G39" s="1"/>
      <c r="H39" s="1"/>
      <c r="I39" s="1"/>
      <c r="J39" s="1"/>
      <c r="K39" s="1"/>
    </row>
    <row r="40">
      <c r="A40" s="1"/>
      <c r="B40" s="1" t="s">
        <v>854</v>
      </c>
      <c r="C40" s="1"/>
      <c r="D40" s="1"/>
      <c r="E40" s="1"/>
      <c r="F40" s="1"/>
      <c r="G40" s="1"/>
      <c r="H40" s="1"/>
      <c r="I40" s="1"/>
      <c r="J40" s="1"/>
      <c r="K40" s="1"/>
    </row>
    <row r="41">
      <c r="A41" s="1"/>
      <c r="B41" s="1" t="s">
        <v>855</v>
      </c>
      <c r="C41" s="1"/>
      <c r="D41" s="1"/>
      <c r="E41" s="1"/>
      <c r="F41" s="1"/>
      <c r="G41" s="1"/>
      <c r="H41" s="1"/>
      <c r="I41" s="1"/>
      <c r="J41" s="1"/>
      <c r="K41" s="1"/>
    </row>
    <row r="42">
      <c r="A42" s="1"/>
      <c r="B42" s="1" t="s">
        <v>856</v>
      </c>
      <c r="C42" s="1"/>
      <c r="D42" s="1"/>
      <c r="E42" s="1"/>
      <c r="F42" s="1"/>
      <c r="G42" s="1"/>
      <c r="H42" s="1"/>
      <c r="I42" s="1"/>
      <c r="J42" s="1"/>
      <c r="K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dimension ref="A1:K11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.5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22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0" t="s">
        <v>857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A6" s="1"/>
      <c r="B6" s="35" t="s">
        <v>689</v>
      </c>
      <c r="C6" s="5"/>
      <c r="D6" s="5"/>
      <c r="E6" s="5"/>
      <c r="F6" s="5"/>
      <c r="G6" s="5"/>
      <c r="H6" s="5"/>
      <c r="I6" s="5"/>
      <c r="J6" s="5"/>
      <c r="K6" s="35" t="s">
        <v>12</v>
      </c>
    </row>
    <row r="7">
      <c r="A7" s="1"/>
      <c r="B7" s="19"/>
      <c r="C7" s="15"/>
      <c r="D7" s="15"/>
      <c r="E7" s="15"/>
      <c r="F7" s="15"/>
      <c r="G7" s="15"/>
      <c r="H7" s="15"/>
      <c r="I7" s="15"/>
      <c r="J7" s="15"/>
      <c r="K7" s="19"/>
    </row>
    <row r="8">
      <c r="A8" s="1"/>
      <c r="B8" s="16"/>
      <c r="C8" s="14"/>
      <c r="D8" s="11"/>
      <c r="E8" s="11"/>
      <c r="F8" s="11"/>
      <c r="G8" s="11"/>
      <c r="H8" s="11"/>
      <c r="I8" s="11"/>
      <c r="J8" s="11"/>
      <c r="K8" s="16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2" t="s">
        <v>858</v>
      </c>
      <c r="C10" s="1"/>
      <c r="D10" s="1"/>
      <c r="E10" s="1"/>
      <c r="F10" s="1"/>
      <c r="G10" s="1"/>
      <c r="H10" s="1"/>
      <c r="I10" s="1"/>
      <c r="J10" s="1"/>
      <c r="K10" s="1"/>
    </row>
    <row r="11">
      <c r="A11" s="1"/>
      <c r="B11" s="1" t="s">
        <v>859</v>
      </c>
      <c r="C11" s="71" t="s">
        <v>860</v>
      </c>
      <c r="D11" s="1"/>
      <c r="E11" s="1"/>
      <c r="F11" s="1"/>
      <c r="G11" s="1"/>
      <c r="H11" s="1"/>
      <c r="I11" s="1"/>
      <c r="J11" s="1"/>
      <c r="K11" s="1"/>
    </row>
    <row r="12">
      <c r="A12" s="1"/>
      <c r="B12" s="1" t="s">
        <v>861</v>
      </c>
      <c r="C12" s="71" t="s">
        <v>18</v>
      </c>
      <c r="D12" s="1"/>
      <c r="E12" s="1"/>
      <c r="F12" s="1"/>
      <c r="G12" s="1"/>
      <c r="H12" s="1"/>
      <c r="I12" s="1"/>
      <c r="J12" s="1"/>
      <c r="K12" s="1"/>
    </row>
    <row r="13">
      <c r="A13" s="1"/>
      <c r="B13" s="1" t="s">
        <v>862</v>
      </c>
      <c r="C13" s="71" t="s">
        <v>863</v>
      </c>
      <c r="D13" s="1"/>
      <c r="E13" s="1"/>
      <c r="F13" s="1"/>
      <c r="G13" s="1"/>
      <c r="H13" s="1"/>
      <c r="I13" s="1"/>
      <c r="J13" s="1"/>
      <c r="K13" s="1"/>
    </row>
    <row r="14">
      <c r="A14" s="1"/>
      <c r="B14" s="1" t="s">
        <v>864</v>
      </c>
      <c r="C14" s="108">
        <v>391687</v>
      </c>
      <c r="D14" s="1"/>
      <c r="E14" s="1"/>
      <c r="F14" s="1"/>
      <c r="G14" s="1"/>
      <c r="H14" s="1"/>
      <c r="I14" s="1"/>
      <c r="J14" s="1"/>
      <c r="K14" s="1"/>
    </row>
    <row r="15">
      <c r="A15" s="1"/>
      <c r="B15" s="1" t="s">
        <v>865</v>
      </c>
      <c r="C15" s="71" t="s">
        <v>866</v>
      </c>
      <c r="D15" s="1"/>
      <c r="E15" s="1"/>
      <c r="F15" s="1"/>
      <c r="G15" s="1"/>
      <c r="H15" s="1"/>
      <c r="I15" s="1"/>
      <c r="J15" s="1"/>
      <c r="K15" s="1"/>
    </row>
    <row r="16">
      <c r="A16" s="1"/>
      <c r="B16" s="1" t="s">
        <v>867</v>
      </c>
      <c r="C16" s="1"/>
      <c r="D16" s="1"/>
      <c r="E16" s="1"/>
      <c r="F16" s="1"/>
      <c r="G16" s="1"/>
      <c r="H16" s="1"/>
      <c r="I16" s="1"/>
      <c r="J16" s="1"/>
      <c r="K16" s="24" t="s">
        <v>868</v>
      </c>
    </row>
    <row r="17">
      <c r="A17" s="1"/>
      <c r="B17" s="1" t="s">
        <v>869</v>
      </c>
      <c r="C17" s="71" t="s">
        <v>870</v>
      </c>
      <c r="D17" s="1"/>
      <c r="E17" s="1"/>
      <c r="F17" s="1"/>
      <c r="G17" s="1"/>
      <c r="H17" s="1"/>
      <c r="I17" s="1"/>
      <c r="J17" s="1"/>
      <c r="K17" s="1"/>
    </row>
    <row r="18">
      <c r="A18" s="1"/>
      <c r="B18" s="1" t="s">
        <v>871</v>
      </c>
      <c r="C18" s="102">
        <v>46295</v>
      </c>
      <c r="D18" s="1"/>
      <c r="E18" s="1"/>
      <c r="F18" s="1"/>
      <c r="G18" s="1"/>
      <c r="H18" s="1"/>
      <c r="I18" s="1"/>
      <c r="J18" s="1"/>
      <c r="K18" s="1"/>
    </row>
    <row r="19">
      <c r="A19" s="1"/>
      <c r="B19" s="1" t="s">
        <v>872</v>
      </c>
      <c r="C19" s="102">
        <v>46308</v>
      </c>
      <c r="D19" s="1"/>
      <c r="E19" s="1"/>
      <c r="F19" s="1"/>
      <c r="G19" s="1"/>
      <c r="H19" s="1"/>
      <c r="I19" s="1"/>
      <c r="J19" s="1"/>
      <c r="K19" s="1"/>
    </row>
    <row r="20">
      <c r="A20" s="1"/>
      <c r="B20" s="1" t="s">
        <v>873</v>
      </c>
      <c r="C20" s="71" t="s">
        <v>874</v>
      </c>
      <c r="D20" s="1"/>
      <c r="E20" s="1"/>
      <c r="F20" s="1"/>
      <c r="G20" s="1"/>
      <c r="H20" s="1"/>
      <c r="I20" s="1"/>
      <c r="J20" s="1"/>
      <c r="K20" s="1"/>
    </row>
    <row r="21">
      <c r="A21" s="1"/>
      <c r="B21" s="1" t="s">
        <v>875</v>
      </c>
      <c r="C21" s="107">
        <v>23</v>
      </c>
      <c r="D21" s="1"/>
      <c r="E21" s="1"/>
      <c r="F21" s="1"/>
      <c r="G21" s="1"/>
      <c r="H21" s="1"/>
      <c r="I21" s="1"/>
      <c r="J21" s="1"/>
      <c r="K21" s="1"/>
    </row>
    <row r="22">
      <c r="A22" s="1"/>
      <c r="B22" s="1" t="s">
        <v>876</v>
      </c>
      <c r="C22" s="73">
        <v>2.62</v>
      </c>
      <c r="D22" s="1"/>
      <c r="E22" s="1"/>
      <c r="F22" s="1"/>
      <c r="G22" s="1"/>
      <c r="H22" s="1"/>
      <c r="I22" s="1"/>
      <c r="J22" s="1"/>
      <c r="K22" s="1"/>
    </row>
    <row r="23">
      <c r="A23" s="1"/>
      <c r="B23" s="1" t="s">
        <v>877</v>
      </c>
      <c r="C23" s="73">
        <v>2.63</v>
      </c>
      <c r="D23" s="1"/>
      <c r="E23" s="1"/>
      <c r="F23" s="1"/>
      <c r="G23" s="1"/>
      <c r="H23" s="1"/>
      <c r="I23" s="1"/>
      <c r="J23" s="1"/>
      <c r="K23" s="1"/>
    </row>
    <row r="24">
      <c r="A24" s="1"/>
      <c r="B24" s="1" t="s">
        <v>878</v>
      </c>
      <c r="C24" s="73">
        <v>2.7</v>
      </c>
      <c r="D24" s="1"/>
      <c r="E24" s="1"/>
      <c r="F24" s="1"/>
      <c r="G24" s="1"/>
      <c r="H24" s="1"/>
      <c r="I24" s="1"/>
      <c r="J24" s="1"/>
      <c r="K24" s="1"/>
    </row>
    <row r="25">
      <c r="A25" s="1"/>
      <c r="B25" s="1" t="s">
        <v>879</v>
      </c>
      <c r="C25" s="73">
        <v>2.54</v>
      </c>
      <c r="D25" s="1"/>
      <c r="E25" s="1"/>
      <c r="F25" s="1"/>
      <c r="G25" s="1"/>
      <c r="H25" s="1"/>
      <c r="I25" s="1"/>
      <c r="J25" s="1"/>
      <c r="K25" s="1"/>
    </row>
    <row r="26">
      <c r="A26" s="1"/>
      <c r="B26" s="1" t="s">
        <v>880</v>
      </c>
      <c r="C26" s="73">
        <v>0.05</v>
      </c>
      <c r="D26" s="1"/>
      <c r="E26" s="1"/>
      <c r="F26" s="1"/>
      <c r="G26" s="1"/>
      <c r="H26" s="1"/>
      <c r="I26" s="1"/>
      <c r="J26" s="1"/>
      <c r="K26" s="1"/>
    </row>
    <row r="27">
      <c r="A27" s="1"/>
      <c r="B27" s="1" t="s">
        <v>881</v>
      </c>
      <c r="C27" s="107">
        <v>8</v>
      </c>
      <c r="D27" s="1"/>
      <c r="E27" s="1"/>
      <c r="F27" s="1"/>
      <c r="G27" s="1"/>
      <c r="H27" s="1"/>
      <c r="I27" s="1"/>
      <c r="J27" s="1"/>
      <c r="K27" s="1"/>
    </row>
    <row r="28">
      <c r="A28" s="1"/>
      <c r="B28" s="1" t="s">
        <v>882</v>
      </c>
      <c r="C28" s="1"/>
      <c r="D28" s="1"/>
      <c r="E28" s="1"/>
      <c r="F28" s="1"/>
      <c r="G28" s="1"/>
      <c r="H28" s="1"/>
      <c r="I28" s="1"/>
      <c r="J28" s="1"/>
      <c r="K28" s="24" t="s">
        <v>868</v>
      </c>
    </row>
    <row r="29">
      <c r="A29" s="1"/>
      <c r="B29" s="1" t="s">
        <v>883</v>
      </c>
      <c r="C29" s="1"/>
      <c r="D29" s="1"/>
      <c r="E29" s="1"/>
      <c r="F29" s="1"/>
      <c r="G29" s="1"/>
      <c r="H29" s="1"/>
      <c r="I29" s="1"/>
      <c r="J29" s="1"/>
      <c r="K29" s="24" t="s">
        <v>868</v>
      </c>
    </row>
    <row r="30">
      <c r="A30" s="1"/>
      <c r="B30" s="1" t="s">
        <v>884</v>
      </c>
      <c r="C30" s="1"/>
      <c r="D30" s="1"/>
      <c r="E30" s="1"/>
      <c r="F30" s="1"/>
      <c r="G30" s="1"/>
      <c r="H30" s="1"/>
      <c r="I30" s="1"/>
      <c r="J30" s="1"/>
      <c r="K30" s="24" t="s">
        <v>868</v>
      </c>
    </row>
    <row r="31">
      <c r="A31" s="1"/>
      <c r="B31" s="1" t="s">
        <v>885</v>
      </c>
      <c r="C31" s="73">
        <v>2.65</v>
      </c>
      <c r="D31" s="1"/>
      <c r="E31" s="1"/>
      <c r="F31" s="1"/>
      <c r="G31" s="1"/>
      <c r="H31" s="1"/>
      <c r="I31" s="1"/>
      <c r="J31" s="1"/>
      <c r="K31" s="1"/>
    </row>
    <row r="32">
      <c r="A32" s="1"/>
      <c r="B32" s="1" t="s">
        <v>886</v>
      </c>
      <c r="C32" s="73">
        <v>2.66</v>
      </c>
      <c r="D32" s="1"/>
      <c r="E32" s="1"/>
      <c r="F32" s="1"/>
      <c r="G32" s="1"/>
      <c r="H32" s="1"/>
      <c r="I32" s="1"/>
      <c r="J32" s="1"/>
      <c r="K32" s="1"/>
    </row>
    <row r="33">
      <c r="A33" s="1"/>
      <c r="B33" s="1" t="s">
        <v>887</v>
      </c>
      <c r="C33" s="73">
        <v>2.73</v>
      </c>
      <c r="D33" s="1"/>
      <c r="E33" s="1"/>
      <c r="F33" s="1"/>
      <c r="G33" s="1"/>
      <c r="H33" s="1"/>
      <c r="I33" s="1"/>
      <c r="J33" s="1"/>
      <c r="K33" s="1"/>
    </row>
    <row r="34">
      <c r="A34" s="1"/>
      <c r="B34" s="1" t="s">
        <v>888</v>
      </c>
      <c r="C34" s="73">
        <v>2.54</v>
      </c>
      <c r="D34" s="1"/>
      <c r="E34" s="1"/>
      <c r="F34" s="1"/>
      <c r="G34" s="1"/>
      <c r="H34" s="1"/>
      <c r="I34" s="1"/>
      <c r="J34" s="1"/>
      <c r="K34" s="1"/>
    </row>
    <row r="35">
      <c r="A35" s="1"/>
      <c r="B35" s="1" t="s">
        <v>889</v>
      </c>
      <c r="C35" s="73">
        <v>0.04</v>
      </c>
      <c r="D35" s="1"/>
      <c r="E35" s="1"/>
      <c r="F35" s="1"/>
      <c r="G35" s="1"/>
      <c r="H35" s="1"/>
      <c r="I35" s="1"/>
      <c r="J35" s="1"/>
      <c r="K35" s="1"/>
    </row>
    <row r="36">
      <c r="A36" s="1"/>
      <c r="B36" s="1" t="s">
        <v>890</v>
      </c>
      <c r="C36" s="107">
        <v>17</v>
      </c>
      <c r="D36" s="1"/>
      <c r="E36" s="1"/>
      <c r="F36" s="1"/>
      <c r="G36" s="1"/>
      <c r="H36" s="1"/>
      <c r="I36" s="1"/>
      <c r="J36" s="1"/>
      <c r="K36" s="1"/>
    </row>
    <row r="37">
      <c r="A37" s="1"/>
      <c r="B37" s="1" t="s">
        <v>891</v>
      </c>
      <c r="C37" s="1"/>
      <c r="D37" s="1"/>
      <c r="E37" s="1"/>
      <c r="F37" s="1"/>
      <c r="G37" s="1"/>
      <c r="H37" s="1"/>
      <c r="I37" s="1"/>
      <c r="J37" s="1"/>
      <c r="K37" s="24" t="s">
        <v>868</v>
      </c>
    </row>
    <row r="38">
      <c r="A38" s="1"/>
      <c r="B38" s="1" t="s">
        <v>892</v>
      </c>
      <c r="C38" s="74">
        <v>23719.32</v>
      </c>
      <c r="D38" s="1"/>
      <c r="E38" s="1"/>
      <c r="F38" s="1"/>
      <c r="G38" s="1"/>
      <c r="H38" s="1"/>
      <c r="I38" s="1"/>
      <c r="J38" s="1"/>
      <c r="K38" s="1"/>
    </row>
    <row r="39">
      <c r="A39" s="1"/>
      <c r="B39" s="1" t="s">
        <v>893</v>
      </c>
      <c r="C39" s="74">
        <v>23721</v>
      </c>
      <c r="D39" s="1"/>
      <c r="E39" s="1"/>
      <c r="F39" s="1"/>
      <c r="G39" s="1"/>
      <c r="H39" s="1"/>
      <c r="I39" s="1"/>
      <c r="J39" s="1"/>
      <c r="K39" s="1"/>
    </row>
    <row r="40">
      <c r="A40" s="1"/>
      <c r="B40" s="1" t="s">
        <v>894</v>
      </c>
      <c r="C40" s="74">
        <v>23951</v>
      </c>
      <c r="D40" s="1"/>
      <c r="E40" s="1"/>
      <c r="F40" s="1"/>
      <c r="G40" s="1"/>
      <c r="H40" s="1"/>
      <c r="I40" s="1"/>
      <c r="J40" s="1"/>
      <c r="K40" s="1"/>
    </row>
    <row r="41">
      <c r="A41" s="1"/>
      <c r="B41" s="1" t="s">
        <v>895</v>
      </c>
      <c r="C41" s="74">
        <v>23455</v>
      </c>
      <c r="D41" s="1"/>
      <c r="E41" s="1"/>
      <c r="F41" s="1"/>
      <c r="G41" s="1"/>
      <c r="H41" s="1"/>
      <c r="I41" s="1"/>
      <c r="J41" s="1"/>
      <c r="K41" s="1"/>
    </row>
    <row r="42">
      <c r="A42" s="1"/>
      <c r="B42" s="1" t="s">
        <v>896</v>
      </c>
      <c r="C42" s="73">
        <v>155.92</v>
      </c>
      <c r="D42" s="1"/>
      <c r="E42" s="1"/>
      <c r="F42" s="1"/>
      <c r="G42" s="1"/>
      <c r="H42" s="1"/>
      <c r="I42" s="1"/>
      <c r="J42" s="1"/>
      <c r="K42" s="1"/>
    </row>
    <row r="43">
      <c r="A43" s="1"/>
      <c r="B43" s="1" t="s">
        <v>897</v>
      </c>
      <c r="C43" s="107">
        <v>13</v>
      </c>
      <c r="D43" s="1"/>
      <c r="E43" s="1"/>
      <c r="F43" s="1"/>
      <c r="G43" s="1"/>
      <c r="H43" s="1"/>
      <c r="I43" s="1"/>
      <c r="J43" s="1"/>
      <c r="K43" s="1"/>
    </row>
    <row r="44">
      <c r="A44" s="1"/>
      <c r="B44" s="1" t="s">
        <v>898</v>
      </c>
      <c r="C44" s="1"/>
      <c r="D44" s="1"/>
      <c r="E44" s="1"/>
      <c r="F44" s="1"/>
      <c r="G44" s="1"/>
      <c r="H44" s="1"/>
      <c r="I44" s="1"/>
      <c r="J44" s="1"/>
      <c r="K44" s="24" t="s">
        <v>868</v>
      </c>
    </row>
    <row r="45">
      <c r="A45" s="1"/>
      <c r="B45" s="1" t="s">
        <v>899</v>
      </c>
      <c r="C45" s="1"/>
      <c r="D45" s="1"/>
      <c r="E45" s="1"/>
      <c r="F45" s="1"/>
      <c r="G45" s="1"/>
      <c r="H45" s="1"/>
      <c r="I45" s="1"/>
      <c r="J45" s="1"/>
      <c r="K45" s="24" t="s">
        <v>868</v>
      </c>
    </row>
    <row r="46">
      <c r="A46" s="1"/>
      <c r="B46" s="1" t="s">
        <v>900</v>
      </c>
      <c r="C46" s="1"/>
      <c r="D46" s="1"/>
      <c r="E46" s="1"/>
      <c r="F46" s="1"/>
      <c r="G46" s="1"/>
      <c r="H46" s="1"/>
      <c r="I46" s="1"/>
      <c r="J46" s="1"/>
      <c r="K46" s="24" t="s">
        <v>868</v>
      </c>
    </row>
    <row r="47">
      <c r="A47" s="1"/>
      <c r="B47" s="1" t="s">
        <v>901</v>
      </c>
      <c r="C47" s="1"/>
      <c r="D47" s="1"/>
      <c r="E47" s="1"/>
      <c r="F47" s="1"/>
      <c r="G47" s="1"/>
      <c r="H47" s="1"/>
      <c r="I47" s="1"/>
      <c r="J47" s="1"/>
      <c r="K47" s="24" t="s">
        <v>868</v>
      </c>
    </row>
    <row r="48">
      <c r="A48" s="1"/>
      <c r="B48" s="1" t="s">
        <v>902</v>
      </c>
      <c r="C48" s="74">
        <v>9259.83</v>
      </c>
      <c r="D48" s="1"/>
      <c r="E48" s="1"/>
      <c r="F48" s="1"/>
      <c r="G48" s="1"/>
      <c r="H48" s="1"/>
      <c r="I48" s="1"/>
      <c r="J48" s="1"/>
      <c r="K48" s="1"/>
    </row>
    <row r="49">
      <c r="A49" s="1"/>
      <c r="B49" s="1" t="s">
        <v>903</v>
      </c>
      <c r="C49" s="74">
        <v>6631.74</v>
      </c>
      <c r="D49" s="1"/>
      <c r="E49" s="1"/>
      <c r="F49" s="1"/>
      <c r="G49" s="1"/>
      <c r="H49" s="1"/>
      <c r="I49" s="1"/>
      <c r="J49" s="1"/>
      <c r="K49" s="1"/>
    </row>
    <row r="50">
      <c r="A50" s="1"/>
      <c r="B50" s="1" t="s">
        <v>904</v>
      </c>
      <c r="C50" s="74">
        <v>6699.88</v>
      </c>
      <c r="D50" s="1"/>
      <c r="E50" s="1"/>
      <c r="F50" s="1"/>
      <c r="G50" s="1"/>
      <c r="H50" s="1"/>
      <c r="I50" s="1"/>
      <c r="J50" s="1"/>
      <c r="K50" s="1"/>
    </row>
    <row r="51">
      <c r="A51" s="1"/>
      <c r="B51" s="1" t="s">
        <v>905</v>
      </c>
      <c r="C51" s="74">
        <v>4475.57</v>
      </c>
      <c r="D51" s="1"/>
      <c r="E51" s="1"/>
      <c r="F51" s="1"/>
      <c r="G51" s="1"/>
      <c r="H51" s="1"/>
      <c r="I51" s="1"/>
      <c r="J51" s="1"/>
      <c r="K51" s="1"/>
    </row>
    <row r="52">
      <c r="A52" s="1"/>
      <c r="B52" s="1" t="s">
        <v>906</v>
      </c>
      <c r="C52" s="74">
        <v>4491.64</v>
      </c>
      <c r="D52" s="1"/>
      <c r="E52" s="1"/>
      <c r="F52" s="1"/>
      <c r="G52" s="1"/>
      <c r="H52" s="1"/>
      <c r="I52" s="1"/>
      <c r="J52" s="1"/>
      <c r="K52" s="1"/>
    </row>
    <row r="53">
      <c r="A53" s="1"/>
      <c r="B53" s="1" t="s">
        <v>907</v>
      </c>
      <c r="C53" s="73">
        <v>2.45</v>
      </c>
      <c r="D53" s="1"/>
      <c r="E53" s="1"/>
      <c r="F53" s="1"/>
      <c r="G53" s="1"/>
      <c r="H53" s="1"/>
      <c r="I53" s="1"/>
      <c r="J53" s="1"/>
      <c r="K53" s="1"/>
    </row>
    <row r="54">
      <c r="A54" s="1"/>
      <c r="B54" s="1" t="s">
        <v>908</v>
      </c>
      <c r="C54" s="73">
        <v>24.9</v>
      </c>
      <c r="D54" s="1"/>
      <c r="E54" s="1"/>
      <c r="F54" s="1"/>
      <c r="G54" s="1"/>
      <c r="H54" s="1"/>
      <c r="I54" s="1"/>
      <c r="J54" s="1"/>
      <c r="K54" s="1"/>
    </row>
    <row r="55">
      <c r="A55" s="1"/>
      <c r="B55" s="1" t="s">
        <v>909</v>
      </c>
      <c r="C55" s="1"/>
      <c r="D55" s="1"/>
      <c r="E55" s="1"/>
      <c r="F55" s="1"/>
      <c r="G55" s="1"/>
      <c r="H55" s="1"/>
      <c r="I55" s="1"/>
      <c r="J55" s="1"/>
      <c r="K55" s="24" t="s">
        <v>868</v>
      </c>
    </row>
    <row r="56">
      <c r="A56" s="1"/>
      <c r="B56" s="1" t="s">
        <v>910</v>
      </c>
      <c r="C56" s="1"/>
      <c r="D56" s="1"/>
      <c r="E56" s="1"/>
      <c r="F56" s="1"/>
      <c r="G56" s="1"/>
      <c r="H56" s="1"/>
      <c r="I56" s="1"/>
      <c r="J56" s="1"/>
      <c r="K56" s="24" t="s">
        <v>868</v>
      </c>
    </row>
    <row r="57">
      <c r="A57" s="1"/>
      <c r="B57" s="1" t="s">
        <v>911</v>
      </c>
      <c r="C57" s="1"/>
      <c r="D57" s="1"/>
      <c r="E57" s="1"/>
      <c r="F57" s="1"/>
      <c r="G57" s="1"/>
      <c r="H57" s="1"/>
      <c r="I57" s="1"/>
      <c r="J57" s="1"/>
      <c r="K57" s="24" t="s">
        <v>868</v>
      </c>
    </row>
    <row r="58">
      <c r="A58" s="1"/>
      <c r="B58" s="1" t="s">
        <v>912</v>
      </c>
      <c r="C58" s="1"/>
      <c r="D58" s="1"/>
      <c r="E58" s="1"/>
      <c r="F58" s="1"/>
      <c r="G58" s="1"/>
      <c r="H58" s="1"/>
      <c r="I58" s="1"/>
      <c r="J58" s="1"/>
      <c r="K58" s="24" t="s">
        <v>868</v>
      </c>
    </row>
    <row r="59">
      <c r="A59" s="1"/>
      <c r="B59" s="1" t="s">
        <v>913</v>
      </c>
      <c r="C59" s="1"/>
      <c r="D59" s="1"/>
      <c r="E59" s="1"/>
      <c r="F59" s="1"/>
      <c r="G59" s="1"/>
      <c r="H59" s="1"/>
      <c r="I59" s="1"/>
      <c r="J59" s="1"/>
      <c r="K59" s="24" t="s">
        <v>868</v>
      </c>
    </row>
    <row r="60">
      <c r="A60" s="1"/>
      <c r="B60" s="1" t="s">
        <v>914</v>
      </c>
      <c r="C60" s="1"/>
      <c r="D60" s="1"/>
      <c r="E60" s="1"/>
      <c r="F60" s="1"/>
      <c r="G60" s="1"/>
      <c r="H60" s="1"/>
      <c r="I60" s="1"/>
      <c r="J60" s="1"/>
      <c r="K60" s="24" t="s">
        <v>868</v>
      </c>
    </row>
    <row r="61">
      <c r="A61" s="1"/>
      <c r="B61" s="1" t="s">
        <v>915</v>
      </c>
      <c r="C61" s="1"/>
      <c r="D61" s="1"/>
      <c r="E61" s="1"/>
      <c r="F61" s="1"/>
      <c r="G61" s="1"/>
      <c r="H61" s="1"/>
      <c r="I61" s="1"/>
      <c r="J61" s="1"/>
      <c r="K61" s="24" t="s">
        <v>868</v>
      </c>
    </row>
    <row r="62">
      <c r="A62" s="1"/>
      <c r="B62" s="1" t="s">
        <v>916</v>
      </c>
      <c r="C62" s="1"/>
      <c r="D62" s="1"/>
      <c r="E62" s="1"/>
      <c r="F62" s="1"/>
      <c r="G62" s="1"/>
      <c r="H62" s="1"/>
      <c r="I62" s="1"/>
      <c r="J62" s="1"/>
      <c r="K62" s="24" t="s">
        <v>868</v>
      </c>
    </row>
    <row r="63">
      <c r="A63" s="1"/>
      <c r="B63" s="1" t="s">
        <v>917</v>
      </c>
      <c r="C63" s="1"/>
      <c r="D63" s="1"/>
      <c r="E63" s="1"/>
      <c r="F63" s="1"/>
      <c r="G63" s="1"/>
      <c r="H63" s="1"/>
      <c r="I63" s="1"/>
      <c r="J63" s="1"/>
      <c r="K63" s="24" t="s">
        <v>868</v>
      </c>
    </row>
    <row r="64">
      <c r="A64" s="1"/>
      <c r="B64" s="1" t="s">
        <v>918</v>
      </c>
      <c r="C64" s="74">
        <v>168170.75</v>
      </c>
      <c r="D64" s="1"/>
      <c r="E64" s="1"/>
      <c r="F64" s="1"/>
      <c r="G64" s="1"/>
      <c r="H64" s="1"/>
      <c r="I64" s="1"/>
      <c r="J64" s="1"/>
      <c r="K64" s="1"/>
    </row>
    <row r="65">
      <c r="A65" s="1"/>
      <c r="B65" s="1" t="s">
        <v>919</v>
      </c>
      <c r="C65" s="1"/>
      <c r="D65" s="1"/>
      <c r="E65" s="1"/>
      <c r="F65" s="1"/>
      <c r="G65" s="1"/>
      <c r="H65" s="1"/>
      <c r="I65" s="1"/>
      <c r="J65" s="1"/>
      <c r="K65" s="24" t="s">
        <v>868</v>
      </c>
    </row>
    <row r="66">
      <c r="A66" s="1"/>
      <c r="B66" s="1" t="s">
        <v>920</v>
      </c>
      <c r="C66" s="73">
        <v>9.5</v>
      </c>
      <c r="D66" s="1"/>
      <c r="E66" s="1"/>
      <c r="F66" s="1"/>
      <c r="G66" s="1"/>
      <c r="H66" s="1"/>
      <c r="I66" s="1"/>
      <c r="J66" s="1"/>
      <c r="K66" s="1"/>
    </row>
    <row r="67">
      <c r="A67" s="1"/>
      <c r="B67" s="1" t="s">
        <v>921</v>
      </c>
      <c r="C67" s="73">
        <v>152.19</v>
      </c>
      <c r="D67" s="1"/>
      <c r="E67" s="1"/>
      <c r="F67" s="1"/>
      <c r="G67" s="1"/>
      <c r="H67" s="1"/>
      <c r="I67" s="1"/>
      <c r="J67" s="1"/>
      <c r="K67" s="1"/>
    </row>
    <row r="68">
      <c r="A68" s="1"/>
      <c r="B68" s="1" t="s">
        <v>922</v>
      </c>
      <c r="C68" s="73">
        <v>154</v>
      </c>
      <c r="D68" s="1"/>
      <c r="E68" s="1"/>
      <c r="F68" s="1"/>
      <c r="G68" s="1"/>
      <c r="H68" s="1"/>
      <c r="I68" s="1"/>
      <c r="J68" s="1"/>
      <c r="K68" s="1"/>
    </row>
    <row r="69">
      <c r="A69" s="1"/>
      <c r="B69" s="1" t="s">
        <v>923</v>
      </c>
      <c r="C69" s="73">
        <v>170</v>
      </c>
      <c r="D69" s="1"/>
      <c r="E69" s="1"/>
      <c r="F69" s="1"/>
      <c r="G69" s="1"/>
      <c r="H69" s="1"/>
      <c r="I69" s="1"/>
      <c r="J69" s="1"/>
      <c r="K69" s="1"/>
    </row>
    <row r="70">
      <c r="A70" s="1"/>
      <c r="B70" s="1" t="s">
        <v>924</v>
      </c>
      <c r="C70" s="73">
        <v>130</v>
      </c>
      <c r="D70" s="1"/>
      <c r="E70" s="1"/>
      <c r="F70" s="1"/>
      <c r="G70" s="1"/>
      <c r="H70" s="1"/>
      <c r="I70" s="1"/>
      <c r="J70" s="1"/>
      <c r="K70" s="1"/>
    </row>
    <row r="71">
      <c r="A71" s="1"/>
      <c r="B71" s="1" t="s">
        <v>925</v>
      </c>
      <c r="C71" s="73">
        <v>10.26</v>
      </c>
      <c r="D71" s="1"/>
      <c r="E71" s="1"/>
      <c r="F71" s="1"/>
      <c r="G71" s="1"/>
      <c r="H71" s="1"/>
      <c r="I71" s="1"/>
      <c r="J71" s="1"/>
      <c r="K71" s="1"/>
    </row>
    <row r="72">
      <c r="A72" s="1"/>
      <c r="B72" s="1" t="s">
        <v>926</v>
      </c>
      <c r="C72" s="107">
        <v>21</v>
      </c>
      <c r="D72" s="1"/>
      <c r="E72" s="1"/>
      <c r="F72" s="1"/>
      <c r="G72" s="1"/>
      <c r="H72" s="1"/>
      <c r="I72" s="1"/>
      <c r="J72" s="1"/>
      <c r="K72" s="1"/>
    </row>
    <row r="73">
      <c r="A73" s="1"/>
      <c r="B73" s="1" t="s">
        <v>927</v>
      </c>
      <c r="C73" s="71" t="s">
        <v>928</v>
      </c>
      <c r="D73" s="1"/>
      <c r="E73" s="1"/>
      <c r="F73" s="1"/>
      <c r="G73" s="1"/>
      <c r="H73" s="1"/>
      <c r="I73" s="1"/>
      <c r="J73" s="1"/>
      <c r="K73" s="1"/>
    </row>
    <row r="74">
      <c r="A74" s="1"/>
      <c r="B74" s="1" t="s">
        <v>929</v>
      </c>
      <c r="C74" s="73">
        <v>1.65</v>
      </c>
      <c r="D74" s="1"/>
      <c r="E74" s="1"/>
      <c r="F74" s="1"/>
      <c r="G74" s="1"/>
      <c r="H74" s="1"/>
      <c r="I74" s="1"/>
      <c r="J74" s="1"/>
      <c r="K74" s="1"/>
    </row>
    <row r="75">
      <c r="A75" s="1"/>
      <c r="B75" s="1" t="s">
        <v>930</v>
      </c>
      <c r="C75" s="73">
        <v>129.64</v>
      </c>
      <c r="D75" s="1"/>
      <c r="E75" s="1"/>
      <c r="F75" s="1"/>
      <c r="G75" s="1"/>
      <c r="H75" s="1"/>
      <c r="I75" s="1"/>
      <c r="J75" s="1"/>
      <c r="K75" s="1"/>
    </row>
    <row r="76">
      <c r="A76" s="1"/>
      <c r="B76" s="1" t="s">
        <v>931</v>
      </c>
      <c r="C76" s="71" t="s">
        <v>932</v>
      </c>
      <c r="D76" s="1"/>
      <c r="E76" s="1"/>
      <c r="F76" s="1"/>
      <c r="G76" s="1"/>
      <c r="H76" s="1"/>
      <c r="I76" s="1"/>
      <c r="J76" s="1"/>
      <c r="K76" s="1"/>
    </row>
    <row r="77">
      <c r="A77" s="1"/>
      <c r="B77" s="1" t="s">
        <v>933</v>
      </c>
      <c r="C77" s="71" t="s">
        <v>24</v>
      </c>
      <c r="D77" s="1"/>
      <c r="E77" s="1"/>
      <c r="F77" s="1"/>
      <c r="G77" s="1"/>
      <c r="H77" s="1"/>
      <c r="I77" s="1"/>
      <c r="J77" s="1"/>
      <c r="K77" s="1"/>
    </row>
    <row r="78">
      <c r="A78" s="1"/>
      <c r="B78" s="1" t="s">
        <v>934</v>
      </c>
      <c r="C78" s="71" t="s">
        <v>935</v>
      </c>
      <c r="D78" s="1"/>
      <c r="E78" s="1"/>
      <c r="F78" s="1"/>
      <c r="G78" s="1"/>
      <c r="H78" s="1"/>
      <c r="I78" s="1"/>
      <c r="J78" s="1"/>
      <c r="K78" s="1"/>
    </row>
    <row r="79">
      <c r="A79" s="1"/>
      <c r="B79" s="1" t="s">
        <v>936</v>
      </c>
      <c r="C79" s="102">
        <v>46306</v>
      </c>
      <c r="D79" s="1"/>
      <c r="E79" s="1"/>
      <c r="F79" s="1"/>
      <c r="G79" s="1"/>
      <c r="H79" s="1"/>
      <c r="I79" s="1"/>
      <c r="J79" s="1"/>
      <c r="K79" s="1"/>
    </row>
    <row r="80">
      <c r="A80" s="1"/>
      <c r="B80" s="1" t="s">
        <v>937</v>
      </c>
      <c r="C80" s="1"/>
      <c r="D80" s="1"/>
      <c r="E80" s="1"/>
      <c r="F80" s="1"/>
      <c r="G80" s="1"/>
      <c r="H80" s="1"/>
      <c r="I80" s="1"/>
      <c r="J80" s="1"/>
      <c r="K80" s="24" t="s">
        <v>868</v>
      </c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>
      <c r="A82" s="1"/>
      <c r="B82" s="22" t="s">
        <v>938</v>
      </c>
      <c r="C82" s="1"/>
      <c r="D82" s="1"/>
      <c r="E82" s="1"/>
      <c r="F82" s="1"/>
      <c r="G82" s="1"/>
      <c r="H82" s="1"/>
      <c r="I82" s="1"/>
      <c r="J82" s="1"/>
      <c r="K82" s="1"/>
    </row>
    <row r="83" ht="30">
      <c r="A83" s="1"/>
      <c r="B83" s="120" t="s">
        <v>939</v>
      </c>
      <c r="C83" s="6" t="s">
        <v>940</v>
      </c>
      <c r="D83" s="6" t="s">
        <v>941</v>
      </c>
      <c r="E83" s="6" t="s">
        <v>942</v>
      </c>
      <c r="F83" s="6" t="s">
        <v>943</v>
      </c>
      <c r="G83" s="6" t="s">
        <v>944</v>
      </c>
      <c r="H83" s="6" t="s">
        <v>945</v>
      </c>
      <c r="I83" s="6" t="s">
        <v>946</v>
      </c>
      <c r="J83" s="1"/>
      <c r="K83" s="1"/>
    </row>
    <row r="84">
      <c r="A84" s="1"/>
      <c r="B84" s="118">
        <v>45747</v>
      </c>
      <c r="C84" s="42">
        <v>45762</v>
      </c>
      <c r="D84" s="69">
        <v>1.85</v>
      </c>
      <c r="E84" s="69">
        <v>1.96</v>
      </c>
      <c r="F84" s="69">
        <v>1.85</v>
      </c>
      <c r="G84" s="69">
        <v>1.96</v>
      </c>
      <c r="H84" s="69">
        <v>21287.11</v>
      </c>
      <c r="I84" s="69">
        <v>21596</v>
      </c>
      <c r="J84" s="1"/>
      <c r="K84" s="1"/>
    </row>
    <row r="85">
      <c r="A85" s="1"/>
      <c r="B85" s="118">
        <v>45838</v>
      </c>
      <c r="C85" s="42">
        <v>45853</v>
      </c>
      <c r="D85" s="69">
        <v>1.59</v>
      </c>
      <c r="E85" s="69">
        <v>2.04</v>
      </c>
      <c r="F85" s="69">
        <v>1.61</v>
      </c>
      <c r="G85" s="69">
        <v>1.96</v>
      </c>
      <c r="H85" s="69">
        <v>20961.64</v>
      </c>
      <c r="I85" s="69">
        <v>21668</v>
      </c>
      <c r="J85" s="1"/>
      <c r="K85" s="1"/>
    </row>
    <row r="86">
      <c r="A86" s="1"/>
      <c r="B86" s="118">
        <v>45930</v>
      </c>
      <c r="C86" s="42">
        <v>45944</v>
      </c>
      <c r="D86" s="69">
        <v>1.93</v>
      </c>
      <c r="E86" s="69">
        <v>2.26</v>
      </c>
      <c r="F86" s="69">
        <v>1.72</v>
      </c>
      <c r="G86" s="69">
        <v>1.86</v>
      </c>
      <c r="H86" s="69">
        <v>21182.68</v>
      </c>
      <c r="I86" s="69">
        <v>22090</v>
      </c>
      <c r="J86" s="1"/>
      <c r="K86" s="1"/>
    </row>
    <row r="87">
      <c r="A87" s="1"/>
      <c r="B87" s="118">
        <v>46022</v>
      </c>
      <c r="C87" s="42">
        <v>46036</v>
      </c>
      <c r="D87" s="69">
        <v>1.62</v>
      </c>
      <c r="E87" s="69">
        <v>1.24</v>
      </c>
      <c r="F87" s="69">
        <v>1.34</v>
      </c>
      <c r="G87" s="69">
        <v>1.19</v>
      </c>
      <c r="H87" s="69">
        <v>20448.56</v>
      </c>
      <c r="I87" s="69">
        <v>19871</v>
      </c>
      <c r="J87" s="1"/>
      <c r="K87" s="1"/>
    </row>
    <row r="88">
      <c r="A88" s="1"/>
      <c r="B88" s="118">
        <v>46112</v>
      </c>
      <c r="C88" s="42">
        <v>46126</v>
      </c>
      <c r="D88" s="69">
        <v>2.6</v>
      </c>
      <c r="E88" s="69">
        <v>3.06</v>
      </c>
      <c r="F88" s="69">
        <v>2.61</v>
      </c>
      <c r="G88" s="69">
        <v>3.06</v>
      </c>
      <c r="H88" s="69">
        <v>23467.16</v>
      </c>
      <c r="I88" s="69">
        <v>24633</v>
      </c>
      <c r="J88" s="1"/>
      <c r="K88" s="1"/>
    </row>
    <row r="89">
      <c r="A89" s="1"/>
      <c r="B89" s="118">
        <v>46203</v>
      </c>
      <c r="C89" s="42">
        <v>46217</v>
      </c>
      <c r="D89" s="69">
        <v>2.71</v>
      </c>
      <c r="E89" s="69">
        <v>3.14</v>
      </c>
      <c r="F89" s="69">
        <v>2.73</v>
      </c>
      <c r="G89" s="69">
        <v>3.15</v>
      </c>
      <c r="H89" s="69">
        <v>23732.25</v>
      </c>
      <c r="I89" s="69">
        <v>24766</v>
      </c>
      <c r="J89" s="1"/>
      <c r="K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>
      <c r="A91" s="1"/>
      <c r="B91" s="22" t="s">
        <v>947</v>
      </c>
      <c r="C91" s="1"/>
      <c r="D91" s="1"/>
      <c r="E91" s="1"/>
      <c r="F91" s="1"/>
      <c r="G91" s="1"/>
      <c r="H91" s="1"/>
      <c r="I91" s="1"/>
      <c r="J91" s="1"/>
      <c r="K91" s="1"/>
    </row>
    <row r="92" ht="30">
      <c r="A92" s="1"/>
      <c r="B92" s="120" t="s">
        <v>948</v>
      </c>
      <c r="C92" s="6" t="s">
        <v>949</v>
      </c>
      <c r="D92" s="6" t="s">
        <v>950</v>
      </c>
      <c r="E92" s="1"/>
      <c r="F92" s="1"/>
      <c r="G92" s="1"/>
      <c r="H92" s="1"/>
      <c r="I92" s="1"/>
      <c r="J92" s="1"/>
      <c r="K92" s="1"/>
    </row>
    <row r="93">
      <c r="A93" s="1"/>
      <c r="B93" s="119">
        <f>B84</f>
        <v>45747</v>
      </c>
      <c r="C93" s="70">
        <f>E84-D84</f>
        <v>0.10999999999999988</v>
      </c>
      <c r="D93" s="70">
        <f>IF(E84&gt;D84,1,0)</f>
        <v>1</v>
      </c>
      <c r="E93" s="1"/>
      <c r="F93" s="1"/>
      <c r="G93" s="1"/>
      <c r="H93" s="1"/>
      <c r="I93" s="1"/>
      <c r="J93" s="1"/>
      <c r="K93" s="1"/>
    </row>
    <row r="94">
      <c r="A94" s="1"/>
      <c r="B94" s="119">
        <f>B85</f>
        <v>45838</v>
      </c>
      <c r="C94" s="70">
        <f>E85-D85</f>
        <v>0.44999999999999996</v>
      </c>
      <c r="D94" s="70">
        <f>IF(E85&gt;D85,1,0)</f>
        <v>1</v>
      </c>
      <c r="E94" s="1"/>
      <c r="F94" s="1"/>
      <c r="G94" s="1"/>
      <c r="H94" s="1"/>
      <c r="I94" s="1"/>
      <c r="J94" s="1"/>
      <c r="K94" s="1"/>
    </row>
    <row r="95">
      <c r="A95" s="1"/>
      <c r="B95" s="119">
        <f>B86</f>
        <v>45930</v>
      </c>
      <c r="C95" s="70">
        <f>E86-D86</f>
        <v>0.32999999999999985</v>
      </c>
      <c r="D95" s="70">
        <f>IF(E86&gt;D86,1,0)</f>
        <v>1</v>
      </c>
      <c r="E95" s="1"/>
      <c r="F95" s="1"/>
      <c r="G95" s="1"/>
      <c r="H95" s="1"/>
      <c r="I95" s="1"/>
      <c r="J95" s="1"/>
      <c r="K95" s="1"/>
    </row>
    <row r="96">
      <c r="A96" s="1"/>
      <c r="B96" s="119">
        <f>B87</f>
        <v>46022</v>
      </c>
      <c r="C96" s="70">
        <f>E87-D87</f>
        <v>-0.3800000000000001</v>
      </c>
      <c r="D96" s="70">
        <f>IF(E87&gt;D87,1,0)</f>
        <v>0</v>
      </c>
      <c r="E96" s="1"/>
      <c r="F96" s="1"/>
      <c r="G96" s="1"/>
      <c r="H96" s="1"/>
      <c r="I96" s="1"/>
      <c r="J96" s="1"/>
      <c r="K96" s="1"/>
    </row>
    <row r="97">
      <c r="A97" s="1"/>
      <c r="B97" s="119">
        <f>B88</f>
        <v>46112</v>
      </c>
      <c r="C97" s="70">
        <f>E88-D88</f>
        <v>0.45999999999999996</v>
      </c>
      <c r="D97" s="70">
        <f>IF(E88&gt;D88,1,0)</f>
        <v>1</v>
      </c>
      <c r="E97" s="1"/>
      <c r="F97" s="1"/>
      <c r="G97" s="1"/>
      <c r="H97" s="1"/>
      <c r="I97" s="1"/>
      <c r="J97" s="1"/>
      <c r="K97" s="1"/>
    </row>
    <row r="98">
      <c r="A98" s="1"/>
      <c r="B98" s="119">
        <f>B89</f>
        <v>46203</v>
      </c>
      <c r="C98" s="70">
        <f>E89-D89</f>
        <v>0.43000000000000016</v>
      </c>
      <c r="D98" s="70">
        <f>IF(E89&gt;D89,1,0)</f>
        <v>1</v>
      </c>
      <c r="E98" s="1"/>
      <c r="F98" s="1"/>
      <c r="G98" s="1"/>
      <c r="H98" s="1"/>
      <c r="I98" s="1"/>
      <c r="J98" s="1"/>
      <c r="K98" s="1"/>
    </row>
    <row r="99" ht="27.75">
      <c r="A99" s="1"/>
      <c r="B99" s="1" t="s">
        <v>951</v>
      </c>
      <c r="C99" s="74">
        <v>217460</v>
      </c>
      <c r="D99" s="1"/>
      <c r="E99" s="1"/>
      <c r="F99" s="1"/>
      <c r="G99" s="1"/>
      <c r="H99" s="1"/>
      <c r="I99" s="1"/>
      <c r="J99" s="1"/>
      <c r="K99" s="112" t="s">
        <v>952</v>
      </c>
    </row>
    <row r="100">
      <c r="A100" s="1"/>
      <c r="B100" s="1" t="s">
        <v>953</v>
      </c>
      <c r="C100" s="74">
        <v>10000</v>
      </c>
      <c r="D100" s="1"/>
      <c r="E100" s="1"/>
      <c r="F100" s="1"/>
      <c r="G100" s="1"/>
      <c r="H100" s="1"/>
      <c r="I100" s="1"/>
      <c r="J100" s="1"/>
      <c r="K100" s="1"/>
    </row>
    <row r="101">
      <c r="A101" s="1"/>
      <c r="B101" s="1" t="s">
        <v>954</v>
      </c>
      <c r="C101" s="74">
        <v>2000</v>
      </c>
      <c r="D101" s="1"/>
      <c r="E101" s="1"/>
      <c r="F101" s="1"/>
      <c r="G101" s="1"/>
      <c r="H101" s="1"/>
      <c r="I101" s="1"/>
      <c r="J101" s="1"/>
      <c r="K101" s="1"/>
    </row>
    <row r="102">
      <c r="A102" s="1"/>
      <c r="B102" s="4" t="s">
        <v>955</v>
      </c>
      <c r="C102" s="88">
        <v>0.78</v>
      </c>
      <c r="D102" s="1"/>
      <c r="E102" s="1"/>
      <c r="F102" s="1"/>
      <c r="G102" s="1"/>
      <c r="H102" s="1"/>
      <c r="I102" s="1"/>
      <c r="J102" s="1"/>
      <c r="K102" s="1"/>
    </row>
    <row r="103">
      <c r="A103" s="1"/>
      <c r="B103" s="4" t="s">
        <v>956</v>
      </c>
      <c r="C103" s="88">
        <v>0.7</v>
      </c>
      <c r="D103" s="1"/>
      <c r="E103" s="1"/>
      <c r="F103" s="1"/>
      <c r="G103" s="1"/>
      <c r="H103" s="1"/>
      <c r="I103" s="1"/>
      <c r="J103" s="1"/>
      <c r="K103" s="1"/>
    </row>
    <row r="104">
      <c r="A104" s="1"/>
      <c r="B104" s="4" t="s">
        <v>957</v>
      </c>
      <c r="C104" s="88">
        <v>0.6</v>
      </c>
      <c r="D104" s="1"/>
      <c r="E104" s="1"/>
      <c r="F104" s="1"/>
      <c r="G104" s="1"/>
      <c r="H104" s="1"/>
      <c r="I104" s="1"/>
      <c r="J104" s="1"/>
      <c r="K104" s="1"/>
    </row>
    <row r="105">
      <c r="A105" s="1"/>
      <c r="B105" s="1" t="s">
        <v>958</v>
      </c>
      <c r="C105" s="68" t="str">
        <f>IF(C99&gt;C100,"Large",IF(C99&gt;=C101,"Mid","Small"))</f>
        <v>Large</v>
      </c>
      <c r="D105" s="1"/>
      <c r="E105" s="1"/>
      <c r="F105" s="1"/>
      <c r="G105" s="1"/>
      <c r="H105" s="1"/>
      <c r="I105" s="1"/>
      <c r="J105" s="1"/>
      <c r="K105" s="1"/>
    </row>
    <row r="106">
      <c r="A106" s="1"/>
      <c r="B106" s="1" t="s">
        <v>959</v>
      </c>
      <c r="C106" s="68" t="str">
        <f>C15</f>
        <v>Y</v>
      </c>
      <c r="D106" s="1"/>
      <c r="E106" s="1"/>
      <c r="F106" s="1"/>
      <c r="G106" s="1"/>
      <c r="H106" s="1"/>
      <c r="I106" s="1"/>
      <c r="J106" s="1"/>
      <c r="K106" s="1"/>
    </row>
    <row r="107">
      <c r="A107" s="1"/>
      <c r="B107" s="4" t="s">
        <v>960</v>
      </c>
      <c r="C107" s="95">
        <f>IF(OR(C105="Large",C106="Y"),C102,IF(C105="Mid",C103,C104))</f>
        <v>0.78</v>
      </c>
      <c r="D107" s="1"/>
      <c r="E107" s="1"/>
      <c r="F107" s="1"/>
      <c r="G107" s="1"/>
      <c r="H107" s="1"/>
      <c r="I107" s="1"/>
      <c r="J107" s="1"/>
      <c r="K107" s="1"/>
    </row>
    <row r="108">
      <c r="A108" s="1"/>
      <c r="B108" s="1" t="s">
        <v>961</v>
      </c>
      <c r="C108" s="84">
        <v>8</v>
      </c>
      <c r="D108" s="1"/>
      <c r="E108" s="1"/>
      <c r="F108" s="1"/>
      <c r="G108" s="1"/>
      <c r="H108" s="1"/>
      <c r="I108" s="1"/>
      <c r="J108" s="1"/>
      <c r="K108" s="1"/>
    </row>
    <row r="109">
      <c r="A109" s="1"/>
      <c r="B109" s="1" t="s">
        <v>962</v>
      </c>
      <c r="C109" s="99">
        <f>SUM(D93:D98)</f>
        <v>5</v>
      </c>
      <c r="D109" s="1"/>
      <c r="E109" s="1"/>
      <c r="F109" s="1"/>
      <c r="G109" s="1"/>
      <c r="H109" s="1"/>
      <c r="I109" s="1"/>
      <c r="J109" s="1"/>
      <c r="K109" s="1"/>
    </row>
    <row r="110">
      <c r="A110" s="1"/>
      <c r="B110" s="1" t="s">
        <v>963</v>
      </c>
      <c r="C110" s="99">
        <f>COUNT(C93:C98)</f>
        <v>6</v>
      </c>
      <c r="D110" s="1"/>
      <c r="E110" s="1"/>
      <c r="F110" s="1"/>
      <c r="G110" s="1"/>
      <c r="H110" s="1"/>
      <c r="I110" s="1"/>
      <c r="J110" s="1"/>
      <c r="K110" s="1"/>
    </row>
    <row r="111">
      <c r="A111" s="1"/>
      <c r="B111" s="4" t="s">
        <v>964</v>
      </c>
      <c r="C111" s="95">
        <f>(C108*C107+C109)/(C108+C110)</f>
        <v>0.8028571428571428</v>
      </c>
      <c r="D111" s="1"/>
      <c r="E111" s="1"/>
      <c r="F111" s="1"/>
      <c r="G111" s="1"/>
      <c r="H111" s="1"/>
      <c r="I111" s="1"/>
      <c r="J111" s="1"/>
      <c r="K111" s="1"/>
    </row>
    <row r="112" ht="27.75">
      <c r="A112" s="1"/>
      <c r="B112" s="4" t="s">
        <v>965</v>
      </c>
      <c r="C112" s="88">
        <v>0.77</v>
      </c>
      <c r="D112" s="1"/>
      <c r="E112" s="1"/>
      <c r="F112" s="1"/>
      <c r="G112" s="1"/>
      <c r="H112" s="1"/>
      <c r="I112" s="1"/>
      <c r="J112" s="1"/>
      <c r="K112" s="112" t="s">
        <v>966</v>
      </c>
    </row>
    <row r="113">
      <c r="A113" s="1"/>
      <c r="B113" s="4" t="s">
        <v>967</v>
      </c>
      <c r="C113" s="95">
        <f>C112-C111</f>
        <v>-0.03285714285714281</v>
      </c>
      <c r="D113" s="1"/>
      <c r="E113" s="1"/>
      <c r="F113" s="1"/>
      <c r="G113" s="1"/>
      <c r="H113" s="1"/>
      <c r="I113" s="1"/>
      <c r="J113" s="1"/>
      <c r="K113" s="1"/>
    </row>
    <row r="114">
      <c r="A114" s="1"/>
      <c r="B114" s="1" t="s">
        <v>55</v>
      </c>
      <c r="C114" s="71" t="s">
        <v>968</v>
      </c>
      <c r="D114" s="1"/>
      <c r="E114" s="1"/>
      <c r="F114" s="1"/>
      <c r="G114" s="1"/>
      <c r="H114" s="1"/>
      <c r="I114" s="1"/>
      <c r="J114" s="1"/>
      <c r="K114" s="1"/>
    </row>
    <row r="115">
      <c r="A115" s="1"/>
      <c r="B115" s="1" t="s">
        <v>969</v>
      </c>
      <c r="C115" s="94">
        <f>AVERAGE(C93:C98)</f>
        <v>0.23333333333333328</v>
      </c>
      <c r="D115" s="1"/>
      <c r="E115" s="1"/>
      <c r="F115" s="1"/>
      <c r="G115" s="1"/>
      <c r="H115" s="1"/>
      <c r="I115" s="1"/>
      <c r="J115" s="1"/>
      <c r="K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</sheetData>
</worksheet>
</file>