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onsumer Banking" sheetId="3" r:id="rId4"/>
    <sheet name="Segment - Commercial Banking" sheetId="4" r:id="rId5"/>
    <sheet name="Income Statement" sheetId="5" r:id="rId6"/>
    <sheet name="Balance Sheet" sheetId="6" r:id="rId7"/>
    <sheet name="Cash Flow Statement" sheetId="7" r:id="rId8"/>
    <sheet name="Share Count" sheetId="8" r:id="rId9"/>
    <sheet name="Guidance" sheetId="9" r:id="rId10"/>
    <sheet name="Inputs" sheetId="10" r:id="rId11"/>
    <sheet name="Sources" sheetId="11" r:id="rId12"/>
  </sheets>
  <calcPr calcId="0"/>
</workbook>
</file>

<file path=xl/sharedStrings.xml><?xml version="1.0" encoding="utf-8"?>
<sst xmlns="http://schemas.openxmlformats.org/spreadsheetml/2006/main" count="2111" uniqueCount="1012">
  <si>
    <t>Citizens Financial Group, Inc. (NYSE: CFG)</t>
  </si>
  <si>
    <t>Cover - Company Model - built by Shortcut</t>
  </si>
  <si>
    <t>$ millions, except per share</t>
  </si>
  <si>
    <t>Period</t>
  </si>
  <si>
    <t>3Q26E</t>
  </si>
  <si>
    <t>Notes / sources</t>
  </si>
  <si>
    <t>Period end</t>
  </si>
  <si>
    <t>Days in period</t>
  </si>
  <si>
    <t>Company Model — built by Shortcut</t>
  </si>
  <si>
    <t>Company</t>
  </si>
  <si>
    <t>Citizens Financial Group, Inc.</t>
  </si>
  <si>
    <t>Ticker</t>
  </si>
  <si>
    <t>CFG</t>
  </si>
  <si>
    <t>Exchange</t>
  </si>
  <si>
    <t>NYSE (NYSE:CFG)</t>
  </si>
  <si>
    <t>Fiscal year end</t>
  </si>
  <si>
    <t>Calendar year (Dec 31)</t>
  </si>
  <si>
    <t>Forecast period</t>
  </si>
  <si>
    <t>FQ3 2026 (3Q26E) - quarter ended 30 Sep 2026 ("Sep 2026"); calendar quarter confirmed</t>
  </si>
  <si>
    <t>Currency</t>
  </si>
  <si>
    <t>USD; $ millions except per share</t>
  </si>
  <si>
    <t>EPS basis</t>
  </si>
  <si>
    <t>Normalized diluted EPS per common share (= GAAP; issuer reports no notable items)</t>
  </si>
  <si>
    <t>Information cutoff</t>
  </si>
  <si>
    <t>2026-10-11 22:24 UTC</t>
  </si>
  <si>
    <t>Expected report date</t>
  </si>
  <si>
    <t>2026-10-16 before market open (issuer PR 10 Sep 2026)</t>
  </si>
  <si>
    <t>Author</t>
  </si>
  <si>
    <t>Shortcut</t>
  </si>
  <si>
    <t>3Q26E headline</t>
  </si>
  <si>
    <t>Shortcut est.</t>
  </si>
  <si>
    <t>Consensus</t>
  </si>
  <si>
    <t>Variance</t>
  </si>
  <si>
    <t>Variance %</t>
  </si>
  <si>
    <t>Guide mid</t>
  </si>
  <si>
    <t>Est. - guide</t>
  </si>
  <si>
    <t>Total revenue ($M)</t>
  </si>
  <si>
    <t>Consensus = frozen CapIQ snapshot 2026-10-11 (scoring baseline); guide mid = Guidance tab calc from 3Q26 outlook</t>
  </si>
  <si>
    <t>Net income to common ($M)</t>
  </si>
  <si>
    <t>Consensus = CapIQ net_income_excl_excep_m, frozen 2026-10-11 - REFERENCE ONLY: field definition (NI vs NI to common) not verified; not a scoring baseline</t>
  </si>
  <si>
    <t>Diluted EPS - normalized ($)</t>
  </si>
  <si>
    <t>Diluted EPS - GAAP ($)</t>
  </si>
  <si>
    <t>P(beat consensus EPS)</t>
  </si>
  <si>
    <t>Confidence</t>
  </si>
  <si>
    <t>Overall model check</t>
  </si>
  <si>
    <t>Genuine ties only: historical B:F tie-outs to issuer/CapIQ/10-K, FY25 CF vs reported, historical CF cash vs BS (CF B54:F54), NIM vs reported within D33 bp; IS B36:G36 is a cross-tab link-integrity check (IS lines link to Revenue summary), not independent evidence. Each block must return its expected count of numbers (text/blank = FAIL) and sum|x| &lt; C33 (portable SUMIF form, no array evaluation); any error = FAIL. Forecast identities (Rev G37, BS G46, CF G54 = BS G10 cash plug, IS G120, Share Count row 32, C29:C32) hold by construction and are excluded.</t>
  </si>
  <si>
    <t>Identity: Cover revenue = IS</t>
  </si>
  <si>
    <t>Link identity - true by construction; excluded from C28</t>
  </si>
  <si>
    <t>Identity: Cover NI = IS</t>
  </si>
  <si>
    <t>Identity: Cover EPS = IS</t>
  </si>
  <si>
    <t>Identity: Cover P(beat) = Inputs</t>
  </si>
  <si>
    <t>Check tolerance: exact | NIM (bp)</t>
  </si>
  <si>
    <t>Consensus detail at cutoff (CapIQ, captured 2026-10-11)</t>
  </si>
  <si>
    <t>EPS normalized - # estimates</t>
  </si>
  <si>
    <t>EPS normalized - high</t>
  </si>
  <si>
    <t>EPS normalized - low</t>
  </si>
  <si>
    <t>Revenue - # estimates</t>
  </si>
  <si>
    <t>Revenue - high ($M)</t>
  </si>
  <si>
    <t>Revenue - low ($M)</t>
  </si>
  <si>
    <t>Revenue guidance low ($M, CapIQ)</t>
  </si>
  <si>
    <t>Revenue guidance high ($M, CapIQ)</t>
  </si>
  <si>
    <t>Other consensus references (newer/alternative; not the scoring baseline)</t>
  </si>
  <si>
    <t>MarketBeat EPS / revenue ($M)</t>
  </si>
  <si>
    <t>S25, 9 Oct 2026 (held on Inputs)</t>
  </si>
  <si>
    <t>Earnings Whispers EPS / revenue ($M)</t>
  </si>
  <si>
    <t>S24, 8 Oct 2026; whisper EPS $1.41</t>
  </si>
  <si>
    <t>Key 3Q26E drivers</t>
  </si>
  <si>
    <t>Net interest income ($M)</t>
  </si>
  <si>
    <t>NIM, FTE</t>
  </si>
  <si>
    <t>Noninterest income ($M)</t>
  </si>
  <si>
    <t>Noninterest expense ($M)</t>
  </si>
  <si>
    <t>Provision for credit losses ($M)</t>
  </si>
  <si>
    <t>Effective tax rate</t>
  </si>
  <si>
    <t>Diluted shares (M)</t>
  </si>
  <si>
    <t>Tracked target outputs - 3Q26E (only normalized diluted EPS is scored; other lines tracked, not scored)</t>
  </si>
  <si>
    <t>3Q26E tracked target</t>
  </si>
  <si>
    <t>Status</t>
  </si>
  <si>
    <t>Unit</t>
  </si>
  <si>
    <t>Manifest id | source cell / basis note</t>
  </si>
  <si>
    <t>forecast</t>
  </si>
  <si>
    <t>$M</t>
  </si>
  <si>
    <t>total_revenue | IS G33; GAAP NII + noninterest income</t>
  </si>
  <si>
    <t>net_income_to_common | IS G85; GAAP = normalized (no notable items, IS G96:G98 = 0)</t>
  </si>
  <si>
    <t>scored</t>
  </si>
  <si>
    <t>$/sh</t>
  </si>
  <si>
    <t>normalized_diluted_eps | IS G100 = normalized NI to common IS G99 / diluted shares IS G88</t>
  </si>
  <si>
    <t>gaap_diluted_eps | IS G90</t>
  </si>
  <si>
    <t>M sh</t>
  </si>
  <si>
    <t>diluted_shares | Share Count G21; weighted average diluted</t>
  </si>
  <si>
    <t>Revenue growth Y/Y</t>
  </si>
  <si>
    <t>%</t>
  </si>
  <si>
    <t>revenue_growth | Revenue summary G425; reported Y/Y vs 3Q25A. Issuer-quantified organic growth not disclosed; Revenue summary G428 is an organic proxy equal to reported (M&amp;A and FX set to 0 by judgment, Revenue summary H426:H427)</t>
  </si>
  <si>
    <t>Segment rev. - Consumer ($M)</t>
  </si>
  <si>
    <t>material_segment_revenue | Partly residual build: Segment G55; Other segment = residual plug (Revenue summary G23:G24); segment NCOs exceed consolidated (Consumer H79) - disclosed residual assumptions</t>
  </si>
  <si>
    <t>Segment rev. - Commercial ($M)</t>
  </si>
  <si>
    <t>material_segment_revenue | Partly residual build: Segment G55; see Consumer row above</t>
  </si>
  <si>
    <t>Pretax profit ($M)</t>
  </si>
  <si>
    <t>pretax_profit | IS G68</t>
  </si>
  <si>
    <t>net_interest_income | IS G18; GAAP (non-FTE)</t>
  </si>
  <si>
    <t>fee_noninterest_income | IS G31</t>
  </si>
  <si>
    <t>operating_expenses | IS G60</t>
  </si>
  <si>
    <t>credit_loss_provisions | IS G37 = NCO + reserve build</t>
  </si>
  <si>
    <t>net_interest_margin | Revenue summary G290 (issuer headline FTE); GAAP NIM at G287</t>
  </si>
  <si>
    <t>Average loans &amp; leases ($M)</t>
  </si>
  <si>
    <t>average_loans | Revenue summary G153</t>
  </si>
  <si>
    <t>Average total deposits ($M)</t>
  </si>
  <si>
    <t>average_deposits | Revenue summary G264</t>
  </si>
  <si>
    <t>Operating cash flow ($M)</t>
  </si>
  <si>
    <t>unavail.</t>
  </si>
  <si>
    <t>unavailable</t>
  </si>
  <si>
    <t>operating_cash_flow | Not forecast. CF G18 (proxy 804.9) is a partial balance-sheet-driven scenario; D&amp;A, deferred tax and gains are n.f. zero placeholders</t>
  </si>
  <si>
    <t>Capital expenditures ($M)</t>
  </si>
  <si>
    <t>capital_expenditures | Not forecast. CF G30 = 0 only because premises are held flat (history -21 to -92/qtr); shown n.f.</t>
  </si>
  <si>
    <t>Issuer-defined FCF ($M)</t>
  </si>
  <si>
    <t>n.a.</t>
  </si>
  <si>
    <t>issuer_defined_free_cash_flow | Not applicable: issuer does not define or report FCF (CF G57)</t>
  </si>
  <si>
    <t>Revenue summary</t>
  </si>
  <si>
    <t>3Q25A</t>
  </si>
  <si>
    <t>4Q25A</t>
  </si>
  <si>
    <t>FY25A</t>
  </si>
  <si>
    <t>1Q26A</t>
  </si>
  <si>
    <t>2Q26A</t>
  </si>
  <si>
    <t>Revenue by segment (segment tabs build each line)</t>
  </si>
  <si>
    <t>Consumer Banking revenue</t>
  </si>
  <si>
    <t>Linked from Segment - Consumer Banking</t>
  </si>
  <si>
    <t>% Q/Q</t>
  </si>
  <si>
    <t>% of total revenue</t>
  </si>
  <si>
    <t>Total Y/Y growth</t>
  </si>
  <si>
    <t>M&amp;A / scope impact</t>
  </si>
  <si>
    <t>No bank acquisitions in 2024-26 per 10-K/10-Qs; small 2026 bolt-on (Matrix) not quantified by issuer - set to 0% as immaterial (judgment, not missing data)</t>
  </si>
  <si>
    <t>FX impact</t>
  </si>
  <si>
    <t>US-only bank (14 states + DC); all revenue in USD, so FX translation impact is nil</t>
  </si>
  <si>
    <t>Organic growth</t>
  </si>
  <si>
    <t>Organic = (1+Y/Y)/((1+M&amp;A)*(1+FX))-1</t>
  </si>
  <si>
    <t>Commercial Banking revenue</t>
  </si>
  <si>
    <t>Linked from Segment - Commercial Banking</t>
  </si>
  <si>
    <t>Other segment NII</t>
  </si>
  <si>
    <t>Non-reportable "Other" segment; 3Q26E = consolidated less reportable segments (plug)</t>
  </si>
  <si>
    <t>Other segment noninterest income</t>
  </si>
  <si>
    <t>3Q26E = plug (consolidated fees less segments) 51.5 vs 33-46 history: disclosed residual assumption, not reconciled</t>
  </si>
  <si>
    <t>Other (non-reportable) revenue</t>
  </si>
  <si>
    <t>Memo: Consumer NII</t>
  </si>
  <si>
    <t>Memo: Commercial NII</t>
  </si>
  <si>
    <t>Memo: Consumer fees</t>
  </si>
  <si>
    <t>Memo: Commercial fees</t>
  </si>
  <si>
    <t>Total revenue (sum of segments)</t>
  </si>
  <si>
    <t>Check: segments - total (=0)</t>
  </si>
  <si>
    <t>3Q26E (G37) = identity: G23:G24 other-segment plugs force 0; excluded from Cover C28. B:F are genuine ties.</t>
  </si>
  <si>
    <t>Geography: effectively all revenue is US (14 states + DC; 10-K). No geographic split disclosed - Geo tab omitted.</t>
  </si>
  <si>
    <t>Volume ladders - period-end roll-forward (loans and deposits)</t>
  </si>
  <si>
    <t>Opening loans and leases</t>
  </si>
  <si>
    <t>Prior period-end balance (Balance Sheet / Inputs)</t>
  </si>
  <si>
    <t>Less: net charge-offs</t>
  </si>
  <si>
    <t>Net new lending / (run-off, sales)</t>
  </si>
  <si>
    <t>Derived: closing - opening + NCOs (originations net of paydowns, sales, transfers)</t>
  </si>
  <si>
    <t>Closing loans and leases</t>
  </si>
  <si>
    <t>Net growth % of opening</t>
  </si>
  <si>
    <t>Average loans and leases</t>
  </si>
  <si>
    <t>Average / closing balance</t>
  </si>
  <si>
    <t>Opening deposits</t>
  </si>
  <si>
    <t>Net deposit inflow / (outflow)</t>
  </si>
  <si>
    <t>Closing deposits</t>
  </si>
  <si>
    <t>Average deposits</t>
  </si>
  <si>
    <t>Period-end loan-to-deposit ratio</t>
  </si>
  <si>
    <t>Net interest income build - average balances x annualized yields (issuer average balance sheet)</t>
  </si>
  <si>
    <t>Interest-earning assets</t>
  </si>
  <si>
    <t>Avg bal - IB cash &amp; bank deposits</t>
  </si>
  <si>
    <t>% Q/Q (3Q26E = input)</t>
  </si>
  <si>
    <t>% Y/Y</t>
  </si>
  <si>
    <t>Q/Q change ($)</t>
  </si>
  <si>
    <t>Int. inc. - IB cash &amp; bank deposits</t>
  </si>
  <si>
    <t>Yield - IB cash &amp; bank deposits</t>
  </si>
  <si>
    <t>Q/Q chg (bp; 3Q26E = input)</t>
  </si>
  <si>
    <t>Y/Y change (bp)</t>
  </si>
  <si>
    <t>Avg bal - Investment securities</t>
  </si>
  <si>
    <t>Int. inc. - Investment securities</t>
  </si>
  <si>
    <t>Yield - Investment securities</t>
  </si>
  <si>
    <t>Avg bal - C&amp;I loans</t>
  </si>
  <si>
    <t>Int. inc. - C&amp;I loans</t>
  </si>
  <si>
    <t>Yield - C&amp;I loans</t>
  </si>
  <si>
    <t>Avg bal - CRE loans</t>
  </si>
  <si>
    <t>Int. inc. - CRE loans</t>
  </si>
  <si>
    <t>Yield - CRE loans</t>
  </si>
  <si>
    <t>Avg bal - Residential mortgages</t>
  </si>
  <si>
    <t>Int. inc. - Residential mortgages</t>
  </si>
  <si>
    <t>Yield - Residential mortgages</t>
  </si>
  <si>
    <t>Avg bal - Home equity</t>
  </si>
  <si>
    <t>Int. inc. - Home equity</t>
  </si>
  <si>
    <t>Yield - Home equity</t>
  </si>
  <si>
    <t>Avg bal - Automobile</t>
  </si>
  <si>
    <t>Int. inc. - Automobile</t>
  </si>
  <si>
    <t>Yield - Automobile</t>
  </si>
  <si>
    <t>Avg bal - Education</t>
  </si>
  <si>
    <t>Int. inc. - Education</t>
  </si>
  <si>
    <t>Yield - Education</t>
  </si>
  <si>
    <t>Avg bal - Other retail</t>
  </si>
  <si>
    <t>Int. inc. - Other retail</t>
  </si>
  <si>
    <t>Yield - Other retail</t>
  </si>
  <si>
    <t>Avg bal - Loans held for sale</t>
  </si>
  <si>
    <t>Int. inc. - Loans held for sale</t>
  </si>
  <si>
    <t>Yield - Loans held for sale</t>
  </si>
  <si>
    <t>Avg bal - Total commercial</t>
  </si>
  <si>
    <t>Int. income - Total commercial</t>
  </si>
  <si>
    <t>Yield - Total commercial</t>
  </si>
  <si>
    <t>Q/Q change (bp)</t>
  </si>
  <si>
    <t>Avg bal - Total retail</t>
  </si>
  <si>
    <t>Int. income - Total retail</t>
  </si>
  <si>
    <t>Yield - Total retail</t>
  </si>
  <si>
    <t>Avg bal - Total loans &amp; leases</t>
  </si>
  <si>
    <t>Int. income - Total loans &amp; leases</t>
  </si>
  <si>
    <t>Yield - Total loans &amp; leases</t>
  </si>
  <si>
    <t>Avg bal - Total earning assets</t>
  </si>
  <si>
    <t>Int. income - Total earning assets</t>
  </si>
  <si>
    <t>Yield - Total earning assets</t>
  </si>
  <si>
    <t>Memo: reported loan interest</t>
  </si>
  <si>
    <t>As reported (issuer supplement)</t>
  </si>
  <si>
    <t>Check: model - reported (=0)</t>
  </si>
  <si>
    <t>Interest-bearing liabilities</t>
  </si>
  <si>
    <t>Avg bal - Checking with interest</t>
  </si>
  <si>
    <t>Int. exp. - Checking with interest</t>
  </si>
  <si>
    <t>Cost - Checking with interest</t>
  </si>
  <si>
    <t>Avg bal - Savings</t>
  </si>
  <si>
    <t>Int. exp. - Savings</t>
  </si>
  <si>
    <t>Cost - Savings</t>
  </si>
  <si>
    <t>Avg bal - Money market</t>
  </si>
  <si>
    <t>Int. exp. - Money market</t>
  </si>
  <si>
    <t>Cost - Money market</t>
  </si>
  <si>
    <t>Avg bal - Time deposits</t>
  </si>
  <si>
    <t>Int. exp. - Time deposits</t>
  </si>
  <si>
    <t>Cost - Time deposits</t>
  </si>
  <si>
    <t>Avg bal - Short-term borrowings</t>
  </si>
  <si>
    <t>Int. exp. - Short-term borrowings</t>
  </si>
  <si>
    <t>Cost - Short-term borrowings</t>
  </si>
  <si>
    <t>4Q25 (C) cost 0.00% = n.m. (rounding): $0M expense on $221M avg balance in $M-rounded source; components still tie to reported NII (row 296)</t>
  </si>
  <si>
    <t>C210/E210 bp swings (-337bp/+357bp) = n.m. (rounding artefact of C209)</t>
  </si>
  <si>
    <t>C211 Y/Y (-968bp) = n.m. (rounding artefact of C209); display only, value unchanged</t>
  </si>
  <si>
    <t>Avg bal - FHLB advances</t>
  </si>
  <si>
    <t>Int. exp. - FHLB advances</t>
  </si>
  <si>
    <t>Cost - FHLB advances</t>
  </si>
  <si>
    <t>4Q25 (C) cost 11.34% = n.m. (rounding): $1M expense on $35M avg balance in $M-rounded source; components still tie to reported NII (row 296)</t>
  </si>
  <si>
    <t>C218/E218 bp swings (+662bp/-730bp) = n.m. (rounding artefact of C217)</t>
  </si>
  <si>
    <t>C219 Y/Y (+672bp) = n.m. (rounding artefact of C217); display only, value unchanged</t>
  </si>
  <si>
    <t>Avg bal - Senior debt</t>
  </si>
  <si>
    <t>Int. exp. - Senior debt</t>
  </si>
  <si>
    <t>Cost - Senior debt</t>
  </si>
  <si>
    <t>Avg bal - Sub debt &amp; other debt</t>
  </si>
  <si>
    <t>Int. exp. - Sub debt &amp; other debt</t>
  </si>
  <si>
    <t>Cost - Sub debt &amp; other debt</t>
  </si>
  <si>
    <t>Avg bal - Total IB deposits</t>
  </si>
  <si>
    <t>Int. expense - Total IB deposits</t>
  </si>
  <si>
    <t>Cost - Total IB deposits</t>
  </si>
  <si>
    <t>Avg bal - Total LT borrowings</t>
  </si>
  <si>
    <t>Int. expense - Total LT borrowings</t>
  </si>
  <si>
    <t>Cost - Total LT borrowings</t>
  </si>
  <si>
    <t>Avg bal - Total IB liabilities</t>
  </si>
  <si>
    <t>Int. expense - Total IB liabilities</t>
  </si>
  <si>
    <t>Cost - Total IB liabilities</t>
  </si>
  <si>
    <t>Avg bal - Noninterest-bearing DDA</t>
  </si>
  <si>
    <t>Avg bal - Total deposits</t>
  </si>
  <si>
    <t>NIB share of deposits</t>
  </si>
  <si>
    <t>Total deposit cost</t>
  </si>
  <si>
    <t>Avg loan-to-deposit ratio</t>
  </si>
  <si>
    <t>Total interest income</t>
  </si>
  <si>
    <t>Total interest expense</t>
  </si>
  <si>
    <t>Net interest income</t>
  </si>
  <si>
    <t>FTE adjustment</t>
  </si>
  <si>
    <t>Supplement non-GAAP reconciliation; 3Q26E held at 2Q26 level</t>
  </si>
  <si>
    <t>NII, FTE (non-GAAP)</t>
  </si>
  <si>
    <t>Net interest margin (GAAP)</t>
  </si>
  <si>
    <t>FY24 comparator = FY24 NII / FY24 avg EA, no 365/366 factor: matches issuer FY24 reported segment NIMs (Inputs F92 6.59%, F103 2.96%); no day-count adjustment applied</t>
  </si>
  <si>
    <t>Net interest margin, FTE</t>
  </si>
  <si>
    <t>Memo: NIM FTE as reported</t>
  </si>
  <si>
    <t>Issuer financial supplement</t>
  </si>
  <si>
    <t>Check: NIM vs reported (bp)</t>
  </si>
  <si>
    <t>Reported NIM is to 0.01% (1bp): tested within +/-0.5bp (Cover D33) in Cover C28</t>
  </si>
  <si>
    <t>Memo: reported NII</t>
  </si>
  <si>
    <t>Noninterest income build</t>
  </si>
  <si>
    <t>Mortgage banking driver ladder</t>
  </si>
  <si>
    <t>Pull-through adj. locks ($M)</t>
  </si>
  <si>
    <t>Gain-on-sale margin</t>
  </si>
  <si>
    <t>Production revenue</t>
  </si>
  <si>
    <t>Loans serviced for others (UPB)</t>
  </si>
  <si>
    <t>Owned loans serviced (UPB)</t>
  </si>
  <si>
    <t>Total servicing UPB</t>
  </si>
  <si>
    <t>Servicing fee rate (ann., on LSFO)</t>
  </si>
  <si>
    <t>Annualized servicing revenue / period-end LSFO</t>
  </si>
  <si>
    <t>Mortgage servicing revenue</t>
  </si>
  <si>
    <t>MSR valuation, net of hedges</t>
  </si>
  <si>
    <t>3Q26E assumption: modest positive given higher long rates in 3Q26, hedged</t>
  </si>
  <si>
    <t>Y/Y change ($)</t>
  </si>
  <si>
    <t>Total mortgage banking fees</t>
  </si>
  <si>
    <t>Originations - retail</t>
  </si>
  <si>
    <t>Originations - third party</t>
  </si>
  <si>
    <t>Total originations</t>
  </si>
  <si>
    <t>Originated for sale</t>
  </si>
  <si>
    <t>Originated for investment</t>
  </si>
  <si>
    <t>For-sale share</t>
  </si>
  <si>
    <t>Memo: reported mortgage fees</t>
  </si>
  <si>
    <t>Fee lines</t>
  </si>
  <si>
    <t>Service charges and fees</t>
  </si>
  <si>
    <t>Seasonal/stable; growth in cash management</t>
  </si>
  <si>
    <t>Capital markets fees</t>
  </si>
  <si>
    <t>Below 2Q26 record (153): sector IB slowdown and +~70bp long rates vs mgmt "huge pipelines" (Barclays 9/14)</t>
  </si>
  <si>
    <t>Wealth fees</t>
  </si>
  <si>
    <t>Record each quarter; AUM growth, Private Bank teams</t>
  </si>
  <si>
    <t>Card fees</t>
  </si>
  <si>
    <t>Seasonal spend broadly stable vs 2Q26</t>
  </si>
  <si>
    <t>Mortgage banking fees</t>
  </si>
  <si>
    <t>Built from mortgage ladder above</t>
  </si>
  <si>
    <t>FX and derivative products</t>
  </si>
  <si>
    <t>Higher rate volatility supports hedging</t>
  </si>
  <si>
    <t>Letter of credit and loan fees</t>
  </si>
  <si>
    <t>Trend growth with commercial loans</t>
  </si>
  <si>
    <t>Securities gains, net</t>
  </si>
  <si>
    <t>Normal run-rate</t>
  </si>
  <si>
    <t>Other income</t>
  </si>
  <si>
    <t>2Q26 had several modest items (44)</t>
  </si>
  <si>
    <t>Total noninterest income</t>
  </si>
  <si>
    <t>Memo: reported noninterest income</t>
  </si>
  <si>
    <t>Revenue roll-up</t>
  </si>
  <si>
    <t>Total revenue</t>
  </si>
  <si>
    <t>Fee income % of revenue</t>
  </si>
  <si>
    <t>Memo: CapIQ revenue actual</t>
  </si>
  <si>
    <t>Formula link to CFG_history.csv row embedded on Inputs</t>
  </si>
  <si>
    <t>Check: revenue vs CapIQ (=0)</t>
  </si>
  <si>
    <t>Segment - Consumer Banking</t>
  </si>
  <si>
    <t>Consumer Banking - average balance drivers</t>
  </si>
  <si>
    <t>Avg interest-earning assets</t>
  </si>
  <si>
    <t>Issuer financial supplement, segment highlights</t>
  </si>
  <si>
    <t>Avg loans incl. LHFS</t>
  </si>
  <si>
    <t>Avg deposits</t>
  </si>
  <si>
    <t>Avg total assets</t>
  </si>
  <si>
    <t>Consumer Banking - loan and deposit ladders (average-balance basis; segment period-end balances not disclosed)</t>
  </si>
  <si>
    <t>Opening avg loans (prior quarter)</t>
  </si>
  <si>
    <t>FY column: opening = 4Q24 quarterly avg, closing = FY25 day-weighted avg - bases differ, so derived rows 31/33/35/37 shown n.m.</t>
  </si>
  <si>
    <t>Net new lending (derived)</t>
  </si>
  <si>
    <t>n.m.</t>
  </si>
  <si>
    <t>Closing - opening + NCOs: originations net of paydowns/sales</t>
  </si>
  <si>
    <t>Closing avg loans (current quarter)</t>
  </si>
  <si>
    <t>Opening avg deposits (prior quarter)</t>
  </si>
  <si>
    <t>Closing avg deposits (current quarter)</t>
  </si>
  <si>
    <t>Consumer Banking - revenue build</t>
  </si>
  <si>
    <t>Segment net interest margin</t>
  </si>
  <si>
    <t>Reported segment NIM</t>
  </si>
  <si>
    <t>3Q26E = avg IEA x segment NIM x days/365</t>
  </si>
  <si>
    <t>Noninterest income</t>
  </si>
  <si>
    <t>Fee income % of segment revenue</t>
  </si>
  <si>
    <t>Consumer Banking - expenses, credit and profit</t>
  </si>
  <si>
    <t>Noninterest expense</t>
  </si>
  <si>
    <t>Efficiency ratio</t>
  </si>
  <si>
    <t>Pre-provision profit</t>
  </si>
  <si>
    <t>PPNR margin</t>
  </si>
  <si>
    <t>NCO rate (ann.; 3Q26E = input)</t>
  </si>
  <si>
    <t>Net charge-offs</t>
  </si>
  <si>
    <t>3Q26E segment NCO rate inputs are independent of consolidated IS G106: Consumer + Commercial 135.53 &gt; consolidated 134.37, implied Other -1.15 (history +0 to +5). Disclosed assumption; segments do not drive EPS</t>
  </si>
  <si>
    <t>Income before income tax</t>
  </si>
  <si>
    <t>Effective tax rate (3Q26E = input)</t>
  </si>
  <si>
    <t>Income tax expense</t>
  </si>
  <si>
    <t>Net income</t>
  </si>
  <si>
    <t>Memo: net income as reported</t>
  </si>
  <si>
    <t>Issuer supplement</t>
  </si>
  <si>
    <t>Return on avg assets (ann.)</t>
  </si>
  <si>
    <t>Citizens Private Bank (within Consumer Banking; management disclosures)</t>
  </si>
  <si>
    <t>Private Bank EPS contribution ($)</t>
  </si>
  <si>
    <t>n.f.</t>
  </si>
  <si>
    <t>Earnings releases 3Q25-2Q26; FY25 $0.28 per 4Q25 call. Not forecast (n.f.)</t>
  </si>
  <si>
    <t>Private Bank spot deposits ($M)</t>
  </si>
  <si>
    <t>n.d.</t>
  </si>
  <si>
    <t>3Q25 spot deposits not captured in sources used (n.d.); 4Q25-2Q26 from releases</t>
  </si>
  <si>
    <t>Segment - Commercial Banking</t>
  </si>
  <si>
    <t>Commercial Banking - average balance drivers</t>
  </si>
  <si>
    <t>Commercial Banking - loan and deposit ladders (average-balance basis; segment period-end balances not disclosed)</t>
  </si>
  <si>
    <t>Commercial Banking - revenue build</t>
  </si>
  <si>
    <t>Commercial Banking - expenses, credit and profit</t>
  </si>
  <si>
    <t>See Consumer Banking H79: segment NCOs (135.53) exceed consolidated 134.37; implied Other -1.15 is a disclosed assumption, not reconciled</t>
  </si>
  <si>
    <t>Income Statement</t>
  </si>
  <si>
    <t>Interest income (linked from Revenue summary NII build)</t>
  </si>
  <si>
    <t>Loans and leases</t>
  </si>
  <si>
    <t>Loans held for sale</t>
  </si>
  <si>
    <t>Investment securities</t>
  </si>
  <si>
    <t>Interest-bearing deposits in banks</t>
  </si>
  <si>
    <t>Deposits</t>
  </si>
  <si>
    <t>Short-term borrowed funds</t>
  </si>
  <si>
    <t>Long-term borrowed funds</t>
  </si>
  <si>
    <t>Noninterest income (linked from Revenue summary)</t>
  </si>
  <si>
    <t>Check: vs Revenue summary (=0)</t>
  </si>
  <si>
    <t>Provision for credit losses</t>
  </si>
  <si>
    <t>3Q26E from credit build below (NCO + reserve build)</t>
  </si>
  <si>
    <t>Salaries and employee benefits</t>
  </si>
  <si>
    <t>Revenue-linked comp, Private Bank hiring</t>
  </si>
  <si>
    <t>Equipment and software</t>
  </si>
  <si>
    <t>Outside services</t>
  </si>
  <si>
    <t>Reimagine the Bank implementation costs plateau</t>
  </si>
  <si>
    <t>Occupancy</t>
  </si>
  <si>
    <t>Other operating expense</t>
  </si>
  <si>
    <t>Insurance, sundry</t>
  </si>
  <si>
    <t>Total noninterest expense</t>
  </si>
  <si>
    <t>Guide: stable to up slightly vs 2Q26 $1,394M; FY26 +4.5% "slightly higher" implies ~$1.40B/qtr in 2H26</t>
  </si>
  <si>
    <t>Pre-provision net revenue</t>
  </si>
  <si>
    <t>Income before income tax expense</t>
  </si>
  <si>
    <t>Pretax margin</t>
  </si>
  <si>
    <t>Guide ~22% for 3Q26 (2Q26 deck slide 17)</t>
  </si>
  <si>
    <t>Net margin (NI / revenue)</t>
  </si>
  <si>
    <t>Preferred dividends / other</t>
  </si>
  <si>
    <t>3Q26E = regular run-rate G123 ($33M) + Series G deemed dividend G126 ($4M = $300M redemption - $296M carrying). Corrected r5: issuer recognizes redemption cost in the notice quarter (Series F precedent 3Q25, H126), so Series G (notice 1 Sep 2026, paid 6 Oct 2026) charge falls in 3Q26, not 4Q26. Sensitivity: EPS -$0.00235 per $1M</t>
  </si>
  <si>
    <t>Net income available to common</t>
  </si>
  <si>
    <t>Weighted avg basic shares (M)</t>
  </si>
  <si>
    <t>Weighted avg diluted shares (M)</t>
  </si>
  <si>
    <t>Basic EPS (GAAP)</t>
  </si>
  <si>
    <t>Diluted EPS (GAAP)</t>
  </si>
  <si>
    <t>Memo: reported diluted EPS</t>
  </si>
  <si>
    <t>Issuer releases</t>
  </si>
  <si>
    <t>Check: EPS vs reported</t>
  </si>
  <si>
    <t>GAAP to normalized (consensus basis) bridge</t>
  </si>
  <si>
    <t>GAAP net income to common</t>
  </si>
  <si>
    <t>Notable items (pre-tax)</t>
  </si>
  <si>
    <t>Issuer reports no notable items in 2025 (4Q25 release) or 1H26; GAAP = underlying. 3Q26E: none announced pre-cutoff. Series G deemed dividend ($4M, G126) is kept in normalized NI: CapIQ normalized 3Q25 ($1.05) = GAAP incl. $5M Series F redemption cost. Caveat: comparator basis otherwise assumed = GAAP (unverified); each $1M pre-tax item excluded by comparator = +$0.00183 normalized EPS</t>
  </si>
  <si>
    <t>Tax effect of notable items</t>
  </si>
  <si>
    <t>Other excluded one-offs (after tax)</t>
  </si>
  <si>
    <t>None identified (e.g., securities repositioning, FDIC special assessment)</t>
  </si>
  <si>
    <t>Normalized net income to common</t>
  </si>
  <si>
    <t>Normalized diluted EPS</t>
  </si>
  <si>
    <t>Memo: CapIQ normalized EPS actual</t>
  </si>
  <si>
    <t>CFG_history.csv via Inputs</t>
  </si>
  <si>
    <t>Check: model (rounded) - CapIQ</t>
  </si>
  <si>
    <t>Memo: CapIQ GAAP EPS actual</t>
  </si>
  <si>
    <t>Credit build (provision = net charge-offs + reserve build)</t>
  </si>
  <si>
    <t>Avg loans and leases</t>
  </si>
  <si>
    <t>Guide: NCOs stable to down slightly vs 37bp in 2Q26</t>
  </si>
  <si>
    <t>Period-end loans and leases</t>
  </si>
  <si>
    <t>Allowance for credit losses (ACL)</t>
  </si>
  <si>
    <t>Funded ALLL + unfunded commitments reserve</t>
  </si>
  <si>
    <t>ACL / loans (3Q26E = input)</t>
  </si>
  <si>
    <t>Trend: 1.56% -&gt; 1.48% over 3Q25-2Q26 as mix improves; assume -1bp</t>
  </si>
  <si>
    <t>Reserve build / (release)</t>
  </si>
  <si>
    <t>Provision = NCO + reserve build</t>
  </si>
  <si>
    <t>Check: build vs IS provision (=0)</t>
  </si>
  <si>
    <t>3Q26E (G120) = identity (G37 = G119); excluded from Cover C28. B:F incl. FY25 D are genuine ties</t>
  </si>
  <si>
    <t>Preferred dividends / other build (3Q26E)</t>
  </si>
  <si>
    <t>Preferred dividends declared - regular run-rate ($M)</t>
  </si>
  <si>
    <t>Original assumption retained (moved from G82): 1Q26-2Q26 run-rate $33M; includes Series G dividend declared for 6 Oct 2026 payment; Series J dividends first payable 6 Jan 2027 (S11)</t>
  </si>
  <si>
    <t>Series G redemption amount ($M; 300,000 sh x $1,000)</t>
  </si>
  <si>
    <t>S22 (notice 1 Sep 2026): all 300,000 Series G shares redeemed 6 Oct 2026 at $1,000 per share</t>
  </si>
  <si>
    <t>Series G carrying amount ($M)</t>
  </si>
  <si>
    <t>S12 1Q26 10-Q preferred stock note: Series G carrying amount $296M (total preferred $2,111M / 2,150,000 sh, unchanged at 2Q26 - BS F38)</t>
  </si>
  <si>
    <t>Deemed dividend on Series G redemption (recognized in 3Q26 notice quarter)</t>
  </si>
  <si>
    <t>Issuer precedent: Series F notice 3Q25, redeemed 6 Oct 2025 - 3Q25 equity statement records redemption (395) carrying + (5) retained earnings (S13); 4Q25 deck: '3Q25 includes preferred stock early redemption costs of $5MM' (S9). CapIQ normalized 3Q25 = GAAP $1.05 (Inputs D265), so not excluded from normalized basis. $296M is rounded: +/-$0.5M = +/-$0.0012 EPS</t>
  </si>
  <si>
    <t>Balance Sheet</t>
  </si>
  <si>
    <t>Assets (period-end)</t>
  </si>
  <si>
    <t>Cash and due from banks</t>
  </si>
  <si>
    <t>3Q26E held flat</t>
  </si>
  <si>
    <t>IB cash and due from banks</t>
  </si>
  <si>
    <t>3Q26E = balancing item (liquidity plug)</t>
  </si>
  <si>
    <t>Debt securities AFS, at fair value</t>
  </si>
  <si>
    <t>Debt securities held to maturity</t>
  </si>
  <si>
    <t>Less: allowance for loan losses</t>
  </si>
  <si>
    <t>Net loans and leases</t>
  </si>
  <si>
    <t>Premises and equipment</t>
  </si>
  <si>
    <t>Bank-owned life insurance</t>
  </si>
  <si>
    <t>Goodwill</t>
  </si>
  <si>
    <t>Other intangible assets</t>
  </si>
  <si>
    <t>Other assets</t>
  </si>
  <si>
    <t>Total assets</t>
  </si>
  <si>
    <t>Memo: total assets as reported</t>
  </si>
  <si>
    <t>Liabilities</t>
  </si>
  <si>
    <t>Noninterest-bearing deposits</t>
  </si>
  <si>
    <t>Interest-bearing deposits</t>
  </si>
  <si>
    <t>Total deposits</t>
  </si>
  <si>
    <t>FHLB advances</t>
  </si>
  <si>
    <t>Senior debt</t>
  </si>
  <si>
    <t>Subordinated debt and other debt</t>
  </si>
  <si>
    <t>Total long-term borrowed funds</t>
  </si>
  <si>
    <t>Other liabilities</t>
  </si>
  <si>
    <t>Total liabilities</t>
  </si>
  <si>
    <t>Stockholders' equity</t>
  </si>
  <si>
    <t>Preferred stock</t>
  </si>
  <si>
    <t>Series G ($300M) notice 1 Sep 2026, paid 6 Oct 2026. 3Q26E: carrying accreted +$4M to $300M redemption value (deemed dividend, IS G126; RE G41 via IS G82). Not modelled (no EPS effect, unresolved): reclass of Series G $300M to a redemption liability at notice (issuer 3Q25 precedent) and Series J $400M issued 30 Jul 2026 (S11)</t>
  </si>
  <si>
    <t>Common stock</t>
  </si>
  <si>
    <t>Additional paid-in capital</t>
  </si>
  <si>
    <t>Retained earnings</t>
  </si>
  <si>
    <t>Treasury stock, at cost</t>
  </si>
  <si>
    <t>Accum. other comprehensive income</t>
  </si>
  <si>
    <t>Total stockholders' equity</t>
  </si>
  <si>
    <t>Total liabilities and equity</t>
  </si>
  <si>
    <t>Check: A - L - E (=0)</t>
  </si>
  <si>
    <t>3Q26E: G10 interest-bearing cash is the balancing plug, so G46 = 0 by construction (excluded from Cover C28). CF G54 is also a construction identity (all 3Q26E CF lines are IS links or BS deltas), not independent evidence</t>
  </si>
  <si>
    <t>Balance sheet metrics and memo items</t>
  </si>
  <si>
    <t>Memo: unfunded commitment reserve</t>
  </si>
  <si>
    <t>Within other liabilities; held flat</t>
  </si>
  <si>
    <t>Loan-to-deposit ratio (period-end)</t>
  </si>
  <si>
    <t>Tangible common equity (approx.)</t>
  </si>
  <si>
    <t>Excludes DTL on intangibles add-back (~$438M) - approximation</t>
  </si>
  <si>
    <t>Book value per share ($)</t>
  </si>
  <si>
    <t>Forecast assumptions (3Q26E inputs; history shows actual change)</t>
  </si>
  <si>
    <t>Spot loan growth Q/Q</t>
  </si>
  <si>
    <t>Mgmt (9/14): 3Q loan growth less pronounced than 2Q (+2.7%) | FY25A D55 = 12-month change (Dec-25 vs Dec-24 spot)</t>
  </si>
  <si>
    <t>Change in AFS securities ($M)</t>
  </si>
  <si>
    <t>Continued securities build (2Q26 +$1.1B)</t>
  </si>
  <si>
    <t>Change in HTM securities ($M)</t>
  </si>
  <si>
    <t>Run-off trend ~-$160M/qtr</t>
  </si>
  <si>
    <t>Change in FHLB advances ($M)</t>
  </si>
  <si>
    <t>Held at 2Q26 spot</t>
  </si>
  <si>
    <t>Change in sub &amp; other debt ($M)</t>
  </si>
  <si>
    <t>Auto collateralized borrowings run-off</t>
  </si>
  <si>
    <t>Share-based comp to APIC ($M)</t>
  </si>
  <si>
    <t>6M26 SBC $82M</t>
  </si>
  <si>
    <t>Change in AOCI ($M)</t>
  </si>
  <si>
    <t>Not forecast (rate-path dependent; no EPS impact) - held flat. Latent: G12 (pre-tax AFS) and G43 (after-tax AOCI) both add G61, so a non-zero G61 would need a deferred-tax offset; no current effect while G61 = 0</t>
  </si>
  <si>
    <t>Deposit growth Q/Q</t>
  </si>
  <si>
    <t>Deposits follow loans; Private Bank inflows | FY25A D62 = 12-month change (Dec-25 vs Dec-24 spot)</t>
  </si>
  <si>
    <t>Cash Flow Statement</t>
  </si>
  <si>
    <t>Operating activities</t>
  </si>
  <si>
    <t>Net change in loans held for sale</t>
  </si>
  <si>
    <t>Depreciation, amort. &amp; accretion</t>
  </si>
  <si>
    <t>Not forecast (balance-sheet-driven indirect method; balances held flat) - set to zero by assumption</t>
  </si>
  <si>
    <t>Deferred income taxes</t>
  </si>
  <si>
    <t>Share-based compensation</t>
  </si>
  <si>
    <t>Net gain on sale of assets</t>
  </si>
  <si>
    <t>Change in other assets</t>
  </si>
  <si>
    <t>Change in other liabilities</t>
  </si>
  <si>
    <t>Net cash from operating activities</t>
  </si>
  <si>
    <t>3Q26E = partial scenario, NOT a forecast: D&amp;A, deferred tax and gains are zero placeholders (not modelled); tracked operating_cash_flow = unavailable</t>
  </si>
  <si>
    <t>Memo: as reported</t>
  </si>
  <si>
    <t>FY25 (D) = 2025 10-K as reported (Inputs col D); quarters derived from YTD</t>
  </si>
  <si>
    <t>Check: sum of lines - reported (=0)</t>
  </si>
  <si>
    <t>Investing activities</t>
  </si>
  <si>
    <t>Purchases of AFS securities</t>
  </si>
  <si>
    <t>AFS maturities/paydowns</t>
  </si>
  <si>
    <t>Sales of AFS securities</t>
  </si>
  <si>
    <t>HTM maturities/paydowns</t>
  </si>
  <si>
    <t>Net change in IB deposits in banks</t>
  </si>
  <si>
    <t>Purchases of loans</t>
  </si>
  <si>
    <t>Sales of loans</t>
  </si>
  <si>
    <t>Net (increase) decrease in loans</t>
  </si>
  <si>
    <t>Capital expenditures</t>
  </si>
  <si>
    <t>3Q26E = 0 only because premises held flat (history -21 to -92/qtr); not a forecast - tracked capital_expenditures = unavailable</t>
  </si>
  <si>
    <t>Other investing</t>
  </si>
  <si>
    <t>Net cash from investing activities</t>
  </si>
  <si>
    <t>Financing activities</t>
  </si>
  <si>
    <t>Net increase (decrease) in deposits</t>
  </si>
  <si>
    <t>Net change in short-term borrowings</t>
  </si>
  <si>
    <t>Issuance of LT borrowings (3Q26E: net)</t>
  </si>
  <si>
    <t>Repayments of long-term borrowings</t>
  </si>
  <si>
    <t>Treasury stock purchased</t>
  </si>
  <si>
    <t>Net proceeds from preferred issuance</t>
  </si>
  <si>
    <t>Redemption of preferred stock</t>
  </si>
  <si>
    <t>3Q26E: excludes non-cash Series G accretion (IS G126); $300M cash redemption paid 6 Oct 2026 (4Q26)</t>
  </si>
  <si>
    <t>Dividends paid - common</t>
  </si>
  <si>
    <t>Dividends paid - preferred</t>
  </si>
  <si>
    <t>3Q26E: cash run-rate only (IS G123); Series G deemed dividend (IS G126) is non-cash</t>
  </si>
  <si>
    <t>Other financing</t>
  </si>
  <si>
    <t>Net cash from financing activities</t>
  </si>
  <si>
    <t>Change in cash</t>
  </si>
  <si>
    <t>Net change in cash</t>
  </si>
  <si>
    <t>Cash and equivalents - beginning</t>
  </si>
  <si>
    <t>Cash = cash and due from banks + interest-bearing cash and due from banks (issuer definition)</t>
  </si>
  <si>
    <t>Cash and equivalents - ending</t>
  </si>
  <si>
    <t>Cash per Balance Sheet</t>
  </si>
  <si>
    <t>Check: CF cash vs BS (=0)</t>
  </si>
  <si>
    <t>B:F = genuine historical ties. 3Q26E G54 = construction identity (CF lines are IS links/BS deltas; BS G10 cash is the plug); excluded from Cover C28</t>
  </si>
  <si>
    <t>Cash flow metrics</t>
  </si>
  <si>
    <t>Capital expenditures (memo)</t>
  </si>
  <si>
    <t>3Q26E not a forecast (see row 30): n.f.; tracked capital_expenditures = unavailable</t>
  </si>
  <si>
    <t>Issuer-defined free cash flow</t>
  </si>
  <si>
    <t>Not applicable: issuer does not define or report FCF (bank)</t>
  </si>
  <si>
    <t>Share Count</t>
  </si>
  <si>
    <t>Share count build (millions of shares)</t>
  </si>
  <si>
    <t>Common shares outstanding, period-end</t>
  </si>
  <si>
    <t>Net change in period-end shares</t>
  </si>
  <si>
    <t>Share repurchases ($M)</t>
  </si>
  <si>
    <t>Guide ~$125M in 3Q26 (2Q26 deck slide 17)</t>
  </si>
  <si>
    <t>Average repurchase price ($)</t>
  </si>
  <si>
    <t>3Q26E assumption: approx. 3Q26 average share price; history not disclosed in sources used</t>
  </si>
  <si>
    <t>Shares repurchased</t>
  </si>
  <si>
    <t>Shares issued (equity plans)</t>
  </si>
  <si>
    <t>3Q26E assumption ~0.3M (ESPP/RSU vesting)</t>
  </si>
  <si>
    <t>Weighting of in-quarter change</t>
  </si>
  <si>
    <t>Mid-quarter convention</t>
  </si>
  <si>
    <t>Weighted average basic shares</t>
  </si>
  <si>
    <t>Q/Q change (M)</t>
  </si>
  <si>
    <t>Dilutive securities</t>
  </si>
  <si>
    <t>3Q26E held at 2Q26 level</t>
  </si>
  <si>
    <t>Weighted average diluted shares</t>
  </si>
  <si>
    <t>Dividends and EPS share base</t>
  </si>
  <si>
    <t>Dividends per share ($)</t>
  </si>
  <si>
    <t>Quarterly $0.46 declared 16 Jul 2026</t>
  </si>
  <si>
    <t>Common dividends ($M)</t>
  </si>
  <si>
    <t>3Q26E = DPS x weighted-average basic shares (G17), original basis retained; history paid slightly above this base (e.g., 2Q26 198 vs 194.5). Affects RE/cash/payout only, no EPS effect</t>
  </si>
  <si>
    <t>Dividend payout ratio</t>
  </si>
  <si>
    <t>Diluted shares behind forecast EPS</t>
  </si>
  <si>
    <t>Identity: EPS = NI / shares (by construction)</t>
  </si>
  <si>
    <t>All columns identity; excluded from Cover C28. Genuine EPS ties: IS rows 93 (reported) and 102 (CapIQ)</t>
  </si>
  <si>
    <t>Guidance</t>
  </si>
  <si>
    <t>Rows 4-6 show the model period (3Q26E) only; the guidance table below has its own column headers (row 8), with Shortcut 3Q26E values in column K</t>
  </si>
  <si>
    <t>Date given</t>
  </si>
  <si>
    <t>Source</t>
  </si>
  <si>
    <t>Metric (basis)</t>
  </si>
  <si>
    <t>Low</t>
  </si>
  <si>
    <t>High</t>
  </si>
  <si>
    <t>Midpoint</t>
  </si>
  <si>
    <t>Actual</t>
  </si>
  <si>
    <t>Result</t>
  </si>
  <si>
    <t>Favorable if</t>
  </si>
  <si>
    <t>Shortcut 3Q26E</t>
  </si>
  <si>
    <t>S18</t>
  </si>
  <si>
    <t>3Q25</t>
  </si>
  <si>
    <t>NII, % Q/Q</t>
  </si>
  <si>
    <t>Higher</t>
  </si>
  <si>
    <t>Noninterest income, % Q/Q</t>
  </si>
  <si>
    <t>"Up low single digits" read as +1% to +3%</t>
  </si>
  <si>
    <t>Noninterest expense, % Q/Q</t>
  </si>
  <si>
    <t>Lower</t>
  </si>
  <si>
    <t>Net charge-offs ($M), improve vs 167</t>
  </si>
  <si>
    <t>"Improve modestly" from 2Q25 $167M</t>
  </si>
  <si>
    <t>S17</t>
  </si>
  <si>
    <t>4Q25</t>
  </si>
  <si>
    <t>"Stable" read as +/-1%</t>
  </si>
  <si>
    <t>"Stable to up slightly"</t>
  </si>
  <si>
    <t>NCO rate (low 40s bp)</t>
  </si>
  <si>
    <t>~22.5%</t>
  </si>
  <si>
    <t>S9</t>
  </si>
  <si>
    <t>1Q26</t>
  </si>
  <si>
    <t>NII, % Q/Q (stable incl. ~$22M day count)</t>
  </si>
  <si>
    <t>"Stable"</t>
  </si>
  <si>
    <t>Net charge-offs ($M), stable to lower vs 155</t>
  </si>
  <si>
    <t>~22%</t>
  </si>
  <si>
    <t>S15</t>
  </si>
  <si>
    <t>2Q26</t>
  </si>
  <si>
    <t>"Stable to up 1%"</t>
  </si>
  <si>
    <t>Net charge-offs ($M), stable to down vs 138</t>
  </si>
  <si>
    <t>CET1 ratio</t>
  </si>
  <si>
    <t>n/a</t>
  </si>
  <si>
    <t>Reported 10.4% (preliminary)</t>
  </si>
  <si>
    <t>S5</t>
  </si>
  <si>
    <t>3Q26</t>
  </si>
  <si>
    <t>NII, % Q/Q (Fed on hold)</t>
  </si>
  <si>
    <t>Reports 16 Oct 2026; actual pending</t>
  </si>
  <si>
    <t>Noninterest income, % Q/Q (~1%)</t>
  </si>
  <si>
    <t>"Up ~1%" read as +0.5% to +1.5%</t>
  </si>
  <si>
    <t>Net charge-offs ($M), stable to down vs 135</t>
  </si>
  <si>
    <t>CET1 ratio (~10.5%)</t>
  </si>
  <si>
    <t>Effective tax rate (~22%)</t>
  </si>
  <si>
    <t>S16</t>
  </si>
  <si>
    <t>FY26</t>
  </si>
  <si>
    <t>NII, % Y/Y (Jul: "above range")</t>
  </si>
  <si>
    <t>Updated 16 Jul 2026 and 14 Sep 2026: expected to exceed range</t>
  </si>
  <si>
    <t>Noninterest income, % Y/Y</t>
  </si>
  <si>
    <t>Jul/Sep update: upper end</t>
  </si>
  <si>
    <t>Noninterest expense, % Y/Y</t>
  </si>
  <si>
    <t>Jul update: slightly higher given revenue</t>
  </si>
  <si>
    <t>Average loans, % Y/Y</t>
  </si>
  <si>
    <t>Sep: tracking upper end</t>
  </si>
  <si>
    <t>4Q26</t>
  </si>
  <si>
    <t>Reaffirmed 14 Sep 2026 (S19)</t>
  </si>
  <si>
    <t>Guidance-implied 3Q26 EPS (Shortcut calculation from guide midpoints)</t>
  </si>
  <si>
    <t>NII at guide midpoint</t>
  </si>
  <si>
    <t>Noninterest income at midpoint</t>
  </si>
  <si>
    <t>Revenue implied by guidance</t>
  </si>
  <si>
    <t>Noninterest expense at midpoint</t>
  </si>
  <si>
    <t>Provision = NCO guide, no reserve build</t>
  </si>
  <si>
    <t>Assumption: provision equals guided NCO level</t>
  </si>
  <si>
    <t>Pretax income</t>
  </si>
  <si>
    <t>Tax at guided rate</t>
  </si>
  <si>
    <t>Preferred dividends (model)</t>
  </si>
  <si>
    <t>Net income to common</t>
  </si>
  <si>
    <t>Diluted shares (model, M)</t>
  </si>
  <si>
    <t>Guidance-implied diluted EPS</t>
  </si>
  <si>
    <t>Track record: NII landed in/above range in 4 of 4 quarters (above top in 3); fees beat 2, missed 2; expenses at/above top end in 2 of 4.</t>
  </si>
  <si>
    <t>Inputs</t>
  </si>
  <si>
    <t>3Q24A</t>
  </si>
  <si>
    <t>4Q24A</t>
  </si>
  <si>
    <t>1Q25A</t>
  </si>
  <si>
    <t>2Q25A</t>
  </si>
  <si>
    <t>FY24A</t>
  </si>
  <si>
    <t>Column order is non-chronological by design: quarters 3Q24A-2Q25A (B:E), then FY24A annual comparator (F, period end 2024-12-31, 366 days); do not sum F with B:E</t>
  </si>
  <si>
    <t>Prior-period comparatives as reported (feed Y/Y, Q/Q and FY25A = 1Q25A+2Q25A+3Q25A+4Q25A) - row 4-6 period headers apply to rows 9-137 only</t>
  </si>
  <si>
    <t>Blank = unavailable (3Q24: not reported on current basis / not in sources used)</t>
  </si>
  <si>
    <t>Other total revenue</t>
  </si>
  <si>
    <t>Avg balance - IB cash &amp; bank deposits</t>
  </si>
  <si>
    <t>Issuer supplements: 3Q24 from 3Q25 supp. (S10); 4Q24/FY24 from 4Q25 supp. (S8); 1Q25 from 1Q26/4Q25 supp. (S7/S8); 2Q25 from 2Q26 supp. (S4)</t>
  </si>
  <si>
    <t>Avg balance - Investment securities</t>
  </si>
  <si>
    <t>Avg balance - C&amp;I loans</t>
  </si>
  <si>
    <t>Avg balance - CRE loans</t>
  </si>
  <si>
    <t>Avg balance - Residential mortgages</t>
  </si>
  <si>
    <t>Avg balance - Home equity</t>
  </si>
  <si>
    <t>Avg balance - Automobile</t>
  </si>
  <si>
    <t>Avg balance - Education</t>
  </si>
  <si>
    <t>Avg balance - Other retail</t>
  </si>
  <si>
    <t>Avg balance - Loans held for sale</t>
  </si>
  <si>
    <t>Avg balance - Total commercial</t>
  </si>
  <si>
    <t>Interest income - Total commercial</t>
  </si>
  <si>
    <t>Avg balance - Total retail</t>
  </si>
  <si>
    <t>Interest income - Total retail</t>
  </si>
  <si>
    <t>Avg balance - Total loans &amp; leases</t>
  </si>
  <si>
    <t>Interest income - Total loans &amp; leases</t>
  </si>
  <si>
    <t>Avg balance - Total earning assets</t>
  </si>
  <si>
    <t>Interest income - Total earning assets</t>
  </si>
  <si>
    <t>Avg balance - Checking with interest</t>
  </si>
  <si>
    <t>Avg balance - Savings</t>
  </si>
  <si>
    <t>Avg balance - Money market</t>
  </si>
  <si>
    <t>Avg balance - Time deposits</t>
  </si>
  <si>
    <t>Avg balance - Short-term borrowings</t>
  </si>
  <si>
    <t>Avg balance - FHLB advances</t>
  </si>
  <si>
    <t>Avg balance - Senior debt</t>
  </si>
  <si>
    <t>Avg balance - Sub debt &amp; other debt</t>
  </si>
  <si>
    <t>Avg balance - Total IB deposits</t>
  </si>
  <si>
    <t>Interest expense - Total IB deposits</t>
  </si>
  <si>
    <t>Avg balance - Total LT borrowings</t>
  </si>
  <si>
    <t>Interest expense - Total LT borrowings</t>
  </si>
  <si>
    <t>Avg balance - Total IB liabilities</t>
  </si>
  <si>
    <t>Interest expense - Total IB liabilities</t>
  </si>
  <si>
    <t>Avg balance - Noninterest-bearing demand deposits</t>
  </si>
  <si>
    <t>Blank = unavailable (FY24: not reported on current basis / not in sources used)</t>
  </si>
  <si>
    <t>Consumer Banking - Avg interest-earning assets</t>
  </si>
  <si>
    <t>Consumer Banking - Avg loans incl. LHFS</t>
  </si>
  <si>
    <t>Consumer Banking - Avg deposits</t>
  </si>
  <si>
    <t>Consumer Banking - Avg total assets</t>
  </si>
  <si>
    <t>Consumer Banking - segment NIM</t>
  </si>
  <si>
    <t>Consumer Banking - NII</t>
  </si>
  <si>
    <t>Consumer Banking - fees</t>
  </si>
  <si>
    <t>Consumer Banking - expense</t>
  </si>
  <si>
    <t>Consumer Banking - NCOs</t>
  </si>
  <si>
    <t>Consumer Banking - tax</t>
  </si>
  <si>
    <t>Consumer Banking - net income</t>
  </si>
  <si>
    <t>Commercial Banking - Avg interest-earning assets</t>
  </si>
  <si>
    <t>Commercial Banking - Avg loans incl. LHFS</t>
  </si>
  <si>
    <t>Commercial Banking - Avg deposits</t>
  </si>
  <si>
    <t>Commercial Banking - Avg total assets</t>
  </si>
  <si>
    <t>Commercial Banking - segment NIM</t>
  </si>
  <si>
    <t>Commercial Banking - NII</t>
  </si>
  <si>
    <t>Commercial Banking - fees</t>
  </si>
  <si>
    <t>Commercial Banking - expense</t>
  </si>
  <si>
    <t>Commercial Banking - NCOs</t>
  </si>
  <si>
    <t>Commercial Banking - tax</t>
  </si>
  <si>
    <t>Commercial Banking - net income</t>
  </si>
  <si>
    <t>Allowance for credit losses (period-end)</t>
  </si>
  <si>
    <t>Loans and leases (period-end)</t>
  </si>
  <si>
    <t>Unfunded commitments reserve</t>
  </si>
  <si>
    <t>Blank = unavailable (3Q24, 4Q24, 1Q25, FY24: not reported on current basis / not in sources used)</t>
  </si>
  <si>
    <t>AFS securities (period-end)</t>
  </si>
  <si>
    <t>HTM securities (period-end)</t>
  </si>
  <si>
    <t>FHLB advances (period-end)</t>
  </si>
  <si>
    <t>sub &amp; other debt (period-end)</t>
  </si>
  <si>
    <t>AOCI (period-end)</t>
  </si>
  <si>
    <t>Total deposits (period-end)</t>
  </si>
  <si>
    <t>Cash and due from banks (period-end)</t>
  </si>
  <si>
    <t>Blank = unavailable (3Q24, 1Q25, FY24: not reported on current basis / not in sources used)</t>
  </si>
  <si>
    <t>Interest-bearing cash and due from banks (period-end)</t>
  </si>
  <si>
    <t>Common shares at period-end (M)</t>
  </si>
  <si>
    <t>Blank = unavailable (3Q24, FY24: not reported on current basis / not in sources used)</t>
  </si>
  <si>
    <t>Cash flow statement - year-to-date as reported (10-Q/10-K); own column headers in row 140 (row 4-6 period headers do not apply); quarters derived on Cash Flow Statement tab</t>
  </si>
  <si>
    <t>Line item</t>
  </si>
  <si>
    <t>6M25 YTD</t>
  </si>
  <si>
    <t>9M25 YTD</t>
  </si>
  <si>
    <t>FY25</t>
  </si>
  <si>
    <t>3M26 YTD</t>
  </si>
  <si>
    <t>6M26 YTD</t>
  </si>
  <si>
    <t>6M25/6M26: 2Q26 10-Q (S11); 9M25: 3Q25 10-Q (S13); FY25: 2025 10-K (S14); 3M26: 1Q26 10-Q (S12)</t>
  </si>
  <si>
    <t>Issuance of LT borrowings</t>
  </si>
  <si>
    <t>Net change in cash and equivalents</t>
  </si>
  <si>
    <t>S&amp;P Capital IQ consensus snapshot (CFG_consensus.json) - complete raw summary row; blanks preserved; key/value pairs in A:B (row 4-6 period headers do not apply)</t>
  </si>
  <si>
    <t>json.source</t>
  </si>
  <si>
    <t>S&amp;P Capital IQ</t>
  </si>
  <si>
    <t>json.ticker</t>
  </si>
  <si>
    <t>json.company</t>
  </si>
  <si>
    <t>json.fiscal_period</t>
  </si>
  <si>
    <t>FQ3 2026 - Sep 2026</t>
  </si>
  <si>
    <t>json.period_end_date</t>
  </si>
  <si>
    <t>json.as_of_date</t>
  </si>
  <si>
    <t>json.analyst_count</t>
  </si>
  <si>
    <t>json.consensus_eps</t>
  </si>
  <si>
    <t>json.eps_basis</t>
  </si>
  <si>
    <t>Normalized diluted EPS per common share, USD; verify issuer adjustments</t>
  </si>
  <si>
    <t>json.consensus_revenue_m</t>
  </si>
  <si>
    <t>json.currency</t>
  </si>
  <si>
    <t>USD</t>
  </si>
  <si>
    <t>json.summary_sha256</t>
  </si>
  <si>
    <t>edbf949d984075e582c0427440965f3f2b24f43d8e9ef3ba40bd5d158b8c8d16</t>
  </si>
  <si>
    <t>json.captured_precision</t>
  </si>
  <si>
    <t>date only, user confirmed</t>
  </si>
  <si>
    <t>json.currency_units_status</t>
  </si>
  <si>
    <t>per-share in USD; revenue and income in USD millions</t>
  </si>
  <si>
    <t>ticker</t>
  </si>
  <si>
    <t>company_name</t>
  </si>
  <si>
    <t>exchange_ticker</t>
  </si>
  <si>
    <t>NYSE:CFG</t>
  </si>
  <si>
    <t>capiq_company_id</t>
  </si>
  <si>
    <t>sp500_member</t>
  </si>
  <si>
    <t>Y</t>
  </si>
  <si>
    <t>market_cap_usd_m</t>
  </si>
  <si>
    <t>Blank in source - unavailable (not zero)</t>
  </si>
  <si>
    <t>fiscal_quarter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</si>
  <si>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</si>
  <si>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</si>
  <si>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</si>
  <si>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</si>
  <si>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</si>
  <si>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</si>
  <si>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</si>
  <si>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</si>
  <si>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</si>
  <si>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</si>
  <si>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</si>
  <si>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</si>
  <si>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</si>
  <si>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</si>
  <si>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</si>
  <si>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</si>
  <si>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</si>
  <si>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</si>
  <si>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</si>
  <si>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</si>
  <si>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</si>
  <si>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</si>
  <si>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</si>
  <si>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</si>
  <si>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</si>
  <si>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</si>
  <si>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</si>
  <si>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</si>
  <si>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</si>
  <si>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</si>
  <si>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</si>
  <si>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</si>
  <si>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</si>
  <si>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</si>
  <si>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</si>
  <si>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</si>
  <si>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</si>
  <si>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</si>
  <si>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</si>
  <si>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</si>
  <si>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</si>
  <si>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</si>
  <si>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</si>
  <si>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</si>
  <si>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</si>
  <si>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</si>
  <si>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</si>
  <si>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</si>
  <si>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</si>
  <si>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</si>
  <si>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</si>
  <si>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Reference only - not used as an earnings input or FX factor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</si>
  <si>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</si>
  <si>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</si>
  <si>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</si>
  <si>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</si>
  <si>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</si>
  <si>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</si>
  <si>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</si>
  <si>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</si>
  <si>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</si>
  <si>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</si>
  <si>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75.33/47.96</t>
  </si>
  <si>
    <t>currency</t>
  </si>
  <si>
    <t>units</t>
  </si>
  <si>
    <t>estimates_captured_at</t>
  </si>
  <si>
    <t>notes</t>
  </si>
  <si>
    <t>A GAAP EPS "Guidance 0.46" value looked like a different line item and was excluded.</t>
  </si>
  <si>
    <t>S&amp;P Capital IQ history (CFG_history.csv) - all six rows; target-quarter actuals absent; own header row 262 (row 4-6 period headers do not apply)</t>
  </si>
  <si>
    <t>period_end_date</t>
  </si>
  <si>
    <t>report_date</t>
  </si>
  <si>
    <t>eps_norm_cons</t>
  </si>
  <si>
    <t>eps_norm_act</t>
  </si>
  <si>
    <t>eps_gaap_cons</t>
  </si>
  <si>
    <t>eps_gaap_act</t>
  </si>
  <si>
    <t>rev_m_cons</t>
  </si>
  <si>
    <t>rev_m_act</t>
  </si>
  <si>
    <t>EPS surprise $</t>
  </si>
  <si>
    <t>Beat (1/0)</t>
  </si>
  <si>
    <t>Rev surprise $M</t>
  </si>
  <si>
    <t>1Q25</t>
  </si>
  <si>
    <t>2Q25</t>
  </si>
  <si>
    <t>Size-aware starting probability (playbook v2) and evidence update</t>
  </si>
  <si>
    <t>Market cap ($B)</t>
  </si>
  <si>
    <t>stockanalysis.com, close 9 Oct 2026 ($63.57 x ~421M sh) (S23); CapIQ market_cap_usd_m blank</t>
  </si>
  <si>
    <t>Market cap date</t>
  </si>
  <si>
    <t>S&amp;P 500 member</t>
  </si>
  <si>
    <t>CapIQ summary row sp500_member flag (S1); no separate index-constituent source captured</t>
  </si>
  <si>
    <t>Large-cap threshold ($B, above)</t>
  </si>
  <si>
    <t>Playbook v2: small $0.3-2B, mid $2-10B, large &gt; $10B</t>
  </si>
  <si>
    <t>Mid-cap threshold ($B, at or above)</t>
  </si>
  <si>
    <t>Size bucket</t>
  </si>
  <si>
    <t>Cohort prior - large or S&amp;P 500</t>
  </si>
  <si>
    <t>Playbook v2 (forecasting-playbook.md, original run): 0.60/0.70/0.78 are rounded hypotheses, not fitted; reference FactSet S&amp;P 500 5-yr beat avg 78%</t>
  </si>
  <si>
    <t>Cohort prior - mid</t>
  </si>
  <si>
    <t>Cohort prior - small</t>
  </si>
  <si>
    <t>Cohort prior applied</t>
  </si>
  <si>
    <t>Pseudo-count</t>
  </si>
  <si>
    <t>Playbook v2: fixed 8 pseudo-observations (experimental regularization weight, not fitted)</t>
  </si>
  <si>
    <t>Strict beats (b)</t>
  </si>
  <si>
    <t>Valid pairs (n)</t>
  </si>
  <si>
    <t>Pairs where both consensus and actual are numeric = COUNT(J263:J268) (J returns a number only for valid pairs; engine-portable, replaces array SUMPRODUCT)</t>
  </si>
  <si>
    <t>Starting P(beat) = (k*prior+b)/(k+n)</t>
  </si>
  <si>
    <t>Avg historical EPS surprise ($)</t>
  </si>
  <si>
    <t>Smallest historical EPS surprise ($)</t>
  </si>
  <si>
    <t>Model EPS - consensus ($)</t>
  </si>
  <si>
    <t>Beat requires reported EPS &gt;= $1.40 (strictly above $1.39)</t>
  </si>
  <si>
    <t>Quarter-specific evidence adjustment</t>
  </si>
  <si>
    <t>Model EPS ~ consensus (no cushion); IB slowdown &amp; +70bp long rates; deposit pricing pressure pre-hike; offset: mgmt "good quarter" 14 Sep, NII beats. r5: after the Series G deemed-dividend correction (IS G126) model EPS is $1.3805 (B287 = -$0.0095); -22pp judgment retained unchanged, not re-fitted (unresolved)</t>
  </si>
  <si>
    <t>Final P(beat consensus EPS)</t>
  </si>
  <si>
    <t>Bounded to [0,1] by MAX/MIN guard; unbounded B284+B288 = 0.654 here, so guard is inactive and the value is unchanged</t>
  </si>
  <si>
    <t>medium</t>
  </si>
  <si>
    <t>S25, published 9 Oct 2026</t>
  </si>
  <si>
    <t>S24, published 8 Oct 2026; whisper EPS $1.41</t>
  </si>
  <si>
    <t>Sources</t>
  </si>
  <si>
    <t>Rows 4-6 show the model period (3Q26E) only; the source table below has its own column headers (row 8)</t>
  </si>
  <si>
    <t>ID</t>
  </si>
  <si>
    <t>Published</t>
  </si>
  <si>
    <t>Publisher</t>
  </si>
  <si>
    <t>URL or file</t>
  </si>
  <si>
    <t>Feeds</t>
  </si>
  <si>
    <t>Retrieved (UTC date)</t>
  </si>
  <si>
    <t>S1</t>
  </si>
  <si>
    <t>CFG_consensus.json (attached)</t>
  </si>
  <si>
    <t>Cover consensus; Inputs summary row</t>
  </si>
  <si>
    <t>file</t>
  </si>
  <si>
    <t>S2</t>
  </si>
  <si>
    <t>CFG_history.csv (attached)</t>
  </si>
  <si>
    <t>Inputs history; prior calibration; CapIQ checks</t>
  </si>
  <si>
    <t>S3</t>
  </si>
  <si>
    <t>Citizens Financial Group (SEC 8-K)</t>
  </si>
  <si>
    <t>https://www.sec.gov/Archives/edgar/data/759944/000075994426000133/a2q26earningsrelease.htm</t>
  </si>
  <si>
    <t>2Q26 results, buybacks, dividends</t>
  </si>
  <si>
    <t>S4</t>
  </si>
  <si>
    <t>https://www.sec.gov/Archives/edgar/data/759944/000075994426000133/q226financialsupplement.htm</t>
  </si>
  <si>
    <t>IS, BS, avg balances, segments, mortgage, credit 2Q25-2Q26</t>
  </si>
  <si>
    <t>https://www.sec.gov/Archives/edgar/data/759944/000075994426000133/a2q26earningspresentatio.htm</t>
  </si>
  <si>
    <t>3Q26 outlook (slide 17), NIM walk (slide 18)</t>
  </si>
  <si>
    <t>S6</t>
  </si>
  <si>
    <t>The Motley Fool (transcript)</t>
  </si>
  <si>
    <t>https://www.fool.com/earnings/call-transcripts/2026/07/23/citizens-financial-cfg-q2-2026-earnings-call-transcript/</t>
  </si>
  <si>
    <t>3Q26/FY26 guidance commentary</t>
  </si>
  <si>
    <t>S7</t>
  </si>
  <si>
    <t>https://www.sec.gov/Archives/edgar/data/759944/000075994426000070/q126financialsupplement.htm</t>
  </si>
  <si>
    <t>1Q25 avg balances, segments, mortgage</t>
  </si>
  <si>
    <t>S8</t>
  </si>
  <si>
    <t>https://www.sec.gov/Archives/edgar/data/759944/000075994426000017/q425financialsupplement.htm</t>
  </si>
  <si>
    <t>4Q24, 1Q25, FY24, FY25 IS/segments/avg balances</t>
  </si>
  <si>
    <t>https://www.sec.gov/Archives/edgar/data/759944/000075994426000017/a4q25earningspresentatio.htm</t>
  </si>
  <si>
    <t>1Q26 outlook (slide 25); note '3Q25 includes preferred stock early redemption costs of $5MM' (IS H126)</t>
  </si>
  <si>
    <t>S10</t>
  </si>
  <si>
    <t>https://www.sec.gov/Archives/edgar/data/759944/000075994425000139/q325financialsupplement.htm</t>
  </si>
  <si>
    <t>3Q24 comparatives</t>
  </si>
  <si>
    <t>S11</t>
  </si>
  <si>
    <t>Citizens Financial Group (10-Q)</t>
  </si>
  <si>
    <t>https://investor.citizensbank.com/~/media/Files/C/CitizensBank-IR/citizens-10-q-q2-2026.pdf</t>
  </si>
  <si>
    <t>Cash flow 6M26 and 6M25; Series J $400M issued 30 Jul 2026 (BS H38)</t>
  </si>
  <si>
    <t>S12</t>
  </si>
  <si>
    <t>https://investor.citizensbank.com/~/media/Files/C/CitizensBank-IR/citizens-10-q-q1-2026.pdf</t>
  </si>
  <si>
    <t>Cash flow 3M26; Series G carrying amount $296M (IS G125)</t>
  </si>
  <si>
    <t>S13</t>
  </si>
  <si>
    <t>https://www.sec.gov/Archives/edgar/data/759944/000075994425000153/cfg-20250930.htm</t>
  </si>
  <si>
    <t>Cash flow 9M25; 3Q25 equity statement Series F redemption (395) + (5) RE at notice (IS H126)</t>
  </si>
  <si>
    <t>S14</t>
  </si>
  <si>
    <t>Citizens Financial Group (10-K)</t>
  </si>
  <si>
    <t>https://www.sec.gov/Archives/edgar/data/759944/000075994426000028/R8.htm</t>
  </si>
  <si>
    <t>Cash flow FY25; US-only footprint</t>
  </si>
  <si>
    <t>https://www.fool.com/earnings/call-transcripts/2026/04/16/citizens-cfg-q1-2026-earnings-call-transcript/</t>
  </si>
  <si>
    <t>2Q26 guidance</t>
  </si>
  <si>
    <t>Insider Monkey (transcript)</t>
  </si>
  <si>
    <t>https://www.insidermonkey.com/blog/citizens-financial-group-inc-nysecfg-q4-2025-earnings-call-transcript-1679574/</t>
  </si>
  <si>
    <t>FY26 guidance</t>
  </si>
  <si>
    <t>roic.ai (transcript)</t>
  </si>
  <si>
    <t>https://www.roic.ai/quote/CFG/transcripts/2025-year/3-quarter</t>
  </si>
  <si>
    <t>4Q25 guidance</t>
  </si>
  <si>
    <t>https://www.insidermonkey.com/blog/citizens-financial-group-inc-nysecfg-q2-2025-earnings-call-transcript-1571527/</t>
  </si>
  <si>
    <t>3Q25 guidance</t>
  </si>
  <si>
    <t>S19</t>
  </si>
  <si>
    <t>Investing.com (conference transcript)</t>
  </si>
  <si>
    <t>https://ng.investing.com/news/stock-market-news/citizens-financial-at-barclays-conference-private-bank-drives-growth-93CH-2695004</t>
  </si>
  <si>
    <t>Intra-quarter update: "good quarter", guides reaffirmed</t>
  </si>
  <si>
    <t>S20</t>
  </si>
  <si>
    <t>Federal Reserve</t>
  </si>
  <si>
    <t>https://www.federalreserve.gov/newsevents/pressreleases/monetary20260729a.htm</t>
  </si>
  <si>
    <t>Rates held 3.50-3.75%</t>
  </si>
  <si>
    <t>S21</t>
  </si>
  <si>
    <t>https://www.federalreserve.gov/newsevents/pressreleases/monetary20260916a.htm</t>
  </si>
  <si>
    <t>Hike to 3.75-4.00% (late-quarter)</t>
  </si>
  <si>
    <t>S22</t>
  </si>
  <si>
    <t>Citizens Financial Group (press release)</t>
  </si>
  <si>
    <t>https://investor.citizensbank.com/about-us/newsroom/latest-news/2026/2026-09-01-153819612.aspx</t>
  </si>
  <si>
    <t>Series G redemption: notice 1 Sep 2026 (3Q26), paid 6 Oct 2026 (4Q26); $300M redemption amount (IS G124)</t>
  </si>
  <si>
    <t>S23</t>
  </si>
  <si>
    <t>StockAnalysis.com</t>
  </si>
  <si>
    <t>https://stockanalysis.com/stocks/cfg/market-cap/</t>
  </si>
  <si>
    <t>Market cap $26.77B (prior calibration)</t>
  </si>
  <si>
    <t>S24</t>
  </si>
  <si>
    <t>Earnings Whispers</t>
  </si>
  <si>
    <t>https://www.earningswhispers.com/article/CFG/20351</t>
  </si>
  <si>
    <t>Alt. consensus $1.38 / $2.32B; whisper $1.41</t>
  </si>
  <si>
    <t>S25</t>
  </si>
  <si>
    <t>MarketBeat</t>
  </si>
  <si>
    <t>https://www.marketbeat.com/instant-alerts/upcoming-citizens-financial-group-cfg-expected-to-release-quarterly-earnings-on-friday-2026-10-09/</t>
  </si>
  <si>
    <t>Alt. consensus $1.39 / $2,339.4M</t>
  </si>
  <si>
    <t>S26</t>
  </si>
  <si>
    <t>Hilo Research (JPMorgan large-cap banks note summary)</t>
  </si>
  <si>
    <t>https://www.xxquant.com/en/institution/institutional-research/7f60c8800d6219a17f0e1724355da1ce</t>
  </si>
  <si>
    <t>Sector: rising rates, weak bond/equity issuance</t>
  </si>
  <si>
    <t>S27</t>
  </si>
  <si>
    <t>Wall Street Beats</t>
  </si>
  <si>
    <t>https://wallstreetbeats.com/insights/bank-q3-26-eps-preview</t>
  </si>
  <si>
    <t>Sector: 3Q26 capital markets down QoQ</t>
  </si>
  <si>
    <t>S28</t>
  </si>
  <si>
    <t>https://investor.citizensbank.com/about-us/newsroom/latest-news/2026/2026-09-10-210526622.aspx</t>
  </si>
  <si>
    <t>Report date 16 Oct 2026 confirmed</t>
  </si>
  <si>
    <t>Tabs omitted: Geo - revenue is effectively all US (2025 10-K, S14: 14 states + DC; no geographic disclosure); single line on Revenue summary.</t>
  </si>
  <si>
    <t>No Dates, Consensus or Checks tabs by design: headers live on each tab, consensus on Cover, check summary on Cover C28 (definition in Cover I28).</t>
  </si>
  <si>
    <t>Information cutoff 2026-10-11T22:24Z. All sources published before cutoff; target-quarter (3Q26) actuals not seen.</t>
  </si>
  <si>
    <t>Retrieved dates F11:F36 (2026-10-12, date only) are the actual fetch date, after the cutoff, and are not backdated. Fetching pre-cutoff publications later is not leakage, but pages were not frozen snapshots: dynamic pages (S23-S25, S27) may carry post-cutoff edits - unresolved.</t>
  </si>
  <si>
    <t>S6: Published = call date 2026-07-16 (preserved page DATE field); URL path 2026/07/23 and fetch metadata 2026-08-18 are web-posting dates; all before cutoff.</t>
  </si>
</sst>
</file>

<file path=xl/styles.xml><?xml version="1.0" encoding="utf-8"?>
<styleSheet xmlns="http://schemas.openxmlformats.org/spreadsheetml/2006/main">
  <numFmts count="16">
    <numFmt numFmtId="164" formatCode="yyyy-mm-dd"/>
    <numFmt numFmtId="165" formatCode="0"/>
    <numFmt numFmtId="166" formatCode="#,##0.0_);(#,##0.0);–_)"/>
    <numFmt numFmtId="167" formatCode="$0.00"/>
    <numFmt numFmtId="168" formatCode="0.0%_);(0.0%);–_)"/>
    <numFmt numFmtId="169" formatCode="#,##0_);(#,##0);–_)"/>
    <numFmt numFmtId="170" formatCode="0.00%_);(0.00%);–_)"/>
    <numFmt numFmtId="171" formatCode="0.0%"/>
    <numFmt numFmtId="172" formatCode="#,##0.00_);(#,##0.00);–_)"/>
    <numFmt numFmtId="173" formatCode="General"/>
    <numFmt numFmtId="174" formatCode="$0.0000_);($0.0000);–_)"/>
    <numFmt numFmtId="175" formatCode="0.0"/>
    <numFmt numFmtId="176" formatCode="0.000000"/>
    <numFmt numFmtId="177" formatCode="#,##0.0_);(#,##0.0);&quot;n.f.&quot;_)"/>
    <numFmt numFmtId="178" formatCode="&quot;proxy &quot;#,##0.0_);&quot;proxy &quot;(#,##0.0);&quot;n.f.&quot;_)"/>
    <numFmt numFmtId="179" formatCode="&quot;n.m.&quot;_);&quot;n.m.&quot;_);&quot;n.m.&quot;_)"/>
  </numFmts>
  <fonts count="41">
    <font>
      <sz val="11"/>
      <name val="Calibri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/>
      <i val="0"/>
      <strike val="0"/>
      <sz val="14"/>
      <color rgb="FF000000"/>
      <name val="Arial"/>
    </font>
    <font>
      <b val="0"/>
      <i/>
      <strike val="0"/>
      <sz val="9"/>
      <color rgb="FF595959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 val="0"/>
      <i/>
      <strike val="0"/>
      <sz val="9"/>
      <color rgb="FF595959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1"/>
      <color rgb="FF000000"/>
      <name val="Calibri"/>
    </font>
    <font>
      <b/>
      <i val="0"/>
      <strike val="0"/>
      <sz val="10"/>
      <color rgb="FF000000"/>
      <name val="Arial"/>
    </font>
    <font>
      <b val="0"/>
      <i val="0"/>
      <strike val="0"/>
      <sz val="11"/>
      <color rgb="FF006100"/>
      <name val="Calibri"/>
    </font>
    <font>
      <b val="0"/>
      <i/>
      <strike val="0"/>
      <sz val="9"/>
      <color rgb="FF595959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9"/>
      <color rgb="FF595959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9"/>
      <color rgb="FF595959"/>
      <name val="Arial"/>
    </font>
    <font>
      <b val="0"/>
      <i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9"/>
      <color rgb="FF595959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9"/>
      <color rgb="FF59595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4">
    <border>
      <left/>
      <right/>
      <top/>
      <bottom/>
      <diagonal/>
    </border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1" xfId="0" applyFont="1" applyFill="1" applyBorder="1" applyAlignment="1" applyProtection="1">
      <alignment horizontal="general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0" fontId="4" fillId="2" borderId="2" xfId="0" applyFont="1" applyFill="1" applyBorder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4" fillId="2" borderId="1" xfId="0" applyFont="1" applyFill="1" applyBorder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5" fontId="1" fillId="2" borderId="2" xfId="0" applyNumberFormat="1" applyFont="1" applyFill="1" applyBorder="1" applyAlignment="1" applyProtection="1">
      <alignment horizontal="right" vertical="bottom"/>
      <protection locked="1" hidden="0"/>
    </xf>
    <xf numFmtId="0" fontId="4" fillId="2" borderId="2" xfId="0" applyFont="1" applyFill="1" applyBorder="1" applyAlignment="1" applyProtection="1">
      <alignment horizontal="general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0" fontId="4" fillId="2" borderId="1" xfId="0" applyFont="1" applyFill="1" applyBorder="1" applyAlignment="1" applyProtection="1">
      <alignment horizontal="general" vertical="bottom"/>
      <protection locked="1" hidden="0"/>
    </xf>
    <xf numFmtId="167" fontId="6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0" fontId="8" fillId="0" borderId="0" xfId="0" applyFont="1" applyFill="1" applyAlignment="1" applyProtection="1">
      <alignment horizontal="right" vertical="bottom"/>
      <protection locked="1" hidden="0"/>
    </xf>
    <xf numFmtId="166" fontId="7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169" fontId="7" fillId="0" borderId="0" xfId="0" applyNumberFormat="1" applyFont="1" applyFill="1" applyAlignment="1" applyProtection="1">
      <alignment horizontal="right" vertical="bottom"/>
      <protection locked="1" hidden="0"/>
    </xf>
    <xf numFmtId="0" fontId="10" fillId="0" borderId="0" xfId="0" applyFont="1" applyFill="1" applyAlignment="1" applyProtection="1">
      <alignment horizontal="general" vertical="bottom"/>
      <protection locked="1" hidden="0"/>
    </xf>
    <xf numFmtId="169" fontId="6" fillId="0" borderId="0" xfId="0" applyNumberFormat="1" applyFont="1" applyFill="1" applyAlignment="1" applyProtection="1">
      <alignment horizontal="right" vertical="bottom"/>
      <protection locked="1" hidden="0"/>
    </xf>
    <xf numFmtId="166" fontId="3" fillId="0" borderId="0" xfId="0" applyNumberFormat="1" applyFont="1" applyFill="1" applyAlignment="1" applyProtection="1">
      <alignment horizontal="right" vertical="bottom"/>
      <protection locked="1" hidden="0"/>
    </xf>
    <xf numFmtId="169" fontId="2" fillId="0" borderId="0" xfId="0" applyNumberFormat="1" applyFont="1" applyFill="1" applyAlignment="1" applyProtection="1">
      <alignment horizontal="right" vertical="bottom"/>
      <protection locked="1" hidden="0"/>
    </xf>
    <xf numFmtId="168" fontId="6" fillId="0" borderId="0" xfId="0" applyNumberFormat="1" applyFont="1" applyFill="1" applyAlignment="1" applyProtection="1">
      <alignment horizontal="right" vertical="bottom"/>
      <protection locked="1" hidden="0"/>
    </xf>
    <xf numFmtId="170" fontId="11" fillId="0" borderId="0" xfId="0" applyNumberFormat="1" applyFont="1" applyFill="1" applyAlignment="1" applyProtection="1">
      <alignment horizontal="right" vertical="bottom"/>
      <protection locked="1" hidden="0"/>
    </xf>
    <xf numFmtId="168" fontId="11" fillId="3" borderId="0" xfId="0" applyNumberFormat="1" applyFont="1" applyFill="1" applyAlignment="1" applyProtection="1">
      <alignment horizontal="right" vertical="bottom"/>
      <protection locked="1" hidden="0"/>
    </xf>
    <xf numFmtId="166" fontId="4" fillId="0" borderId="3" xfId="0" applyNumberFormat="1" applyFont="1" applyFill="1" applyBorder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168" fontId="11" fillId="0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6" fontId="2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6" fontId="4" fillId="3" borderId="3" xfId="0" applyNumberFormat="1" applyFont="1" applyFill="1" applyBorder="1" applyAlignment="1" applyProtection="1">
      <alignment horizontal="right" vertical="bottom"/>
      <protection locked="1" hidden="0"/>
    </xf>
    <xf numFmtId="169" fontId="2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70" fontId="2" fillId="0" borderId="0" xfId="0" applyNumberFormat="1" applyFont="1" applyFill="1" applyAlignment="1" applyProtection="1">
      <alignment horizontal="right" vertical="bottom"/>
      <protection locked="1" hidden="0"/>
    </xf>
    <xf numFmtId="166" fontId="6" fillId="0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2"/>
      <protection locked="1" hidden="0"/>
    </xf>
    <xf numFmtId="171" fontId="8" fillId="0" borderId="0" xfId="0" applyNumberFormat="1" applyFont="1" applyFill="1" applyAlignment="1" applyProtection="1">
      <alignment horizontal="right" vertical="bottom"/>
      <protection locked="1" hidden="0"/>
    </xf>
    <xf numFmtId="165" fontId="1" fillId="3" borderId="2" xfId="0" applyNumberFormat="1" applyFont="1" applyFill="1" applyBorder="1" applyAlignment="1" applyProtection="1">
      <alignment horizontal="right" vertical="bottom"/>
      <protection locked="1" hidden="0"/>
    </xf>
    <xf numFmtId="170" fontId="6" fillId="0" borderId="0" xfId="0" applyNumberFormat="1" applyFont="1" applyFill="1" applyAlignment="1" applyProtection="1">
      <alignment horizontal="right" vertical="bottom"/>
      <protection locked="1" hidden="0"/>
    </xf>
    <xf numFmtId="168" fontId="3" fillId="0" borderId="0" xfId="0" applyNumberFormat="1" applyFont="1" applyFill="1" applyAlignment="1" applyProtection="1">
      <alignment horizontal="right" vertical="bottom"/>
      <protection locked="1" hidden="0"/>
    </xf>
    <xf numFmtId="168" fontId="7" fillId="0" borderId="0" xfId="0" applyNumberFormat="1" applyFont="1" applyFill="1" applyAlignment="1" applyProtection="1">
      <alignment horizontal="right" vertical="bottom"/>
      <protection locked="1" hidden="0"/>
    </xf>
    <xf numFmtId="169" fontId="11" fillId="3" borderId="0" xfId="0" applyNumberFormat="1" applyFont="1" applyFill="1" applyAlignment="1" applyProtection="1">
      <alignment horizontal="right" vertical="bottom"/>
      <protection locked="1" hidden="0"/>
    </xf>
    <xf numFmtId="166" fontId="3" fillId="3" borderId="0" xfId="0" applyNumberFormat="1" applyFont="1" applyFill="1" applyAlignment="1" applyProtection="1">
      <alignment horizontal="right" vertical="bottom"/>
      <protection locked="1" hidden="0"/>
    </xf>
    <xf numFmtId="164" fontId="3" fillId="3" borderId="0" xfId="0" applyNumberFormat="1" applyFont="1" applyFill="1" applyAlignment="1" applyProtection="1">
      <alignment horizontal="right" vertical="bottom"/>
      <protection locked="1" hidden="0"/>
    </xf>
    <xf numFmtId="166" fontId="7" fillId="3" borderId="0" xfId="0" applyNumberFormat="1" applyFont="1" applyFill="1" applyAlignment="1" applyProtection="1">
      <alignment horizontal="right" vertical="bottom"/>
      <protection locked="1" hidden="0"/>
    </xf>
    <xf numFmtId="0" fontId="4" fillId="3" borderId="1" xfId="0" applyFont="1" applyFill="1" applyBorder="1" applyAlignment="1" applyProtection="1">
      <alignment horizontal="right" vertical="bottom"/>
      <protection locked="1" hidden="0"/>
    </xf>
    <xf numFmtId="170" fontId="2" fillId="3" borderId="0" xfId="0" applyNumberFormat="1" applyFont="1" applyFill="1" applyAlignment="1" applyProtection="1">
      <alignment horizontal="right" vertical="bottom"/>
      <protection locked="1" hidden="0"/>
    </xf>
    <xf numFmtId="167" fontId="3" fillId="3" borderId="0" xfId="0" applyNumberFormat="1" applyFont="1" applyFill="1" applyAlignment="1" applyProtection="1">
      <alignment horizontal="right" vertical="bottom"/>
      <protection locked="1" hidden="0"/>
    </xf>
    <xf numFmtId="166" fontId="12" fillId="0" borderId="3" xfId="0" applyNumberFormat="1" applyFont="1" applyFill="1" applyBorder="1" applyAlignment="1" applyProtection="1">
      <alignment horizontal="right" vertical="bottom"/>
      <protection locked="1" hidden="0"/>
    </xf>
    <xf numFmtId="167" fontId="3" fillId="0" borderId="0" xfId="0" applyNumberFormat="1" applyFont="1" applyFill="1" applyAlignment="1" applyProtection="1">
      <alignment horizontal="right" vertical="bottom"/>
      <protection locked="1" hidden="0"/>
    </xf>
    <xf numFmtId="170" fontId="11" fillId="3" borderId="0" xfId="0" applyNumberFormat="1" applyFont="1" applyFill="1" applyAlignment="1" applyProtection="1">
      <alignment horizontal="right" vertical="bottom"/>
      <protection locked="1" hidden="0"/>
    </xf>
    <xf numFmtId="167" fontId="1" fillId="3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0" xfId="0" applyNumberFormat="1" applyFont="1" applyFill="1" applyAlignment="1" applyProtection="1">
      <alignment horizontal="right" vertical="bottom"/>
      <protection locked="1" hidden="0"/>
    </xf>
    <xf numFmtId="167" fontId="2" fillId="0" borderId="0" xfId="0" applyNumberFormat="1" applyFont="1" applyFill="1" applyAlignment="1" applyProtection="1">
      <alignment horizontal="right" vertical="bottom"/>
      <protection locked="1" hidden="0"/>
    </xf>
    <xf numFmtId="167" fontId="4" fillId="0" borderId="3" xfId="0" applyNumberFormat="1" applyFont="1" applyFill="1" applyBorder="1" applyAlignment="1" applyProtection="1">
      <alignment horizontal="right" vertical="bottom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8" fontId="6" fillId="3" borderId="0" xfId="0" applyNumberFormat="1" applyFont="1" applyFill="1" applyAlignment="1" applyProtection="1">
      <alignment horizontal="right" vertical="bottom"/>
      <protection locked="1" hidden="0"/>
    </xf>
    <xf numFmtId="166" fontId="2" fillId="3" borderId="0" xfId="0" applyNumberFormat="1" applyFont="1" applyFill="1" applyAlignment="1" applyProtection="1">
      <alignment horizontal="right" vertical="bottom"/>
      <protection locked="1" hidden="0"/>
    </xf>
    <xf numFmtId="167" fontId="6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2"/>
      <protection locked="1" hidden="0"/>
    </xf>
    <xf numFmtId="166" fontId="8" fillId="0" borderId="3" xfId="0" applyNumberFormat="1" applyFont="1" applyFill="1" applyBorder="1" applyAlignment="1" applyProtection="1">
      <alignment horizontal="right" vertical="bottom"/>
      <protection locked="1" hidden="0"/>
    </xf>
    <xf numFmtId="167" fontId="4" fillId="3" borderId="3" xfId="0" applyNumberFormat="1" applyFont="1" applyFill="1" applyBorder="1" applyAlignment="1" applyProtection="1">
      <alignment horizontal="right" vertical="bottom"/>
      <protection locked="1" hidden="0"/>
    </xf>
    <xf numFmtId="167" fontId="7" fillId="3" borderId="0" xfId="0" applyNumberFormat="1" applyFont="1" applyFill="1" applyAlignment="1" applyProtection="1">
      <alignment horizontal="right" vertical="bottom"/>
      <protection locked="1" hidden="0"/>
    </xf>
    <xf numFmtId="166" fontId="6" fillId="3" borderId="0" xfId="0" applyNumberFormat="1" applyFont="1" applyFill="1" applyAlignment="1" applyProtection="1">
      <alignment horizontal="right" vertical="bottom"/>
      <protection locked="1" hidden="0"/>
    </xf>
    <xf numFmtId="0" fontId="1" fillId="0" borderId="3" xfId="0" applyFont="1" applyFill="1" applyBorder="1" applyAlignment="1" applyProtection="1">
      <alignment horizontal="general" vertical="bottom"/>
      <protection locked="1" hidden="0"/>
    </xf>
    <xf numFmtId="172" fontId="3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4" fontId="3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70" fontId="13" fillId="0" borderId="3" xfId="0" applyNumberFormat="1" applyFont="1" applyFill="1" applyBorder="1" applyAlignment="1" applyProtection="1">
      <alignment horizontal="right" vertical="bottom"/>
      <protection locked="1" hidden="0"/>
    </xf>
    <xf numFmtId="168" fontId="4" fillId="0" borderId="3" xfId="0" applyNumberFormat="1" applyFont="1" applyFill="1" applyBorder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bottom" indent="3"/>
      <protection locked="1" hidden="0"/>
    </xf>
    <xf numFmtId="169" fontId="3" fillId="0" borderId="0" xfId="0" applyNumberFormat="1" applyFont="1" applyFill="1" applyAlignment="1" applyProtection="1">
      <alignment horizontal="right" vertical="bottom"/>
      <protection locked="1" hidden="0"/>
    </xf>
    <xf numFmtId="166" fontId="8" fillId="3" borderId="3" xfId="0" applyNumberFormat="1" applyFont="1" applyFill="1" applyBorder="1" applyAlignment="1" applyProtection="1">
      <alignment horizontal="right" vertical="bottom"/>
      <protection locked="1" hidden="0"/>
    </xf>
    <xf numFmtId="170" fontId="13" fillId="3" borderId="3" xfId="0" applyNumberFormat="1" applyFont="1" applyFill="1" applyBorder="1" applyAlignment="1" applyProtection="1">
      <alignment horizontal="right" vertical="bottom"/>
      <protection locked="1" hidden="0"/>
    </xf>
    <xf numFmtId="173" fontId="1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general" vertical="bottom" textRotation="0" wrapText="1" indent="0" readingOrder="0"/>
      <protection locked="1" hidden="0"/>
    </xf>
    <xf numFmtId="173" fontId="18" fillId="2" borderId="2" xfId="0" applyNumberFormat="1" applyFont="1" applyFill="1" applyBorder="1" applyAlignment="1" applyProtection="1">
      <alignment horizontal="lef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18" fillId="2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0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1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6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0" fillId="0" borderId="0" xfId="0" applyFont="1" applyFill="1" applyAlignment="1" applyProtection="1">
      <alignment horizontal="right" vertical="bottom"/>
      <protection locked="1" hidden="0"/>
    </xf>
    <xf numFmtId="173" fontId="21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right" vertical="bottom"/>
      <protection locked="1" hidden="0"/>
    </xf>
    <xf numFmtId="0" fontId="23" fillId="0" borderId="0" xfId="0" applyFont="1" applyFill="1" applyAlignment="1" applyProtection="1">
      <alignment horizontal="general" vertical="bottom"/>
      <protection locked="1" hidden="0"/>
    </xf>
    <xf numFmtId="173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2" fillId="0" borderId="0" xfId="0" applyNumberFormat="1" applyFont="1" applyFill="1" applyAlignment="1" applyProtection="1">
      <alignment horizontal="right" vertical="bottom"/>
      <protection locked="1" hidden="0"/>
    </xf>
    <xf numFmtId="166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2" fillId="0" borderId="0" xfId="0" applyNumberFormat="1" applyFont="1" applyFill="1" applyAlignment="1" applyProtection="1">
      <alignment horizontal="right" vertical="bottom"/>
      <protection locked="1" hidden="0"/>
    </xf>
    <xf numFmtId="173" fontId="21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26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8" fontId="22" fillId="0" borderId="0" xfId="0" applyNumberFormat="1" applyFont="1" applyFill="1" applyAlignment="1" applyProtection="1">
      <alignment horizontal="right" vertical="bottom"/>
      <protection locked="1" hidden="0"/>
    </xf>
    <xf numFmtId="173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7" fontId="24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8" fontId="21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6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0" fontId="29" fillId="0" borderId="0" xfId="0" applyFont="1" applyFill="1" applyAlignment="1" applyProtection="1">
      <alignment horizontal="general" vertical="bottom"/>
      <protection locked="1" hidden="0"/>
    </xf>
    <xf numFmtId="170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9" fontId="3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9" fontId="3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3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3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7" fontId="3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7" fillId="3" borderId="0" xfId="0" applyNumberFormat="1" applyFont="1" applyFill="1" applyAlignment="1" applyProtection="1">
      <alignment horizontal="right" vertical="bottom"/>
      <protection locked="1" hidden="0"/>
    </xf>
    <xf numFmtId="173" fontId="38" fillId="0" borderId="0" xfId="0" applyNumberFormat="1" applyFont="1" applyFill="1" applyAlignment="1" applyProtection="1">
      <alignment horizontal="general" vertical="bottom"/>
      <protection locked="1" hidden="0"/>
    </xf>
    <xf numFmtId="173" fontId="38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39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6" fontId="38" fillId="3" borderId="0" xfId="0" applyNumberFormat="1" applyFont="1" applyFill="1" applyAlignment="1" applyProtection="1">
      <alignment horizontal="right" vertical="bottom"/>
      <protection locked="1" hidden="0"/>
    </xf>
    <xf numFmtId="166" fontId="3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3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35" fillId="0" borderId="0" xfId="0" applyFont="1" applyFill="1" applyAlignment="1" applyProtection="1">
      <alignment horizontal="general" vertical="bottom"/>
      <protection locked="1" hidden="0"/>
    </xf>
    <xf numFmtId="173" fontId="40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40" fillId="2" borderId="0" xfId="0" applyNumberFormat="1" applyFont="1" applyFill="1" applyAlignment="1" applyProtection="1">
      <alignment horizontal="general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theme" Target="theme/theme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showGridLines="0" tabSelected="1" workbookViewId="0"/>
  </sheetViews>
  <sheetFormatPr defaultRowHeight="15"/>
  <cols>
    <col min="1" max="1" width="9" customWidth="1"/>
    <col min="2" max="2" width="34" customWidth="1"/>
    <col min="3" max="8" width="12" customWidth="1"/>
    <col min="9" max="9" width="60" customWidth="1"/>
  </cols>
  <sheetData>
    <row r="1" ht="16.5">
      <c r="A1" s="1"/>
      <c r="B1" s="11" t="s">
        <v>0</v>
      </c>
      <c r="C1" s="1"/>
      <c r="D1" s="1"/>
      <c r="E1" s="1"/>
      <c r="F1" s="1"/>
      <c r="G1" s="1"/>
      <c r="H1" s="1"/>
      <c r="I1" s="1"/>
    </row>
    <row r="2" ht="16.5">
      <c r="A2" s="1"/>
      <c r="B2" s="8" t="s">
        <v>1</v>
      </c>
      <c r="C2" s="1"/>
      <c r="D2" s="1"/>
      <c r="E2" s="1"/>
      <c r="F2" s="1"/>
      <c r="G2" s="1"/>
      <c r="H2" s="1"/>
      <c r="I2" s="1"/>
    </row>
    <row r="3" ht="16.5">
      <c r="A3" s="1"/>
      <c r="B3" s="3" t="s">
        <v>2</v>
      </c>
      <c r="C3" s="1"/>
      <c r="D3" s="1"/>
      <c r="E3" s="1"/>
      <c r="F3" s="1"/>
      <c r="G3" s="1"/>
      <c r="H3" s="1"/>
      <c r="I3" s="1"/>
    </row>
    <row r="4">
      <c r="A4" s="1"/>
      <c r="B4" s="5" t="s">
        <v>3</v>
      </c>
      <c r="C4" s="9" t="s">
        <v>4</v>
      </c>
      <c r="D4" s="5"/>
      <c r="E4" s="5"/>
      <c r="F4" s="5"/>
      <c r="G4" s="5"/>
      <c r="H4" s="5"/>
      <c r="I4" s="15" t="s">
        <v>5</v>
      </c>
    </row>
    <row r="5">
      <c r="A5" s="1"/>
      <c r="B5" s="10" t="s">
        <v>6</v>
      </c>
      <c r="C5" s="4">
        <v>46295</v>
      </c>
      <c r="D5" s="10"/>
      <c r="E5" s="10"/>
      <c r="F5" s="10"/>
      <c r="G5" s="10"/>
      <c r="H5" s="10"/>
      <c r="I5" s="10"/>
    </row>
    <row r="6">
      <c r="A6" s="1"/>
      <c r="B6" s="6" t="s">
        <v>7</v>
      </c>
      <c r="C6" s="12">
        <f>C5-EOMONTH(C5,-3)</f>
        <v>92</v>
      </c>
      <c r="D6" s="6"/>
      <c r="E6" s="6"/>
      <c r="F6" s="6"/>
      <c r="G6" s="6"/>
      <c r="H6" s="6"/>
      <c r="I6" s="6"/>
    </row>
    <row r="7">
      <c r="A7" s="1"/>
      <c r="B7" s="1"/>
      <c r="C7" s="1"/>
      <c r="D7" s="1"/>
      <c r="E7" s="1"/>
      <c r="F7" s="1"/>
      <c r="G7" s="1"/>
      <c r="H7" s="1"/>
      <c r="I7" s="1"/>
    </row>
    <row r="8">
      <c r="A8" s="1"/>
      <c r="B8" s="21" t="s">
        <v>8</v>
      </c>
      <c r="C8" s="1"/>
      <c r="D8" s="1"/>
      <c r="E8" s="1"/>
      <c r="F8" s="1"/>
      <c r="G8" s="1"/>
      <c r="H8" s="1"/>
      <c r="I8" s="1"/>
    </row>
    <row r="9">
      <c r="A9" s="1"/>
      <c r="B9" s="1"/>
      <c r="C9" s="1"/>
      <c r="D9" s="1"/>
      <c r="E9" s="1"/>
      <c r="F9" s="1"/>
      <c r="G9" s="1"/>
      <c r="H9" s="1"/>
      <c r="I9" s="1"/>
    </row>
    <row r="10">
      <c r="A10" s="1"/>
      <c r="B10" s="1" t="s">
        <v>9</v>
      </c>
      <c r="C10" s="1" t="s">
        <v>10</v>
      </c>
      <c r="D10" s="1"/>
      <c r="E10" s="1"/>
      <c r="F10" s="1"/>
      <c r="G10" s="1"/>
      <c r="H10" s="1"/>
      <c r="I10" s="1"/>
    </row>
    <row r="11">
      <c r="A11" s="1"/>
      <c r="B11" s="1" t="s">
        <v>11</v>
      </c>
      <c r="C11" s="1" t="s">
        <v>12</v>
      </c>
      <c r="D11" s="1"/>
      <c r="E11" s="1"/>
      <c r="F11" s="1"/>
      <c r="G11" s="1"/>
      <c r="H11" s="1"/>
      <c r="I11" s="1"/>
    </row>
    <row r="12">
      <c r="A12" s="1"/>
      <c r="B12" s="1" t="s">
        <v>13</v>
      </c>
      <c r="C12" s="1" t="s">
        <v>14</v>
      </c>
      <c r="D12" s="1"/>
      <c r="E12" s="1"/>
      <c r="F12" s="1"/>
      <c r="G12" s="1"/>
      <c r="H12" s="1"/>
      <c r="I12" s="1"/>
    </row>
    <row r="13">
      <c r="A13" s="1"/>
      <c r="B13" s="1" t="s">
        <v>15</v>
      </c>
      <c r="C13" s="1" t="s">
        <v>16</v>
      </c>
      <c r="D13" s="1"/>
      <c r="E13" s="1"/>
      <c r="F13" s="1"/>
      <c r="G13" s="1"/>
      <c r="H13" s="1"/>
      <c r="I13" s="1"/>
    </row>
    <row r="14">
      <c r="A14" s="1"/>
      <c r="B14" s="1" t="s">
        <v>17</v>
      </c>
      <c r="C14" s="1" t="s">
        <v>18</v>
      </c>
      <c r="D14" s="1"/>
      <c r="E14" s="1"/>
      <c r="F14" s="1"/>
      <c r="G14" s="1"/>
      <c r="H14" s="1"/>
      <c r="I14" s="1"/>
    </row>
    <row r="15">
      <c r="A15" s="1"/>
      <c r="B15" s="1" t="s">
        <v>19</v>
      </c>
      <c r="C15" s="1" t="s">
        <v>20</v>
      </c>
      <c r="D15" s="1"/>
      <c r="E15" s="1"/>
      <c r="F15" s="1"/>
      <c r="G15" s="1"/>
      <c r="H15" s="1"/>
      <c r="I15" s="1"/>
    </row>
    <row r="16">
      <c r="A16" s="1"/>
      <c r="B16" s="1" t="s">
        <v>21</v>
      </c>
      <c r="C16" s="1" t="s">
        <v>22</v>
      </c>
      <c r="D16" s="1"/>
      <c r="E16" s="1"/>
      <c r="F16" s="1"/>
      <c r="G16" s="1"/>
      <c r="H16" s="1"/>
      <c r="I16" s="1"/>
    </row>
    <row r="17">
      <c r="A17" s="1"/>
      <c r="B17" s="1" t="s">
        <v>23</v>
      </c>
      <c r="C17" s="1" t="s">
        <v>24</v>
      </c>
      <c r="D17" s="1"/>
      <c r="E17" s="1"/>
      <c r="F17" s="1"/>
      <c r="G17" s="1"/>
      <c r="H17" s="1"/>
      <c r="I17" s="1"/>
    </row>
    <row r="18">
      <c r="A18" s="1"/>
      <c r="B18" s="1" t="s">
        <v>25</v>
      </c>
      <c r="C18" s="1" t="s">
        <v>26</v>
      </c>
      <c r="D18" s="1"/>
      <c r="E18" s="1"/>
      <c r="F18" s="1"/>
      <c r="G18" s="1"/>
      <c r="H18" s="1"/>
      <c r="I18" s="1"/>
    </row>
    <row r="19">
      <c r="A19" s="1"/>
      <c r="B19" s="1" t="s">
        <v>27</v>
      </c>
      <c r="C19" s="1" t="s">
        <v>28</v>
      </c>
      <c r="D19" s="1"/>
      <c r="E19" s="1"/>
      <c r="F19" s="1"/>
      <c r="G19" s="1"/>
      <c r="H19" s="1"/>
      <c r="I19" s="1"/>
    </row>
    <row r="20">
      <c r="A20" s="1"/>
      <c r="B20" s="1"/>
      <c r="C20" s="1"/>
      <c r="D20" s="1"/>
      <c r="E20" s="1"/>
      <c r="F20" s="1"/>
      <c r="G20" s="1"/>
      <c r="H20" s="1"/>
      <c r="I20" s="1"/>
    </row>
    <row r="21">
      <c r="A21" s="1"/>
      <c r="B21" s="13" t="s">
        <v>29</v>
      </c>
      <c r="C21" s="7" t="s">
        <v>30</v>
      </c>
      <c r="D21" s="7" t="s">
        <v>31</v>
      </c>
      <c r="E21" s="7" t="s">
        <v>32</v>
      </c>
      <c r="F21" s="7" t="s">
        <v>33</v>
      </c>
      <c r="G21" s="7" t="s">
        <v>34</v>
      </c>
      <c r="H21" s="7" t="s">
        <v>35</v>
      </c>
      <c r="I21" s="1"/>
    </row>
    <row r="22">
      <c r="A22" s="1"/>
      <c r="B22" s="1" t="s">
        <v>36</v>
      </c>
      <c r="C22" s="20">
        <f>'Income Statement'!G33</f>
        <v>2341.043287021846</v>
      </c>
      <c r="D22" s="20">
        <f>Inputs!B217</f>
        <v>2338.25</v>
      </c>
      <c r="E22" s="14">
        <f>C22-D22</f>
        <v>2.7932870218460266</v>
      </c>
      <c r="F22" s="17">
        <f>E22/D22</f>
        <v>0.0011946058042750034</v>
      </c>
      <c r="G22" s="20">
        <f>Guidance!G44</f>
        <v>2338.45</v>
      </c>
      <c r="H22" s="14">
        <f>C22-G22</f>
        <v>2.5932870218462085</v>
      </c>
      <c r="I22" s="23" t="s">
        <v>37</v>
      </c>
    </row>
    <row r="23">
      <c r="A23" s="1"/>
      <c r="B23" s="1" t="s">
        <v>38</v>
      </c>
      <c r="C23" s="20">
        <f>'Income Statement'!G85</f>
        <v>587.6940640354726</v>
      </c>
      <c r="D23" s="20">
        <f>Inputs!B230</f>
        <v>590.88</v>
      </c>
      <c r="E23" s="14">
        <f>C23-D23</f>
        <v>-3.1859359645274026</v>
      </c>
      <c r="F23" s="17">
        <f>E23/D23</f>
        <v>-0.005391849384862243</v>
      </c>
      <c r="G23" s="20">
        <f>Guidance!G51</f>
        <v>588.9344</v>
      </c>
      <c r="H23" s="14">
        <f>C23-G23</f>
        <v>-1.2403359645273895</v>
      </c>
      <c r="I23" s="23" t="s">
        <v>39</v>
      </c>
    </row>
    <row r="24">
      <c r="A24" s="1"/>
      <c r="B24" s="1" t="s">
        <v>40</v>
      </c>
      <c r="C24" s="18">
        <f>'Income Statement'!G100</f>
        <v>1.3804733034900976</v>
      </c>
      <c r="D24" s="18">
        <f>Inputs!B201</f>
        <v>1.39</v>
      </c>
      <c r="E24" s="90">
        <f>C24-D24</f>
        <v>-0.009526696509902344</v>
      </c>
      <c r="F24" s="17">
        <f>E24/D24</f>
        <v>-0.0068537384963326215</v>
      </c>
      <c r="G24" s="18">
        <f>Guidance!G53</f>
        <v>1.3833868103488045</v>
      </c>
      <c r="H24" s="90">
        <f>C24-G24</f>
        <v>-0.002913506858706949</v>
      </c>
      <c r="I24" s="23" t="s">
        <v>37</v>
      </c>
    </row>
    <row r="25">
      <c r="A25" s="1"/>
      <c r="B25" s="1" t="s">
        <v>41</v>
      </c>
      <c r="C25" s="18">
        <f>'Income Statement'!G90</f>
        <v>1.3804733034900976</v>
      </c>
      <c r="D25" s="18">
        <f>Inputs!B210</f>
        <v>1.39</v>
      </c>
      <c r="E25" s="90">
        <f>C25-D25</f>
        <v>-0.009526696509902344</v>
      </c>
      <c r="F25" s="17">
        <f>E25/D25</f>
        <v>-0.0068537384963326215</v>
      </c>
      <c r="G25" s="18">
        <f>Guidance!G53</f>
        <v>1.3833868103488045</v>
      </c>
      <c r="H25" s="90">
        <f>C25-G25</f>
        <v>-0.002913506858706949</v>
      </c>
      <c r="I25" s="23" t="s">
        <v>37</v>
      </c>
    </row>
    <row r="26">
      <c r="A26" s="1"/>
      <c r="B26" s="8" t="s">
        <v>42</v>
      </c>
      <c r="C26" s="45">
        <f>Inputs!B289</f>
        <v>0.6542857142857144</v>
      </c>
      <c r="D26" s="1"/>
      <c r="E26" s="1"/>
      <c r="F26" s="1"/>
      <c r="G26" s="1"/>
      <c r="H26" s="1"/>
      <c r="I26" s="147" t="str">
        <f>"Size/history prior "&amp;TEXT(Inputs!B284,"0.0%")&amp;" less quarter-specific evidence (Inputs)"</f>
        <v>Size/history prior 87.4% less quarter-specific evidence (Inputs)</v>
      </c>
    </row>
    <row r="27">
      <c r="A27" s="1"/>
      <c r="B27" s="8" t="s">
        <v>43</v>
      </c>
      <c r="C27" s="19" t="str">
        <f>Inputs!B290</f>
        <v>medium</v>
      </c>
      <c r="D27" s="1"/>
      <c r="E27" s="1"/>
      <c r="F27" s="1"/>
      <c r="G27" s="1"/>
      <c r="H27" s="1"/>
      <c r="I27" s="1"/>
    </row>
    <row r="28">
      <c r="A28" s="1"/>
      <c r="B28" s="8" t="s">
        <v>44</v>
      </c>
      <c r="C28" s="19" t="str">
        <f>IFERROR(IF(AND(COUNT('Revenue summary'!B37:F37)=5,SUMIF('Revenue summary'!B37:F37,"&gt;0")-SUMIF('Revenue summary'!B37:F37,"&lt;0")&lt;C33,COUNT('Balance Sheet'!B46:F46)=5,SUMIF('Balance Sheet'!B46:F46,"&gt;0")-SUMIF('Balance Sheet'!B46:F46,"&lt;0")&lt;C33,COUNT('Balance Sheet'!B25:F25)=4,SUMIF('Balance Sheet'!B25:F25,"&gt;0")-SUMIF('Balance Sheet'!B25:F25,"&lt;0")&lt;C33,COUNT('Cash Flow Statement'!B54:F54)=5,SUMIF('Cash Flow Statement'!B54:F54,"&gt;0")-SUMIF('Cash Flow Statement'!B54:F54,"&lt;0")&lt;C33,COUNT('Cash Flow Statement'!B20:F20)=5,SUMIF('Cash Flow Statement'!B20:F20,"&gt;0")-SUMIF('Cash Flow Statement'!B20:F20,"&lt;0")&lt;C33,COUNT('Cash Flow Statement'!B34:F34)=5,SUMIF('Cash Flow Statement'!B34:F34,"&gt;0")-SUMIF('Cash Flow Statement'!B34:F34,"&lt;0")&lt;C33,COUNT('Cash Flow Statement'!B48:F48)=5,SUMIF('Cash Flow Statement'!B48:F48,"&gt;0")-SUMIF('Cash Flow Statement'!B48:F48,"&lt;0")&lt;C33,COUNT('Revenue summary'!B433:F433)=4,SUMIF('Revenue summary'!B433:F433,"&gt;0")-SUMIF('Revenue summary'!B433:F433,"&lt;0")&lt;C33,COUNT('Revenue summary'!B296:F296)=4,SUMIF('Revenue summary'!B296:F296,"&gt;0")-SUMIF('Revenue summary'!B296:F296,"&lt;0")&lt;C33,COUNT('Revenue summary'!B420:F420)=4,SUMIF('Revenue summary'!B420:F420,"&gt;0")-SUMIF('Revenue summary'!B420:F420,"&lt;0")&lt;C33,COUNT('Revenue summary'!B170:F170)=4,SUMIF('Revenue summary'!B170:F170,"&gt;0")-SUMIF('Revenue summary'!B170:F170,"&lt;0")&lt;C33,COUNT('Revenue summary'!B348:F348)=4,SUMIF('Revenue summary'!B348:F348,"&gt;0")-SUMIF('Revenue summary'!B348:F348,"&lt;0")&lt;C33,COUNT('Income Statement'!B93:F93)=5,SUMIF('Income Statement'!B93:F93,"&gt;0")-SUMIF('Income Statement'!B93:F93,"&lt;0")&lt;C33,COUNT('Income Statement'!B102:F102)=4,SUMIF('Income Statement'!B102:F102,"&gt;0")-SUMIF('Income Statement'!B102:F102,"&lt;0")&lt;C33,COUNT('Income Statement'!B120:F120)=5,SUMIF('Income Statement'!B120:F120,"&gt;0")-SUMIF('Income Statement'!B120:F120,"&lt;0")&lt;C33,COUNT('Income Statement'!B36:G36)=6,SUMIF('Income Statement'!B36:G36,"&gt;0")-SUMIF('Income Statement'!B36:G36,"&lt;0")&lt;C33,COUNT('Segment - Consumer Banking'!B90:F90)=4,SUMIF('Segment - Consumer Banking'!B90:F90,"&gt;0")-SUMIF('Segment - Consumer Banking'!B90:F90,"&lt;0")&lt;C33,COUNT('Segment - Commercial Banking'!B90:F90)=4,SUMIF('Segment - Commercial Banking'!B90:F90,"&gt;0")-SUMIF('Segment - Commercial Banking'!B90:F90,"&lt;0")&lt;C33,COUNT('Revenue summary'!B294:F294)=5,COUNTIF('Revenue summary'!B294:F294,"&gt;"&amp;D33)+COUNTIF('Revenue summary'!B294:F294,"&lt;"&amp;-D33)=0),"PASS","FAIL"),"FAIL")</f>
        <v>PASS</v>
      </c>
      <c r="D28" s="1"/>
      <c r="E28" s="1"/>
      <c r="F28" s="1"/>
      <c r="G28" s="1"/>
      <c r="H28" s="1"/>
      <c r="I28" s="23" t="s">
        <v>45</v>
      </c>
    </row>
    <row r="29">
      <c r="A29" s="1"/>
      <c r="B29" s="3" t="s">
        <v>46</v>
      </c>
      <c r="C29" s="43">
        <f>ROUND(C22-'Income Statement'!G33,6)</f>
        <v>0</v>
      </c>
      <c r="D29" s="1"/>
      <c r="E29" s="1"/>
      <c r="F29" s="1"/>
      <c r="G29" s="1"/>
      <c r="H29" s="1"/>
      <c r="I29" s="88" t="s">
        <v>47</v>
      </c>
    </row>
    <row r="30">
      <c r="A30" s="1"/>
      <c r="B30" s="3" t="s">
        <v>48</v>
      </c>
      <c r="C30" s="43">
        <f>ROUND(C23-'Income Statement'!G85,6)</f>
        <v>0</v>
      </c>
      <c r="D30" s="1"/>
      <c r="E30" s="1"/>
      <c r="F30" s="1"/>
      <c r="G30" s="1"/>
      <c r="H30" s="1"/>
      <c r="I30" s="1"/>
    </row>
    <row r="31">
      <c r="A31" s="1"/>
      <c r="B31" s="3" t="s">
        <v>49</v>
      </c>
      <c r="C31" s="16">
        <f>ROUND(C24-'Income Statement'!G100,9)</f>
        <v>0</v>
      </c>
      <c r="D31" s="1"/>
      <c r="E31" s="1"/>
      <c r="F31" s="1"/>
      <c r="G31" s="1"/>
      <c r="H31" s="1"/>
      <c r="I31" s="1"/>
    </row>
    <row r="32">
      <c r="A32" s="1"/>
      <c r="B32" s="3" t="s">
        <v>50</v>
      </c>
      <c r="C32" s="27">
        <f>ROUND(C26-Inputs!B289,9)</f>
        <v>0</v>
      </c>
      <c r="D32" s="1"/>
      <c r="E32" s="1"/>
      <c r="F32" s="1"/>
      <c r="G32" s="1"/>
      <c r="H32" s="1"/>
      <c r="I32" s="1"/>
    </row>
    <row r="33">
      <c r="A33" s="1"/>
      <c r="B33" s="89" t="s">
        <v>51</v>
      </c>
      <c r="C33" s="92">
        <v>0.000001</v>
      </c>
      <c r="D33" s="91">
        <v>0.5</v>
      </c>
      <c r="E33" s="1"/>
      <c r="F33" s="1"/>
      <c r="G33" s="1"/>
      <c r="H33" s="1"/>
      <c r="I33" s="1"/>
    </row>
    <row r="34">
      <c r="A34" s="1"/>
      <c r="B34" s="8" t="s">
        <v>52</v>
      </c>
      <c r="C34" s="1"/>
      <c r="D34" s="1"/>
      <c r="E34" s="1"/>
      <c r="F34" s="1"/>
      <c r="G34" s="1"/>
      <c r="H34" s="1"/>
      <c r="I34" s="1"/>
    </row>
    <row r="35">
      <c r="A35" s="1"/>
      <c r="B35" s="1" t="s">
        <v>53</v>
      </c>
      <c r="C35" s="22">
        <f>Inputs!B206</f>
        <v>16</v>
      </c>
      <c r="D35" s="1"/>
      <c r="E35" s="1"/>
      <c r="F35" s="1"/>
      <c r="G35" s="1"/>
      <c r="H35" s="1"/>
      <c r="I35" s="1"/>
    </row>
    <row r="36">
      <c r="A36" s="1"/>
      <c r="B36" s="1" t="s">
        <v>54</v>
      </c>
      <c r="C36" s="18">
        <f>Inputs!B203</f>
        <v>1.43</v>
      </c>
      <c r="D36" s="1"/>
      <c r="E36" s="1"/>
      <c r="F36" s="1"/>
      <c r="G36" s="1"/>
      <c r="H36" s="1"/>
      <c r="I36" s="1"/>
    </row>
    <row r="37">
      <c r="A37" s="1"/>
      <c r="B37" s="1" t="s">
        <v>55</v>
      </c>
      <c r="C37" s="18">
        <f>Inputs!B204</f>
        <v>1.32</v>
      </c>
      <c r="D37" s="1"/>
      <c r="E37" s="1"/>
      <c r="F37" s="1"/>
      <c r="G37" s="1"/>
      <c r="H37" s="1"/>
      <c r="I37" s="1"/>
    </row>
    <row r="38">
      <c r="A38" s="1"/>
      <c r="B38" s="1" t="s">
        <v>56</v>
      </c>
      <c r="C38" s="22">
        <f>Inputs!B222</f>
        <v>10</v>
      </c>
      <c r="D38" s="1"/>
      <c r="E38" s="1"/>
      <c r="F38" s="1"/>
      <c r="G38" s="1"/>
      <c r="H38" s="1"/>
      <c r="I38" s="1"/>
    </row>
    <row r="39">
      <c r="A39" s="1"/>
      <c r="B39" s="1" t="s">
        <v>57</v>
      </c>
      <c r="C39" s="20">
        <f>Inputs!B219</f>
        <v>2354</v>
      </c>
      <c r="D39" s="1"/>
      <c r="E39" s="1"/>
      <c r="F39" s="1"/>
      <c r="G39" s="1"/>
      <c r="H39" s="1"/>
      <c r="I39" s="1"/>
    </row>
    <row r="40">
      <c r="A40" s="1"/>
      <c r="B40" s="1" t="s">
        <v>58</v>
      </c>
      <c r="C40" s="20">
        <f>Inputs!B220</f>
        <v>2302.9</v>
      </c>
      <c r="D40" s="1"/>
      <c r="E40" s="1"/>
      <c r="F40" s="1"/>
      <c r="G40" s="1"/>
      <c r="H40" s="1"/>
      <c r="I40" s="1"/>
    </row>
    <row r="41">
      <c r="A41" s="1"/>
      <c r="B41" s="1" t="s">
        <v>59</v>
      </c>
      <c r="C41" s="20">
        <f>Inputs!B224</f>
        <v>2330.3</v>
      </c>
      <c r="D41" s="1"/>
      <c r="E41" s="1"/>
      <c r="F41" s="1"/>
      <c r="G41" s="1"/>
      <c r="H41" s="1"/>
      <c r="I41" s="1"/>
    </row>
    <row r="42">
      <c r="A42" s="1"/>
      <c r="B42" s="1" t="s">
        <v>60</v>
      </c>
      <c r="C42" s="20">
        <f>Inputs!B225</f>
        <v>2346.61</v>
      </c>
      <c r="D42" s="1"/>
      <c r="E42" s="1"/>
      <c r="F42" s="1"/>
      <c r="G42" s="1"/>
      <c r="H42" s="1"/>
      <c r="I42" s="1"/>
    </row>
    <row r="43">
      <c r="A43" s="1"/>
      <c r="B43" s="8" t="s">
        <v>61</v>
      </c>
      <c r="C43" s="1"/>
      <c r="D43" s="1"/>
      <c r="E43" s="1"/>
      <c r="F43" s="1"/>
      <c r="G43" s="1"/>
      <c r="H43" s="1"/>
      <c r="I43" s="1"/>
    </row>
    <row r="44">
      <c r="A44" s="1"/>
      <c r="B44" s="1" t="s">
        <v>62</v>
      </c>
      <c r="C44" s="18">
        <f>Inputs!B293</f>
        <v>1.39</v>
      </c>
      <c r="D44" s="20">
        <f>Inputs!C293</f>
        <v>2339.4</v>
      </c>
      <c r="E44" s="1"/>
      <c r="F44" s="1"/>
      <c r="G44" s="1"/>
      <c r="H44" s="1"/>
      <c r="I44" s="23" t="s">
        <v>63</v>
      </c>
    </row>
    <row r="45">
      <c r="A45" s="1"/>
      <c r="B45" s="1" t="s">
        <v>64</v>
      </c>
      <c r="C45" s="18">
        <f>Inputs!B294</f>
        <v>1.38</v>
      </c>
      <c r="D45" s="20">
        <f>Inputs!C294</f>
        <v>2320</v>
      </c>
      <c r="E45" s="1"/>
      <c r="F45" s="1"/>
      <c r="G45" s="1"/>
      <c r="H45" s="1"/>
      <c r="I45" s="23" t="s">
        <v>65</v>
      </c>
    </row>
    <row r="46">
      <c r="A46" s="1"/>
      <c r="B46" s="1"/>
      <c r="C46" s="1"/>
      <c r="D46" s="1"/>
      <c r="E46" s="1"/>
      <c r="F46" s="1"/>
      <c r="G46" s="1"/>
      <c r="H46" s="1"/>
      <c r="I46" s="1"/>
    </row>
    <row r="47">
      <c r="A47" s="1"/>
      <c r="B47" s="8" t="s">
        <v>66</v>
      </c>
      <c r="C47" s="1"/>
      <c r="D47" s="1"/>
      <c r="E47" s="1"/>
      <c r="F47" s="1"/>
      <c r="G47" s="1"/>
      <c r="H47" s="1"/>
      <c r="I47" s="1"/>
    </row>
    <row r="48">
      <c r="A48" s="1"/>
      <c r="B48" s="1" t="s">
        <v>67</v>
      </c>
      <c r="C48" s="20">
        <f>'Income Statement'!G18</f>
        <v>1683.6734188065336</v>
      </c>
      <c r="D48" s="1"/>
      <c r="E48" s="1"/>
      <c r="F48" s="1"/>
      <c r="G48" s="1"/>
      <c r="H48" s="1"/>
      <c r="I48" s="1"/>
    </row>
    <row r="49">
      <c r="A49" s="1"/>
      <c r="B49" s="3" t="s">
        <v>68</v>
      </c>
      <c r="C49" s="47">
        <f>'Revenue summary'!G290</f>
        <v>0.03198509208014351</v>
      </c>
      <c r="D49" s="1"/>
      <c r="E49" s="1"/>
      <c r="F49" s="1"/>
      <c r="G49" s="1"/>
      <c r="H49" s="1"/>
      <c r="I49" s="1"/>
    </row>
    <row r="50">
      <c r="A50" s="1"/>
      <c r="B50" s="1" t="s">
        <v>69</v>
      </c>
      <c r="C50" s="20">
        <f>'Income Statement'!G31</f>
        <v>657.3698682153124</v>
      </c>
      <c r="D50" s="1"/>
      <c r="E50" s="1"/>
      <c r="F50" s="1"/>
      <c r="G50" s="1"/>
      <c r="H50" s="1"/>
      <c r="I50" s="1"/>
    </row>
    <row r="51">
      <c r="A51" s="1"/>
      <c r="B51" s="1" t="s">
        <v>70</v>
      </c>
      <c r="C51" s="20">
        <f>'Income Statement'!G60</f>
        <v>1399.9803</v>
      </c>
      <c r="D51" s="1"/>
      <c r="E51" s="1"/>
      <c r="F51" s="1"/>
      <c r="G51" s="1"/>
      <c r="H51" s="1"/>
      <c r="I51" s="1"/>
    </row>
    <row r="52">
      <c r="A52" s="1"/>
      <c r="B52" s="1" t="s">
        <v>71</v>
      </c>
      <c r="C52" s="20">
        <f>'Income Statement'!G37</f>
        <v>140.17316133534266</v>
      </c>
      <c r="D52" s="1"/>
      <c r="E52" s="1"/>
      <c r="F52" s="1"/>
      <c r="G52" s="1"/>
      <c r="H52" s="1"/>
      <c r="I52" s="1"/>
    </row>
    <row r="53">
      <c r="A53" s="1"/>
      <c r="B53" s="1" t="s">
        <v>72</v>
      </c>
      <c r="C53" s="49">
        <f>'Income Statement'!G73</f>
        <v>0.22</v>
      </c>
      <c r="D53" s="1"/>
      <c r="E53" s="1"/>
      <c r="F53" s="1"/>
      <c r="G53" s="1"/>
      <c r="H53" s="1"/>
      <c r="I53" s="1"/>
    </row>
    <row r="54">
      <c r="A54" s="1"/>
      <c r="B54" s="1" t="s">
        <v>73</v>
      </c>
      <c r="C54" s="20">
        <f>'Share Count'!G21</f>
        <v>425.7192533529412</v>
      </c>
      <c r="D54" s="1"/>
      <c r="E54" s="1"/>
      <c r="F54" s="1"/>
      <c r="G54" s="1"/>
      <c r="H54" s="1"/>
      <c r="I54" s="1"/>
    </row>
    <row r="55">
      <c r="A55" s="1"/>
      <c r="B55" s="1"/>
      <c r="C55" s="1"/>
      <c r="D55" s="1"/>
      <c r="E55" s="1"/>
      <c r="F55" s="1"/>
      <c r="G55" s="1"/>
      <c r="H55" s="1"/>
      <c r="I55" s="1"/>
    </row>
    <row r="56">
      <c r="A56" s="1"/>
      <c r="B56" s="119" t="s">
        <v>74</v>
      </c>
      <c r="C56" s="1"/>
      <c r="D56" s="1"/>
      <c r="E56" s="1"/>
      <c r="F56" s="1"/>
      <c r="G56" s="1"/>
      <c r="H56" s="1"/>
      <c r="I56" s="1"/>
    </row>
    <row r="57">
      <c r="A57" s="1"/>
      <c r="B57" s="109" t="s">
        <v>75</v>
      </c>
      <c r="C57" s="116" t="s">
        <v>30</v>
      </c>
      <c r="D57" s="116" t="s">
        <v>76</v>
      </c>
      <c r="E57" s="116" t="s">
        <v>77</v>
      </c>
      <c r="F57" s="109"/>
      <c r="G57" s="109"/>
      <c r="H57" s="109"/>
      <c r="I57" s="109" t="s">
        <v>78</v>
      </c>
    </row>
    <row r="58">
      <c r="A58" s="1"/>
      <c r="B58" s="1" t="s">
        <v>36</v>
      </c>
      <c r="C58" s="114">
        <f>'Income Statement'!G33</f>
        <v>2341.043287021846</v>
      </c>
      <c r="D58" s="112" t="s">
        <v>79</v>
      </c>
      <c r="E58" s="112" t="s">
        <v>80</v>
      </c>
      <c r="F58" s="1"/>
      <c r="G58" s="1"/>
      <c r="H58" s="1"/>
      <c r="I58" s="117" t="s">
        <v>81</v>
      </c>
    </row>
    <row r="59">
      <c r="B59" s="127" t="s">
        <v>38</v>
      </c>
      <c r="C59" s="124">
        <f>'Income Statement'!G85</f>
        <v>587.6940640354726</v>
      </c>
      <c r="D59" s="125" t="s">
        <v>79</v>
      </c>
      <c r="E59" s="125" t="s">
        <v>80</v>
      </c>
      <c r="F59" s="127"/>
      <c r="G59" s="127"/>
      <c r="H59" s="127"/>
      <c r="I59" s="126" t="s">
        <v>82</v>
      </c>
    </row>
    <row r="60">
      <c r="B60" s="127" t="s">
        <v>40</v>
      </c>
      <c r="C60" s="130">
        <f>'Income Statement'!G100</f>
        <v>1.3804733034900976</v>
      </c>
      <c r="D60" s="125" t="s">
        <v>83</v>
      </c>
      <c r="E60" s="125" t="s">
        <v>84</v>
      </c>
      <c r="F60" s="127"/>
      <c r="G60" s="127"/>
      <c r="H60" s="127"/>
      <c r="I60" s="126" t="s">
        <v>85</v>
      </c>
    </row>
    <row r="61">
      <c r="B61" s="127" t="s">
        <v>41</v>
      </c>
      <c r="C61" s="130">
        <f>'Income Statement'!G90</f>
        <v>1.3804733034900976</v>
      </c>
      <c r="D61" s="125" t="s">
        <v>79</v>
      </c>
      <c r="E61" s="125" t="s">
        <v>84</v>
      </c>
      <c r="F61" s="127"/>
      <c r="G61" s="127"/>
      <c r="H61" s="127"/>
      <c r="I61" s="126" t="s">
        <v>86</v>
      </c>
    </row>
    <row r="62">
      <c r="B62" s="127" t="s">
        <v>73</v>
      </c>
      <c r="C62" s="124">
        <f>'Share Count'!G21</f>
        <v>425.7192533529412</v>
      </c>
      <c r="D62" s="125" t="s">
        <v>79</v>
      </c>
      <c r="E62" s="125" t="s">
        <v>87</v>
      </c>
      <c r="F62" s="127"/>
      <c r="G62" s="127"/>
      <c r="H62" s="127"/>
      <c r="I62" s="126" t="s">
        <v>88</v>
      </c>
    </row>
    <row r="63">
      <c r="B63" s="127" t="s">
        <v>89</v>
      </c>
      <c r="C63" s="129">
        <f>'Revenue summary'!G425</f>
        <v>0.10530844524166483</v>
      </c>
      <c r="D63" s="125" t="s">
        <v>79</v>
      </c>
      <c r="E63" s="125" t="s">
        <v>90</v>
      </c>
      <c r="F63" s="127"/>
      <c r="G63" s="127"/>
      <c r="H63" s="127"/>
      <c r="I63" s="126" t="s">
        <v>91</v>
      </c>
    </row>
    <row r="64">
      <c r="B64" s="127" t="s">
        <v>92</v>
      </c>
      <c r="C64" s="124">
        <f>'Segment - Consumer Banking'!G55</f>
        <v>1705.2202424219176</v>
      </c>
      <c r="D64" s="125" t="s">
        <v>79</v>
      </c>
      <c r="E64" s="125" t="s">
        <v>80</v>
      </c>
      <c r="F64" s="127"/>
      <c r="G64" s="127"/>
      <c r="H64" s="127"/>
      <c r="I64" s="126" t="s">
        <v>93</v>
      </c>
    </row>
    <row r="65">
      <c r="B65" s="127" t="s">
        <v>94</v>
      </c>
      <c r="C65" s="124">
        <f>'Segment - Commercial Banking'!G55</f>
        <v>769.8591590136986</v>
      </c>
      <c r="D65" s="125" t="s">
        <v>79</v>
      </c>
      <c r="E65" s="125" t="s">
        <v>80</v>
      </c>
      <c r="F65" s="127"/>
      <c r="G65" s="127"/>
      <c r="H65" s="127"/>
      <c r="I65" s="126" t="s">
        <v>95</v>
      </c>
    </row>
    <row r="66">
      <c r="B66" s="127" t="s">
        <v>96</v>
      </c>
      <c r="C66" s="124">
        <f>'Income Statement'!G68</f>
        <v>800.8898256865034</v>
      </c>
      <c r="D66" s="125" t="s">
        <v>79</v>
      </c>
      <c r="E66" s="125" t="s">
        <v>80</v>
      </c>
      <c r="F66" s="127"/>
      <c r="G66" s="127"/>
      <c r="H66" s="127"/>
      <c r="I66" s="126" t="s">
        <v>97</v>
      </c>
    </row>
    <row r="67">
      <c r="B67" s="127" t="s">
        <v>67</v>
      </c>
      <c r="C67" s="124">
        <f>'Income Statement'!G18</f>
        <v>1683.6734188065336</v>
      </c>
      <c r="D67" s="125" t="s">
        <v>79</v>
      </c>
      <c r="E67" s="125" t="s">
        <v>80</v>
      </c>
      <c r="F67" s="127"/>
      <c r="G67" s="127"/>
      <c r="H67" s="127"/>
      <c r="I67" s="126" t="s">
        <v>98</v>
      </c>
    </row>
    <row r="68">
      <c r="B68" s="127" t="s">
        <v>69</v>
      </c>
      <c r="C68" s="124">
        <f>'Income Statement'!G31</f>
        <v>657.3698682153124</v>
      </c>
      <c r="D68" s="125" t="s">
        <v>79</v>
      </c>
      <c r="E68" s="125" t="s">
        <v>80</v>
      </c>
      <c r="F68" s="127"/>
      <c r="G68" s="127"/>
      <c r="H68" s="127"/>
      <c r="I68" s="126" t="s">
        <v>99</v>
      </c>
    </row>
    <row r="69">
      <c r="B69" s="127" t="s">
        <v>70</v>
      </c>
      <c r="C69" s="124">
        <f>'Income Statement'!G60</f>
        <v>1399.9803</v>
      </c>
      <c r="D69" s="125" t="s">
        <v>79</v>
      </c>
      <c r="E69" s="125" t="s">
        <v>80</v>
      </c>
      <c r="F69" s="127"/>
      <c r="G69" s="127"/>
      <c r="H69" s="127"/>
      <c r="I69" s="126" t="s">
        <v>100</v>
      </c>
    </row>
    <row r="70">
      <c r="B70" s="127" t="s">
        <v>71</v>
      </c>
      <c r="C70" s="124">
        <f>'Income Statement'!G37</f>
        <v>140.17316133534266</v>
      </c>
      <c r="D70" s="125" t="s">
        <v>79</v>
      </c>
      <c r="E70" s="125" t="s">
        <v>80</v>
      </c>
      <c r="F70" s="127"/>
      <c r="G70" s="127"/>
      <c r="H70" s="127"/>
      <c r="I70" s="126" t="s">
        <v>101</v>
      </c>
    </row>
    <row r="71">
      <c r="B71" s="127" t="s">
        <v>68</v>
      </c>
      <c r="C71" s="128">
        <f>'Revenue summary'!G290</f>
        <v>0.03198509208014351</v>
      </c>
      <c r="D71" s="125" t="s">
        <v>79</v>
      </c>
      <c r="E71" s="125" t="s">
        <v>90</v>
      </c>
      <c r="F71" s="127"/>
      <c r="G71" s="127"/>
      <c r="H71" s="127"/>
      <c r="I71" s="126" t="s">
        <v>102</v>
      </c>
    </row>
    <row r="72">
      <c r="B72" s="127" t="s">
        <v>103</v>
      </c>
      <c r="C72" s="124">
        <f>'Revenue summary'!G153</f>
        <v>148087.602</v>
      </c>
      <c r="D72" s="125" t="s">
        <v>79</v>
      </c>
      <c r="E72" s="125" t="s">
        <v>80</v>
      </c>
      <c r="F72" s="127"/>
      <c r="G72" s="127"/>
      <c r="H72" s="127"/>
      <c r="I72" s="126" t="s">
        <v>104</v>
      </c>
    </row>
    <row r="73">
      <c r="B73" s="127" t="s">
        <v>105</v>
      </c>
      <c r="C73" s="124">
        <f>'Revenue summary'!G264</f>
        <v>185049.17299999998</v>
      </c>
      <c r="D73" s="125" t="s">
        <v>79</v>
      </c>
      <c r="E73" s="125" t="s">
        <v>80</v>
      </c>
      <c r="F73" s="127"/>
      <c r="G73" s="127"/>
      <c r="H73" s="127"/>
      <c r="I73" s="126" t="s">
        <v>106</v>
      </c>
    </row>
    <row r="74">
      <c r="B74" s="127" t="s">
        <v>107</v>
      </c>
      <c r="C74" s="125" t="s">
        <v>108</v>
      </c>
      <c r="D74" s="125" t="s">
        <v>109</v>
      </c>
      <c r="E74" s="125" t="s">
        <v>80</v>
      </c>
      <c r="F74" s="127"/>
      <c r="G74" s="127"/>
      <c r="H74" s="127"/>
      <c r="I74" s="126" t="s">
        <v>110</v>
      </c>
    </row>
    <row r="75">
      <c r="B75" s="127" t="s">
        <v>111</v>
      </c>
      <c r="C75" s="125" t="s">
        <v>108</v>
      </c>
      <c r="D75" s="125" t="s">
        <v>109</v>
      </c>
      <c r="E75" s="125" t="s">
        <v>80</v>
      </c>
      <c r="F75" s="127"/>
      <c r="G75" s="127"/>
      <c r="H75" s="127"/>
      <c r="I75" s="126" t="s">
        <v>112</v>
      </c>
    </row>
    <row r="76">
      <c r="B76" s="127" t="s">
        <v>113</v>
      </c>
      <c r="C76" s="125" t="s">
        <v>114</v>
      </c>
      <c r="D76" s="125" t="s">
        <v>114</v>
      </c>
      <c r="E76" s="125" t="s">
        <v>80</v>
      </c>
      <c r="F76" s="127"/>
      <c r="G76" s="127"/>
      <c r="H76" s="127"/>
      <c r="I76" s="126" t="s">
        <v>115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37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116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122</v>
      </c>
      <c r="B8" s="1"/>
      <c r="C8" s="1"/>
      <c r="D8" s="1"/>
      <c r="E8" s="1"/>
      <c r="F8" s="1"/>
      <c r="G8" s="41"/>
      <c r="H8" s="1"/>
    </row>
    <row r="9">
      <c r="A9" s="8" t="s">
        <v>123</v>
      </c>
      <c r="B9" s="71">
        <f>'Segment - Consumer Banking'!B55</f>
        <v>1573</v>
      </c>
      <c r="C9" s="71">
        <f>'Segment - Consumer Banking'!C55</f>
        <v>1614</v>
      </c>
      <c r="D9" s="71">
        <f>'Segment - Consumer Banking'!D55</f>
        <v>6224</v>
      </c>
      <c r="E9" s="71">
        <f>'Segment - Consumer Banking'!E55</f>
        <v>1608</v>
      </c>
      <c r="F9" s="71">
        <f>'Segment - Consumer Banking'!F55</f>
        <v>1662</v>
      </c>
      <c r="G9" s="86">
        <f>'Segment - Consumer Banking'!G55</f>
        <v>1705.2202424219176</v>
      </c>
      <c r="H9" s="23" t="s">
        <v>124</v>
      </c>
    </row>
    <row r="10">
      <c r="A10" s="32" t="s">
        <v>125</v>
      </c>
      <c r="B10" s="27">
        <f>IF(AND(ISNUMBER(Inputs!E9),ISNUMBER(B9)),IF(Inputs!E9&gt;0,B9/Inputs!E9-1,"n.m."),"unavail.")</f>
        <v>0.01680672268907557</v>
      </c>
      <c r="C10" s="34">
        <f>IF(AND(ISNUMBER(B9),ISNUMBER(C9)),IF(B9&gt;0,C9/B9-1,"n.m."),"unavail.")</f>
        <v>0.026064844246662444</v>
      </c>
      <c r="D10" s="1"/>
      <c r="E10" s="34">
        <f>IF(AND(ISNUMBER(C9),ISNUMBER(E9)),IF(C9&gt;0,E9/C9-1,"n.m."),"unavail.")</f>
        <v>-0.0037174721189591198</v>
      </c>
      <c r="F10" s="34">
        <f>IF(AND(ISNUMBER(E9),ISNUMBER(F9)),IF(E9&gt;0,F9/E9-1,"n.m."),"unavail.")</f>
        <v>0.033582089552238736</v>
      </c>
      <c r="G10" s="40">
        <f>IF(AND(ISNUMBER(F9),ISNUMBER(G9)),IF(F9&gt;0,G9/F9-1,"n.m."),"unavail.")</f>
        <v>0.026004959339300582</v>
      </c>
      <c r="H10" s="1"/>
    </row>
    <row r="11">
      <c r="A11" s="32" t="s">
        <v>126</v>
      </c>
      <c r="B11" s="34">
        <f>B9/B423</f>
        <v>0.7426817752596789</v>
      </c>
      <c r="C11" s="34">
        <f>C9/C423</f>
        <v>0.7482614742698191</v>
      </c>
      <c r="D11" s="34">
        <f>D9/D423</f>
        <v>0.7546986783072632</v>
      </c>
      <c r="E11" s="34">
        <f>E9/E423</f>
        <v>0.7416974169741697</v>
      </c>
      <c r="F11" s="34">
        <f>F9/F423</f>
        <v>0.7279894875164258</v>
      </c>
      <c r="G11" s="40">
        <f>G9/G423</f>
        <v>0.7284018419801244</v>
      </c>
      <c r="H11" s="1"/>
    </row>
    <row r="12">
      <c r="A12" s="32" t="s">
        <v>127</v>
      </c>
      <c r="B12" s="27" t="str">
        <f>IF(AND(ISNUMBER(Inputs!B9),ISNUMBER(B9)),IF(Inputs!B9&gt;0,B9/Inputs!B9-1,"n.m."),"unavail.")</f>
        <v>unavail.</v>
      </c>
      <c r="C12" s="27">
        <f>IF(AND(ISNUMBER(Inputs!C9),ISNUMBER(C9)),IF(Inputs!C9&gt;0,C9/Inputs!C9-1,"n.m."),"unavail.")</f>
        <v>0.0717131474103585</v>
      </c>
      <c r="D12" s="27">
        <f>IF(AND(ISNUMBER(Inputs!F9),ISNUMBER(D9)),IF(Inputs!F9&gt;0,D9/Inputs!F9-1,"n.m."),"unavail.")</f>
        <v>0.09288849868305538</v>
      </c>
      <c r="E12" s="27">
        <f>IF(AND(ISNUMBER(Inputs!D9),ISNUMBER(E9)),IF(Inputs!D9&gt;0,E9/Inputs!D9-1,"n.m."),"unavail.")</f>
        <v>0.07919463087248313</v>
      </c>
      <c r="F12" s="27">
        <f>IF(AND(ISNUMBER(Inputs!E9),ISNUMBER(F9)),IF(Inputs!E9&gt;0,F9/Inputs!E9-1,"n.m."),"unavail.")</f>
        <v>0.07433742727860371</v>
      </c>
      <c r="G12" s="40">
        <f>IF(AND(ISNUMBER(B9),ISNUMBER(G9)),IF(B9&gt;0,G9/B9-1,"n.m."),"unavail.")</f>
        <v>0.08405609817032267</v>
      </c>
      <c r="H12" s="1"/>
    </row>
    <row r="13">
      <c r="A13" s="32" t="s">
        <v>128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29">
        <v>0</v>
      </c>
      <c r="H13" s="23" t="s">
        <v>129</v>
      </c>
    </row>
    <row r="14">
      <c r="A14" s="32" t="s">
        <v>130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29">
        <v>0</v>
      </c>
      <c r="H14" s="23" t="s">
        <v>131</v>
      </c>
    </row>
    <row r="15">
      <c r="A15" s="32" t="s">
        <v>132</v>
      </c>
      <c r="B15" s="34" t="str">
        <f>IF(AND(ISNUMBER(B12),ISNUMBER(B13),ISNUMBER(B14)),(1+B12)/((1+B13)*(1+B14))-1,"unavail.")</f>
        <v>unavail.</v>
      </c>
      <c r="C15" s="34">
        <f>IF(AND(ISNUMBER(C12),ISNUMBER(C13),ISNUMBER(C14)),(1+C12)/((1+C13)*(1+C14))-1,"unavail.")</f>
        <v>0.0717131474103585</v>
      </c>
      <c r="D15" s="34">
        <f>IF(AND(ISNUMBER(D12),ISNUMBER(D13),ISNUMBER(D14)),(1+D12)/((1+D13)*(1+D14))-1,"unavail.")</f>
        <v>0.09288849868305538</v>
      </c>
      <c r="E15" s="34">
        <f>IF(AND(ISNUMBER(E12),ISNUMBER(E13),ISNUMBER(E14)),(1+E12)/((1+E13)*(1+E14))-1,"unavail.")</f>
        <v>0.07919463087248313</v>
      </c>
      <c r="F15" s="34">
        <f>IF(AND(ISNUMBER(F12),ISNUMBER(F13),ISNUMBER(F14)),(1+F12)/((1+F13)*(1+F14))-1,"unavail.")</f>
        <v>0.07433742727860371</v>
      </c>
      <c r="G15" s="40">
        <f>IF(AND(ISNUMBER(G12),ISNUMBER(G13),ISNUMBER(G14)),(1+G12)/((1+G13)*(1+G14))-1,"unavail.")</f>
        <v>0.08405609817032267</v>
      </c>
      <c r="H15" s="23" t="s">
        <v>133</v>
      </c>
    </row>
    <row r="16">
      <c r="A16" s="8" t="s">
        <v>134</v>
      </c>
      <c r="B16" s="71">
        <f>'Segment - Commercial Banking'!B55</f>
        <v>734</v>
      </c>
      <c r="C16" s="71">
        <f>'Segment - Commercial Banking'!C55</f>
        <v>712</v>
      </c>
      <c r="D16" s="71">
        <f>'Segment - Commercial Banking'!D55</f>
        <v>2773</v>
      </c>
      <c r="E16" s="71">
        <f>'Segment - Commercial Banking'!E55</f>
        <v>719</v>
      </c>
      <c r="F16" s="71">
        <f>'Segment - Commercial Banking'!F55</f>
        <v>759</v>
      </c>
      <c r="G16" s="86">
        <f>'Segment - Commercial Banking'!G55</f>
        <v>769.8591590136986</v>
      </c>
      <c r="H16" s="23" t="s">
        <v>135</v>
      </c>
    </row>
    <row r="17">
      <c r="A17" s="32" t="s">
        <v>125</v>
      </c>
      <c r="B17" s="27">
        <f>IF(AND(ISNUMBER(Inputs!E10),ISNUMBER(B16)),IF(Inputs!E10&gt;0,B16/Inputs!E10-1,"n.m."),"unavail.")</f>
        <v>0.0938897168405366</v>
      </c>
      <c r="C17" s="34">
        <f>IF(AND(ISNUMBER(B16),ISNUMBER(C16)),IF(B16&gt;0,C16/B16-1,"n.m."),"unavail.")</f>
        <v>-0.02997275204359673</v>
      </c>
      <c r="D17" s="1"/>
      <c r="E17" s="34">
        <f>IF(AND(ISNUMBER(C16),ISNUMBER(E16)),IF(C16&gt;0,E16/C16-1,"n.m."),"unavail.")</f>
        <v>0.00983146067415741</v>
      </c>
      <c r="F17" s="34">
        <f>IF(AND(ISNUMBER(E16),ISNUMBER(F16)),IF(E16&gt;0,F16/E16-1,"n.m."),"unavail.")</f>
        <v>0.0556328233657859</v>
      </c>
      <c r="G17" s="40">
        <f>IF(AND(ISNUMBER(F16),ISNUMBER(G16)),IF(F16&gt;0,G16/F16-1,"n.m."),"unavail.")</f>
        <v>0.014307192376414424</v>
      </c>
      <c r="H17" s="1"/>
    </row>
    <row r="18">
      <c r="A18" s="32" t="s">
        <v>126</v>
      </c>
      <c r="B18" s="34">
        <f>B16/B423</f>
        <v>0.3465533522190746</v>
      </c>
      <c r="C18" s="34">
        <f>C16/C423</f>
        <v>0.3300880853036625</v>
      </c>
      <c r="D18" s="34">
        <f>D16/D423</f>
        <v>0.336243482478477</v>
      </c>
      <c r="E18" s="34">
        <f>E16/E423</f>
        <v>0.3316420664206642</v>
      </c>
      <c r="F18" s="34">
        <f>F16/F423</f>
        <v>0.3324572930354796</v>
      </c>
      <c r="G18" s="40">
        <f>G16/G423</f>
        <v>0.3288530217623927</v>
      </c>
      <c r="H18" s="1"/>
    </row>
    <row r="19">
      <c r="A19" s="32" t="s">
        <v>127</v>
      </c>
      <c r="B19" s="27" t="str">
        <f>IF(AND(ISNUMBER(Inputs!B10),ISNUMBER(B16)),IF(Inputs!B10&gt;0,B16/Inputs!B10-1,"n.m."),"unavail.")</f>
        <v>unavail.</v>
      </c>
      <c r="C19" s="27">
        <f>IF(AND(ISNUMBER(Inputs!C10),ISNUMBER(C16)),IF(Inputs!C10&gt;0,C16/Inputs!C10-1,"n.m."),"unavail.")</f>
        <v>0.02298850574712641</v>
      </c>
      <c r="D19" s="27">
        <f>IF(AND(ISNUMBER(Inputs!F10),ISNUMBER(D16)),IF(Inputs!F10&gt;0,D16/Inputs!F10-1,"n.m."),"unavail.")</f>
        <v>-0.02974107767669698</v>
      </c>
      <c r="E19" s="27">
        <f>IF(AND(ISNUMBER(Inputs!D10),ISNUMBER(E16)),IF(Inputs!D10&gt;0,E16/Inputs!D10-1,"n.m."),"unavail.")</f>
        <v>0.09603658536585358</v>
      </c>
      <c r="F19" s="27">
        <f>IF(AND(ISNUMBER(Inputs!E10),ISNUMBER(F16)),IF(Inputs!E10&gt;0,F16/Inputs!E10-1,"n.m."),"unavail.")</f>
        <v>0.13114754098360648</v>
      </c>
      <c r="G19" s="40">
        <f>IF(AND(ISNUMBER(B16),ISNUMBER(G16)),IF(B16&gt;0,G16/B16-1,"n.m."),"unavail.")</f>
        <v>0.048854440073158756</v>
      </c>
      <c r="H19" s="1"/>
    </row>
    <row r="20">
      <c r="A20" s="32" t="s">
        <v>128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29">
        <v>0</v>
      </c>
      <c r="H20" s="23" t="s">
        <v>129</v>
      </c>
    </row>
    <row r="21">
      <c r="A21" s="32" t="s">
        <v>130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29">
        <v>0</v>
      </c>
      <c r="H21" s="23" t="s">
        <v>131</v>
      </c>
    </row>
    <row r="22">
      <c r="A22" s="32" t="s">
        <v>132</v>
      </c>
      <c r="B22" s="34" t="str">
        <f>IF(AND(ISNUMBER(B19),ISNUMBER(B20),ISNUMBER(B21)),(1+B19)/((1+B20)*(1+B21))-1,"unavail.")</f>
        <v>unavail.</v>
      </c>
      <c r="C22" s="34">
        <f>IF(AND(ISNUMBER(C19),ISNUMBER(C20),ISNUMBER(C21)),(1+C19)/((1+C20)*(1+C21))-1,"unavail.")</f>
        <v>0.02298850574712641</v>
      </c>
      <c r="D22" s="34">
        <f>IF(AND(ISNUMBER(D19),ISNUMBER(D20),ISNUMBER(D21)),(1+D19)/((1+D20)*(1+D21))-1,"unavail.")</f>
        <v>-0.02974107767669698</v>
      </c>
      <c r="E22" s="34">
        <f>IF(AND(ISNUMBER(E19),ISNUMBER(E20),ISNUMBER(E21)),(1+E19)/((1+E20)*(1+E21))-1,"unavail.")</f>
        <v>0.09603658536585358</v>
      </c>
      <c r="F22" s="34">
        <f>IF(AND(ISNUMBER(F19),ISNUMBER(F20),ISNUMBER(F21)),(1+F19)/((1+F20)*(1+F21))-1,"unavail.")</f>
        <v>0.13114754098360648</v>
      </c>
      <c r="G22" s="40">
        <f>IF(AND(ISNUMBER(G19),ISNUMBER(G20),ISNUMBER(G21)),(1+G19)/((1+G20)*(1+G21))-1,"unavail.")</f>
        <v>0.048854440073158756</v>
      </c>
      <c r="H22" s="23" t="s">
        <v>133</v>
      </c>
    </row>
    <row r="23">
      <c r="A23" s="37" t="s">
        <v>136</v>
      </c>
      <c r="B23" s="25">
        <v>-222</v>
      </c>
      <c r="C23" s="25">
        <v>-212</v>
      </c>
      <c r="D23" s="20">
        <f>Inputs!D11+Inputs!E11+B23+C23</f>
        <v>-897</v>
      </c>
      <c r="E23" s="25">
        <v>-203</v>
      </c>
      <c r="F23" s="25">
        <v>-184</v>
      </c>
      <c r="G23" s="31">
        <f>G279-G32-G33</f>
        <v>-185.56598262908255</v>
      </c>
      <c r="H23" s="23" t="s">
        <v>137</v>
      </c>
    </row>
    <row r="24">
      <c r="A24" s="37" t="s">
        <v>138</v>
      </c>
      <c r="B24" s="25">
        <v>33</v>
      </c>
      <c r="C24" s="25">
        <v>43</v>
      </c>
      <c r="D24" s="20">
        <f>Inputs!D12+Inputs!E12+B24+C24</f>
        <v>147</v>
      </c>
      <c r="E24" s="25">
        <v>44</v>
      </c>
      <c r="F24" s="25">
        <v>46</v>
      </c>
      <c r="G24" s="31">
        <f>G413-G34-G35</f>
        <v>51.529868215312376</v>
      </c>
      <c r="H24" s="88" t="s">
        <v>139</v>
      </c>
    </row>
    <row r="25">
      <c r="A25" s="8" t="s">
        <v>140</v>
      </c>
      <c r="B25" s="30">
        <f>B23+B24</f>
        <v>-189</v>
      </c>
      <c r="C25" s="30">
        <f>C23+C24</f>
        <v>-169</v>
      </c>
      <c r="D25" s="30">
        <f>D23+D24</f>
        <v>-750</v>
      </c>
      <c r="E25" s="30">
        <f>E23+E24</f>
        <v>-159</v>
      </c>
      <c r="F25" s="30">
        <f>F23+F24</f>
        <v>-138</v>
      </c>
      <c r="G25" s="38">
        <f>G23+G24</f>
        <v>-134.03611441377018</v>
      </c>
      <c r="H25" s="1"/>
    </row>
    <row r="26">
      <c r="A26" s="32" t="s">
        <v>125</v>
      </c>
      <c r="B26" s="27" t="str">
        <f>IF(AND(ISNUMBER(Inputs!E13),ISNUMBER(B25)),IF(Inputs!E13&gt;0,B25/Inputs!E13-1,"n.m."),"unavail.")</f>
        <v>n.m.</v>
      </c>
      <c r="C26" s="34" t="str">
        <f>IF(AND(ISNUMBER(B25),ISNUMBER(C25)),IF(B25&gt;0,C25/B25-1,"n.m."),"unavail.")</f>
        <v>n.m.</v>
      </c>
      <c r="D26" s="1"/>
      <c r="E26" s="34" t="str">
        <f>IF(AND(ISNUMBER(C25),ISNUMBER(E25)),IF(C25&gt;0,E25/C25-1,"n.m."),"unavail.")</f>
        <v>n.m.</v>
      </c>
      <c r="F26" s="34" t="str">
        <f>IF(AND(ISNUMBER(E25),ISNUMBER(F25)),IF(E25&gt;0,F25/E25-1,"n.m."),"unavail.")</f>
        <v>n.m.</v>
      </c>
      <c r="G26" s="40" t="str">
        <f>IF(AND(ISNUMBER(F25),ISNUMBER(G25)),IF(F25&gt;0,G25/F25-1,"n.m."),"unavail.")</f>
        <v>n.m.</v>
      </c>
      <c r="H26" s="1"/>
    </row>
    <row r="27">
      <c r="A27" s="32" t="s">
        <v>126</v>
      </c>
      <c r="B27" s="34">
        <f>B25/B423</f>
        <v>-0.08923512747875353</v>
      </c>
      <c r="C27" s="34">
        <f>C25/C423</f>
        <v>-0.07834955957348169</v>
      </c>
      <c r="D27" s="34">
        <f>D25/D423</f>
        <v>-0.09094216078574027</v>
      </c>
      <c r="E27" s="34">
        <f>E25/E423</f>
        <v>-0.07333948339483395</v>
      </c>
      <c r="F27" s="34">
        <f>F25/F423</f>
        <v>-0.06044678055190539</v>
      </c>
      <c r="G27" s="40">
        <f>G25/G423</f>
        <v>-0.05725486374251711</v>
      </c>
      <c r="H27" s="1"/>
    </row>
    <row r="28">
      <c r="A28" s="32" t="s">
        <v>127</v>
      </c>
      <c r="B28" s="27" t="str">
        <f>IF(AND(ISNUMBER(Inputs!B13),ISNUMBER(B25)),IF(Inputs!B13&gt;0,B25/Inputs!B13-1,"n.m."),"unavail.")</f>
        <v>unavail.</v>
      </c>
      <c r="C28" s="27" t="str">
        <f>IF(AND(ISNUMBER(Inputs!C13),ISNUMBER(C25)),IF(Inputs!C13&gt;0,C25/Inputs!C13-1,"n.m."),"unavail.")</f>
        <v>n.m.</v>
      </c>
      <c r="D28" s="27" t="str">
        <f>IF(AND(ISNUMBER(Inputs!F13),ISNUMBER(D25)),IF(Inputs!F13&gt;0,D25/Inputs!F13-1,"n.m."),"unavail.")</f>
        <v>n.m.</v>
      </c>
      <c r="E28" s="27" t="str">
        <f>IF(AND(ISNUMBER(Inputs!D13),ISNUMBER(E25)),IF(Inputs!D13&gt;0,E25/Inputs!D13-1,"n.m."),"unavail.")</f>
        <v>n.m.</v>
      </c>
      <c r="F28" s="27" t="str">
        <f>IF(AND(ISNUMBER(Inputs!E13),ISNUMBER(F25)),IF(Inputs!E13&gt;0,F25/Inputs!E13-1,"n.m."),"unavail.")</f>
        <v>n.m.</v>
      </c>
      <c r="G28" s="40" t="str">
        <f>IF(AND(ISNUMBER(B25),ISNUMBER(G25)),IF(B25&gt;0,G25/B25-1,"n.m."),"unavail.")</f>
        <v>n.m.</v>
      </c>
      <c r="H28" s="1"/>
    </row>
    <row r="29">
      <c r="A29" s="32" t="s">
        <v>128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29">
        <v>0</v>
      </c>
      <c r="H29" s="23" t="s">
        <v>129</v>
      </c>
    </row>
    <row r="30">
      <c r="A30" s="32" t="s">
        <v>130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29">
        <v>0</v>
      </c>
      <c r="H30" s="23" t="s">
        <v>131</v>
      </c>
    </row>
    <row r="31">
      <c r="A31" s="32" t="s">
        <v>132</v>
      </c>
      <c r="B31" s="34" t="str">
        <f>IF(AND(ISNUMBER(B28),ISNUMBER(B29),ISNUMBER(B30)),(1+B28)/((1+B29)*(1+B30))-1,"unavail.")</f>
        <v>unavail.</v>
      </c>
      <c r="C31" s="34" t="str">
        <f>IF(AND(ISNUMBER(C28),ISNUMBER(C29),ISNUMBER(C30)),(1+C28)/((1+C29)*(1+C30))-1,"unavail.")</f>
        <v>unavail.</v>
      </c>
      <c r="D31" s="34" t="str">
        <f>IF(AND(ISNUMBER(D28),ISNUMBER(D29),ISNUMBER(D30)),(1+D28)/((1+D29)*(1+D30))-1,"unavail.")</f>
        <v>unavail.</v>
      </c>
      <c r="E31" s="34" t="str">
        <f>IF(AND(ISNUMBER(E28),ISNUMBER(E29),ISNUMBER(E30)),(1+E28)/((1+E29)*(1+E30))-1,"unavail.")</f>
        <v>unavail.</v>
      </c>
      <c r="F31" s="34" t="str">
        <f>IF(AND(ISNUMBER(F28),ISNUMBER(F29),ISNUMBER(F30)),(1+F28)/((1+F29)*(1+F30))-1,"unavail.")</f>
        <v>unavail.</v>
      </c>
      <c r="G31" s="40" t="str">
        <f>IF(AND(ISNUMBER(G28),ISNUMBER(G29),ISNUMBER(G30)),(1+G28)/((1+G29)*(1+G30))-1,"unavail.")</f>
        <v>unavail.</v>
      </c>
      <c r="H31" s="23" t="s">
        <v>133</v>
      </c>
    </row>
    <row r="32">
      <c r="A32" s="37" t="s">
        <v>141</v>
      </c>
      <c r="B32" s="20">
        <f>'Segment - Consumer Banking'!B42</f>
        <v>1262</v>
      </c>
      <c r="C32" s="20">
        <f>'Segment - Consumer Banking'!C42</f>
        <v>1299</v>
      </c>
      <c r="D32" s="20">
        <f>'Segment - Consumer Banking'!D42</f>
        <v>4972</v>
      </c>
      <c r="E32" s="20">
        <f>'Segment - Consumer Banking'!E42</f>
        <v>1309</v>
      </c>
      <c r="F32" s="20">
        <f>'Segment - Consumer Banking'!F42</f>
        <v>1348</v>
      </c>
      <c r="G32" s="53">
        <f>'Segment - Consumer Banking'!G42</f>
        <v>1389.3362424219176</v>
      </c>
      <c r="H32" s="1"/>
    </row>
    <row r="33">
      <c r="A33" s="37" t="s">
        <v>142</v>
      </c>
      <c r="B33" s="20">
        <f>'Segment - Commercial Banking'!B42</f>
        <v>448</v>
      </c>
      <c r="C33" s="20">
        <f>'Segment - Commercial Banking'!C42</f>
        <v>450</v>
      </c>
      <c r="D33" s="20">
        <f>'Segment - Commercial Banking'!D42</f>
        <v>1778</v>
      </c>
      <c r="E33" s="20">
        <f>'Segment - Commercial Banking'!E42</f>
        <v>456</v>
      </c>
      <c r="F33" s="20">
        <f>'Segment - Commercial Banking'!F42</f>
        <v>467</v>
      </c>
      <c r="G33" s="53">
        <f>'Segment - Commercial Banking'!G42</f>
        <v>479.90315901369854</v>
      </c>
      <c r="H33" s="1"/>
    </row>
    <row r="34">
      <c r="A34" s="37" t="s">
        <v>143</v>
      </c>
      <c r="B34" s="20">
        <f>'Segment - Consumer Banking'!B48</f>
        <v>311</v>
      </c>
      <c r="C34" s="20">
        <f>'Segment - Consumer Banking'!C48</f>
        <v>315</v>
      </c>
      <c r="D34" s="20">
        <f>'Segment - Consumer Banking'!D48</f>
        <v>1252</v>
      </c>
      <c r="E34" s="20">
        <f>'Segment - Consumer Banking'!E48</f>
        <v>299</v>
      </c>
      <c r="F34" s="20">
        <f>'Segment - Consumer Banking'!F48</f>
        <v>314</v>
      </c>
      <c r="G34" s="53">
        <f>'Segment - Consumer Banking'!G48</f>
        <v>315.884</v>
      </c>
      <c r="H34" s="1"/>
    </row>
    <row r="35">
      <c r="A35" s="37" t="s">
        <v>144</v>
      </c>
      <c r="B35" s="20">
        <f>'Segment - Commercial Banking'!B48</f>
        <v>286</v>
      </c>
      <c r="C35" s="20">
        <f>'Segment - Commercial Banking'!C48</f>
        <v>262</v>
      </c>
      <c r="D35" s="20">
        <f>'Segment - Commercial Banking'!D48</f>
        <v>995</v>
      </c>
      <c r="E35" s="20">
        <f>'Segment - Commercial Banking'!E48</f>
        <v>263</v>
      </c>
      <c r="F35" s="20">
        <f>'Segment - Commercial Banking'!F48</f>
        <v>292</v>
      </c>
      <c r="G35" s="53">
        <f>'Segment - Commercial Banking'!G48</f>
        <v>289.956</v>
      </c>
      <c r="H35" s="1"/>
    </row>
    <row r="36">
      <c r="A36" s="8" t="s">
        <v>145</v>
      </c>
      <c r="B36" s="30">
        <f>B9+B16+B25</f>
        <v>2118</v>
      </c>
      <c r="C36" s="30">
        <f>C9+C16+C25</f>
        <v>2157</v>
      </c>
      <c r="D36" s="30">
        <f>D9+D16+D25</f>
        <v>8247</v>
      </c>
      <c r="E36" s="30">
        <f>E9+E16+E25</f>
        <v>2168</v>
      </c>
      <c r="F36" s="30">
        <f>F9+F16+F25</f>
        <v>2283</v>
      </c>
      <c r="G36" s="38">
        <f>G9+G16+G25</f>
        <v>2341.043287021846</v>
      </c>
      <c r="H36" s="1"/>
    </row>
    <row r="37">
      <c r="A37" s="3" t="s">
        <v>146</v>
      </c>
      <c r="B37" s="35">
        <f>ROUND(B36-B423,6)</f>
        <v>0</v>
      </c>
      <c r="C37" s="35">
        <f>ROUND(C36-C423,6)</f>
        <v>0</v>
      </c>
      <c r="D37" s="35">
        <f>ROUND(D36-D423,6)</f>
        <v>0</v>
      </c>
      <c r="E37" s="35">
        <f>ROUND(E36-E423,6)</f>
        <v>0</v>
      </c>
      <c r="F37" s="35">
        <f>ROUND(F36-F423,6)</f>
        <v>0</v>
      </c>
      <c r="G37" s="68">
        <f>ROUND(G36-G423,6)</f>
        <v>0</v>
      </c>
      <c r="H37" s="88" t="s">
        <v>147</v>
      </c>
    </row>
    <row r="38">
      <c r="A38" s="1" t="s">
        <v>148</v>
      </c>
      <c r="B38" s="1"/>
      <c r="C38" s="1"/>
      <c r="D38" s="1"/>
      <c r="E38" s="1"/>
      <c r="F38" s="1"/>
      <c r="G38" s="41"/>
      <c r="H38" s="1"/>
    </row>
    <row r="39">
      <c r="A39" s="1"/>
      <c r="B39" s="1"/>
      <c r="C39" s="1"/>
      <c r="D39" s="1"/>
      <c r="E39" s="1"/>
      <c r="F39" s="1"/>
      <c r="G39" s="41"/>
      <c r="H39" s="1"/>
    </row>
    <row r="40">
      <c r="A40" s="8" t="s">
        <v>149</v>
      </c>
      <c r="B40" s="1"/>
      <c r="C40" s="1"/>
      <c r="D40" s="1"/>
      <c r="E40" s="1"/>
      <c r="F40" s="1"/>
      <c r="G40" s="41"/>
      <c r="H40" s="1"/>
    </row>
    <row r="41">
      <c r="A41" s="1" t="s">
        <v>150</v>
      </c>
      <c r="B41" s="20">
        <f>Inputs!E124</f>
        <v>139304</v>
      </c>
      <c r="C41" s="14">
        <f>B44</f>
        <v>140870</v>
      </c>
      <c r="D41" s="20">
        <f>Inputs!C124</f>
        <v>139203</v>
      </c>
      <c r="E41" s="14">
        <f>C44</f>
        <v>142692</v>
      </c>
      <c r="F41" s="14">
        <f>E44</f>
        <v>143667</v>
      </c>
      <c r="G41" s="31">
        <f>F44</f>
        <v>147491</v>
      </c>
      <c r="H41" s="23" t="s">
        <v>151</v>
      </c>
    </row>
    <row r="42">
      <c r="A42" s="37" t="s">
        <v>152</v>
      </c>
      <c r="B42" s="20">
        <f>-'Income Statement'!B109</f>
        <v>-162</v>
      </c>
      <c r="C42" s="20">
        <f>-'Income Statement'!C109</f>
        <v>-155</v>
      </c>
      <c r="D42" s="20">
        <f>-'Income Statement'!D109</f>
        <v>-684</v>
      </c>
      <c r="E42" s="20">
        <f>-'Income Statement'!E109</f>
        <v>-138</v>
      </c>
      <c r="F42" s="20">
        <f>-'Income Statement'!F109</f>
        <v>-135</v>
      </c>
      <c r="G42" s="53">
        <f>-'Income Statement'!G109</f>
        <v>-134.37428433534248</v>
      </c>
      <c r="H42" s="1"/>
    </row>
    <row r="43">
      <c r="A43" s="37" t="s">
        <v>153</v>
      </c>
      <c r="B43" s="14">
        <f>B44-B41-B42</f>
        <v>1728</v>
      </c>
      <c r="C43" s="14">
        <f>C44-C41-C42</f>
        <v>1977</v>
      </c>
      <c r="D43" s="14">
        <f>D44-D41-D42</f>
        <v>4173</v>
      </c>
      <c r="E43" s="14">
        <f>E44-E41-E42</f>
        <v>1113</v>
      </c>
      <c r="F43" s="14">
        <f>F44-F41-F42</f>
        <v>3959</v>
      </c>
      <c r="G43" s="31">
        <f>G44-G41-G42</f>
        <v>1609.284284335346</v>
      </c>
      <c r="H43" s="23" t="s">
        <v>154</v>
      </c>
    </row>
    <row r="44">
      <c r="A44" s="8" t="s">
        <v>155</v>
      </c>
      <c r="B44" s="71">
        <f>'Balance Sheet'!B15</f>
        <v>140870</v>
      </c>
      <c r="C44" s="71">
        <f>'Balance Sheet'!C15</f>
        <v>142692</v>
      </c>
      <c r="D44" s="71">
        <f>'Balance Sheet'!D15</f>
        <v>142692</v>
      </c>
      <c r="E44" s="71">
        <f>'Balance Sheet'!E15</f>
        <v>143667</v>
      </c>
      <c r="F44" s="71">
        <f>'Balance Sheet'!F15</f>
        <v>147491</v>
      </c>
      <c r="G44" s="86">
        <f>'Balance Sheet'!G15</f>
        <v>148965.91</v>
      </c>
      <c r="H44" s="1"/>
    </row>
    <row r="45">
      <c r="A45" s="32" t="s">
        <v>156</v>
      </c>
      <c r="B45" s="34">
        <f>B44/B41-1</f>
        <v>0.011241601102624399</v>
      </c>
      <c r="C45" s="34">
        <f>C44/C41-1</f>
        <v>0.012933910697806583</v>
      </c>
      <c r="D45" s="34">
        <f>D44/D41-1</f>
        <v>0.025064114997521703</v>
      </c>
      <c r="E45" s="34">
        <f>E44/E41-1</f>
        <v>0.0068328988310486505</v>
      </c>
      <c r="F45" s="34">
        <f>F44/F41-1</f>
        <v>0.02661710761691971</v>
      </c>
      <c r="G45" s="40">
        <f>G44/G41-1</f>
        <v>0.010000000000000009</v>
      </c>
      <c r="H45" s="1"/>
    </row>
    <row r="46">
      <c r="A46" s="1" t="s">
        <v>157</v>
      </c>
      <c r="B46" s="14">
        <f>B153</f>
        <v>140011</v>
      </c>
      <c r="C46" s="14">
        <f>C153</f>
        <v>141757</v>
      </c>
      <c r="D46" s="14">
        <f>D153</f>
        <v>140077</v>
      </c>
      <c r="E46" s="14">
        <f>E153</f>
        <v>143410</v>
      </c>
      <c r="F46" s="14">
        <f>F153</f>
        <v>146128</v>
      </c>
      <c r="G46" s="31">
        <f>G153</f>
        <v>148087.602</v>
      </c>
      <c r="H46" s="1"/>
    </row>
    <row r="47">
      <c r="A47" s="32" t="s">
        <v>158</v>
      </c>
      <c r="B47" s="34">
        <f>B46/B44</f>
        <v>0.9939021793142614</v>
      </c>
      <c r="C47" s="34">
        <f>C46/C44</f>
        <v>0.9934474252235584</v>
      </c>
      <c r="D47" s="34">
        <f>D46/D44</f>
        <v>0.9816738149300591</v>
      </c>
      <c r="E47" s="34">
        <f>E46/E44</f>
        <v>0.998211141041436</v>
      </c>
      <c r="F47" s="34">
        <f>F46/F44</f>
        <v>0.9907587581615149</v>
      </c>
      <c r="G47" s="40">
        <f>G46/G44</f>
        <v>0.9941039664712551</v>
      </c>
      <c r="H47" s="1"/>
    </row>
    <row r="48">
      <c r="A48" s="1" t="s">
        <v>159</v>
      </c>
      <c r="B48" s="20">
        <f>Inputs!E131</f>
        <v>175086</v>
      </c>
      <c r="C48" s="14">
        <f>B50</f>
        <v>180011</v>
      </c>
      <c r="D48" s="20">
        <f>Inputs!C131</f>
        <v>174776</v>
      </c>
      <c r="E48" s="14">
        <f>C50</f>
        <v>183313</v>
      </c>
      <c r="F48" s="14">
        <f>E50</f>
        <v>184035</v>
      </c>
      <c r="G48" s="31">
        <f>F50</f>
        <v>185620</v>
      </c>
      <c r="H48" s="1"/>
    </row>
    <row r="49">
      <c r="A49" s="37" t="s">
        <v>160</v>
      </c>
      <c r="B49" s="14">
        <f>B50-B48</f>
        <v>4925</v>
      </c>
      <c r="C49" s="14">
        <f>C50-C48</f>
        <v>3302</v>
      </c>
      <c r="D49" s="14">
        <f>D50-D48</f>
        <v>8537</v>
      </c>
      <c r="E49" s="14">
        <f>E50-E48</f>
        <v>722</v>
      </c>
      <c r="F49" s="14">
        <f>F50-F48</f>
        <v>1585</v>
      </c>
      <c r="G49" s="31">
        <f>G50-G48</f>
        <v>1856.2000000000116</v>
      </c>
      <c r="H49" s="1"/>
    </row>
    <row r="50">
      <c r="A50" s="8" t="s">
        <v>161</v>
      </c>
      <c r="B50" s="71">
        <f>'Balance Sheet'!B29</f>
        <v>180011</v>
      </c>
      <c r="C50" s="71">
        <f>'Balance Sheet'!C29</f>
        <v>183313</v>
      </c>
      <c r="D50" s="71">
        <f>'Balance Sheet'!D29</f>
        <v>183313</v>
      </c>
      <c r="E50" s="71">
        <f>'Balance Sheet'!E29</f>
        <v>184035</v>
      </c>
      <c r="F50" s="71">
        <f>'Balance Sheet'!F29</f>
        <v>185620</v>
      </c>
      <c r="G50" s="86">
        <f>'Balance Sheet'!G29</f>
        <v>187476.2</v>
      </c>
      <c r="H50" s="1"/>
    </row>
    <row r="51">
      <c r="A51" s="32" t="s">
        <v>156</v>
      </c>
      <c r="B51" s="34">
        <f>B50/B48-1</f>
        <v>0.0281290337319946</v>
      </c>
      <c r="C51" s="34">
        <f>C50/C48-1</f>
        <v>0.018343323463566152</v>
      </c>
      <c r="D51" s="34">
        <f>D50/D48-1</f>
        <v>0.04884537922826926</v>
      </c>
      <c r="E51" s="34">
        <f>E50/E48-1</f>
        <v>0.003938618646795344</v>
      </c>
      <c r="F51" s="34">
        <f>F50/F48-1</f>
        <v>0.008612492188985854</v>
      </c>
      <c r="G51" s="40">
        <f>G50/G48-1</f>
        <v>0.010000000000000009</v>
      </c>
      <c r="H51" s="1"/>
    </row>
    <row r="52">
      <c r="A52" s="1" t="s">
        <v>162</v>
      </c>
      <c r="B52" s="14">
        <f>B264</f>
        <v>175957</v>
      </c>
      <c r="C52" s="14">
        <f>C264</f>
        <v>179857</v>
      </c>
      <c r="D52" s="14">
        <f>D264</f>
        <v>175682</v>
      </c>
      <c r="E52" s="14">
        <f>E264</f>
        <v>181315</v>
      </c>
      <c r="F52" s="14">
        <f>F264</f>
        <v>183620</v>
      </c>
      <c r="G52" s="31">
        <f>G264</f>
        <v>185049.17299999998</v>
      </c>
      <c r="H52" s="1"/>
    </row>
    <row r="53">
      <c r="A53" s="32" t="s">
        <v>163</v>
      </c>
      <c r="B53" s="34">
        <f>B44/B50</f>
        <v>0.7825632877990789</v>
      </c>
      <c r="C53" s="34">
        <f>C44/C50</f>
        <v>0.7784063323386775</v>
      </c>
      <c r="D53" s="34">
        <f>D44/D50</f>
        <v>0.7784063323386775</v>
      </c>
      <c r="E53" s="34">
        <f>E44/E50</f>
        <v>0.7806504197571115</v>
      </c>
      <c r="F53" s="34">
        <f>F44/F50</f>
        <v>0.7945857127464713</v>
      </c>
      <c r="G53" s="40">
        <f>G44/G50</f>
        <v>0.7945857127464713</v>
      </c>
      <c r="H53" s="1"/>
    </row>
    <row r="54">
      <c r="A54" s="1"/>
      <c r="B54" s="1"/>
      <c r="C54" s="1"/>
      <c r="D54" s="1"/>
      <c r="E54" s="1"/>
      <c r="F54" s="1"/>
      <c r="G54" s="41"/>
      <c r="H54" s="1"/>
    </row>
    <row r="55">
      <c r="A55" s="8" t="s">
        <v>164</v>
      </c>
      <c r="B55" s="1"/>
      <c r="C55" s="1"/>
      <c r="D55" s="1"/>
      <c r="E55" s="1"/>
      <c r="F55" s="1"/>
      <c r="G55" s="41"/>
      <c r="H55" s="1"/>
    </row>
    <row r="56">
      <c r="A56" s="83" t="s">
        <v>165</v>
      </c>
      <c r="B56" s="1"/>
      <c r="C56" s="1"/>
      <c r="D56" s="1"/>
      <c r="E56" s="1"/>
      <c r="F56" s="1"/>
      <c r="G56" s="41"/>
      <c r="H56" s="1"/>
    </row>
    <row r="57">
      <c r="A57" s="37" t="s">
        <v>166</v>
      </c>
      <c r="B57" s="25">
        <v>9015</v>
      </c>
      <c r="C57" s="25">
        <v>9156</v>
      </c>
      <c r="D57" s="25">
        <v>8624</v>
      </c>
      <c r="E57" s="25">
        <v>10079</v>
      </c>
      <c r="F57" s="25">
        <v>10839</v>
      </c>
      <c r="G57" s="31">
        <f>F57*(1+G58)</f>
        <v>11055.78</v>
      </c>
      <c r="H57" s="1"/>
    </row>
    <row r="58">
      <c r="A58" s="44" t="s">
        <v>167</v>
      </c>
      <c r="B58" s="27">
        <f>IF(AND(ISNUMBER(Inputs!E14),ISNUMBER(B57)),IF(Inputs!E14&gt;0,B57/Inputs!E14-1,"n.m."),"unavail.")</f>
        <v>0.09711573566995257</v>
      </c>
      <c r="C58" s="34">
        <f>IF(AND(ISNUMBER(B57),ISNUMBER(C57)),IF(B57&gt;0,C57/B57-1,"n.m."),"unavail.")</f>
        <v>0.015640599001663924</v>
      </c>
      <c r="D58" s="1"/>
      <c r="E58" s="34">
        <f>IF(AND(ISNUMBER(C57),ISNUMBER(E57)),IF(C57&gt;0,E57/C57-1,"n.m."),"unavail.")</f>
        <v>0.10080821319353439</v>
      </c>
      <c r="F58" s="34">
        <f>IF(AND(ISNUMBER(E57),ISNUMBER(F57)),IF(E57&gt;0,F57/E57-1,"n.m."),"unavail.")</f>
        <v>0.07540430598273629</v>
      </c>
      <c r="G58" s="29">
        <v>0.02</v>
      </c>
      <c r="H58" s="1"/>
    </row>
    <row r="59">
      <c r="A59" s="44" t="s">
        <v>168</v>
      </c>
      <c r="B59" s="27">
        <f>IF(AND(ISNUMBER(Inputs!B14),ISNUMBER(B57)),IF(Inputs!B14&gt;0,B57/Inputs!B14-1,"n.m."),"unavail.")</f>
        <v>0.013376798561151038</v>
      </c>
      <c r="C59" s="27">
        <f>IF(AND(ISNUMBER(Inputs!C14),ISNUMBER(C57)),IF(Inputs!C14&gt;0,C57/Inputs!C14-1,"n.m."),"unavail.")</f>
        <v>-0.032032984459245184</v>
      </c>
      <c r="D59" s="27">
        <f>IF(AND(ISNUMBER(Inputs!F14),ISNUMBER(D57)),IF(Inputs!F14&gt;0,D57/Inputs!F14-1,"n.m."),"unavail.")</f>
        <v>-0.0984737612377169</v>
      </c>
      <c r="E59" s="27">
        <f>IF(AND(ISNUMBER(Inputs!D14),ISNUMBER(E57)),IF(Inputs!D14&gt;0,E57/Inputs!D14-1,"n.m."),"unavail.")</f>
        <v>0.245551161641127</v>
      </c>
      <c r="F59" s="27">
        <f>IF(AND(ISNUMBER(Inputs!E14),ISNUMBER(F57)),IF(Inputs!E14&gt;0,F57/Inputs!E14-1,"n.m."),"unavail.")</f>
        <v>0.3190945600584154</v>
      </c>
      <c r="G59" s="40">
        <f>IF(AND(ISNUMBER(B57),ISNUMBER(G57)),IF(B57&gt;0,G57/B57-1,"n.m."),"unavail.")</f>
        <v>0.22637603993344424</v>
      </c>
      <c r="H59" s="1"/>
    </row>
    <row r="60">
      <c r="A60" s="70" t="s">
        <v>169</v>
      </c>
      <c r="B60" s="20">
        <f>B57-Inputs!E14</f>
        <v>798</v>
      </c>
      <c r="C60" s="14">
        <f>C57-B57</f>
        <v>141</v>
      </c>
      <c r="D60" s="1"/>
      <c r="E60" s="14">
        <f>E57-C57</f>
        <v>923</v>
      </c>
      <c r="F60" s="14">
        <f>F57-E57</f>
        <v>760</v>
      </c>
      <c r="G60" s="31">
        <f>G57-F57</f>
        <v>216.78000000000065</v>
      </c>
      <c r="H60" s="1"/>
    </row>
    <row r="61">
      <c r="A61" s="37" t="s">
        <v>170</v>
      </c>
      <c r="B61" s="25">
        <v>97</v>
      </c>
      <c r="C61" s="25">
        <v>89</v>
      </c>
      <c r="D61" s="20">
        <f>Inputs!D15+Inputs!E15+B61+C61</f>
        <v>367</v>
      </c>
      <c r="E61" s="25">
        <v>91</v>
      </c>
      <c r="F61" s="25">
        <v>103</v>
      </c>
      <c r="G61" s="31">
        <f>G57*G62*G$6/365</f>
        <v>106.77183796573838</v>
      </c>
      <c r="H61" s="1"/>
    </row>
    <row r="62">
      <c r="A62" s="32" t="s">
        <v>171</v>
      </c>
      <c r="B62" s="42">
        <f>B61/B57*365/B$6</f>
        <v>0.04268851431189563</v>
      </c>
      <c r="C62" s="42">
        <f>C61/C57*365/C$6</f>
        <v>0.038564638061048116</v>
      </c>
      <c r="D62" s="42">
        <f>D61/D57*365/D$6</f>
        <v>0.0425556586270872</v>
      </c>
      <c r="E62" s="42">
        <f>E61/E57*365/E$6</f>
        <v>0.03661628688913142</v>
      </c>
      <c r="F62" s="42">
        <f>F61/F57*365/F$6</f>
        <v>0.0381153121258297</v>
      </c>
      <c r="G62" s="55">
        <f>F62+G63/10000</f>
        <v>0.0383153121258297</v>
      </c>
      <c r="H62" s="1"/>
    </row>
    <row r="63">
      <c r="A63" s="44" t="s">
        <v>172</v>
      </c>
      <c r="B63" s="24">
        <f>IFERROR((B62-(Inputs!E15/Inputs!E14*365/Inputs!E$6))*10000,"unavail.")</f>
        <v>-22.197233674263877</v>
      </c>
      <c r="C63" s="26">
        <f>IFERROR((C62-B62)*10000,"unavail.")</f>
        <v>-41.23876250847515</v>
      </c>
      <c r="D63" s="1"/>
      <c r="E63" s="26">
        <f>IFERROR((E62-C62)*10000,"unavail.")</f>
        <v>-19.48351171916697</v>
      </c>
      <c r="F63" s="26">
        <f>IFERROR((F62-E62)*10000,"unavail.")</f>
        <v>14.990252366982801</v>
      </c>
      <c r="G63" s="50">
        <v>2</v>
      </c>
      <c r="H63" s="1"/>
    </row>
    <row r="64">
      <c r="A64" s="44" t="s">
        <v>173</v>
      </c>
      <c r="B64" s="24">
        <f>IFERROR((B62-(Inputs!B15/Inputs!B14*365/Inputs!B$6))*10000,"unavail.")</f>
        <v>-112.74429463518823</v>
      </c>
      <c r="C64" s="24">
        <f>IFERROR((C62-(Inputs!C15/Inputs!C14*365/Inputs!C$6))*10000,"unavail.")</f>
        <v>-84.1155668331773</v>
      </c>
      <c r="D64" s="24">
        <f>IFERROR((D62-(Inputs!F15/Inputs!F14))*10000,"unavail.")</f>
        <v>-100.26402840610898</v>
      </c>
      <c r="E64" s="24">
        <f>IFERROR((E62-(Inputs!D15/Inputs!D14*365/Inputs!D$6))*10000,"unavail.")</f>
        <v>-79.88810051605657</v>
      </c>
      <c r="F64" s="24">
        <f>IFERROR((F62-(Inputs!E15/Inputs!E14*365/Inputs!E$6))*10000,"unavail.")</f>
        <v>-67.9292555349232</v>
      </c>
      <c r="G64" s="39">
        <f>IFERROR((G62-B62)*10000,"unavail.")</f>
        <v>-43.73202186065933</v>
      </c>
      <c r="H64" s="1"/>
    </row>
    <row r="65">
      <c r="A65" s="37" t="s">
        <v>174</v>
      </c>
      <c r="B65" s="25">
        <v>46453</v>
      </c>
      <c r="C65" s="25">
        <v>46731</v>
      </c>
      <c r="D65" s="25">
        <v>46450</v>
      </c>
      <c r="E65" s="25">
        <v>46929</v>
      </c>
      <c r="F65" s="25">
        <v>48088</v>
      </c>
      <c r="G65" s="31">
        <f>F65*(1+G66)</f>
        <v>48568.88</v>
      </c>
      <c r="H65" s="1"/>
    </row>
    <row r="66">
      <c r="A66" s="44" t="s">
        <v>167</v>
      </c>
      <c r="B66" s="27">
        <f>IF(AND(ISNUMBER(Inputs!E16),ISNUMBER(B65)),IF(Inputs!E16&gt;0,B65/Inputs!E16-1,"n.m."),"unavail.")</f>
        <v>-0.0018264643946882542</v>
      </c>
      <c r="C66" s="34">
        <f>IF(AND(ISNUMBER(B65),ISNUMBER(C65)),IF(B65&gt;0,C65/B65-1,"n.m."),"unavail.")</f>
        <v>0.0059845435171033134</v>
      </c>
      <c r="D66" s="1"/>
      <c r="E66" s="34">
        <f>IF(AND(ISNUMBER(C65),ISNUMBER(E65)),IF(C65&gt;0,E65/C65-1,"n.m."),"unavail.")</f>
        <v>0.00423701611350058</v>
      </c>
      <c r="F66" s="34">
        <f>IF(AND(ISNUMBER(E65),ISNUMBER(F65)),IF(E65&gt;0,F65/E65-1,"n.m."),"unavail.")</f>
        <v>0.024696882524664954</v>
      </c>
      <c r="G66" s="29">
        <v>0.01</v>
      </c>
      <c r="H66" s="1"/>
    </row>
    <row r="67">
      <c r="A67" s="44" t="s">
        <v>168</v>
      </c>
      <c r="B67" s="27">
        <f>IF(AND(ISNUMBER(Inputs!B16),ISNUMBER(B65)),IF(Inputs!B16&gt;0,B65/Inputs!B16-1,"n.m."),"unavail.")</f>
        <v>0.030365539881110903</v>
      </c>
      <c r="C67" s="27">
        <f>IF(AND(ISNUMBER(Inputs!C16),ISNUMBER(C65)),IF(Inputs!C16&gt;0,C65/Inputs!C16-1,"n.m."),"unavail.")</f>
        <v>0.042567431898801855</v>
      </c>
      <c r="D67" s="27">
        <f>IF(AND(ISNUMBER(Inputs!F16),ISNUMBER(D65)),IF(Inputs!F16&gt;0,D65/Inputs!F16-1,"n.m."),"unavail.")</f>
        <v>0.040826387021600796</v>
      </c>
      <c r="E67" s="27">
        <f>IF(AND(ISNUMBER(Inputs!D16),ISNUMBER(E65)),IF(Inputs!D16&gt;0,E65/Inputs!D16-1,"n.m."),"unavail.")</f>
        <v>0.018667650697866245</v>
      </c>
      <c r="F67" s="27">
        <f>IF(AND(ISNUMBER(Inputs!E16),ISNUMBER(F65)),IF(Inputs!E16&gt;0,F65/Inputs!E16-1,"n.m."),"unavail.")</f>
        <v>0.0333061154325498</v>
      </c>
      <c r="G67" s="40">
        <f>IF(AND(ISNUMBER(B65),ISNUMBER(G65)),IF(B65&gt;0,G65/B65-1,"n.m."),"unavail.")</f>
        <v>0.04554883430564227</v>
      </c>
      <c r="H67" s="1"/>
    </row>
    <row r="68">
      <c r="A68" s="70" t="s">
        <v>169</v>
      </c>
      <c r="B68" s="20">
        <f>B65-Inputs!E16</f>
        <v>-85</v>
      </c>
      <c r="C68" s="14">
        <f>C65-B65</f>
        <v>278</v>
      </c>
      <c r="D68" s="1"/>
      <c r="E68" s="14">
        <f>E65-C65</f>
        <v>198</v>
      </c>
      <c r="F68" s="14">
        <f>F65-E65</f>
        <v>1159</v>
      </c>
      <c r="G68" s="31">
        <f>G65-F65</f>
        <v>480.8799999999974</v>
      </c>
      <c r="H68" s="1"/>
    </row>
    <row r="69">
      <c r="A69" s="37" t="s">
        <v>175</v>
      </c>
      <c r="B69" s="25">
        <v>433</v>
      </c>
      <c r="C69" s="25">
        <v>434</v>
      </c>
      <c r="D69" s="20">
        <f>Inputs!D17+Inputs!E17+B69+C69</f>
        <v>1713</v>
      </c>
      <c r="E69" s="25">
        <v>424</v>
      </c>
      <c r="F69" s="25">
        <v>446</v>
      </c>
      <c r="G69" s="31">
        <f>G65*G70*G$6/365</f>
        <v>462.75532133120583</v>
      </c>
      <c r="H69" s="1"/>
    </row>
    <row r="70">
      <c r="A70" s="32" t="s">
        <v>176</v>
      </c>
      <c r="B70" s="42">
        <f>B69/B65*365/B$6</f>
        <v>0.03698104395372976</v>
      </c>
      <c r="C70" s="42">
        <f>C69/C65*365/C$6</f>
        <v>0.036845944364275456</v>
      </c>
      <c r="D70" s="42">
        <f>D69/D65*365/D$6</f>
        <v>0.0368783638320775</v>
      </c>
      <c r="E70" s="42">
        <f>E69/E65*365/E$6</f>
        <v>0.036641640681786436</v>
      </c>
      <c r="F70" s="42">
        <f>F69/F65*365/F$6</f>
        <v>0.037200571845389684</v>
      </c>
      <c r="G70" s="55">
        <f>F70+G71/10000</f>
        <v>0.03780057184538969</v>
      </c>
      <c r="H70" s="1"/>
    </row>
    <row r="71">
      <c r="A71" s="44" t="s">
        <v>172</v>
      </c>
      <c r="B71" s="24">
        <f>IFERROR((B70-(Inputs!E17/Inputs!E16*365/Inputs!E$6))*10000,"unavail.")</f>
        <v>0.9283868699512532</v>
      </c>
      <c r="C71" s="26">
        <f>IFERROR((C70-B70)*10000,"unavail.")</f>
        <v>-1.3509958945430445</v>
      </c>
      <c r="D71" s="1"/>
      <c r="E71" s="26">
        <f>IFERROR((E70-C70)*10000,"unavail.")</f>
        <v>-2.043036824890196</v>
      </c>
      <c r="F71" s="26">
        <f>IFERROR((F70-E70)*10000,"unavail.")</f>
        <v>5.589311636032476</v>
      </c>
      <c r="G71" s="50">
        <v>6</v>
      </c>
      <c r="H71" s="1"/>
    </row>
    <row r="72">
      <c r="A72" s="44" t="s">
        <v>173</v>
      </c>
      <c r="B72" s="24">
        <f>IFERROR((B70-(Inputs!B17/Inputs!B16*365/Inputs!B$6))*10000,"unavail.")</f>
        <v>-2.429495193234446</v>
      </c>
      <c r="C72" s="24">
        <f>IFERROR((C70-(Inputs!C17/Inputs!C16*365/Inputs!C$6))*10000,"unavail.")</f>
        <v>-2.407512277585247</v>
      </c>
      <c r="D72" s="24">
        <f>IFERROR((D70-(Inputs!F17/Inputs!F16))*10000,"unavail.")</f>
        <v>-2.7320020843518007</v>
      </c>
      <c r="E72" s="24">
        <f>IFERROR((E70-(Inputs!D17/Inputs!D16*365/Inputs!D$6))*10000,"unavail.")</f>
        <v>-1.558201318240665</v>
      </c>
      <c r="F72" s="24">
        <f>IFERROR((F70-(Inputs!E17/Inputs!E16*365/Inputs!E$6))*10000,"unavail.")</f>
        <v>3.123665786550489</v>
      </c>
      <c r="G72" s="39">
        <f>IFERROR((G70-B70)*10000,"unavail.")</f>
        <v>8.19527891659927</v>
      </c>
      <c r="H72" s="1"/>
    </row>
    <row r="73">
      <c r="A73" s="37" t="s">
        <v>177</v>
      </c>
      <c r="B73" s="25">
        <v>46351</v>
      </c>
      <c r="C73" s="25">
        <v>48108</v>
      </c>
      <c r="D73" s="25">
        <v>45763</v>
      </c>
      <c r="E73" s="25">
        <v>50140</v>
      </c>
      <c r="F73" s="25">
        <v>52214</v>
      </c>
      <c r="G73" s="31">
        <f>F73*(1+G74)</f>
        <v>53900.5122</v>
      </c>
      <c r="H73" s="1"/>
    </row>
    <row r="74">
      <c r="A74" s="44" t="s">
        <v>167</v>
      </c>
      <c r="B74" s="27">
        <f>IF(AND(ISNUMBER(Inputs!E18),ISNUMBER(B73)),IF(Inputs!E18&gt;0,B73/Inputs!E18-1,"n.m."),"unavail.")</f>
        <v>0.031489229125867935</v>
      </c>
      <c r="C74" s="34">
        <f>IF(AND(ISNUMBER(B73),ISNUMBER(C73)),IF(B73&gt;0,C73/B73-1,"n.m."),"unavail.")</f>
        <v>0.03790640978619653</v>
      </c>
      <c r="D74" s="1"/>
      <c r="E74" s="34">
        <f>IF(AND(ISNUMBER(C73),ISNUMBER(E73)),IF(C73&gt;0,E73/C73-1,"n.m."),"unavail.")</f>
        <v>0.042238297164712835</v>
      </c>
      <c r="F74" s="34">
        <f>IF(AND(ISNUMBER(E73),ISNUMBER(F73)),IF(E73&gt;0,F73/E73-1,"n.m."),"unavail.")</f>
        <v>0.041364180295173414</v>
      </c>
      <c r="G74" s="29">
        <v>0.0323</v>
      </c>
      <c r="H74" s="1"/>
    </row>
    <row r="75">
      <c r="A75" s="44" t="s">
        <v>168</v>
      </c>
      <c r="B75" s="27">
        <f>IF(AND(ISNUMBER(Inputs!B18),ISNUMBER(B73)),IF(Inputs!B18&gt;0,B73/Inputs!B18-1,"n.m."),"unavail.")</f>
        <v>0.05173470082367082</v>
      </c>
      <c r="C75" s="27">
        <f>IF(AND(ISNUMBER(Inputs!C18),ISNUMBER(C73)),IF(Inputs!C18&gt;0,C73/Inputs!C18-1,"n.m."),"unavail.")</f>
        <v>0.10152493474378343</v>
      </c>
      <c r="D75" s="27">
        <f>IF(AND(ISNUMBER(Inputs!F18),ISNUMBER(D73)),IF(Inputs!F18&gt;0,D73/Inputs!F18-1,"n.m."),"unavail.")</f>
        <v>0.03597138588309856</v>
      </c>
      <c r="E75" s="27">
        <f>IF(AND(ISNUMBER(Inputs!D18),ISNUMBER(E73)),IF(Inputs!D18&gt;0,E73/Inputs!D18-1,"n.m."),"unavail.")</f>
        <v>0.15002637675176045</v>
      </c>
      <c r="F75" s="27">
        <f>IF(AND(ISNUMBER(Inputs!E18),ISNUMBER(F73)),IF(Inputs!E18&gt;0,F73/Inputs!E18-1,"n.m."),"unavail.")</f>
        <v>0.16196368168061248</v>
      </c>
      <c r="G75" s="40">
        <f>IF(AND(ISNUMBER(B73),ISNUMBER(G73)),IF(B73&gt;0,G73/B73-1,"n.m."),"unavail.")</f>
        <v>0.16287700804729122</v>
      </c>
      <c r="H75" s="1"/>
    </row>
    <row r="76">
      <c r="A76" s="70" t="s">
        <v>169</v>
      </c>
      <c r="B76" s="20">
        <f>B73-Inputs!E18</f>
        <v>1415</v>
      </c>
      <c r="C76" s="14">
        <f>C73-B73</f>
        <v>1757</v>
      </c>
      <c r="D76" s="1"/>
      <c r="E76" s="14">
        <f>E73-C73</f>
        <v>2032</v>
      </c>
      <c r="F76" s="14">
        <f>F73-E73</f>
        <v>2074</v>
      </c>
      <c r="G76" s="31">
        <f>G73-F73</f>
        <v>1686.5121999999974</v>
      </c>
      <c r="H76" s="1"/>
    </row>
    <row r="77">
      <c r="A77" s="37" t="s">
        <v>178</v>
      </c>
      <c r="B77" s="25">
        <v>581</v>
      </c>
      <c r="C77" s="25">
        <v>605</v>
      </c>
      <c r="D77" s="20">
        <f>Inputs!D19+Inputs!E19+B77+C77</f>
        <v>2250</v>
      </c>
      <c r="E77" s="25">
        <v>644</v>
      </c>
      <c r="F77" s="25">
        <v>707</v>
      </c>
      <c r="G77" s="31">
        <f>G73*G78*G$6/365</f>
        <v>765.0280419773236</v>
      </c>
      <c r="H77" s="1"/>
    </row>
    <row r="78">
      <c r="A78" s="32" t="s">
        <v>179</v>
      </c>
      <c r="B78" s="42">
        <f>B77/B73*365/B$6</f>
        <v>0.04973041245768348</v>
      </c>
      <c r="C78" s="42">
        <f>C77/C73*365/C$6</f>
        <v>0.049893401079455287</v>
      </c>
      <c r="D78" s="42">
        <f>D77/D73*365/D$6</f>
        <v>0.04916635710071455</v>
      </c>
      <c r="E78" s="42">
        <f>E77/E73*365/E$6</f>
        <v>0.05208970438328237</v>
      </c>
      <c r="F78" s="42">
        <f>F77/F73*365/F$6</f>
        <v>0.05431051501071037</v>
      </c>
      <c r="G78" s="55">
        <f>F78+G79/10000</f>
        <v>0.05631051501071037</v>
      </c>
      <c r="H78" s="1"/>
    </row>
    <row r="79">
      <c r="A79" s="44" t="s">
        <v>172</v>
      </c>
      <c r="B79" s="24">
        <f>IFERROR((B78-(Inputs!E19/Inputs!E18*365/Inputs!E$6))*10000,"unavail.")</f>
        <v>7.266522869302516</v>
      </c>
      <c r="C79" s="26">
        <f>IFERROR((C78-B78)*10000,"unavail.")</f>
        <v>1.629886217718035</v>
      </c>
      <c r="D79" s="1"/>
      <c r="E79" s="26">
        <f>IFERROR((E78-C78)*10000,"unavail.")</f>
        <v>21.96303303827085</v>
      </c>
      <c r="F79" s="26">
        <f>IFERROR((F78-E78)*10000,"unavail.")</f>
        <v>22.208106274279952</v>
      </c>
      <c r="G79" s="50">
        <v>20</v>
      </c>
      <c r="H79" s="1"/>
    </row>
    <row r="80">
      <c r="A80" s="44" t="s">
        <v>173</v>
      </c>
      <c r="B80" s="24">
        <f>IFERROR((B78-(Inputs!B19/Inputs!B18*365/Inputs!B$6))*10000,"unavail.")</f>
        <v>-3.222200039668388</v>
      </c>
      <c r="C80" s="24">
        <f>IFERROR((C78-(Inputs!C19/Inputs!C18*365/Inputs!C$6))*10000,"unavail.")</f>
        <v>10.20924966913958</v>
      </c>
      <c r="D80" s="24">
        <f>IFERROR((D78-(Inputs!F19/Inputs!F18))*10000,"unavail.")</f>
        <v>-36.47515312922435</v>
      </c>
      <c r="E80" s="24">
        <f>IFERROR((E78-(Inputs!D19/Inputs!D18*365/Inputs!D$6))*10000,"unavail.")</f>
        <v>41.84681077447121</v>
      </c>
      <c r="F80" s="24">
        <f>IFERROR((F78-(Inputs!E19/Inputs!E18*365/Inputs!E$6))*10000,"unavail.")</f>
        <v>53.06754839957136</v>
      </c>
      <c r="G80" s="39">
        <f>IFERROR((G78-B78)*10000,"unavail.")</f>
        <v>65.80102553026886</v>
      </c>
      <c r="H80" s="1"/>
    </row>
    <row r="81">
      <c r="A81" s="37" t="s">
        <v>180</v>
      </c>
      <c r="B81" s="25">
        <v>25799</v>
      </c>
      <c r="C81" s="25">
        <v>25043</v>
      </c>
      <c r="D81" s="25">
        <v>26079</v>
      </c>
      <c r="E81" s="25">
        <v>24401</v>
      </c>
      <c r="F81" s="25">
        <v>24334</v>
      </c>
      <c r="G81" s="31">
        <f>F81*(1+G82)</f>
        <v>23599.1132</v>
      </c>
      <c r="H81" s="1"/>
    </row>
    <row r="82">
      <c r="A82" s="44" t="s">
        <v>167</v>
      </c>
      <c r="B82" s="27">
        <f>IF(AND(ISNUMBER(Inputs!E20),ISNUMBER(B81)),IF(Inputs!E20&gt;0,B81/Inputs!E20-1,"n.m."),"unavail.")</f>
        <v>-0.025975006607014794</v>
      </c>
      <c r="C82" s="34">
        <f>IF(AND(ISNUMBER(B81),ISNUMBER(C81)),IF(B81&gt;0,C81/B81-1,"n.m."),"unavail.")</f>
        <v>-0.02930346137447193</v>
      </c>
      <c r="D82" s="1"/>
      <c r="E82" s="34">
        <f>IF(AND(ISNUMBER(C81),ISNUMBER(E81)),IF(C81&gt;0,E81/C81-1,"n.m."),"unavail.")</f>
        <v>-0.025635906241264994</v>
      </c>
      <c r="F82" s="34">
        <f>IF(AND(ISNUMBER(E81),ISNUMBER(F81)),IF(E81&gt;0,F81/E81-1,"n.m."),"unavail.")</f>
        <v>-0.0027457891070038487</v>
      </c>
      <c r="G82" s="29">
        <v>-0.0302</v>
      </c>
      <c r="H82" s="1"/>
    </row>
    <row r="83">
      <c r="A83" s="44" t="s">
        <v>168</v>
      </c>
      <c r="B83" s="27">
        <f>IF(AND(ISNUMBER(Inputs!B20),ISNUMBER(B81)),IF(Inputs!B20&gt;0,B81/Inputs!B20-1,"n.m."),"unavail.")</f>
        <v>-0.08543372682477224</v>
      </c>
      <c r="C83" s="27">
        <f>IF(AND(ISNUMBER(Inputs!C20),ISNUMBER(C81)),IF(Inputs!C20&gt;0,C81/Inputs!C20-1,"n.m."),"unavail.")</f>
        <v>-0.09530002528810377</v>
      </c>
      <c r="D83" s="27">
        <f>IF(AND(ISNUMBER(Inputs!F20),ISNUMBER(D81)),IF(Inputs!F20&gt;0,D81/Inputs!F20-1,"n.m."),"unavail.")</f>
        <v>-0.08269433696799156</v>
      </c>
      <c r="E83" s="27">
        <f>IF(AND(ISNUMBER(Inputs!D20),ISNUMBER(E81)),IF(Inputs!D20&gt;0,E81/Inputs!D20-1,"n.m."),"unavail.")</f>
        <v>-0.09669418428164223</v>
      </c>
      <c r="F83" s="27">
        <f>IF(AND(ISNUMBER(Inputs!E20),ISNUMBER(F81)),IF(Inputs!E20&gt;0,F81/Inputs!E20-1,"n.m."),"unavail.")</f>
        <v>-0.08128515875712616</v>
      </c>
      <c r="G83" s="40">
        <f>IF(AND(ISNUMBER(B81),ISNUMBER(G81)),IF(B81&gt;0,G81/B81-1,"n.m."),"unavail.")</f>
        <v>-0.0852702352804372</v>
      </c>
      <c r="H83" s="1"/>
    </row>
    <row r="84">
      <c r="A84" s="70" t="s">
        <v>169</v>
      </c>
      <c r="B84" s="20">
        <f>B81-Inputs!E20</f>
        <v>-688</v>
      </c>
      <c r="C84" s="14">
        <f>C81-B81</f>
        <v>-756</v>
      </c>
      <c r="D84" s="1"/>
      <c r="E84" s="14">
        <f>E81-C81</f>
        <v>-642</v>
      </c>
      <c r="F84" s="14">
        <f>F81-E81</f>
        <v>-67</v>
      </c>
      <c r="G84" s="31">
        <f>G81-F81</f>
        <v>-734.8868000000002</v>
      </c>
      <c r="H84" s="1"/>
    </row>
    <row r="85">
      <c r="A85" s="37" t="s">
        <v>181</v>
      </c>
      <c r="B85" s="25">
        <v>380</v>
      </c>
      <c r="C85" s="25">
        <v>358</v>
      </c>
      <c r="D85" s="20">
        <f>Inputs!D21+Inputs!E21+B85+C85</f>
        <v>1509</v>
      </c>
      <c r="E85" s="25">
        <v>328</v>
      </c>
      <c r="F85" s="25">
        <v>333</v>
      </c>
      <c r="G85" s="31">
        <f>G81*G86*G$6/365</f>
        <v>327.6818824971273</v>
      </c>
      <c r="H85" s="1"/>
    </row>
    <row r="86">
      <c r="A86" s="32" t="s">
        <v>182</v>
      </c>
      <c r="B86" s="42">
        <f>B85/B81*365/B$6</f>
        <v>0.05843671055669498</v>
      </c>
      <c r="C86" s="42">
        <f>C85/C81*365/C$6</f>
        <v>0.056715492830592254</v>
      </c>
      <c r="D86" s="42">
        <f>D85/D81*365/D$6</f>
        <v>0.05786264810767284</v>
      </c>
      <c r="E86" s="42">
        <f>E85/E81*365/E$6</f>
        <v>0.05451506996525643</v>
      </c>
      <c r="F86" s="42">
        <f>F85/F81*365/F$6</f>
        <v>0.0548886060926827</v>
      </c>
      <c r="G86" s="55">
        <f>F86+G87/10000</f>
        <v>0.0550886060926827</v>
      </c>
      <c r="H86" s="1"/>
    </row>
    <row r="87">
      <c r="A87" s="44" t="s">
        <v>172</v>
      </c>
      <c r="B87" s="24">
        <f>IFERROR((B86-(Inputs!E21/Inputs!E20*365/Inputs!E$6))*10000,"unavail.")</f>
        <v>2.866829877071625</v>
      </c>
      <c r="C87" s="26">
        <f>IFERROR((C86-B86)*10000,"unavail.")</f>
        <v>-17.212177261027236</v>
      </c>
      <c r="D87" s="1"/>
      <c r="E87" s="26">
        <f>IFERROR((E86-C86)*10000,"unavail.")</f>
        <v>-22.004228653358243</v>
      </c>
      <c r="F87" s="26">
        <f>IFERROR((F86-E86)*10000,"unavail.")</f>
        <v>3.7353612742627162</v>
      </c>
      <c r="G87" s="50">
        <v>2</v>
      </c>
      <c r="H87" s="1"/>
    </row>
    <row r="88">
      <c r="A88" s="44" t="s">
        <v>173</v>
      </c>
      <c r="B88" s="24">
        <f>IFERROR((B86-(Inputs!B21/Inputs!B20*365/Inputs!B$6))*10000,"unavail.")</f>
        <v>-51.33811956163241</v>
      </c>
      <c r="C88" s="24">
        <f>IFERROR((C86-(Inputs!C21/Inputs!C20*365/Inputs!C$6))*10000,"unavail.")</f>
        <v>-33.37863497637907</v>
      </c>
      <c r="D88" s="24">
        <f>IFERROR((D86-(Inputs!F21/Inputs!F20))*10000,"unavail.")</f>
        <v>-52.74882669675039</v>
      </c>
      <c r="E88" s="24">
        <f>IFERROR((E86-(Inputs!D21/Inputs!D20*365/Inputs!D$6))*10000,"unavail.")</f>
        <v>-35.865847935633994</v>
      </c>
      <c r="F88" s="24">
        <f>IFERROR((F86-(Inputs!E21/Inputs!E20*365/Inputs!E$6))*10000,"unavail.")</f>
        <v>-32.61421476305114</v>
      </c>
      <c r="G88" s="39">
        <f>IFERROR((G86-B86)*10000,"unavail.")</f>
        <v>-33.481044640122775</v>
      </c>
      <c r="H88" s="1"/>
    </row>
    <row r="89">
      <c r="A89" s="37" t="s">
        <v>183</v>
      </c>
      <c r="B89" s="25">
        <v>34134</v>
      </c>
      <c r="C89" s="25">
        <v>34752</v>
      </c>
      <c r="D89" s="25">
        <v>33800</v>
      </c>
      <c r="E89" s="25">
        <v>35090</v>
      </c>
      <c r="F89" s="25">
        <v>35793</v>
      </c>
      <c r="G89" s="31">
        <f>F89*(1+G90)</f>
        <v>36698.562900000004</v>
      </c>
      <c r="H89" s="1"/>
    </row>
    <row r="90">
      <c r="A90" s="44" t="s">
        <v>167</v>
      </c>
      <c r="B90" s="27">
        <f>IF(AND(ISNUMBER(Inputs!E22),ISNUMBER(B89)),IF(Inputs!E22&gt;0,B89/Inputs!E22-1,"n.m."),"unavail.")</f>
        <v>0.021364452423698443</v>
      </c>
      <c r="C90" s="34">
        <f>IF(AND(ISNUMBER(B89),ISNUMBER(C89)),IF(B89&gt;0,C89/B89-1,"n.m."),"unavail.")</f>
        <v>0.018105115134469996</v>
      </c>
      <c r="D90" s="1"/>
      <c r="E90" s="34">
        <f>IF(AND(ISNUMBER(C89),ISNUMBER(E89)),IF(C89&gt;0,E89/C89-1,"n.m."),"unavail.")</f>
        <v>0.00972605893185996</v>
      </c>
      <c r="F90" s="34">
        <f>IF(AND(ISNUMBER(E89),ISNUMBER(F89)),IF(E89&gt;0,F89/E89-1,"n.m."),"unavail.")</f>
        <v>0.020034197777144547</v>
      </c>
      <c r="G90" s="29">
        <v>0.0253</v>
      </c>
      <c r="H90" s="1"/>
    </row>
    <row r="91">
      <c r="A91" s="44" t="s">
        <v>168</v>
      </c>
      <c r="B91" s="27">
        <f>IF(AND(ISNUMBER(Inputs!B22),ISNUMBER(B89)),IF(Inputs!B22&gt;0,B89/Inputs!B22-1,"n.m."),"unavail.")</f>
        <v>0.06280163153470131</v>
      </c>
      <c r="C91" s="27">
        <f>IF(AND(ISNUMBER(Inputs!C22),ISNUMBER(C89)),IF(Inputs!C22&gt;0,C89/Inputs!C22-1,"n.m."),"unavail.")</f>
        <v>0.06863468634686343</v>
      </c>
      <c r="D91" s="27">
        <f>IF(AND(ISNUMBER(Inputs!F22),ISNUMBER(D89)),IF(Inputs!F22&gt;0,D89/Inputs!F22-1,"n.m."),"unavail.")</f>
        <v>0.05902995362827412</v>
      </c>
      <c r="E91" s="27">
        <f>IF(AND(ISNUMBER(Inputs!D22),ISNUMBER(E89)),IF(Inputs!D22&gt;0,E89/Inputs!D22-1,"n.m."),"unavail.")</f>
        <v>0.06747383791676809</v>
      </c>
      <c r="F91" s="27">
        <f>IF(AND(ISNUMBER(Inputs!E22),ISNUMBER(F89)),IF(Inputs!E22&gt;0,F89/Inputs!E22-1,"n.m."),"unavail.")</f>
        <v>0.07100538599640926</v>
      </c>
      <c r="G91" s="40">
        <f>IF(AND(ISNUMBER(B89),ISNUMBER(G89)),IF(B89&gt;0,G89/B89-1,"n.m."),"unavail.")</f>
        <v>0.07513221128493597</v>
      </c>
      <c r="H91" s="1"/>
    </row>
    <row r="92">
      <c r="A92" s="70" t="s">
        <v>169</v>
      </c>
      <c r="B92" s="20">
        <f>B89-Inputs!E22</f>
        <v>714</v>
      </c>
      <c r="C92" s="14">
        <f>C89-B89</f>
        <v>618</v>
      </c>
      <c r="D92" s="1"/>
      <c r="E92" s="14">
        <f>E89-C89</f>
        <v>338</v>
      </c>
      <c r="F92" s="14">
        <f>F89-E89</f>
        <v>703</v>
      </c>
      <c r="G92" s="31">
        <f>G89-F89</f>
        <v>905.5629000000044</v>
      </c>
      <c r="H92" s="1"/>
    </row>
    <row r="93">
      <c r="A93" s="37" t="s">
        <v>184</v>
      </c>
      <c r="B93" s="25">
        <v>339</v>
      </c>
      <c r="C93" s="25">
        <v>350</v>
      </c>
      <c r="D93" s="20">
        <f>Inputs!D23+Inputs!E23+B93+C93</f>
        <v>1334</v>
      </c>
      <c r="E93" s="25">
        <v>353</v>
      </c>
      <c r="F93" s="25">
        <v>367</v>
      </c>
      <c r="G93" s="31">
        <f>G89*G94*G$6/365</f>
        <v>385.9701303374765</v>
      </c>
      <c r="H93" s="1"/>
    </row>
    <row r="94">
      <c r="A94" s="32" t="s">
        <v>185</v>
      </c>
      <c r="B94" s="42">
        <f>B93/B89*365/B$6</f>
        <v>0.039401935084487985</v>
      </c>
      <c r="C94" s="42">
        <f>C93/C89*365/C$6</f>
        <v>0.039957037192729604</v>
      </c>
      <c r="D94" s="42">
        <f>D93/D89*365/D$6</f>
        <v>0.03946745562130177</v>
      </c>
      <c r="E94" s="42">
        <f>E93/E89*365/E$6</f>
        <v>0.040798264779456</v>
      </c>
      <c r="F94" s="42">
        <f>F93/F89*365/F$6</f>
        <v>0.04112628075414095</v>
      </c>
      <c r="G94" s="55">
        <f>F94+G95/10000</f>
        <v>0.041726280754140956</v>
      </c>
      <c r="H94" s="1"/>
    </row>
    <row r="95">
      <c r="A95" s="44" t="s">
        <v>172</v>
      </c>
      <c r="B95" s="24">
        <f>IFERROR((B94-(Inputs!E23/Inputs!E22*365/Inputs!E$6))*10000,"unavail.")</f>
        <v>1.5617187104075696</v>
      </c>
      <c r="C95" s="26">
        <f>IFERROR((C94-B94)*10000,"unavail.")</f>
        <v>5.551021082416188</v>
      </c>
      <c r="D95" s="1"/>
      <c r="E95" s="26">
        <f>IFERROR((E94-C94)*10000,"unavail.")</f>
        <v>8.412275867263967</v>
      </c>
      <c r="F95" s="26">
        <f>IFERROR((F94-E94)*10000,"unavail.")</f>
        <v>3.2801597468495176</v>
      </c>
      <c r="G95" s="50">
        <v>6</v>
      </c>
      <c r="H95" s="1"/>
    </row>
    <row r="96">
      <c r="A96" s="44" t="s">
        <v>173</v>
      </c>
      <c r="B96" s="24">
        <f>IFERROR((B94-(Inputs!B23/Inputs!B22*365/Inputs!B$6))*10000,"unavail.")</f>
        <v>22.196085095060255</v>
      </c>
      <c r="C96" s="24">
        <f>IFERROR((C94-(Inputs!C23/Inputs!C22*365/Inputs!C$6))*10000,"unavail.")</f>
        <v>21.375013886759177</v>
      </c>
      <c r="D96" s="24">
        <f>IFERROR((D94-(Inputs!F23/Inputs!F22))*10000,"unavail.")</f>
        <v>23.70074997163407</v>
      </c>
      <c r="E96" s="24">
        <f>IFERROR((E94-(Inputs!D23/Inputs!D22*365/Inputs!D$6))*10000,"unavail.")</f>
        <v>15.652802738990932</v>
      </c>
      <c r="F96" s="24">
        <f>IFERROR((F94-(Inputs!E23/Inputs!E22*365/Inputs!E$6))*10000,"unavail.")</f>
        <v>18.80517540693724</v>
      </c>
      <c r="G96" s="39">
        <f>IFERROR((G94-B94)*10000,"unavail.")</f>
        <v>23.243456696529705</v>
      </c>
      <c r="H96" s="1"/>
    </row>
    <row r="97">
      <c r="A97" s="37" t="s">
        <v>186</v>
      </c>
      <c r="B97" s="25">
        <v>18027</v>
      </c>
      <c r="C97" s="25">
        <v>18754</v>
      </c>
      <c r="D97" s="25">
        <v>17695</v>
      </c>
      <c r="E97" s="25">
        <v>19230</v>
      </c>
      <c r="F97" s="25">
        <v>19876</v>
      </c>
      <c r="G97" s="31">
        <f>F97*(1+G98)</f>
        <v>20599.486399999998</v>
      </c>
      <c r="H97" s="1"/>
    </row>
    <row r="98">
      <c r="A98" s="44" t="s">
        <v>167</v>
      </c>
      <c r="B98" s="27">
        <f>IF(AND(ISNUMBER(Inputs!E24),ISNUMBER(B97)),IF(Inputs!E24&gt;0,B97/Inputs!E24-1,"n.m."),"unavail.")</f>
        <v>0.04057954283075493</v>
      </c>
      <c r="C98" s="34">
        <f>IF(AND(ISNUMBER(B97),ISNUMBER(C97)),IF(B97&gt;0,C97/B97-1,"n.m."),"unavail.")</f>
        <v>0.04032839629444718</v>
      </c>
      <c r="D98" s="1"/>
      <c r="E98" s="34">
        <f>IF(AND(ISNUMBER(C97),ISNUMBER(E97)),IF(C97&gt;0,E97/C97-1,"n.m."),"unavail.")</f>
        <v>0.02538125199957353</v>
      </c>
      <c r="F98" s="34">
        <f>IF(AND(ISNUMBER(E97),ISNUMBER(F97)),IF(E97&gt;0,F97/E97-1,"n.m."),"unavail.")</f>
        <v>0.03359334373374945</v>
      </c>
      <c r="G98" s="29">
        <v>0.0364</v>
      </c>
      <c r="H98" s="1"/>
    </row>
    <row r="99">
      <c r="A99" s="44" t="s">
        <v>168</v>
      </c>
      <c r="B99" s="27">
        <f>IF(AND(ISNUMBER(Inputs!B24),ISNUMBER(B97)),IF(Inputs!B24&gt;0,B97/Inputs!B24-1,"n.m."),"unavail.")</f>
        <v>0.1458081739019894</v>
      </c>
      <c r="C99" s="27">
        <f>IF(AND(ISNUMBER(Inputs!C24),ISNUMBER(C97)),IF(Inputs!C24&gt;0,C97/Inputs!C24-1,"n.m."),"unavail.")</f>
        <v>0.15437646189831344</v>
      </c>
      <c r="D99" s="27">
        <f>IF(AND(ISNUMBER(Inputs!F24),ISNUMBER(D97)),IF(Inputs!F24&gt;0,D97/Inputs!F24-1,"n.m."),"unavail.")</f>
        <v>0.1340767801063898</v>
      </c>
      <c r="E99" s="27">
        <f>IF(AND(ISNUMBER(Inputs!D24),ISNUMBER(E97)),IF(Inputs!D24&gt;0,E97/Inputs!D24-1,"n.m."),"unavail.")</f>
        <v>0.15516309244908988</v>
      </c>
      <c r="F99" s="27">
        <f>IF(AND(ISNUMBER(Inputs!E24),ISNUMBER(F97)),IF(Inputs!E24&gt;0,F97/Inputs!E24-1,"n.m."),"unavail.")</f>
        <v>0.1473100900484876</v>
      </c>
      <c r="G99" s="40">
        <f>IF(AND(ISNUMBER(B97),ISNUMBER(G97)),IF(B97&gt;0,G97/B97-1,"n.m."),"unavail.")</f>
        <v>0.14270185832362547</v>
      </c>
      <c r="H99" s="1"/>
    </row>
    <row r="100">
      <c r="A100" s="70" t="s">
        <v>169</v>
      </c>
      <c r="B100" s="20">
        <f>B97-Inputs!E24</f>
        <v>703</v>
      </c>
      <c r="C100" s="14">
        <f>C97-B97</f>
        <v>727</v>
      </c>
      <c r="D100" s="1"/>
      <c r="E100" s="14">
        <f>E97-C97</f>
        <v>476</v>
      </c>
      <c r="F100" s="14">
        <f>F97-E97</f>
        <v>646</v>
      </c>
      <c r="G100" s="31">
        <f>G97-F97</f>
        <v>723.486399999998</v>
      </c>
      <c r="H100" s="1"/>
    </row>
    <row r="101">
      <c r="A101" s="37" t="s">
        <v>187</v>
      </c>
      <c r="B101" s="25">
        <v>322</v>
      </c>
      <c r="C101" s="25">
        <v>323</v>
      </c>
      <c r="D101" s="20">
        <f>Inputs!D25+Inputs!E25+B101+C101</f>
        <v>1246</v>
      </c>
      <c r="E101" s="25">
        <v>307</v>
      </c>
      <c r="F101" s="25">
        <v>319</v>
      </c>
      <c r="G101" s="31">
        <f>G97*G102*G$6/365</f>
        <v>333.20625464313827</v>
      </c>
      <c r="H101" s="1"/>
    </row>
    <row r="102">
      <c r="A102" s="32" t="s">
        <v>188</v>
      </c>
      <c r="B102" s="42">
        <f>B101/B97*365/B$6</f>
        <v>0.0708659233372164</v>
      </c>
      <c r="C102" s="42">
        <f>C101/C97*365/C$6</f>
        <v>0.06833035039481432</v>
      </c>
      <c r="D102" s="42">
        <f>D101/D97*365/D$6</f>
        <v>0.07041537157389093</v>
      </c>
      <c r="E102" s="42">
        <f>E101/E97*365/E$6</f>
        <v>0.06474547870803722</v>
      </c>
      <c r="F102" s="42">
        <f>F101/F97*365/F$6</f>
        <v>0.06437439598035291</v>
      </c>
      <c r="G102" s="55">
        <f>F102+G103/10000</f>
        <v>0.0641743959803529</v>
      </c>
      <c r="H102" s="1"/>
    </row>
    <row r="103">
      <c r="A103" s="44" t="s">
        <v>172</v>
      </c>
      <c r="B103" s="24">
        <f>IFERROR((B102-(Inputs!E25/Inputs!E24*365/Inputs!E$6))*10000,"unavail.")</f>
        <v>-4.446640204732455</v>
      </c>
      <c r="C103" s="26">
        <f>IFERROR((C102-B102)*10000,"unavail.")</f>
        <v>-25.35572942402087</v>
      </c>
      <c r="D103" s="1"/>
      <c r="E103" s="26">
        <f>IFERROR((E102-C102)*10000,"unavail.")</f>
        <v>-35.84871686777097</v>
      </c>
      <c r="F103" s="26">
        <f>IFERROR((F102-E102)*10000,"unavail.")</f>
        <v>-3.710827276843104</v>
      </c>
      <c r="G103" s="50">
        <v>-2</v>
      </c>
      <c r="H103" s="1"/>
    </row>
    <row r="104">
      <c r="A104" s="44" t="s">
        <v>173</v>
      </c>
      <c r="B104" s="24">
        <f>IFERROR((B102-(Inputs!B25/Inputs!B24*365/Inputs!B$6))*10000,"unavail.")</f>
        <v>-90.71980653011832</v>
      </c>
      <c r="C104" s="24">
        <f>IFERROR((C102-(Inputs!C25/Inputs!C24*365/Inputs!C$6))*10000,"unavail.")</f>
        <v>-76.1811049723135</v>
      </c>
      <c r="D104" s="24">
        <f>IFERROR((D102-(Inputs!F25/Inputs!F24))*10000,"unavail.")</f>
        <v>-84.79712704773435</v>
      </c>
      <c r="E104" s="24">
        <f>IFERROR((E102-(Inputs!D25/Inputs!D24*365/Inputs!D$6))*10000,"unavail.")</f>
        <v>-66.35417416055874</v>
      </c>
      <c r="F104" s="24">
        <f>IFERROR((F102-(Inputs!E25/Inputs!E24*365/Inputs!E$6))*10000,"unavail.")</f>
        <v>-69.36191377336739</v>
      </c>
      <c r="G104" s="39">
        <f>IFERROR((G102-B102)*10000,"unavail.")</f>
        <v>-66.915273568635</v>
      </c>
      <c r="H104" s="1"/>
    </row>
    <row r="105">
      <c r="A105" s="37" t="s">
        <v>189</v>
      </c>
      <c r="B105" s="25">
        <v>3096</v>
      </c>
      <c r="C105" s="25">
        <v>2557</v>
      </c>
      <c r="D105" s="25">
        <v>3432</v>
      </c>
      <c r="E105" s="25">
        <v>2090</v>
      </c>
      <c r="F105" s="25">
        <v>1667</v>
      </c>
      <c r="G105" s="31">
        <f>F105*(1+G106)</f>
        <v>1300.26</v>
      </c>
      <c r="H105" s="1"/>
    </row>
    <row r="106">
      <c r="A106" s="44" t="s">
        <v>167</v>
      </c>
      <c r="B106" s="27">
        <f>IF(AND(ISNUMBER(Inputs!E26),ISNUMBER(B105)),IF(Inputs!E26&gt;0,B105/Inputs!E26-1,"n.m."),"unavail.")</f>
        <v>-0.16437246963562757</v>
      </c>
      <c r="C106" s="34">
        <f>IF(AND(ISNUMBER(B105),ISNUMBER(C105)),IF(B105&gt;0,C105/B105-1,"n.m."),"unavail.")</f>
        <v>-0.17409560723514217</v>
      </c>
      <c r="D106" s="1"/>
      <c r="E106" s="34">
        <f>IF(AND(ISNUMBER(C105),ISNUMBER(E105)),IF(C105&gt;0,E105/C105-1,"n.m."),"unavail.")</f>
        <v>-0.18263590144700825</v>
      </c>
      <c r="F106" s="34">
        <f>IF(AND(ISNUMBER(E105),ISNUMBER(F105)),IF(E105&gt;0,F105/E105-1,"n.m."),"unavail.")</f>
        <v>-0.20239234449760768</v>
      </c>
      <c r="G106" s="29">
        <v>-0.22</v>
      </c>
      <c r="H106" s="1"/>
    </row>
    <row r="107">
      <c r="A107" s="44" t="s">
        <v>168</v>
      </c>
      <c r="B107" s="27">
        <f>IF(AND(ISNUMBER(Inputs!B26),ISNUMBER(B105)),IF(Inputs!B26&gt;0,B105/Inputs!B26-1,"n.m."),"unavail.")</f>
        <v>-0.47896331201615616</v>
      </c>
      <c r="C107" s="27">
        <f>IF(AND(ISNUMBER(Inputs!C26),ISNUMBER(C105)),IF(Inputs!C26&gt;0,C105/Inputs!C26-1,"n.m."),"unavail.")</f>
        <v>-0.501462273347631</v>
      </c>
      <c r="D107" s="27">
        <f>IF(AND(ISNUMBER(Inputs!F26),ISNUMBER(D105)),IF(Inputs!F26&gt;0,D105/Inputs!F26-1,"n.m."),"unavail.")</f>
        <v>-0.46408494690818236</v>
      </c>
      <c r="E107" s="27">
        <f>IF(AND(ISNUMBER(Inputs!D26),ISNUMBER(E105)),IF(Inputs!D26&gt;0,E105/Inputs!D26-1,"n.m."),"unavail.")</f>
        <v>-0.5243513882567137</v>
      </c>
      <c r="F107" s="27">
        <f>IF(AND(ISNUMBER(Inputs!E26),ISNUMBER(F105)),IF(Inputs!E26&gt;0,F105/Inputs!E26-1,"n.m."),"unavail.")</f>
        <v>-0.5500674763832658</v>
      </c>
      <c r="G107" s="40">
        <f>IF(AND(ISNUMBER(B105),ISNUMBER(G105)),IF(B105&gt;0,G105/B105-1,"n.m."),"unavail.")</f>
        <v>-0.5800193798449613</v>
      </c>
      <c r="H107" s="1"/>
    </row>
    <row r="108">
      <c r="A108" s="70" t="s">
        <v>169</v>
      </c>
      <c r="B108" s="20">
        <f>B105-Inputs!E26</f>
        <v>-609</v>
      </c>
      <c r="C108" s="14">
        <f>C105-B105</f>
        <v>-539</v>
      </c>
      <c r="D108" s="1"/>
      <c r="E108" s="14">
        <f>E105-C105</f>
        <v>-467</v>
      </c>
      <c r="F108" s="14">
        <f>F105-E105</f>
        <v>-423</v>
      </c>
      <c r="G108" s="31">
        <f>G105-F105</f>
        <v>-366.74</v>
      </c>
      <c r="H108" s="1"/>
    </row>
    <row r="109">
      <c r="A109" s="37" t="s">
        <v>190</v>
      </c>
      <c r="B109" s="25">
        <v>35</v>
      </c>
      <c r="C109" s="25">
        <v>30</v>
      </c>
      <c r="D109" s="20">
        <f>Inputs!D27+Inputs!E27+B109+C109</f>
        <v>153</v>
      </c>
      <c r="E109" s="25">
        <v>24</v>
      </c>
      <c r="F109" s="25">
        <v>20</v>
      </c>
      <c r="G109" s="31">
        <f>G105*G110*G$6/365</f>
        <v>16.09916533855186</v>
      </c>
      <c r="H109" s="1"/>
    </row>
    <row r="110">
      <c r="A110" s="32" t="s">
        <v>191</v>
      </c>
      <c r="B110" s="42">
        <f>B109/B105*365/B$6</f>
        <v>0.04485099988765308</v>
      </c>
      <c r="C110" s="42">
        <f>C109/C105*365/C$6</f>
        <v>0.04654741459930966</v>
      </c>
      <c r="D110" s="42">
        <f>D109/D105*365/D$6</f>
        <v>0.04458041958041958</v>
      </c>
      <c r="E110" s="42">
        <f>E109/E105*365/E$6</f>
        <v>0.04657097288676236</v>
      </c>
      <c r="F110" s="42">
        <f>F109/F105*365/F$6</f>
        <v>0.048122243683131505</v>
      </c>
      <c r="G110" s="55">
        <f>F110+G111/10000</f>
        <v>0.049122243683131506</v>
      </c>
      <c r="H110" s="1"/>
    </row>
    <row r="111">
      <c r="A111" s="44" t="s">
        <v>172</v>
      </c>
      <c r="B111" s="24">
        <f>IFERROR((B110-(Inputs!E27/Inputs!E26*365/Inputs!E$6))*10000,"unavail.")</f>
        <v>4.648866756289394</v>
      </c>
      <c r="C111" s="26">
        <f>IFERROR((C110-B110)*10000,"unavail.")</f>
        <v>16.96414711656581</v>
      </c>
      <c r="D111" s="1"/>
      <c r="E111" s="26">
        <f>IFERROR((E110-C110)*10000,"unavail.")</f>
        <v>0.23558287452700444</v>
      </c>
      <c r="F111" s="26">
        <f>IFERROR((F110-E110)*10000,"unavail.")</f>
        <v>15.512707963691447</v>
      </c>
      <c r="G111" s="50">
        <v>10</v>
      </c>
      <c r="H111" s="1"/>
    </row>
    <row r="112">
      <c r="A112" s="44" t="s">
        <v>173</v>
      </c>
      <c r="B112" s="24">
        <f>IFERROR((B110-(Inputs!B27/Inputs!B26*365/Inputs!B$6))*10000,"unavail.")</f>
        <v>21.190841222103185</v>
      </c>
      <c r="C112" s="24">
        <f>IFERROR((C110-(Inputs!C27/Inputs!C26*365/Inputs!C$6))*10000,"unavail.")</f>
        <v>32.302157216574365</v>
      </c>
      <c r="D112" s="24">
        <f>IFERROR((D110-(Inputs!F27/Inputs!F26))*10000,"unavail.")</f>
        <v>17.94660679732503</v>
      </c>
      <c r="E112" s="24">
        <f>IFERROR((E110-(Inputs!D27/Inputs!D26*365/Inputs!D$6))*10000,"unavail.")</f>
        <v>31.911114595636615</v>
      </c>
      <c r="F112" s="24">
        <f>IFERROR((F110-(Inputs!E27/Inputs!E26*365/Inputs!E$6))*10000,"unavail.")</f>
        <v>37.36130471107366</v>
      </c>
      <c r="G112" s="39">
        <f>IFERROR((G110-B110)*10000,"unavail.")</f>
        <v>42.71243795478427</v>
      </c>
      <c r="H112" s="1"/>
    </row>
    <row r="113">
      <c r="A113" s="37" t="s">
        <v>192</v>
      </c>
      <c r="B113" s="25">
        <v>8513</v>
      </c>
      <c r="C113" s="25">
        <v>8469</v>
      </c>
      <c r="D113" s="25">
        <v>9075</v>
      </c>
      <c r="E113" s="25">
        <v>8442</v>
      </c>
      <c r="F113" s="25">
        <v>8183</v>
      </c>
      <c r="G113" s="31">
        <f>F113*(1+G114)</f>
        <v>7949.784500000001</v>
      </c>
      <c r="H113" s="1"/>
    </row>
    <row r="114">
      <c r="A114" s="44" t="s">
        <v>167</v>
      </c>
      <c r="B114" s="27">
        <f>IF(AND(ISNUMBER(Inputs!E28),ISNUMBER(B113)),IF(Inputs!E28&gt;0,B113/Inputs!E28-1,"n.m."),"unavail.")</f>
        <v>-0.01697459584295613</v>
      </c>
      <c r="C114" s="34">
        <f>IF(AND(ISNUMBER(B113),ISNUMBER(C113)),IF(B113&gt;0,C113/B113-1,"n.m."),"unavail.")</f>
        <v>-0.005168565723011831</v>
      </c>
      <c r="D114" s="1"/>
      <c r="E114" s="34">
        <f>IF(AND(ISNUMBER(C113),ISNUMBER(E113)),IF(C113&gt;0,E113/C113-1,"n.m."),"unavail.")</f>
        <v>-0.0031880977683315104</v>
      </c>
      <c r="F114" s="34">
        <f>IF(AND(ISNUMBER(E113),ISNUMBER(F113)),IF(E113&gt;0,F113/E113-1,"n.m."),"unavail.")</f>
        <v>-0.03067993366500832</v>
      </c>
      <c r="G114" s="29">
        <v>-0.0285</v>
      </c>
      <c r="H114" s="1"/>
    </row>
    <row r="115">
      <c r="A115" s="44" t="s">
        <v>168</v>
      </c>
      <c r="B115" s="27">
        <f>IF(AND(ISNUMBER(Inputs!B28),ISNUMBER(B113)),IF(Inputs!B28&gt;0,B113/Inputs!B28-1,"n.m."),"unavail.")</f>
        <v>-0.23684446436575524</v>
      </c>
      <c r="C115" s="27">
        <f>IF(AND(ISNUMBER(Inputs!C28),ISNUMBER(C113)),IF(Inputs!C28&gt;0,C113/Inputs!C28-1,"n.m."),"unavail.")</f>
        <v>-0.22650470362590192</v>
      </c>
      <c r="D115" s="27">
        <f>IF(AND(ISNUMBER(Inputs!F28),ISNUMBER(D113)),IF(Inputs!F28&gt;0,D113/Inputs!F28-1,"n.m."),"unavail.")</f>
        <v>-0.19973544973544977</v>
      </c>
      <c r="E115" s="27">
        <f>IF(AND(ISNUMBER(Inputs!D28),ISNUMBER(E113)),IF(Inputs!D28&gt;0,E113/Inputs!D28-1,"n.m."),"unavail.")</f>
        <v>-0.21028999064546305</v>
      </c>
      <c r="F115" s="27">
        <f>IF(AND(ISNUMBER(Inputs!E28),ISNUMBER(F113)),IF(Inputs!E28&gt;0,F113/Inputs!E28-1,"n.m."),"unavail.")</f>
        <v>-0.055080831408775954</v>
      </c>
      <c r="G115" s="40">
        <f>IF(AND(ISNUMBER(B113),ISNUMBER(G113)),IF(B113&gt;0,G113/B113-1,"n.m."),"unavail.")</f>
        <v>-0.06615946199929512</v>
      </c>
      <c r="H115" s="1"/>
    </row>
    <row r="116">
      <c r="A116" s="70" t="s">
        <v>169</v>
      </c>
      <c r="B116" s="20">
        <f>B113-Inputs!E28</f>
        <v>-147</v>
      </c>
      <c r="C116" s="14">
        <f>C113-B113</f>
        <v>-44</v>
      </c>
      <c r="D116" s="1"/>
      <c r="E116" s="14">
        <f>E113-C113</f>
        <v>-27</v>
      </c>
      <c r="F116" s="14">
        <f>F113-E113</f>
        <v>-259</v>
      </c>
      <c r="G116" s="31">
        <f>G113-F113</f>
        <v>-233.21549999999934</v>
      </c>
      <c r="H116" s="1"/>
    </row>
    <row r="117">
      <c r="A117" s="37" t="s">
        <v>193</v>
      </c>
      <c r="B117" s="25">
        <v>129</v>
      </c>
      <c r="C117" s="25">
        <v>128</v>
      </c>
      <c r="D117" s="20">
        <f>Inputs!D29+Inputs!E29+B117+C117</f>
        <v>533</v>
      </c>
      <c r="E117" s="25">
        <v>127</v>
      </c>
      <c r="F117" s="25">
        <v>124</v>
      </c>
      <c r="G117" s="31">
        <f>G113*G118*G$6/365</f>
        <v>122.39093658739127</v>
      </c>
      <c r="H117" s="1"/>
    </row>
    <row r="118">
      <c r="A118" s="32" t="s">
        <v>194</v>
      </c>
      <c r="B118" s="42">
        <f>B117/B113*365/B$6</f>
        <v>0.06011905065909428</v>
      </c>
      <c r="C118" s="42">
        <f>C117/C113*365/C$6</f>
        <v>0.05996293387135693</v>
      </c>
      <c r="D118" s="42">
        <f>D117/D113*365/D$6</f>
        <v>0.058732782369145996</v>
      </c>
      <c r="E118" s="42">
        <f>E117/E113*365/E$6</f>
        <v>0.06101108215536076</v>
      </c>
      <c r="F118" s="42">
        <f>F117/F113*365/F$6</f>
        <v>0.06077998745724519</v>
      </c>
      <c r="G118" s="55">
        <f>F118+G119/10000</f>
        <v>0.06107998745724519</v>
      </c>
      <c r="H118" s="1"/>
    </row>
    <row r="119">
      <c r="A119" s="44" t="s">
        <v>172</v>
      </c>
      <c r="B119" s="24">
        <f>IFERROR((B118-(Inputs!E29/Inputs!E28*365/Inputs!E$6))*10000,"unavail.")</f>
        <v>8.342246306192875</v>
      </c>
      <c r="C119" s="26">
        <f>IFERROR((C118-B118)*10000,"unavail.")</f>
        <v>-1.5611678773735234</v>
      </c>
      <c r="D119" s="1"/>
      <c r="E119" s="26">
        <f>IFERROR((E118-C118)*10000,"unavail.")</f>
        <v>10.48148284003833</v>
      </c>
      <c r="F119" s="26">
        <f>IFERROR((F118-E118)*10000,"unavail.")</f>
        <v>-2.3109469811557344</v>
      </c>
      <c r="G119" s="50">
        <v>3</v>
      </c>
      <c r="H119" s="1"/>
    </row>
    <row r="120">
      <c r="A120" s="44" t="s">
        <v>173</v>
      </c>
      <c r="B120" s="24">
        <f>IFERROR((B118-(Inputs!B29/Inputs!B28*365/Inputs!B$6))*10000,"unavail.")</f>
        <v>57.03015736170269</v>
      </c>
      <c r="C120" s="24">
        <f>IFERROR((C118-(Inputs!C29/Inputs!C28*365/Inputs!C$6))*10000,"unavail.")</f>
        <v>56.10144059303414</v>
      </c>
      <c r="D120" s="24">
        <f>IFERROR((D118-(Inputs!F29/Inputs!F28))*10000,"unavail.")</f>
        <v>46.76344979375274</v>
      </c>
      <c r="E120" s="24">
        <f>IFERROR((E118-(Inputs!D29/Inputs!D28*365/Inputs!D$6))*10000,"unavail.")</f>
        <v>48.6307259294521</v>
      </c>
      <c r="F120" s="24">
        <f>IFERROR((F118-(Inputs!E29/Inputs!E28*365/Inputs!E$6))*10000,"unavail.")</f>
        <v>14.951614287701947</v>
      </c>
      <c r="G120" s="39">
        <f>IFERROR((G118-B118)*10000,"unavail.")</f>
        <v>9.60936798150909</v>
      </c>
      <c r="H120" s="1"/>
    </row>
    <row r="121">
      <c r="A121" s="37" t="s">
        <v>195</v>
      </c>
      <c r="B121" s="25">
        <v>4091</v>
      </c>
      <c r="C121" s="25">
        <v>4074</v>
      </c>
      <c r="D121" s="25">
        <v>4233</v>
      </c>
      <c r="E121" s="25">
        <v>4017</v>
      </c>
      <c r="F121" s="25">
        <v>4061</v>
      </c>
      <c r="G121" s="31">
        <f>F121*(1+G122)</f>
        <v>4039.8828</v>
      </c>
      <c r="H121" s="1"/>
    </row>
    <row r="122">
      <c r="A122" s="44" t="s">
        <v>167</v>
      </c>
      <c r="B122" s="27">
        <f>IF(AND(ISNUMBER(Inputs!E30),ISNUMBER(B121)),IF(Inputs!E30&gt;0,B121/Inputs!E30-1,"n.m."),"unavail.")</f>
        <v>-0.0434884264671499</v>
      </c>
      <c r="C122" s="34">
        <f>IF(AND(ISNUMBER(B121),ISNUMBER(C121)),IF(B121&gt;0,C121/B121-1,"n.m."),"unavail.")</f>
        <v>-0.004155463211928612</v>
      </c>
      <c r="D122" s="1"/>
      <c r="E122" s="34">
        <f>IF(AND(ISNUMBER(C121),ISNUMBER(E121)),IF(C121&gt;0,E121/C121-1,"n.m."),"unavail.")</f>
        <v>-0.013991163475699508</v>
      </c>
      <c r="F122" s="34">
        <f>IF(AND(ISNUMBER(E121),ISNUMBER(F121)),IF(E121&gt;0,F121/E121-1,"n.m."),"unavail.")</f>
        <v>0.010953447846651754</v>
      </c>
      <c r="G122" s="29">
        <v>-0.0052</v>
      </c>
      <c r="H122" s="1"/>
    </row>
    <row r="123">
      <c r="A123" s="44" t="s">
        <v>168</v>
      </c>
      <c r="B123" s="27">
        <f>IF(AND(ISNUMBER(Inputs!B30),ISNUMBER(B121)),IF(Inputs!B30&gt;0,B121/Inputs!B30-1,"n.m."),"unavail.")</f>
        <v>-0.14342546063651596</v>
      </c>
      <c r="C123" s="27">
        <f>IF(AND(ISNUMBER(Inputs!C30),ISNUMBER(C121)),IF(Inputs!C30&gt;0,C121/Inputs!C30-1,"n.m."),"unavail.")</f>
        <v>-0.14195450716090985</v>
      </c>
      <c r="D123" s="27">
        <f>IF(AND(ISNUMBER(Inputs!F30),ISNUMBER(D121)),IF(Inputs!F30&gt;0,D121/Inputs!F30-1,"n.m."),"unavail.")</f>
        <v>-0.12487078767831306</v>
      </c>
      <c r="E123" s="27">
        <f>IF(AND(ISNUMBER(Inputs!D30),ISNUMBER(E121)),IF(Inputs!D30&gt;0,E121/Inputs!D30-1,"n.m."),"unavail.")</f>
        <v>-0.1063403781979978</v>
      </c>
      <c r="F123" s="27">
        <f>IF(AND(ISNUMBER(Inputs!E30),ISNUMBER(F121)),IF(Inputs!E30&gt;0,F121/Inputs!E30-1,"n.m."),"unavail.")</f>
        <v>-0.05050268880056119</v>
      </c>
      <c r="G123" s="40">
        <f>IF(AND(ISNUMBER(B121),ISNUMBER(G121)),IF(B121&gt;0,G121/B121-1,"n.m."),"unavail.")</f>
        <v>-0.012495037888046956</v>
      </c>
      <c r="H123" s="1"/>
    </row>
    <row r="124">
      <c r="A124" s="70" t="s">
        <v>169</v>
      </c>
      <c r="B124" s="20">
        <f>B121-Inputs!E30</f>
        <v>-186</v>
      </c>
      <c r="C124" s="14">
        <f>C121-B121</f>
        <v>-17</v>
      </c>
      <c r="D124" s="1"/>
      <c r="E124" s="14">
        <f>E121-C121</f>
        <v>-57</v>
      </c>
      <c r="F124" s="14">
        <f>F121-E121</f>
        <v>44</v>
      </c>
      <c r="G124" s="31">
        <f>G121-F121</f>
        <v>-21.11720000000014</v>
      </c>
      <c r="H124" s="1"/>
    </row>
    <row r="125">
      <c r="A125" s="37" t="s">
        <v>196</v>
      </c>
      <c r="B125" s="25">
        <v>111</v>
      </c>
      <c r="C125" s="25">
        <v>107</v>
      </c>
      <c r="D125" s="20">
        <f>Inputs!D31+Inputs!E31+B125+C125</f>
        <v>453</v>
      </c>
      <c r="E125" s="25">
        <v>101</v>
      </c>
      <c r="F125" s="25">
        <v>98</v>
      </c>
      <c r="G125" s="31">
        <f>G121*G126*G$6/365</f>
        <v>98.56172307692307</v>
      </c>
      <c r="H125" s="1"/>
    </row>
    <row r="126">
      <c r="A126" s="32" t="s">
        <v>197</v>
      </c>
      <c r="B126" s="42">
        <f>B125/B121*365/B$6</f>
        <v>0.10764615858778016</v>
      </c>
      <c r="C126" s="42">
        <f>C125/C121*365/C$6</f>
        <v>0.10420001707540927</v>
      </c>
      <c r="D126" s="42">
        <f>D125/D121*365/D$6</f>
        <v>0.10701630049610207</v>
      </c>
      <c r="E126" s="42">
        <f>E125/E121*365/E$6</f>
        <v>0.1019694077946505</v>
      </c>
      <c r="F126" s="42">
        <f>F125/F121*365/F$6</f>
        <v>0.09679313545356391</v>
      </c>
      <c r="G126" s="55">
        <f>F126+G127/10000</f>
        <v>0.09679313545356391</v>
      </c>
      <c r="H126" s="1"/>
    </row>
    <row r="127">
      <c r="A127" s="44" t="s">
        <v>172</v>
      </c>
      <c r="B127" s="24">
        <f>IFERROR((B126-(Inputs!E31/Inputs!E30*365/Inputs!E$6))*10000,"unavail.")</f>
        <v>7.364678576545492</v>
      </c>
      <c r="C127" s="26">
        <f>IFERROR((C126-B126)*10000,"unavail.")</f>
        <v>-34.46141512370895</v>
      </c>
      <c r="D127" s="1"/>
      <c r="E127" s="26">
        <f>IFERROR((E126-C126)*10000,"unavail.")</f>
        <v>-22.306092807587717</v>
      </c>
      <c r="F127" s="26">
        <f>IFERROR((F126-E126)*10000,"unavail.")</f>
        <v>-51.76272341086585</v>
      </c>
      <c r="G127" s="50">
        <v>0</v>
      </c>
      <c r="H127" s="1"/>
    </row>
    <row r="128">
      <c r="A128" s="44" t="s">
        <v>173</v>
      </c>
      <c r="B128" s="24">
        <f>IFERROR((B126-(Inputs!B31/Inputs!B30*365/Inputs!B$6))*10000,"unavail.")</f>
        <v>-28.36053195775304</v>
      </c>
      <c r="C128" s="24">
        <f>IFERROR((C126-(Inputs!C31/Inputs!C30*365/Inputs!C$6))*10000,"unavail.")</f>
        <v>-10.845878841160145</v>
      </c>
      <c r="D128" s="24">
        <f>IFERROR((D126-(Inputs!F31/Inputs!F30))*10000,"unavail.")</f>
        <v>-0.7487171808027993</v>
      </c>
      <c r="E128" s="24">
        <f>IFERROR((E126-(Inputs!D31/Inputs!D30*365/Inputs!D$6))*10000,"unavail.")</f>
        <v>-72.01275680816077</v>
      </c>
      <c r="F128" s="24">
        <f>IFERROR((F126-(Inputs!E31/Inputs!E30*365/Inputs!E$6))*10000,"unavail.")</f>
        <v>-101.16555276561704</v>
      </c>
      <c r="G128" s="39">
        <f>IFERROR((G126-B126)*10000,"unavail.")</f>
        <v>-108.53023134216252</v>
      </c>
      <c r="H128" s="1"/>
    </row>
    <row r="129">
      <c r="A129" s="37" t="s">
        <v>198</v>
      </c>
      <c r="B129" s="25">
        <v>2119</v>
      </c>
      <c r="C129" s="25">
        <v>1523</v>
      </c>
      <c r="D129" s="25">
        <v>1897</v>
      </c>
      <c r="E129" s="25">
        <v>1511</v>
      </c>
      <c r="F129" s="25">
        <v>1715</v>
      </c>
      <c r="G129" s="31">
        <f>F129*(1+G130)</f>
        <v>1500.625</v>
      </c>
      <c r="H129" s="1"/>
    </row>
    <row r="130">
      <c r="A130" s="44" t="s">
        <v>167</v>
      </c>
      <c r="B130" s="27">
        <f>IF(AND(ISNUMBER(Inputs!E32),ISNUMBER(B129)),IF(Inputs!E32&gt;0,B129/Inputs!E32-1,"n.m."),"unavail.")</f>
        <v>-0.23057371096586787</v>
      </c>
      <c r="C130" s="34">
        <f>IF(AND(ISNUMBER(B129),ISNUMBER(C129)),IF(B129&gt;0,C129/B129-1,"n.m."),"unavail.")</f>
        <v>-0.28126474752241626</v>
      </c>
      <c r="D130" s="1"/>
      <c r="E130" s="34">
        <f>IF(AND(ISNUMBER(C129),ISNUMBER(E129)),IF(C129&gt;0,E129/C129-1,"n.m."),"unavail.")</f>
        <v>-0.007879185817465495</v>
      </c>
      <c r="F130" s="34">
        <f>IF(AND(ISNUMBER(E129),ISNUMBER(F129)),IF(E129&gt;0,F129/E129-1,"n.m."),"unavail.")</f>
        <v>0.1350099272005294</v>
      </c>
      <c r="G130" s="29">
        <v>-0.125</v>
      </c>
      <c r="H130" s="1"/>
    </row>
    <row r="131">
      <c r="A131" s="44" t="s">
        <v>168</v>
      </c>
      <c r="B131" s="27">
        <f>IF(AND(ISNUMBER(Inputs!B32),ISNUMBER(B129)),IF(Inputs!B32&gt;0,B129/Inputs!B32-1,"n.m."),"unavail.")</f>
        <v>0.7942421676545302</v>
      </c>
      <c r="C131" s="27">
        <f>IF(AND(ISNUMBER(Inputs!C32),ISNUMBER(C129)),IF(Inputs!C32&gt;0,C129/Inputs!C32-1,"n.m."),"unavail.")</f>
        <v>0.10043352601156075</v>
      </c>
      <c r="D131" s="27">
        <f>IF(AND(ISNUMBER(Inputs!F32),ISNUMBER(D129)),IF(Inputs!F32&gt;0,D129/Inputs!F32-1,"n.m."),"unavail.")</f>
        <v>0.6158432708688246</v>
      </c>
      <c r="E131" s="27">
        <f>IF(AND(ISNUMBER(Inputs!D32),ISNUMBER(E129)),IF(Inputs!D32&gt;0,E129/Inputs!D32-1,"n.m."),"unavail.")</f>
        <v>0.2729570345408594</v>
      </c>
      <c r="F131" s="27">
        <f>IF(AND(ISNUMBER(Inputs!E32),ISNUMBER(F129)),IF(Inputs!E32&gt;0,F129/Inputs!E32-1,"n.m."),"unavail.")</f>
        <v>-0.37726942628903415</v>
      </c>
      <c r="G131" s="40">
        <f>IF(AND(ISNUMBER(B129),ISNUMBER(G129)),IF(B129&gt;0,G129/B129-1,"n.m."),"unavail.")</f>
        <v>-0.29182397357243983</v>
      </c>
      <c r="H131" s="1"/>
    </row>
    <row r="132">
      <c r="A132" s="70" t="s">
        <v>169</v>
      </c>
      <c r="B132" s="20">
        <f>B129-Inputs!E32</f>
        <v>-635</v>
      </c>
      <c r="C132" s="14">
        <f>C129-B129</f>
        <v>-596</v>
      </c>
      <c r="D132" s="1"/>
      <c r="E132" s="14">
        <f>E129-C129</f>
        <v>-12</v>
      </c>
      <c r="F132" s="14">
        <f>F129-E129</f>
        <v>204</v>
      </c>
      <c r="G132" s="31">
        <f>G129-F129</f>
        <v>-214.375</v>
      </c>
      <c r="H132" s="1"/>
    </row>
    <row r="133">
      <c r="A133" s="37" t="s">
        <v>199</v>
      </c>
      <c r="B133" s="25">
        <v>31</v>
      </c>
      <c r="C133" s="25">
        <v>22</v>
      </c>
      <c r="D133" s="20">
        <f>Inputs!D33+Inputs!E33+B133+C133</f>
        <v>105</v>
      </c>
      <c r="E133" s="25">
        <v>21</v>
      </c>
      <c r="F133" s="25">
        <v>26</v>
      </c>
      <c r="G133" s="31">
        <f>G129*G134*G$6/365</f>
        <v>22.848704109589047</v>
      </c>
      <c r="H133" s="1"/>
    </row>
    <row r="134">
      <c r="A134" s="32" t="s">
        <v>200</v>
      </c>
      <c r="B134" s="42">
        <f>B133/B129*365/B$6</f>
        <v>0.05804111865728297</v>
      </c>
      <c r="C134" s="42">
        <f>C133/C129*365/C$6</f>
        <v>0.057309657712181335</v>
      </c>
      <c r="D134" s="42">
        <f>D133/D129*365/D$6</f>
        <v>0.05535055350553505</v>
      </c>
      <c r="E134" s="42">
        <f>E133/E129*365/E$6</f>
        <v>0.056364438561658944</v>
      </c>
      <c r="F134" s="42">
        <f>F133/F129*365/F$6</f>
        <v>0.06080799666805498</v>
      </c>
      <c r="G134" s="55">
        <f>F134+G135/10000</f>
        <v>0.060407996668054985</v>
      </c>
      <c r="H134" s="1"/>
    </row>
    <row r="135">
      <c r="A135" s="44" t="s">
        <v>172</v>
      </c>
      <c r="B135" s="24">
        <f>IFERROR((B134-(Inputs!E33/Inputs!E32*365/Inputs!E$6))*10000,"unavail.")</f>
        <v>56.098897554658286</v>
      </c>
      <c r="C135" s="26">
        <f>IFERROR((C134-B134)*10000,"unavail.")</f>
        <v>-7.314609451016321</v>
      </c>
      <c r="D135" s="1"/>
      <c r="E135" s="26">
        <f>IFERROR((E134-C134)*10000,"unavail.")</f>
        <v>-9.452191505223903</v>
      </c>
      <c r="F135" s="26">
        <f>IFERROR((F134-E134)*10000,"unavail.")</f>
        <v>44.43558106396038</v>
      </c>
      <c r="G135" s="50">
        <v>-4</v>
      </c>
      <c r="H135" s="1"/>
    </row>
    <row r="136">
      <c r="A136" s="44" t="s">
        <v>173</v>
      </c>
      <c r="B136" s="24">
        <f>IFERROR((B134-(Inputs!B33/Inputs!B32*365/Inputs!B$6))*10000,"unavail.")</f>
        <v>-57.86514520201097</v>
      </c>
      <c r="C136" s="24">
        <f>IFERROR((C134-(Inputs!C33/Inputs!C32*365/Inputs!C$6))*10000,"unavail.")</f>
        <v>-28.891987844258534</v>
      </c>
      <c r="D136" s="24">
        <f>IFERROR((D134-(Inputs!F33/Inputs!F32))*10000,"unavail.")</f>
        <v>-102.37180736372954</v>
      </c>
      <c r="E136" s="24">
        <f>IFERROR((E134-(Inputs!D33/Inputs!D32*365/Inputs!D$6))*10000,"unavail.")</f>
        <v>16.9814632165146</v>
      </c>
      <c r="F136" s="24">
        <f>IFERROR((F134-(Inputs!E33/Inputs!E32*365/Inputs!E$6))*10000,"unavail.")</f>
        <v>83.76767766237845</v>
      </c>
      <c r="G136" s="39">
        <f>IFERROR((G134-B134)*10000,"unavail.")</f>
        <v>23.66878010772018</v>
      </c>
      <c r="H136" s="1"/>
    </row>
    <row r="137">
      <c r="A137" s="8" t="s">
        <v>201</v>
      </c>
      <c r="B137" s="30">
        <f>B73+B81</f>
        <v>72150</v>
      </c>
      <c r="C137" s="30">
        <f>C73+C81</f>
        <v>73151</v>
      </c>
      <c r="D137" s="30">
        <f>D73+D81</f>
        <v>71842</v>
      </c>
      <c r="E137" s="30">
        <f>E73+E81</f>
        <v>74541</v>
      </c>
      <c r="F137" s="30">
        <f>F73+F81</f>
        <v>76548</v>
      </c>
      <c r="G137" s="38">
        <f>G73+G81</f>
        <v>77499.62539999999</v>
      </c>
      <c r="H137" s="1"/>
    </row>
    <row r="138">
      <c r="A138" s="32" t="s">
        <v>125</v>
      </c>
      <c r="B138" s="27">
        <f>IF(AND(ISNUMBER(Inputs!E34),ISNUMBER(B137)),IF(Inputs!E34&gt;0,B137/Inputs!E34-1,"n.m."),"unavail.")</f>
        <v>0.010178793945927689</v>
      </c>
      <c r="C138" s="34">
        <f>IF(AND(ISNUMBER(B137),ISNUMBER(C137)),IF(B137&gt;0,C137/B137-1,"n.m."),"unavail.")</f>
        <v>0.013873873873873954</v>
      </c>
      <c r="D138" s="1"/>
      <c r="E138" s="34">
        <f>IF(AND(ISNUMBER(C137),ISNUMBER(E137)),IF(C137&gt;0,E137/C137-1,"n.m."),"unavail.")</f>
        <v>0.019001790816256747</v>
      </c>
      <c r="F138" s="34">
        <f>IF(AND(ISNUMBER(E137),ISNUMBER(F137)),IF(E137&gt;0,F137/E137-1,"n.m."),"unavail.")</f>
        <v>0.02692477965146689</v>
      </c>
      <c r="G138" s="40">
        <f>IF(AND(ISNUMBER(F137),ISNUMBER(G137)),IF(F137&gt;0,G137/F137-1,"n.m."),"unavail.")</f>
        <v>0.012431747400323934</v>
      </c>
      <c r="H138" s="1"/>
    </row>
    <row r="139">
      <c r="A139" s="32" t="s">
        <v>168</v>
      </c>
      <c r="B139" s="27">
        <f>IF(AND(ISNUMBER(Inputs!B34),ISNUMBER(B137)),IF(Inputs!B34&gt;0,B137/Inputs!B34-1,"n.m."),"unavail.")</f>
        <v>-0.0017985611510791255</v>
      </c>
      <c r="C139" s="27">
        <f>IF(AND(ISNUMBER(Inputs!C34),ISNUMBER(C137)),IF(Inputs!C34&gt;0,C137/Inputs!C34-1,"n.m."),"unavail.")</f>
        <v>0.025169925022773487</v>
      </c>
      <c r="D139" s="27">
        <f>IF(AND(ISNUMBER(Inputs!F34),ISNUMBER(D137)),IF(Inputs!F34&gt;0,D137/Inputs!F34-1,"n.m."),"unavail.")</f>
        <v>-0.0104952895157292</v>
      </c>
      <c r="E139" s="27">
        <f>IF(AND(ISNUMBER(Inputs!D34),ISNUMBER(E137)),IF(Inputs!D34&gt;0,E137/Inputs!D34-1,"n.m."),"unavail.")</f>
        <v>0.055642100492834023</v>
      </c>
      <c r="F139" s="27">
        <f>IF(AND(ISNUMBER(Inputs!E34),ISNUMBER(F137)),IF(Inputs!E34&gt;0,F137/Inputs!E34-1,"n.m."),"unavail.")</f>
        <v>0.07175559693656108</v>
      </c>
      <c r="G139" s="40">
        <f>IF(AND(ISNUMBER(B137),ISNUMBER(G137)),IF(B137&gt;0,G137/B137-1,"n.m."),"unavail.")</f>
        <v>0.07414588218988194</v>
      </c>
      <c r="H139" s="1"/>
    </row>
    <row r="140">
      <c r="A140" s="37" t="s">
        <v>169</v>
      </c>
      <c r="B140" s="20">
        <f>B137-Inputs!E34</f>
        <v>727</v>
      </c>
      <c r="C140" s="14">
        <f>C137-B137</f>
        <v>1001</v>
      </c>
      <c r="D140" s="1"/>
      <c r="E140" s="14">
        <f>E137-C137</f>
        <v>1390</v>
      </c>
      <c r="F140" s="14">
        <f>F137-E137</f>
        <v>2007</v>
      </c>
      <c r="G140" s="31">
        <f>G137-F137</f>
        <v>951.6253999999899</v>
      </c>
      <c r="H140" s="1"/>
    </row>
    <row r="141">
      <c r="A141" s="8" t="s">
        <v>202</v>
      </c>
      <c r="B141" s="30">
        <f>B77+B85</f>
        <v>961</v>
      </c>
      <c r="C141" s="30">
        <f>C77+C85</f>
        <v>963</v>
      </c>
      <c r="D141" s="30">
        <f>D77+D85</f>
        <v>3759</v>
      </c>
      <c r="E141" s="30">
        <f>E77+E85</f>
        <v>972</v>
      </c>
      <c r="F141" s="30">
        <f>F77+F85</f>
        <v>1040</v>
      </c>
      <c r="G141" s="38">
        <f>G77+G85</f>
        <v>1092.7099244744509</v>
      </c>
      <c r="H141" s="1"/>
    </row>
    <row r="142">
      <c r="A142" s="3" t="s">
        <v>203</v>
      </c>
      <c r="B142" s="42">
        <f>B141/B137*365/B$6</f>
        <v>0.05284356262617133</v>
      </c>
      <c r="C142" s="42">
        <f>C141/C137*365/C$6</f>
        <v>0.052228921355647315</v>
      </c>
      <c r="D142" s="42">
        <f>D141/D137*365/D$6</f>
        <v>0.05232315358703822</v>
      </c>
      <c r="E142" s="42">
        <f>E141/E137*365/E$6</f>
        <v>0.052883647925302854</v>
      </c>
      <c r="F142" s="42">
        <f>F141/F137*365/F$6</f>
        <v>0.054494285564986304</v>
      </c>
      <c r="G142" s="55">
        <f>G141/G137*365/G$6</f>
        <v>0.05593843622029309</v>
      </c>
      <c r="H142" s="1"/>
    </row>
    <row r="143">
      <c r="A143" s="32" t="s">
        <v>204</v>
      </c>
      <c r="B143" s="24">
        <f>IFERROR((B142-(Inputs!E35/Inputs!E34*365/Inputs!E$6))*10000,"unavail.")</f>
        <v>4.479373058578831</v>
      </c>
      <c r="C143" s="26">
        <f>IFERROR((C142-B142)*10000,"unavail.")</f>
        <v>-6.14641270524012</v>
      </c>
      <c r="D143" s="1"/>
      <c r="E143" s="26">
        <f>IFERROR((E142-C142)*10000,"unavail.")</f>
        <v>6.547265696555393</v>
      </c>
      <c r="F143" s="26">
        <f>IFERROR((F142-E142)*10000,"unavail.")</f>
        <v>16.106376396834502</v>
      </c>
      <c r="G143" s="39">
        <f>IFERROR((G142-F142)*10000,"unavail.")</f>
        <v>14.441506553067862</v>
      </c>
      <c r="H143" s="1"/>
    </row>
    <row r="144">
      <c r="A144" s="32" t="s">
        <v>173</v>
      </c>
      <c r="B144" s="24">
        <f>IFERROR((B142-(Inputs!B35/Inputs!B34*365/Inputs!B$6))*10000,"unavail.")</f>
        <v>-24.847499745841926</v>
      </c>
      <c r="C144" s="24">
        <f>IFERROR((C142-(Inputs!C35/Inputs!C34*365/Inputs!C$6))*10000,"unavail.")</f>
        <v>-9.809935523601085</v>
      </c>
      <c r="D144" s="24">
        <f>IFERROR((D142-(Inputs!F35/Inputs!F34))*10000,"unavail.")</f>
        <v>-45.332179627386516</v>
      </c>
      <c r="E144" s="24">
        <f>IFERROR((E142-(Inputs!D35/Inputs!D34*365/Inputs!D$6))*10000,"unavail.")</f>
        <v>10.778484703786035</v>
      </c>
      <c r="F144" s="24">
        <f>IFERROR((F142-(Inputs!E35/Inputs!E34*365/Inputs!E$6))*10000,"unavail.")</f>
        <v>20.986602446728604</v>
      </c>
      <c r="G144" s="39">
        <f>IFERROR((G142-B142)*10000,"unavail.")</f>
        <v>30.948735941217638</v>
      </c>
      <c r="H144" s="1"/>
    </row>
    <row r="145">
      <c r="A145" s="8" t="s">
        <v>205</v>
      </c>
      <c r="B145" s="30">
        <f>B89+B97+B105+B113+B121</f>
        <v>67861</v>
      </c>
      <c r="C145" s="30">
        <f>C89+C97+C105+C113+C121</f>
        <v>68606</v>
      </c>
      <c r="D145" s="30">
        <f>D89+D97+D105+D113+D121</f>
        <v>68235</v>
      </c>
      <c r="E145" s="30">
        <f>E89+E97+E105+E113+E121</f>
        <v>68869</v>
      </c>
      <c r="F145" s="30">
        <f>F89+F97+F105+F113+F121</f>
        <v>69580</v>
      </c>
      <c r="G145" s="38">
        <f>G89+G97+G105+G113+G121</f>
        <v>70587.97660000001</v>
      </c>
      <c r="H145" s="1"/>
    </row>
    <row r="146">
      <c r="A146" s="32" t="s">
        <v>125</v>
      </c>
      <c r="B146" s="27">
        <f>IF(AND(ISNUMBER(Inputs!E36),ISNUMBER(B145)),IF(Inputs!E36&gt;0,B145/Inputs!E36-1,"n.m."),"unavail.")</f>
        <v>0.007048941916718565</v>
      </c>
      <c r="C146" s="34">
        <f>IF(AND(ISNUMBER(B145),ISNUMBER(C145)),IF(B145&gt;0,C145/B145-1,"n.m."),"unavail.")</f>
        <v>0.010978323337410334</v>
      </c>
      <c r="D146" s="1"/>
      <c r="E146" s="34">
        <f>IF(AND(ISNUMBER(C145),ISNUMBER(E145)),IF(C145&gt;0,E145/C145-1,"n.m."),"unavail.")</f>
        <v>0.0038334839518410213</v>
      </c>
      <c r="F146" s="34">
        <f>IF(AND(ISNUMBER(E145),ISNUMBER(F145)),IF(E145&gt;0,F145/E145-1,"n.m."),"unavail.")</f>
        <v>0.0103239483657378</v>
      </c>
      <c r="G146" s="40">
        <f>IF(AND(ISNUMBER(F145),ISNUMBER(G145)),IF(F145&gt;0,G145/F145-1,"n.m."),"unavail.")</f>
        <v>0.014486585225639725</v>
      </c>
      <c r="H146" s="1"/>
    </row>
    <row r="147">
      <c r="A147" s="32" t="s">
        <v>168</v>
      </c>
      <c r="B147" s="27">
        <f>IF(AND(ISNUMBER(Inputs!B36),ISNUMBER(B145)),IF(Inputs!B36&gt;0,B145/Inputs!B36-1,"n.m."),"unavail.")</f>
        <v>-0.026705678183669646</v>
      </c>
      <c r="C147" s="27">
        <f>IF(AND(ISNUMBER(Inputs!C36),ISNUMBER(C145)),IF(Inputs!C36&gt;0,C145/Inputs!C36-1,"n.m."),"unavail.")</f>
        <v>-0.01416829520634555</v>
      </c>
      <c r="D147" s="27">
        <f>IF(AND(ISNUMBER(Inputs!F36),ISNUMBER(D145)),IF(Inputs!F36&gt;0,D145/Inputs!F36-1,"n.m."),"unavail.")</f>
        <v>-0.02660485021398007</v>
      </c>
      <c r="E147" s="27">
        <f>IF(AND(ISNUMBER(Inputs!D36),ISNUMBER(E145)),IF(Inputs!D36&gt;0,E145/Inputs!D36-1,"n.m."),"unavail.")</f>
        <v>-0.0033141335494515367</v>
      </c>
      <c r="F147" s="27">
        <f>IF(AND(ISNUMBER(Inputs!E36),ISNUMBER(F145)),IF(Inputs!E36&gt;0,F145/Inputs!E36-1,"n.m."),"unavail.")</f>
        <v>0.03255869171638026</v>
      </c>
      <c r="G147" s="40">
        <f>IF(AND(ISNUMBER(B145),ISNUMBER(G145)),IF(B145&gt;0,G145/B145-1,"n.m."),"unavail.")</f>
        <v>0.04018473939376088</v>
      </c>
      <c r="H147" s="1"/>
    </row>
    <row r="148">
      <c r="A148" s="37" t="s">
        <v>169</v>
      </c>
      <c r="B148" s="20">
        <f>B145-Inputs!E36</f>
        <v>475</v>
      </c>
      <c r="C148" s="14">
        <f>C145-B145</f>
        <v>745</v>
      </c>
      <c r="D148" s="1"/>
      <c r="E148" s="14">
        <f>E145-C145</f>
        <v>263</v>
      </c>
      <c r="F148" s="14">
        <f>F145-E145</f>
        <v>711</v>
      </c>
      <c r="G148" s="31">
        <f>G145-F145</f>
        <v>1007.9766000000091</v>
      </c>
      <c r="H148" s="1"/>
    </row>
    <row r="149">
      <c r="A149" s="8" t="s">
        <v>206</v>
      </c>
      <c r="B149" s="30">
        <f>B93+B101+B109+B117+B125</f>
        <v>936</v>
      </c>
      <c r="C149" s="30">
        <f>C93+C101+C109+C117+C125</f>
        <v>938</v>
      </c>
      <c r="D149" s="30">
        <f>D93+D101+D109+D117+D125</f>
        <v>3719</v>
      </c>
      <c r="E149" s="30">
        <f>E93+E101+E109+E117+E125</f>
        <v>912</v>
      </c>
      <c r="F149" s="30">
        <f>F93+F101+F109+F117+F125</f>
        <v>928</v>
      </c>
      <c r="G149" s="38">
        <f>G93+G101+G109+G117+G125</f>
        <v>956.228209983481</v>
      </c>
      <c r="H149" s="1"/>
    </row>
    <row r="150">
      <c r="A150" s="3" t="s">
        <v>207</v>
      </c>
      <c r="B150" s="42">
        <f>B149/B145*365/B$6</f>
        <v>0.054721832287610926</v>
      </c>
      <c r="C150" s="42">
        <f>C149/C145*365/C$6</f>
        <v>0.05424325924085737</v>
      </c>
      <c r="D150" s="42">
        <f>D149/D145*365/D$6</f>
        <v>0.0545028211328497</v>
      </c>
      <c r="E150" s="42">
        <f>E149/E145*365/E$6</f>
        <v>0.05370582797291476</v>
      </c>
      <c r="F150" s="42">
        <f>F149/F145*365/F$6</f>
        <v>0.05349522567113829</v>
      </c>
      <c r="G150" s="55">
        <f>G149/G145*365/G$6</f>
        <v>0.053744726339989016</v>
      </c>
      <c r="H150" s="1"/>
    </row>
    <row r="151">
      <c r="A151" s="32" t="s">
        <v>204</v>
      </c>
      <c r="B151" s="24">
        <f>IFERROR((B150-(Inputs!E37/Inputs!E36*365/Inputs!E$6))*10000,"unavail.")</f>
        <v>0.8009792011750422</v>
      </c>
      <c r="C151" s="26">
        <f>IFERROR((C150-B150)*10000,"unavail.")</f>
        <v>-4.785730467535554</v>
      </c>
      <c r="D151" s="1"/>
      <c r="E151" s="26">
        <f>IFERROR((E150-C150)*10000,"unavail.")</f>
        <v>-5.3743126794261045</v>
      </c>
      <c r="F151" s="26">
        <f>IFERROR((F150-E150)*10000,"unavail.")</f>
        <v>-2.106023017764691</v>
      </c>
      <c r="G151" s="39">
        <f>IFERROR((G150-F150)*10000,"unavail.")</f>
        <v>2.495006688507245</v>
      </c>
      <c r="H151" s="1"/>
    </row>
    <row r="152">
      <c r="A152" s="32" t="s">
        <v>173</v>
      </c>
      <c r="B152" s="24">
        <f>IFERROR((B150-(Inputs!B37/Inputs!B36*365/Inputs!B$6))*10000,"unavail.")</f>
        <v>-3.594863964487896</v>
      </c>
      <c r="C152" s="24">
        <f>IFERROR((C150-(Inputs!C37/Inputs!C36*365/Inputs!C$6))*10000,"unavail.")</f>
        <v>-0.8660501140551197</v>
      </c>
      <c r="D152" s="24">
        <f>IFERROR((D150-(Inputs!F37/Inputs!F36))*10000,"unavail.")</f>
        <v>0.09240533705622</v>
      </c>
      <c r="E152" s="24">
        <f>IFERROR((E150-(Inputs!D37/Inputs!D36*365/Inputs!D$6))*10000,"unavail.")</f>
        <v>-7.024038138229161</v>
      </c>
      <c r="F152" s="24">
        <f>IFERROR((F150-(Inputs!E37/Inputs!E36*365/Inputs!E$6))*10000,"unavail.")</f>
        <v>-11.465086963551308</v>
      </c>
      <c r="G152" s="39">
        <f>IFERROR((G150-B150)*10000,"unavail.")</f>
        <v>-9.771059476219104</v>
      </c>
      <c r="H152" s="1"/>
    </row>
    <row r="153">
      <c r="A153" s="8" t="s">
        <v>208</v>
      </c>
      <c r="B153" s="30">
        <f>B73+B81+B89+B97+B105+B113+B121</f>
        <v>140011</v>
      </c>
      <c r="C153" s="30">
        <f>C73+C81+C89+C97+C105+C113+C121</f>
        <v>141757</v>
      </c>
      <c r="D153" s="30">
        <f>D73+D81+D89+D97+D105+D113+D121</f>
        <v>140077</v>
      </c>
      <c r="E153" s="30">
        <f>E73+E81+E89+E97+E105+E113+E121</f>
        <v>143410</v>
      </c>
      <c r="F153" s="30">
        <f>F73+F81+F89+F97+F105+F113+F121</f>
        <v>146128</v>
      </c>
      <c r="G153" s="38">
        <f>G73+G81+G89+G97+G105+G113+G121</f>
        <v>148087.602</v>
      </c>
      <c r="H153" s="1"/>
    </row>
    <row r="154">
      <c r="A154" s="32" t="s">
        <v>125</v>
      </c>
      <c r="B154" s="27">
        <f>IF(AND(ISNUMBER(Inputs!E38),ISNUMBER(B153)),IF(Inputs!E38&gt;0,B153/Inputs!E38-1,"n.m."),"unavail.")</f>
        <v>0.008659380875879696</v>
      </c>
      <c r="C154" s="34">
        <f>IF(AND(ISNUMBER(B153),ISNUMBER(C153)),IF(B153&gt;0,C153/B153-1,"n.m."),"unavail.")</f>
        <v>0.01247044875045522</v>
      </c>
      <c r="D154" s="1"/>
      <c r="E154" s="34">
        <f>IF(AND(ISNUMBER(C153),ISNUMBER(E153)),IF(C153&gt;0,E153/C153-1,"n.m."),"unavail.")</f>
        <v>0.011660799819409373</v>
      </c>
      <c r="F154" s="34">
        <f>IF(AND(ISNUMBER(E153),ISNUMBER(F153)),IF(E153&gt;0,F153/E153-1,"n.m."),"unavail.")</f>
        <v>0.018952653231992134</v>
      </c>
      <c r="G154" s="40">
        <f>IF(AND(ISNUMBER(F153),ISNUMBER(G153)),IF(F153&gt;0,G153/F153-1,"n.m."),"unavail.")</f>
        <v>0.013410174641410366</v>
      </c>
      <c r="H154" s="1"/>
    </row>
    <row r="155">
      <c r="A155" s="32" t="s">
        <v>168</v>
      </c>
      <c r="B155" s="27">
        <f>IF(AND(ISNUMBER(Inputs!B38),ISNUMBER(B153)),IF(Inputs!B38&gt;0,B153/Inputs!B38-1,"n.m."),"unavail.")</f>
        <v>-0.01402787265057781</v>
      </c>
      <c r="C155" s="27">
        <f>IF(AND(ISNUMBER(Inputs!C38),ISNUMBER(C153)),IF(Inputs!C38&gt;0,C153/Inputs!C38-1,"n.m."),"unavail.")</f>
        <v>0.0057468410111602974</v>
      </c>
      <c r="D155" s="27">
        <f>IF(AND(ISNUMBER(Inputs!F38),ISNUMBER(D153)),IF(Inputs!F38&gt;0,D153/Inputs!F38-1,"n.m."),"unavail.")</f>
        <v>-0.0184087341630228</v>
      </c>
      <c r="E155" s="27">
        <f>IF(AND(ISNUMBER(Inputs!D38),ISNUMBER(E153)),IF(Inputs!D38&gt;0,E153/Inputs!D38-1,"n.m."),"unavail.")</f>
        <v>0.02648342996206421</v>
      </c>
      <c r="F155" s="27">
        <f>IF(AND(ISNUMBER(Inputs!E38),ISNUMBER(F153)),IF(Inputs!E38&gt;0,F153/Inputs!E38-1,"n.m."),"unavail.")</f>
        <v>0.052727128644396215</v>
      </c>
      <c r="G155" s="40">
        <f>IF(AND(ISNUMBER(B153),ISNUMBER(G153)),IF(B153&gt;0,G153/B153-1,"n.m."),"unavail.")</f>
        <v>0.05768548185499722</v>
      </c>
      <c r="H155" s="1"/>
    </row>
    <row r="156">
      <c r="A156" s="37" t="s">
        <v>169</v>
      </c>
      <c r="B156" s="20">
        <f>B153-Inputs!E38</f>
        <v>1202</v>
      </c>
      <c r="C156" s="14">
        <f>C153-B153</f>
        <v>1746</v>
      </c>
      <c r="D156" s="1"/>
      <c r="E156" s="14">
        <f>E153-C153</f>
        <v>1653</v>
      </c>
      <c r="F156" s="14">
        <f>F153-E153</f>
        <v>2718</v>
      </c>
      <c r="G156" s="31">
        <f>G153-F153</f>
        <v>1959.6020000000135</v>
      </c>
      <c r="H156" s="1"/>
    </row>
    <row r="157">
      <c r="A157" s="8" t="s">
        <v>209</v>
      </c>
      <c r="B157" s="30">
        <f>B77+B85+B93+B101+B109+B117+B125</f>
        <v>1897</v>
      </c>
      <c r="C157" s="30">
        <f>C77+C85+C93+C101+C109+C117+C125</f>
        <v>1901</v>
      </c>
      <c r="D157" s="30">
        <f>D77+D85+D93+D101+D109+D117+D125</f>
        <v>7478</v>
      </c>
      <c r="E157" s="30">
        <f>E77+E85+E93+E101+E109+E117+E125</f>
        <v>1884</v>
      </c>
      <c r="F157" s="30">
        <f>F77+F85+F93+F101+F109+F117+F125</f>
        <v>1968</v>
      </c>
      <c r="G157" s="38">
        <f>G77+G85+G93+G101+G109+G117+G125</f>
        <v>2048.938134457932</v>
      </c>
      <c r="H157" s="1"/>
    </row>
    <row r="158">
      <c r="A158" s="3" t="s">
        <v>210</v>
      </c>
      <c r="B158" s="42">
        <f>B157/B153*365/B$6</f>
        <v>0.053753928650947615</v>
      </c>
      <c r="C158" s="42">
        <f>C157/C153*365/C$6</f>
        <v>0.05320379853950929</v>
      </c>
      <c r="D158" s="42">
        <f>D157/D153*365/D$6</f>
        <v>0.05338492400608237</v>
      </c>
      <c r="E158" s="42">
        <f>E157/E153*365/E$6</f>
        <v>0.0532784789531181</v>
      </c>
      <c r="F158" s="42">
        <f>F157/F153*365/F$6</f>
        <v>0.05401857531497299</v>
      </c>
      <c r="G158" s="55">
        <f>G157/G153*365/G$6</f>
        <v>0.05489277446598841</v>
      </c>
      <c r="H158" s="1"/>
    </row>
    <row r="159">
      <c r="A159" s="32" t="s">
        <v>204</v>
      </c>
      <c r="B159" s="24">
        <f>IFERROR((B158-(Inputs!E39/Inputs!E38*365/Inputs!E$6))*10000,"unavail.")</f>
        <v>2.6791074619605255</v>
      </c>
      <c r="C159" s="26">
        <f>IFERROR((C158-B158)*10000,"unavail.")</f>
        <v>-5.501301114383267</v>
      </c>
      <c r="D159" s="1"/>
      <c r="E159" s="26">
        <f>IFERROR((E158-C158)*10000,"unavail.")</f>
        <v>0.7468041360881444</v>
      </c>
      <c r="F159" s="26">
        <f>IFERROR((F158-E158)*10000,"unavail.")</f>
        <v>7.400963618548889</v>
      </c>
      <c r="G159" s="39">
        <f>IFERROR((G158-F158)*10000,"unavail.")</f>
        <v>8.741991510154214</v>
      </c>
      <c r="H159" s="1"/>
    </row>
    <row r="160">
      <c r="A160" s="32" t="s">
        <v>173</v>
      </c>
      <c r="B160" s="24">
        <f>IFERROR((B158-(Inputs!B39/Inputs!B38*365/Inputs!B$6))*10000,"unavail.")</f>
        <v>-14.531107594261474</v>
      </c>
      <c r="C160" s="24">
        <f>IFERROR((C158-(Inputs!C39/Inputs!C38*365/Inputs!C$6))*10000,"unavail.")</f>
        <v>-5.590867386757598</v>
      </c>
      <c r="D160" s="24">
        <f>IFERROR((D158-(Inputs!F39/Inputs!F38))*10000,"unavail.")</f>
        <v>-23.107817905315965</v>
      </c>
      <c r="E160" s="24">
        <f>IFERROR((E158-(Inputs!D39/Inputs!D38*365/Inputs!D$6))*10000,"unavail.")</f>
        <v>1.8556426475570265</v>
      </c>
      <c r="F160" s="24">
        <f>IFERROR((F158-(Inputs!E39/Inputs!E38*365/Inputs!E$6))*10000,"unavail.")</f>
        <v>5.325574102214292</v>
      </c>
      <c r="G160" s="39">
        <f>IFERROR((G158-B158)*10000,"unavail.")</f>
        <v>11.388458150407981</v>
      </c>
      <c r="H160" s="1"/>
    </row>
    <row r="161">
      <c r="A161" s="8" t="s">
        <v>211</v>
      </c>
      <c r="B161" s="30">
        <f>B57+B65+B73+B81+B89+B97+B105+B113+B121+B129</f>
        <v>197598</v>
      </c>
      <c r="C161" s="30">
        <f>C57+C65+C73+C81+C89+C97+C105+C113+C121+C129</f>
        <v>199167</v>
      </c>
      <c r="D161" s="30">
        <f>D57+D65+D73+D81+D89+D97+D105+D113+D121+D129</f>
        <v>197048</v>
      </c>
      <c r="E161" s="30">
        <f>E57+E65+E73+E81+E89+E97+E105+E113+E121+E129</f>
        <v>201929</v>
      </c>
      <c r="F161" s="30">
        <f>F57+F65+F73+F81+F89+F97+F105+F113+F121+F129</f>
        <v>206770</v>
      </c>
      <c r="G161" s="38">
        <f>G57+G65+G73+G81+G89+G97+G105+G113+G121+G129</f>
        <v>209212.88700000002</v>
      </c>
      <c r="H161" s="1"/>
    </row>
    <row r="162">
      <c r="A162" s="32" t="s">
        <v>125</v>
      </c>
      <c r="B162" s="27">
        <f>IF(AND(ISNUMBER(Inputs!E40),ISNUMBER(B161)),IF(Inputs!E40&gt;0,B161/Inputs!E40-1,"n.m."),"unavail.")</f>
        <v>0.006520033822675408</v>
      </c>
      <c r="C162" s="34">
        <f>IF(AND(ISNUMBER(B161),ISNUMBER(C161)),IF(B161&gt;0,C161/B161-1,"n.m."),"unavail.")</f>
        <v>0.007940363768863978</v>
      </c>
      <c r="D162" s="1"/>
      <c r="E162" s="34">
        <f>IF(AND(ISNUMBER(C161),ISNUMBER(E161)),IF(C161&gt;0,E161/C161-1,"n.m."),"unavail.")</f>
        <v>0.013867759217139453</v>
      </c>
      <c r="F162" s="34">
        <f>IF(AND(ISNUMBER(E161),ISNUMBER(F161)),IF(E161&gt;0,F161/E161-1,"n.m."),"unavail.")</f>
        <v>0.02397377295980263</v>
      </c>
      <c r="G162" s="40">
        <f>IF(AND(ISNUMBER(F161),ISNUMBER(G161)),IF(F161&gt;0,G161/F161-1,"n.m."),"unavail.")</f>
        <v>0.011814513710886487</v>
      </c>
      <c r="H162" s="1"/>
    </row>
    <row r="163">
      <c r="A163" s="32" t="s">
        <v>168</v>
      </c>
      <c r="B163" s="27">
        <f>IF(AND(ISNUMBER(Inputs!B40),ISNUMBER(B161)),IF(Inputs!B40&gt;0,B161/Inputs!B40-1,"n.m."),"unavail.")</f>
        <v>0.0022012132032216414</v>
      </c>
      <c r="C163" s="27">
        <f>IF(AND(ISNUMBER(Inputs!C40),ISNUMBER(C161)),IF(Inputs!C40&gt;0,C161/Inputs!C40-1,"n.m."),"unavail.")</f>
        <v>0.012989985402796389</v>
      </c>
      <c r="D163" s="27">
        <f>IF(AND(ISNUMBER(Inputs!F40),ISNUMBER(D161)),IF(Inputs!F40&gt;0,D161/Inputs!F40-1,"n.m."),"unavail.")</f>
        <v>-0.005169837230905916</v>
      </c>
      <c r="E163" s="27">
        <f>IF(AND(ISNUMBER(Inputs!D40),ISNUMBER(E161)),IF(Inputs!D40&gt;0,E161/Inputs!D40-1,"n.m."),"unavail.")</f>
        <v>0.03522542013144814</v>
      </c>
      <c r="F163" s="27">
        <f>IF(AND(ISNUMBER(Inputs!E40),ISNUMBER(F161)),IF(Inputs!E40&gt;0,F161/Inputs!E40-1,"n.m."),"unavail.")</f>
        <v>0.05324015118328429</v>
      </c>
      <c r="G163" s="40">
        <f>IF(AND(ISNUMBER(B161),ISNUMBER(G161)),IF(B161&gt;0,G161/B161-1,"n.m."),"unavail.")</f>
        <v>0.058780387453314376</v>
      </c>
      <c r="H163" s="1"/>
    </row>
    <row r="164">
      <c r="A164" s="37" t="s">
        <v>169</v>
      </c>
      <c r="B164" s="20">
        <f>B161-Inputs!E40</f>
        <v>1280</v>
      </c>
      <c r="C164" s="14">
        <f>C161-B161</f>
        <v>1569</v>
      </c>
      <c r="D164" s="1"/>
      <c r="E164" s="14">
        <f>E161-C161</f>
        <v>2762</v>
      </c>
      <c r="F164" s="14">
        <f>F161-E161</f>
        <v>4841</v>
      </c>
      <c r="G164" s="31">
        <f>G161-F161</f>
        <v>2442.887000000017</v>
      </c>
      <c r="H164" s="1"/>
    </row>
    <row r="165">
      <c r="A165" s="8" t="s">
        <v>212</v>
      </c>
      <c r="B165" s="30">
        <f>B61+B69+B77+B85+B93+B101+B109+B117+B125+B133</f>
        <v>2458</v>
      </c>
      <c r="C165" s="30">
        <f>C61+C69+C77+C85+C93+C101+C109+C117+C125+C133</f>
        <v>2446</v>
      </c>
      <c r="D165" s="30">
        <f>D61+D69+D77+D85+D93+D101+D109+D117+D125+D133</f>
        <v>9663</v>
      </c>
      <c r="E165" s="30">
        <f>E61+E69+E77+E85+E93+E101+E109+E117+E125+E133</f>
        <v>2420</v>
      </c>
      <c r="F165" s="30">
        <f>F61+F69+F77+F85+F93+F101+F109+F117+F125+F133</f>
        <v>2543</v>
      </c>
      <c r="G165" s="38">
        <f>G61+G69+G77+G85+G93+G101+G109+G117+G125+G133</f>
        <v>2641.3139978644654</v>
      </c>
      <c r="H165" s="1"/>
    </row>
    <row r="166">
      <c r="A166" s="3" t="s">
        <v>213</v>
      </c>
      <c r="B166" s="42">
        <f>B165/B161*365/B$6</f>
        <v>0.04935195612347775</v>
      </c>
      <c r="C166" s="42">
        <f>C165/C161*365/C$6</f>
        <v>0.048724131660540064</v>
      </c>
      <c r="D166" s="42">
        <f>D165/D161*365/D$6</f>
        <v>0.04903881287808047</v>
      </c>
      <c r="E166" s="42">
        <f>E165/E161*365/E$6</f>
        <v>0.04860344202390169</v>
      </c>
      <c r="F166" s="42">
        <f>F165/F161*365/F$6</f>
        <v>0.04932990789256205</v>
      </c>
      <c r="G166" s="55">
        <f>G165/G161*365/G$6</f>
        <v>0.05008833986015245</v>
      </c>
      <c r="H166" s="1"/>
    </row>
    <row r="167">
      <c r="A167" s="32" t="s">
        <v>204</v>
      </c>
      <c r="B167" s="24">
        <f>IFERROR((B166-(Inputs!E41/Inputs!E40*365/Inputs!E$6))*10000,"unavail.")</f>
        <v>1.7434352834868467</v>
      </c>
      <c r="C167" s="26">
        <f>IFERROR((C166-B166)*10000,"unavail.")</f>
        <v>-6.278244629376872</v>
      </c>
      <c r="D167" s="1"/>
      <c r="E167" s="26">
        <f>IFERROR((E166-C166)*10000,"unavail.")</f>
        <v>-1.2068963663837418</v>
      </c>
      <c r="F167" s="26">
        <f>IFERROR((F166-E166)*10000,"unavail.")</f>
        <v>7.264658686603615</v>
      </c>
      <c r="G167" s="39">
        <f>IFERROR((G166-F166)*10000,"unavail.")</f>
        <v>7.5843196759040055</v>
      </c>
      <c r="H167" s="1"/>
    </row>
    <row r="168">
      <c r="A168" s="32" t="s">
        <v>173</v>
      </c>
      <c r="B168" s="24">
        <f>IFERROR((B166-(Inputs!B41/Inputs!B40*365/Inputs!B$6))*10000,"unavail.")</f>
        <v>-17.38539716224882</v>
      </c>
      <c r="C168" s="24">
        <f>IFERROR((C166-(Inputs!C41/Inputs!C40*365/Inputs!C$6))*10000,"unavail.")</f>
        <v>-9.557846791950903</v>
      </c>
      <c r="D168" s="24">
        <f>IFERROR((D166-(Inputs!F41/Inputs!F40))*10000,"unavail.")</f>
        <v>-23.869312957553042</v>
      </c>
      <c r="E168" s="24">
        <f>IFERROR((E166-(Inputs!D41/Inputs!D40*365/Inputs!D$6))*10000,"unavail.")</f>
        <v>-2.982521730380272</v>
      </c>
      <c r="F168" s="24">
        <f>IFERROR((F166-(Inputs!E41/Inputs!E40*365/Inputs!E$6))*10000,"unavail.")</f>
        <v>1.522952974329847</v>
      </c>
      <c r="G168" s="39">
        <f>IFERROR((G166-B166)*10000,"unavail.")</f>
        <v>7.363837366747006</v>
      </c>
      <c r="H168" s="1"/>
    </row>
    <row r="169">
      <c r="A169" s="37" t="s">
        <v>214</v>
      </c>
      <c r="B169" s="25">
        <v>1897</v>
      </c>
      <c r="C169" s="25">
        <v>1901</v>
      </c>
      <c r="D169" s="1"/>
      <c r="E169" s="25">
        <v>1884</v>
      </c>
      <c r="F169" s="25">
        <v>1968</v>
      </c>
      <c r="G169" s="41"/>
      <c r="H169" s="23" t="s">
        <v>215</v>
      </c>
    </row>
    <row r="170">
      <c r="A170" s="32" t="s">
        <v>216</v>
      </c>
      <c r="B170" s="35">
        <f>ROUND(B157-B169,6)</f>
        <v>0</v>
      </c>
      <c r="C170" s="35">
        <f>ROUND(C157-C169,6)</f>
        <v>0</v>
      </c>
      <c r="D170" s="1"/>
      <c r="E170" s="35">
        <f>ROUND(E157-E169,6)</f>
        <v>0</v>
      </c>
      <c r="F170" s="35">
        <f>ROUND(F157-F169,6)</f>
        <v>0</v>
      </c>
      <c r="G170" s="41"/>
      <c r="H170" s="1"/>
    </row>
    <row r="171">
      <c r="A171" s="83" t="s">
        <v>217</v>
      </c>
      <c r="B171" s="1"/>
      <c r="C171" s="1"/>
      <c r="D171" s="1"/>
      <c r="E171" s="1"/>
      <c r="F171" s="1"/>
      <c r="G171" s="41"/>
      <c r="H171" s="1"/>
    </row>
    <row r="172">
      <c r="A172" s="37" t="s">
        <v>218</v>
      </c>
      <c r="B172" s="25">
        <v>34748</v>
      </c>
      <c r="C172" s="25">
        <v>36257</v>
      </c>
      <c r="D172" s="25">
        <v>34397</v>
      </c>
      <c r="E172" s="25">
        <v>37027</v>
      </c>
      <c r="F172" s="25">
        <v>38632</v>
      </c>
      <c r="G172" s="31">
        <f>F172*(1+G173)</f>
        <v>39790.96</v>
      </c>
      <c r="H172" s="1"/>
    </row>
    <row r="173">
      <c r="A173" s="44" t="s">
        <v>167</v>
      </c>
      <c r="B173" s="27">
        <f>IF(AND(ISNUMBER(Inputs!E42),ISNUMBER(B172)),IF(Inputs!E42&gt;0,B172/Inputs!E42-1,"n.m."),"unavail.")</f>
        <v>0.02661978905072826</v>
      </c>
      <c r="C173" s="34">
        <f>IF(AND(ISNUMBER(B172),ISNUMBER(C172)),IF(B172&gt;0,C172/B172-1,"n.m."),"unavail.")</f>
        <v>0.04342695982502587</v>
      </c>
      <c r="D173" s="1"/>
      <c r="E173" s="34">
        <f>IF(AND(ISNUMBER(C172),ISNUMBER(E172)),IF(C172&gt;0,E172/C172-1,"n.m."),"unavail.")</f>
        <v>0.021237278318669395</v>
      </c>
      <c r="F173" s="34">
        <f>IF(AND(ISNUMBER(E172),ISNUMBER(F172)),IF(E172&gt;0,F172/E172-1,"n.m."),"unavail.")</f>
        <v>0.04334674696842855</v>
      </c>
      <c r="G173" s="29">
        <v>0.03</v>
      </c>
      <c r="H173" s="1"/>
    </row>
    <row r="174">
      <c r="A174" s="44" t="s">
        <v>168</v>
      </c>
      <c r="B174" s="27">
        <f>IF(AND(ISNUMBER(Inputs!B42),ISNUMBER(B172)),IF(Inputs!B42&gt;0,B172/Inputs!B42-1,"n.m."),"unavail.")</f>
        <v>0.05010577213659717</v>
      </c>
      <c r="C174" s="27">
        <f>IF(AND(ISNUMBER(Inputs!C42),ISNUMBER(C172)),IF(Inputs!C42&gt;0,C172/Inputs!C42-1,"n.m."),"unavail.")</f>
        <v>0.10809902200489008</v>
      </c>
      <c r="D174" s="27">
        <f>IF(AND(ISNUMBER(Inputs!F42),ISNUMBER(D172)),IF(Inputs!F42&gt;0,D172/Inputs!F42-1,"n.m."),"unavail.")</f>
        <v>0.04413684242479432</v>
      </c>
      <c r="E174" s="27">
        <f>IF(AND(ISNUMBER(Inputs!D42),ISNUMBER(E172)),IF(Inputs!D42&gt;0,E172/Inputs!D42-1,"n.m."),"unavail.")</f>
        <v>0.13256660447190538</v>
      </c>
      <c r="F174" s="27">
        <f>IF(AND(ISNUMBER(Inputs!E42),ISNUMBER(F172)),IF(Inputs!E42&gt;0,F172/Inputs!E42-1,"n.m."),"unavail.")</f>
        <v>0.14137146571335713</v>
      </c>
      <c r="G174" s="40">
        <f>IF(AND(ISNUMBER(B172),ISNUMBER(G172)),IF(B172&gt;0,G172/B172-1,"n.m."),"unavail.")</f>
        <v>0.14512950385633694</v>
      </c>
      <c r="H174" s="1"/>
    </row>
    <row r="175">
      <c r="A175" s="70" t="s">
        <v>169</v>
      </c>
      <c r="B175" s="20">
        <f>B172-Inputs!E42</f>
        <v>901</v>
      </c>
      <c r="C175" s="14">
        <f>C172-B172</f>
        <v>1509</v>
      </c>
      <c r="D175" s="1"/>
      <c r="E175" s="14">
        <f>E172-C172</f>
        <v>770</v>
      </c>
      <c r="F175" s="14">
        <f>F172-E172</f>
        <v>1605</v>
      </c>
      <c r="G175" s="31">
        <f>G172-F172</f>
        <v>1158.9599999999991</v>
      </c>
      <c r="H175" s="1"/>
    </row>
    <row r="176">
      <c r="A176" s="37" t="s">
        <v>219</v>
      </c>
      <c r="B176" s="25">
        <v>134</v>
      </c>
      <c r="C176" s="25">
        <v>135</v>
      </c>
      <c r="D176" s="20">
        <f>Inputs!D43+Inputs!E43+B176+C176</f>
        <v>502</v>
      </c>
      <c r="E176" s="25">
        <v>122</v>
      </c>
      <c r="F176" s="25">
        <v>132</v>
      </c>
      <c r="G176" s="31">
        <f>G172*G177*G$6/365</f>
        <v>142.4688170573536</v>
      </c>
      <c r="H176" s="1"/>
    </row>
    <row r="177">
      <c r="A177" s="32" t="s">
        <v>220</v>
      </c>
      <c r="B177" s="42">
        <f>B176/B172*365/B$6</f>
        <v>0.015299598100109607</v>
      </c>
      <c r="C177" s="42">
        <f>C176/C172*365/C$6</f>
        <v>0.01477225986945849</v>
      </c>
      <c r="D177" s="42">
        <f>D176/D172*365/D$6</f>
        <v>0.014594296014187283</v>
      </c>
      <c r="E177" s="42">
        <f>E176/E172*365/E$6</f>
        <v>0.013362621270364269</v>
      </c>
      <c r="F177" s="42">
        <f>F176/F172*365/F$6</f>
        <v>0.0137049738416481</v>
      </c>
      <c r="G177" s="55">
        <f>F177+G178/10000</f>
        <v>0.014204973841648101</v>
      </c>
      <c r="H177" s="1"/>
    </row>
    <row r="178">
      <c r="A178" s="44" t="s">
        <v>172</v>
      </c>
      <c r="B178" s="24">
        <f>IFERROR((B177-(Inputs!E43/Inputs!E42*365/Inputs!E$6))*10000,"unavail.")</f>
        <v>7.236637971684799</v>
      </c>
      <c r="C178" s="26">
        <f>IFERROR((C177-B177)*10000,"unavail.")</f>
        <v>-5.273382306511167</v>
      </c>
      <c r="D178" s="1"/>
      <c r="E178" s="26">
        <f>IFERROR((E177-C177)*10000,"unavail.")</f>
        <v>-14.096385990942217</v>
      </c>
      <c r="F178" s="26">
        <f>IFERROR((F177-E177)*10000,"unavail.")</f>
        <v>3.4235257128383165</v>
      </c>
      <c r="G178" s="50">
        <v>5</v>
      </c>
      <c r="H178" s="1"/>
    </row>
    <row r="179">
      <c r="A179" s="44" t="s">
        <v>173</v>
      </c>
      <c r="B179" s="24">
        <f>IFERROR((B177-(Inputs!B43/Inputs!B42*365/Inputs!B$6))*10000,"unavail.")</f>
        <v>-4.069072147760127</v>
      </c>
      <c r="C179" s="24">
        <f>IFERROR((C177-(Inputs!C43/Inputs!C42*365/Inputs!C$6))*10000,"unavail.")</f>
        <v>-1.4183335898840936</v>
      </c>
      <c r="D179" s="24">
        <f>IFERROR((D177-(Inputs!F43/Inputs!F42))*10000,"unavail.")</f>
        <v>-3.1023605635881193</v>
      </c>
      <c r="E179" s="24">
        <f>IFERROR((E177-(Inputs!D43/Inputs!D42*365/Inputs!D$6))*10000,"unavail.")</f>
        <v>-2.8284140088373664</v>
      </c>
      <c r="F179" s="24">
        <f>IFERROR((F177-(Inputs!E43/Inputs!E42*365/Inputs!E$6))*10000,"unavail.")</f>
        <v>-8.709604612930269</v>
      </c>
      <c r="G179" s="39">
        <f>IFERROR((G177-B177)*10000,"unavail.")</f>
        <v>-10.946242584615064</v>
      </c>
      <c r="H179" s="1"/>
    </row>
    <row r="180">
      <c r="A180" s="37" t="s">
        <v>221</v>
      </c>
      <c r="B180" s="25">
        <v>25001</v>
      </c>
      <c r="C180" s="25">
        <v>24477</v>
      </c>
      <c r="D180" s="25">
        <v>25189</v>
      </c>
      <c r="E180" s="25">
        <v>24095</v>
      </c>
      <c r="F180" s="25">
        <v>23780</v>
      </c>
      <c r="G180" s="31">
        <f>F180*(1+G181)</f>
        <v>23494.64</v>
      </c>
      <c r="H180" s="1"/>
    </row>
    <row r="181">
      <c r="A181" s="44" t="s">
        <v>167</v>
      </c>
      <c r="B181" s="27">
        <f>IF(AND(ISNUMBER(Inputs!E44),ISNUMBER(B180)),IF(Inputs!E44&gt;0,B180/Inputs!E44-1,"n.m."),"unavail.")</f>
        <v>-0.020950814536340845</v>
      </c>
      <c r="C181" s="34">
        <f>IF(AND(ISNUMBER(B180),ISNUMBER(C180)),IF(B180&gt;0,C180/B180-1,"n.m."),"unavail.")</f>
        <v>-0.020959161633534618</v>
      </c>
      <c r="D181" s="1"/>
      <c r="E181" s="34">
        <f>IF(AND(ISNUMBER(C180),ISNUMBER(E180)),IF(C180&gt;0,E180/C180-1,"n.m."),"unavail.")</f>
        <v>-0.015606487723168638</v>
      </c>
      <c r="F181" s="34">
        <f>IF(AND(ISNUMBER(E180),ISNUMBER(F180)),IF(E180&gt;0,F180/E180-1,"n.m."),"unavail.")</f>
        <v>-0.013073251711973488</v>
      </c>
      <c r="G181" s="29">
        <v>-0.012</v>
      </c>
      <c r="H181" s="1"/>
    </row>
    <row r="182">
      <c r="A182" s="44" t="s">
        <v>168</v>
      </c>
      <c r="B182" s="27">
        <f>IF(AND(ISNUMBER(Inputs!B44),ISNUMBER(B180)),IF(Inputs!B44&gt;0,B180/Inputs!B44-1,"n.m."),"unavail.")</f>
        <v>-0.06948786660711626</v>
      </c>
      <c r="C182" s="27">
        <f>IF(AND(ISNUMBER(Inputs!C44),ISNUMBER(C180)),IF(Inputs!C44&gt;0,C180/Inputs!C44-1,"n.m."),"unavail.")</f>
        <v>-0.06708084003506498</v>
      </c>
      <c r="D182" s="27">
        <f>IF(AND(ISNUMBER(Inputs!F44),ISNUMBER(D180)),IF(Inputs!F44&gt;0,D180/Inputs!F44-1,"n.m."),"unavail.")</f>
        <v>-0.07051660516605163</v>
      </c>
      <c r="E182" s="27">
        <f>IF(AND(ISNUMBER(Inputs!D44),ISNUMBER(E180)),IF(Inputs!D44&gt;0,E180/Inputs!D44-1,"n.m."),"unavail.")</f>
        <v>-0.06463509316770188</v>
      </c>
      <c r="F182" s="27">
        <f>IF(AND(ISNUMBER(Inputs!E44),ISNUMBER(F180)),IF(Inputs!E44&gt;0,F180/Inputs!E44-1,"n.m."),"unavail.")</f>
        <v>-0.06876566416040097</v>
      </c>
      <c r="G182" s="40">
        <f>IF(AND(ISNUMBER(B180),ISNUMBER(G180)),IF(B180&gt;0,G180/B180-1,"n.m."),"unavail.")</f>
        <v>-0.06025198992040326</v>
      </c>
      <c r="H182" s="1"/>
    </row>
    <row r="183">
      <c r="A183" s="70" t="s">
        <v>169</v>
      </c>
      <c r="B183" s="20">
        <f>B180-Inputs!E44</f>
        <v>-535</v>
      </c>
      <c r="C183" s="14">
        <f>C180-B180</f>
        <v>-524</v>
      </c>
      <c r="D183" s="1"/>
      <c r="E183" s="14">
        <f>E180-C180</f>
        <v>-382</v>
      </c>
      <c r="F183" s="14">
        <f>F180-E180</f>
        <v>-315</v>
      </c>
      <c r="G183" s="31">
        <f>G180-F180</f>
        <v>-285.3600000000006</v>
      </c>
      <c r="H183" s="1"/>
    </row>
    <row r="184">
      <c r="A184" s="37" t="s">
        <v>222</v>
      </c>
      <c r="B184" s="25">
        <v>86</v>
      </c>
      <c r="C184" s="25">
        <v>77</v>
      </c>
      <c r="D184" s="20">
        <f>Inputs!D45+Inputs!E45+B184+C184</f>
        <v>337</v>
      </c>
      <c r="E184" s="25">
        <v>65</v>
      </c>
      <c r="F184" s="25">
        <v>64</v>
      </c>
      <c r="G184" s="31">
        <f>G180*G185*G$6/365</f>
        <v>63.926857142857145</v>
      </c>
      <c r="H184" s="1"/>
    </row>
    <row r="185">
      <c r="A185" s="32" t="s">
        <v>223</v>
      </c>
      <c r="B185" s="42">
        <f>B184/B180*365/B$6</f>
        <v>0.013647280195748693</v>
      </c>
      <c r="C185" s="42">
        <f>C184/C180*365/C$6</f>
        <v>0.012480660637936946</v>
      </c>
      <c r="D185" s="42">
        <f>D184/D180*365/D$6</f>
        <v>0.013378855849775696</v>
      </c>
      <c r="E185" s="42">
        <f>E184/E180*365/E$6</f>
        <v>0.010940490189296995</v>
      </c>
      <c r="F185" s="42">
        <f>F184/F180*365/F$6</f>
        <v>0.01079492416750617</v>
      </c>
      <c r="G185" s="55">
        <f>F185+G186/10000</f>
        <v>0.01079492416750617</v>
      </c>
      <c r="H185" s="1"/>
    </row>
    <row r="186">
      <c r="A186" s="44" t="s">
        <v>172</v>
      </c>
      <c r="B186" s="24">
        <f>IFERROR((B185-(Inputs!E45/Inputs!E44*365/Inputs!E$6))*10000,"unavail.")</f>
        <v>2.961654583557606</v>
      </c>
      <c r="C186" s="26">
        <f>IFERROR((C185-B185)*10000,"unavail.")</f>
        <v>-11.66619557811747</v>
      </c>
      <c r="D186" s="1"/>
      <c r="E186" s="26">
        <f>IFERROR((E185-C185)*10000,"unavail.")</f>
        <v>-15.401704486399503</v>
      </c>
      <c r="F186" s="26">
        <f>IFERROR((F185-E185)*10000,"unavail.")</f>
        <v>-1.4556602179082585</v>
      </c>
      <c r="G186" s="50">
        <v>0</v>
      </c>
      <c r="H186" s="1"/>
    </row>
    <row r="187">
      <c r="A187" s="44" t="s">
        <v>173</v>
      </c>
      <c r="B187" s="24">
        <f>IFERROR((B185-(Inputs!B45/Inputs!B44*365/Inputs!B$6))*10000,"unavail.")</f>
        <v>-52.53497195814569</v>
      </c>
      <c r="C187" s="24">
        <f>IFERROR((C185-(Inputs!C45/Inputs!C44*365/Inputs!C$6))*10000,"unavail.")</f>
        <v>-36.99194893000945</v>
      </c>
      <c r="D187" s="24">
        <f>IFERROR((D185-(Inputs!F45/Inputs!F44))*10000,"unavail.")</f>
        <v>-41.857197959807614</v>
      </c>
      <c r="E187" s="24">
        <f>IFERROR((E185-(Inputs!D45/Inputs!D44*365/Inputs!D$6))*10000,"unavail.")</f>
        <v>-30.71328306217154</v>
      </c>
      <c r="F187" s="24">
        <f>IFERROR((F185-(Inputs!E45/Inputs!E44*365/Inputs!E$6))*10000,"unavail.")</f>
        <v>-25.561905698867626</v>
      </c>
      <c r="G187" s="39">
        <f>IFERROR((G185-B185)*10000,"unavail.")</f>
        <v>-28.523560282425233</v>
      </c>
      <c r="H187" s="1"/>
    </row>
    <row r="188">
      <c r="A188" s="37" t="s">
        <v>224</v>
      </c>
      <c r="B188" s="25">
        <v>57783</v>
      </c>
      <c r="C188" s="25">
        <v>58904</v>
      </c>
      <c r="D188" s="25">
        <v>56475</v>
      </c>
      <c r="E188" s="25">
        <v>60141</v>
      </c>
      <c r="F188" s="25">
        <v>60295</v>
      </c>
      <c r="G188" s="31">
        <f>F188*(1+G189)</f>
        <v>60777.36</v>
      </c>
      <c r="H188" s="1"/>
    </row>
    <row r="189">
      <c r="A189" s="44" t="s">
        <v>167</v>
      </c>
      <c r="B189" s="27">
        <f>IF(AND(ISNUMBER(Inputs!E46),ISNUMBER(B188)),IF(Inputs!E46&gt;0,B188/Inputs!E46-1,"n.m."),"unavail.")</f>
        <v>0.056053074055121055</v>
      </c>
      <c r="C189" s="34">
        <f>IF(AND(ISNUMBER(B188),ISNUMBER(C188)),IF(B188&gt;0,C188/B188-1,"n.m."),"unavail.")</f>
        <v>0.019400169600055417</v>
      </c>
      <c r="D189" s="1"/>
      <c r="E189" s="34">
        <f>IF(AND(ISNUMBER(C188),ISNUMBER(E188)),IF(C188&gt;0,E188/C188-1,"n.m."),"unavail.")</f>
        <v>0.021000271628412337</v>
      </c>
      <c r="F189" s="34">
        <f>IF(AND(ISNUMBER(E188),ISNUMBER(F188)),IF(E188&gt;0,F188/E188-1,"n.m."),"unavail.")</f>
        <v>0.002560649141184923</v>
      </c>
      <c r="G189" s="29">
        <v>0.008</v>
      </c>
      <c r="H189" s="1"/>
    </row>
    <row r="190">
      <c r="A190" s="44" t="s">
        <v>168</v>
      </c>
      <c r="B190" s="27">
        <f>IF(AND(ISNUMBER(Inputs!B46),ISNUMBER(B188)),IF(Inputs!B46&gt;0,B188/Inputs!B46-1,"n.m."),"unavail.")</f>
        <v>0.08712748344370858</v>
      </c>
      <c r="C190" s="27">
        <f>IF(AND(ISNUMBER(Inputs!C46),ISNUMBER(C188)),IF(Inputs!C46&gt;0,C188/Inputs!C46-1,"n.m."),"unavail.")</f>
        <v>0.07985627337390921</v>
      </c>
      <c r="D190" s="27">
        <f>IF(AND(ISNUMBER(Inputs!F46),ISNUMBER(D188)),IF(Inputs!F46&gt;0,D188/Inputs!F46-1,"n.m."),"unavail.")</f>
        <v>0.06450153619964949</v>
      </c>
      <c r="E190" s="27">
        <f>IF(AND(ISNUMBER(Inputs!D46),ISNUMBER(E188)),IF(Inputs!D46&gt;0,E188/Inputs!D46-1,"n.m."),"unavail.")</f>
        <v>0.10488315696649031</v>
      </c>
      <c r="F190" s="27">
        <f>IF(AND(ISNUMBER(Inputs!E46),ISNUMBER(F188)),IF(Inputs!E46&gt;0,F188/Inputs!E46-1,"n.m."),"unavail.")</f>
        <v>0.10196286278236721</v>
      </c>
      <c r="G190" s="40">
        <f>IF(AND(ISNUMBER(B188),ISNUMBER(G188)),IF(B188&gt;0,G188/B188-1,"n.m."),"unavail.")</f>
        <v>0.051820777737396906</v>
      </c>
      <c r="H190" s="1"/>
    </row>
    <row r="191">
      <c r="A191" s="70" t="s">
        <v>169</v>
      </c>
      <c r="B191" s="20">
        <f>B188-Inputs!E46</f>
        <v>3067</v>
      </c>
      <c r="C191" s="14">
        <f>C188-B188</f>
        <v>1121</v>
      </c>
      <c r="D191" s="1"/>
      <c r="E191" s="14">
        <f>E188-C188</f>
        <v>1237</v>
      </c>
      <c r="F191" s="14">
        <f>F188-E188</f>
        <v>154</v>
      </c>
      <c r="G191" s="31">
        <f>G188-F188</f>
        <v>482.3600000000006</v>
      </c>
      <c r="H191" s="1"/>
    </row>
    <row r="192">
      <c r="A192" s="37" t="s">
        <v>225</v>
      </c>
      <c r="B192" s="25">
        <v>411</v>
      </c>
      <c r="C192" s="25">
        <v>377</v>
      </c>
      <c r="D192" s="20">
        <f>Inputs!D47+Inputs!E47+B192+C192</f>
        <v>1521</v>
      </c>
      <c r="E192" s="25">
        <v>350</v>
      </c>
      <c r="F192" s="25">
        <v>374</v>
      </c>
      <c r="G192" s="31">
        <f>G188*G193*G$6/365</f>
        <v>390.3263042225501</v>
      </c>
      <c r="H192" s="1"/>
    </row>
    <row r="193">
      <c r="A193" s="32" t="s">
        <v>226</v>
      </c>
      <c r="B193" s="42">
        <f>B192/B188*365/B$6</f>
        <v>0.02821933485777749</v>
      </c>
      <c r="C193" s="42">
        <f>C192/C188*365/C$6</f>
        <v>0.025392274238407075</v>
      </c>
      <c r="D193" s="42">
        <f>D192/D188*365/D$6</f>
        <v>0.026932270916334662</v>
      </c>
      <c r="E193" s="42">
        <f>E192/E188*365/E$6</f>
        <v>0.023601942841729343</v>
      </c>
      <c r="F193" s="42">
        <f>F192/F188*365/F$6</f>
        <v>0.024879507257813918</v>
      </c>
      <c r="G193" s="55">
        <f>F193+G194/10000</f>
        <v>0.025479507257813918</v>
      </c>
      <c r="H193" s="1"/>
    </row>
    <row r="194">
      <c r="A194" s="44" t="s">
        <v>172</v>
      </c>
      <c r="B194" s="24">
        <f>IFERROR((B193-(Inputs!E47/Inputs!E46*365/Inputs!E$6))*10000,"unavail.")</f>
        <v>6.564306226018897</v>
      </c>
      <c r="C194" s="26">
        <f>IFERROR((C193-B193)*10000,"unavail.")</f>
        <v>-28.270606193704154</v>
      </c>
      <c r="D194" s="1"/>
      <c r="E194" s="26">
        <f>IFERROR((E193-C193)*10000,"unavail.")</f>
        <v>-17.903313966777315</v>
      </c>
      <c r="F194" s="26">
        <f>IFERROR((F193-E193)*10000,"unavail.")</f>
        <v>12.775644160845749</v>
      </c>
      <c r="G194" s="50">
        <v>6</v>
      </c>
      <c r="H194" s="1"/>
    </row>
    <row r="195">
      <c r="A195" s="44" t="s">
        <v>173</v>
      </c>
      <c r="B195" s="24">
        <f>IFERROR((B193-(Inputs!B47/Inputs!B46*365/Inputs!B$6))*10000,"unavail.")</f>
        <v>-49.21877874206903</v>
      </c>
      <c r="C195" s="24">
        <f>IFERROR((C193-(Inputs!C47/Inputs!C46*365/Inputs!C$6))*10000,"unavail.")</f>
        <v>-26.09589297816309</v>
      </c>
      <c r="D195" s="24">
        <f>IFERROR((D193-(Inputs!F47/Inputs!F46))*10000,"unavail.")</f>
        <v>-52.05402730772947</v>
      </c>
      <c r="E195" s="24">
        <f>IFERROR((E193-(Inputs!D47/Inputs!D46*365/Inputs!D$6))*10000,"unavail.")</f>
        <v>-29.969940581334836</v>
      </c>
      <c r="F195" s="24">
        <f>IFERROR((F193-(Inputs!E47/Inputs!E46*365/Inputs!E$6))*10000,"unavail.")</f>
        <v>-26.833969773616822</v>
      </c>
      <c r="G195" s="39">
        <f>IFERROR((G193-B193)*10000,"unavail.")</f>
        <v>-27.39827599963572</v>
      </c>
      <c r="H195" s="1"/>
    </row>
    <row r="196">
      <c r="A196" s="37" t="s">
        <v>227</v>
      </c>
      <c r="B196" s="25">
        <v>20355</v>
      </c>
      <c r="C196" s="25">
        <v>21226</v>
      </c>
      <c r="D196" s="25">
        <v>21875</v>
      </c>
      <c r="E196" s="25">
        <v>20766</v>
      </c>
      <c r="F196" s="25">
        <v>21032</v>
      </c>
      <c r="G196" s="31">
        <f>F196*(1+G197)</f>
        <v>20905.808</v>
      </c>
      <c r="H196" s="1"/>
    </row>
    <row r="197">
      <c r="A197" s="44" t="s">
        <v>167</v>
      </c>
      <c r="B197" s="27">
        <f>IF(AND(ISNUMBER(Inputs!E48),ISNUMBER(B196)),IF(Inputs!E48&gt;0,B196/Inputs!E48-1,"n.m."),"unavail.")</f>
        <v>-0.10247365404118347</v>
      </c>
      <c r="C197" s="34">
        <f>IF(AND(ISNUMBER(B196),ISNUMBER(C196)),IF(B196&gt;0,C196/B196-1,"n.m."),"unavail.")</f>
        <v>0.042790469172193646</v>
      </c>
      <c r="D197" s="1"/>
      <c r="E197" s="34">
        <f>IF(AND(ISNUMBER(C196),ISNUMBER(E196)),IF(C196&gt;0,E196/C196-1,"n.m."),"unavail.")</f>
        <v>-0.021671534910016055</v>
      </c>
      <c r="F197" s="34">
        <f>IF(AND(ISNUMBER(E196),ISNUMBER(F196)),IF(E196&gt;0,F196/E196-1,"n.m."),"unavail.")</f>
        <v>0.012809399980737712</v>
      </c>
      <c r="G197" s="29">
        <v>-0.006</v>
      </c>
      <c r="H197" s="1"/>
    </row>
    <row r="198">
      <c r="A198" s="44" t="s">
        <v>168</v>
      </c>
      <c r="B198" s="27">
        <f>IF(AND(ISNUMBER(Inputs!B48),ISNUMBER(B196)),IF(Inputs!B48&gt;0,B196/Inputs!B48-1,"n.m."),"unavail.")</f>
        <v>-0.17607771706132358</v>
      </c>
      <c r="C198" s="27">
        <f>IF(AND(ISNUMBER(Inputs!C48),ISNUMBER(C196)),IF(Inputs!C48&gt;0,C196/Inputs!C48-1,"n.m."),"unavail.")</f>
        <v>-0.11753211657589491</v>
      </c>
      <c r="D198" s="27">
        <f>IF(AND(ISNUMBER(Inputs!F48),ISNUMBER(D196)),IF(Inputs!F48&gt;0,D196/Inputs!F48-1,"n.m."),"unavail.")</f>
        <v>-0.12384347338486801</v>
      </c>
      <c r="E198" s="27">
        <f>IF(AND(ISNUMBER(Inputs!D48),ISNUMBER(E196)),IF(Inputs!D48&gt;0,E196/Inputs!D48-1,"n.m."),"unavail.")</f>
        <v>-0.10787472612450055</v>
      </c>
      <c r="F198" s="27">
        <f>IF(AND(ISNUMBER(Inputs!E48),ISNUMBER(F196)),IF(Inputs!E48&gt;0,F196/Inputs!E48-1,"n.m."),"unavail.")</f>
        <v>-0.07262224965827413</v>
      </c>
      <c r="G198" s="40">
        <f>IF(AND(ISNUMBER(B196),ISNUMBER(G196)),IF(B196&gt;0,G196/B196-1,"n.m."),"unavail.")</f>
        <v>0.027060083517563394</v>
      </c>
      <c r="H198" s="1"/>
    </row>
    <row r="199">
      <c r="A199" s="70" t="s">
        <v>169</v>
      </c>
      <c r="B199" s="20">
        <f>B196-Inputs!E48</f>
        <v>-2324</v>
      </c>
      <c r="C199" s="14">
        <f>C196-B196</f>
        <v>871</v>
      </c>
      <c r="D199" s="1"/>
      <c r="E199" s="14">
        <f>E196-C196</f>
        <v>-460</v>
      </c>
      <c r="F199" s="14">
        <f>F196-E196</f>
        <v>266</v>
      </c>
      <c r="G199" s="31">
        <f>G196-F196</f>
        <v>-126.1919999999991</v>
      </c>
      <c r="H199" s="1"/>
    </row>
    <row r="200">
      <c r="A200" s="37" t="s">
        <v>228</v>
      </c>
      <c r="B200" s="25">
        <v>185</v>
      </c>
      <c r="C200" s="25">
        <v>192</v>
      </c>
      <c r="D200" s="20">
        <f>Inputs!D49+Inputs!E49+B200+C200</f>
        <v>834</v>
      </c>
      <c r="E200" s="25">
        <v>178</v>
      </c>
      <c r="F200" s="25">
        <v>177</v>
      </c>
      <c r="G200" s="31">
        <f>G196*G201*G$6/365</f>
        <v>176.2905618734668</v>
      </c>
      <c r="H200" s="1"/>
    </row>
    <row r="201">
      <c r="A201" s="32" t="s">
        <v>229</v>
      </c>
      <c r="B201" s="42">
        <f>B200/B196*365/B$6</f>
        <v>0.03605833413433298</v>
      </c>
      <c r="C201" s="42">
        <f>C200/C196*365/C$6</f>
        <v>0.03588707860335356</v>
      </c>
      <c r="D201" s="42">
        <f>D200/D196*365/D$6</f>
        <v>0.038125714285714284</v>
      </c>
      <c r="E201" s="42">
        <f>E200/E196*365/E$6</f>
        <v>0.03476302074972979</v>
      </c>
      <c r="F201" s="42">
        <f>F200/F196*365/F$6</f>
        <v>0.03375547047095164</v>
      </c>
      <c r="G201" s="55">
        <f>F201+G202/10000</f>
        <v>0.03345547047095164</v>
      </c>
      <c r="H201" s="1"/>
    </row>
    <row r="202">
      <c r="A202" s="44" t="s">
        <v>172</v>
      </c>
      <c r="B202" s="24">
        <f>IFERROR((B201-(Inputs!E49/Inputs!E48*365/Inputs!E$6))*10000,"unavail.")</f>
        <v>-24.969639121242906</v>
      </c>
      <c r="C202" s="26">
        <f>IFERROR((C201-B201)*10000,"unavail.")</f>
        <v>-1.7125553097942225</v>
      </c>
      <c r="D202" s="1"/>
      <c r="E202" s="26">
        <f>IFERROR((E201-C201)*10000,"unavail.")</f>
        <v>-11.240578536237667</v>
      </c>
      <c r="F202" s="26">
        <f>IFERROR((F201-E201)*10000,"unavail.")</f>
        <v>-10.075502787781494</v>
      </c>
      <c r="G202" s="50">
        <v>-3</v>
      </c>
      <c r="H202" s="1"/>
    </row>
    <row r="203">
      <c r="A203" s="44" t="s">
        <v>173</v>
      </c>
      <c r="B203" s="24">
        <f>IFERROR((B201-(Inputs!B49/Inputs!B48*365/Inputs!B$6))*10000,"unavail.")</f>
        <v>-100.3117423837805</v>
      </c>
      <c r="C203" s="24">
        <f>IFERROR((C201-(Inputs!C49/Inputs!C48*365/Inputs!C$6))*10000,"unavail.")</f>
        <v>-83.17838436733643</v>
      </c>
      <c r="D203" s="24">
        <f>IFERROR((D201-(Inputs!F49/Inputs!F48))*10000,"unavail.")</f>
        <v>-80.55244579988442</v>
      </c>
      <c r="E203" s="24">
        <f>IFERROR((E201-(Inputs!D49/Inputs!D48*365/Inputs!D$6))*10000,"unavail.")</f>
        <v>-68.77988735073997</v>
      </c>
      <c r="F203" s="24">
        <f>IFERROR((F201-(Inputs!E49/Inputs!E48*365/Inputs!E$6))*10000,"unavail.")</f>
        <v>-47.99827575505629</v>
      </c>
      <c r="G203" s="39">
        <f>IFERROR((G201-B201)*10000,"unavail.")</f>
        <v>-26.0286366338134</v>
      </c>
      <c r="H203" s="1"/>
    </row>
    <row r="204">
      <c r="A204" s="37" t="s">
        <v>230</v>
      </c>
      <c r="B204" s="25">
        <v>589</v>
      </c>
      <c r="C204" s="25">
        <v>221</v>
      </c>
      <c r="D204" s="25">
        <v>601</v>
      </c>
      <c r="E204" s="25">
        <v>454</v>
      </c>
      <c r="F204" s="25">
        <v>989</v>
      </c>
      <c r="G204" s="31">
        <f>F204*(1+G205)</f>
        <v>999.8789999999999</v>
      </c>
      <c r="H204" s="1"/>
    </row>
    <row r="205">
      <c r="A205" s="44" t="s">
        <v>167</v>
      </c>
      <c r="B205" s="27">
        <f>IF(AND(ISNUMBER(Inputs!E50),ISNUMBER(B204)),IF(Inputs!E50&gt;0,B204/Inputs!E50-1,"n.m."),"unavail.")</f>
        <v>-0.3632432432432432</v>
      </c>
      <c r="C205" s="34">
        <f>IF(AND(ISNUMBER(B204),ISNUMBER(C204)),IF(B204&gt;0,C204/B204-1,"n.m."),"unavail.")</f>
        <v>-0.6247877758913413</v>
      </c>
      <c r="D205" s="1"/>
      <c r="E205" s="34">
        <f>IF(AND(ISNUMBER(C204),ISNUMBER(E204)),IF(C204&gt;0,E204/C204-1,"n.m."),"unavail.")</f>
        <v>1.0542986425339365</v>
      </c>
      <c r="F205" s="34">
        <f>IF(AND(ISNUMBER(E204),ISNUMBER(F204)),IF(E204&gt;0,F204/E204-1,"n.m."),"unavail.")</f>
        <v>1.1784140969162995</v>
      </c>
      <c r="G205" s="29">
        <v>0.011</v>
      </c>
      <c r="H205" s="1"/>
    </row>
    <row r="206">
      <c r="A206" s="44" t="s">
        <v>168</v>
      </c>
      <c r="B206" s="27">
        <f>IF(AND(ISNUMBER(Inputs!B50),ISNUMBER(B204)),IF(Inputs!B50&gt;0,B204/Inputs!B50-1,"n.m."),"unavail.")</f>
        <v>2.9266666666666667</v>
      </c>
      <c r="C206" s="27">
        <f>IF(AND(ISNUMBER(Inputs!C50),ISNUMBER(C204)),IF(Inputs!C50&gt;0,C204/Inputs!C50-1,"n.m."),"unavail.")</f>
        <v>4.390243902439025</v>
      </c>
      <c r="D206" s="27">
        <f>IF(AND(ISNUMBER(Inputs!F50),ISNUMBER(D204)),IF(Inputs!F50&gt;0,D204/Inputs!F50-1,"n.m."),"unavail.")</f>
        <v>1.3849206349206349</v>
      </c>
      <c r="E206" s="27">
        <f>IF(AND(ISNUMBER(Inputs!D50),ISNUMBER(E204)),IF(Inputs!D50&gt;0,E204/Inputs!D50-1,"n.m."),"unavail.")</f>
        <v>-0.32740740740740737</v>
      </c>
      <c r="F206" s="27">
        <f>IF(AND(ISNUMBER(Inputs!E50),ISNUMBER(F204)),IF(Inputs!E50&gt;0,F204/Inputs!E50-1,"n.m."),"unavail.")</f>
        <v>0.06918918918918915</v>
      </c>
      <c r="G206" s="40">
        <f>IF(AND(ISNUMBER(B204),ISNUMBER(G204)),IF(B204&gt;0,G204/B204-1,"n.m."),"unavail.")</f>
        <v>0.6975874363327672</v>
      </c>
      <c r="H206" s="1"/>
    </row>
    <row r="207">
      <c r="A207" s="70" t="s">
        <v>169</v>
      </c>
      <c r="B207" s="20">
        <f>B204-Inputs!E50</f>
        <v>-336</v>
      </c>
      <c r="C207" s="14">
        <f>C204-B204</f>
        <v>-368</v>
      </c>
      <c r="D207" s="1"/>
      <c r="E207" s="14">
        <f>E204-C204</f>
        <v>233</v>
      </c>
      <c r="F207" s="14">
        <f>F204-E204</f>
        <v>535</v>
      </c>
      <c r="G207" s="31">
        <f>G204-F204</f>
        <v>10.878999999999905</v>
      </c>
      <c r="H207" s="1"/>
    </row>
    <row r="208">
      <c r="A208" s="37" t="s">
        <v>231</v>
      </c>
      <c r="B208" s="25">
        <v>5</v>
      </c>
      <c r="C208" s="25">
        <v>0</v>
      </c>
      <c r="D208" s="20">
        <f>Inputs!D51+Inputs!E51+B208+C208</f>
        <v>22</v>
      </c>
      <c r="E208" s="25">
        <v>4</v>
      </c>
      <c r="F208" s="25">
        <v>9</v>
      </c>
      <c r="G208" s="31">
        <f>G204*G209*G$6/365</f>
        <v>9.829049750715036</v>
      </c>
      <c r="H208" s="1"/>
    </row>
    <row r="209">
      <c r="A209" s="32" t="s">
        <v>232</v>
      </c>
      <c r="B209" s="42">
        <f>B208/B204*365/B$6</f>
        <v>0.03367904333062671</v>
      </c>
      <c r="C209" s="132">
        <f>C208/C204*365/C$6</f>
        <v>0</v>
      </c>
      <c r="D209" s="42">
        <f>D208/D204*365/D$6</f>
        <v>0.036605657237936774</v>
      </c>
      <c r="E209" s="42">
        <f>E208/E204*365/E$6</f>
        <v>0.03573176700930005</v>
      </c>
      <c r="F209" s="42">
        <f>F208/F204*365/F$6</f>
        <v>0.036500405560061774</v>
      </c>
      <c r="G209" s="55">
        <f>F209+G210/10000</f>
        <v>0.03900040556006178</v>
      </c>
      <c r="H209" s="117" t="s">
        <v>233</v>
      </c>
    </row>
    <row r="210">
      <c r="A210" s="44" t="s">
        <v>172</v>
      </c>
      <c r="B210" s="24">
        <f>IFERROR((B209-(Inputs!E51/Inputs!E50*365/Inputs!E$6))*10000,"unavail.")</f>
        <v>-53.467956952123124</v>
      </c>
      <c r="C210" s="132">
        <f>IFERROR((C209-B209)*10000,"unavail.")</f>
        <v>-336.7904333062671</v>
      </c>
      <c r="D210" s="1"/>
      <c r="E210" s="132">
        <f>IFERROR((E209-C209)*10000,"unavail.")</f>
        <v>357.3176700930005</v>
      </c>
      <c r="F210" s="26">
        <f>IFERROR((F209-E209)*10000,"unavail.")</f>
        <v>7.68638550761723</v>
      </c>
      <c r="G210" s="50">
        <v>25</v>
      </c>
      <c r="H210" s="117" t="s">
        <v>234</v>
      </c>
    </row>
    <row r="211">
      <c r="A211" s="44" t="s">
        <v>173</v>
      </c>
      <c r="B211" s="24">
        <f>IFERROR((B209-(Inputs!B51/Inputs!B50*365/Inputs!B$6))*10000,"unavail.")</f>
        <v>-456.6878275632981</v>
      </c>
      <c r="C211" s="133">
        <f>IFERROR((C209-(Inputs!C51/Inputs!C50*365/Inputs!C$6))*10000,"unavail.")</f>
        <v>-967.6564156945917</v>
      </c>
      <c r="D211" s="24">
        <f>IFERROR((D209-(Inputs!F51/Inputs!F50))*10000,"unavail.")</f>
        <v>-229.18152285872748</v>
      </c>
      <c r="E211" s="24">
        <f>IFERROR((E209-(Inputs!D51/Inputs!D50*365/Inputs!D$6))*10000,"unavail.")</f>
        <v>-123.34076612099128</v>
      </c>
      <c r="F211" s="24">
        <f>IFERROR((F209-(Inputs!E51/Inputs!E50*365/Inputs!E$6))*10000,"unavail.")</f>
        <v>-25.254334657772507</v>
      </c>
      <c r="G211" s="39">
        <f>IFERROR((G209-B209)*10000,"unavail.")</f>
        <v>53.21362229435064</v>
      </c>
      <c r="H211" s="126" t="s">
        <v>235</v>
      </c>
    </row>
    <row r="212">
      <c r="A212" s="37" t="s">
        <v>236</v>
      </c>
      <c r="B212" s="25">
        <v>1009</v>
      </c>
      <c r="C212" s="25">
        <v>35</v>
      </c>
      <c r="D212" s="25">
        <v>675</v>
      </c>
      <c r="E212" s="25">
        <v>1408</v>
      </c>
      <c r="F212" s="25">
        <v>3538</v>
      </c>
      <c r="G212" s="31">
        <f>F212*(1+G213)</f>
        <v>5500.1748</v>
      </c>
      <c r="H212" s="1"/>
    </row>
    <row r="213">
      <c r="A213" s="44" t="s">
        <v>167</v>
      </c>
      <c r="B213" s="27">
        <f>IF(AND(ISNUMBER(Inputs!E52),ISNUMBER(B212)),IF(Inputs!E52&gt;0,B212/Inputs!E52-1,"n.m."),"unavail.")</f>
        <v>-0.05079962370649105</v>
      </c>
      <c r="C213" s="34">
        <f>IF(AND(ISNUMBER(B212),ISNUMBER(C212)),IF(B212&gt;0,C212/B212-1,"n.m."),"unavail.")</f>
        <v>-0.9653121902874133</v>
      </c>
      <c r="D213" s="1"/>
      <c r="E213" s="34">
        <f>IF(AND(ISNUMBER(C212),ISNUMBER(E212)),IF(C212&gt;0,E212/C212-1,"n.m."),"unavail.")</f>
        <v>39.22857142857143</v>
      </c>
      <c r="F213" s="34">
        <f>IF(AND(ISNUMBER(E212),ISNUMBER(F212)),IF(E212&gt;0,F212/E212-1,"n.m."),"unavail.")</f>
        <v>1.5127840909090908</v>
      </c>
      <c r="G213" s="29">
        <v>0.5546</v>
      </c>
      <c r="H213" s="1"/>
    </row>
    <row r="214">
      <c r="A214" s="44" t="s">
        <v>168</v>
      </c>
      <c r="B214" s="27">
        <f>IF(AND(ISNUMBER(Inputs!B52),ISNUMBER(B212)),IF(Inputs!B52&gt;0,B212/Inputs!B52-1,"n.m."),"unavail.")</f>
        <v>1.1153039832285114</v>
      </c>
      <c r="C214" s="27">
        <f>IF(AND(ISNUMBER(Inputs!C52),ISNUMBER(C212)),IF(Inputs!C52&gt;0,C212/Inputs!C52-1,"n.m."),"unavail.")</f>
        <v>-0.7965116279069767</v>
      </c>
      <c r="D214" s="27">
        <f>IF(AND(ISNUMBER(Inputs!F52),ISNUMBER(D212)),IF(Inputs!F52&gt;0,D212/Inputs!F52-1,"n.m."),"unavail.")</f>
        <v>-0.48824867323730103</v>
      </c>
      <c r="E214" s="27">
        <f>IF(AND(ISNUMBER(Inputs!D52),ISNUMBER(E212)),IF(Inputs!D52&gt;0,E212/Inputs!D52-1,"n.m."),"unavail.")</f>
        <v>1.3663865546218488</v>
      </c>
      <c r="F214" s="27">
        <f>IF(AND(ISNUMBER(Inputs!E52),ISNUMBER(F212)),IF(Inputs!E52&gt;0,F212/Inputs!E52-1,"n.m."),"unavail.")</f>
        <v>2.328316086547507</v>
      </c>
      <c r="G214" s="40">
        <f>IF(AND(ISNUMBER(B212),ISNUMBER(G212)),IF(B212&gt;0,G212/B212-1,"n.m."),"unavail.")</f>
        <v>4.451114767096135</v>
      </c>
      <c r="H214" s="1"/>
    </row>
    <row r="215">
      <c r="A215" s="70" t="s">
        <v>169</v>
      </c>
      <c r="B215" s="20">
        <f>B212-Inputs!E52</f>
        <v>-54</v>
      </c>
      <c r="C215" s="14">
        <f>C212-B212</f>
        <v>-974</v>
      </c>
      <c r="D215" s="1"/>
      <c r="E215" s="14">
        <f>E212-C212</f>
        <v>1373</v>
      </c>
      <c r="F215" s="14">
        <f>F212-E212</f>
        <v>2130</v>
      </c>
      <c r="G215" s="31">
        <f>G212-F212</f>
        <v>1962.1747999999998</v>
      </c>
      <c r="H215" s="1"/>
    </row>
    <row r="216">
      <c r="A216" s="37" t="s">
        <v>237</v>
      </c>
      <c r="B216" s="25">
        <v>12</v>
      </c>
      <c r="C216" s="25">
        <v>1</v>
      </c>
      <c r="D216" s="20">
        <f>Inputs!D53+Inputs!E53+B216+C216</f>
        <v>32</v>
      </c>
      <c r="E216" s="25">
        <v>14</v>
      </c>
      <c r="F216" s="25">
        <v>35</v>
      </c>
      <c r="G216" s="31">
        <f>G212*G217*G$6/365</f>
        <v>55.008923076923075</v>
      </c>
      <c r="H216" s="1"/>
    </row>
    <row r="217">
      <c r="A217" s="32" t="s">
        <v>238</v>
      </c>
      <c r="B217" s="42">
        <f>B216/B212*365/B$6</f>
        <v>0.04718403929848752</v>
      </c>
      <c r="C217" s="132">
        <f>C216/C212*365/C$6</f>
        <v>0.11335403726708075</v>
      </c>
      <c r="D217" s="42">
        <f>D216/D212*365/D$6</f>
        <v>0.047407407407407405</v>
      </c>
      <c r="E217" s="42">
        <f>E216/E212*365/E$6</f>
        <v>0.040325126262626264</v>
      </c>
      <c r="F217" s="42">
        <f>F216/F212*365/F$6</f>
        <v>0.03967908857677088</v>
      </c>
      <c r="G217" s="55">
        <f>F217+G218/10000</f>
        <v>0.03967908857677088</v>
      </c>
      <c r="H217" s="117" t="s">
        <v>239</v>
      </c>
    </row>
    <row r="218">
      <c r="A218" s="44" t="s">
        <v>172</v>
      </c>
      <c r="B218" s="24">
        <f>IFERROR((B217-(Inputs!E53/Inputs!E52*365/Inputs!E$6))*10000,"unavail.")</f>
        <v>19.047654209069577</v>
      </c>
      <c r="C218" s="132">
        <f>IFERROR((C217-B217)*10000,"unavail.")</f>
        <v>661.6999796859322</v>
      </c>
      <c r="D218" s="1"/>
      <c r="E218" s="132">
        <f>IFERROR((E217-C217)*10000,"unavail.")</f>
        <v>-730.2891100445449</v>
      </c>
      <c r="F218" s="26">
        <f>IFERROR((F217-E217)*10000,"unavail.")</f>
        <v>-6.460376858553815</v>
      </c>
      <c r="G218" s="50">
        <v>0</v>
      </c>
      <c r="H218" s="117" t="s">
        <v>240</v>
      </c>
    </row>
    <row r="219">
      <c r="A219" s="44" t="s">
        <v>173</v>
      </c>
      <c r="B219" s="24">
        <f>IFERROR((B217-(Inputs!B53/Inputs!B52*365/Inputs!B$6))*10000,"unavail.")</f>
        <v>-27.202538379631214</v>
      </c>
      <c r="C219" s="133">
        <f>IFERROR((C217-(Inputs!C53/Inputs!C52*365/Inputs!C$6))*10000,"unavail.")</f>
        <v>672.2158023978045</v>
      </c>
      <c r="D219" s="24">
        <f>IFERROR((D217-(Inputs!F53/Inputs!F52))*10000,"unavail.")</f>
        <v>-86.95701008058859</v>
      </c>
      <c r="E219" s="24">
        <f>IFERROR((E217-(Inputs!D53/Inputs!D52*365/Inputs!D$6))*10000,"unavail.")</f>
        <v>-73.87292038027329</v>
      </c>
      <c r="F219" s="24">
        <f>IFERROR((F217-(Inputs!E53/Inputs!E52*365/Inputs!E$6))*10000,"unavail.")</f>
        <v>-56.00185300809683</v>
      </c>
      <c r="G219" s="39">
        <f>IFERROR((G217-B217)*10000,"unavail.")</f>
        <v>-75.04950721716641</v>
      </c>
      <c r="H219" s="126" t="s">
        <v>241</v>
      </c>
    </row>
    <row r="220">
      <c r="A220" s="37" t="s">
        <v>242</v>
      </c>
      <c r="B220" s="25">
        <v>6823</v>
      </c>
      <c r="C220" s="25">
        <v>6642</v>
      </c>
      <c r="D220" s="25">
        <v>6908</v>
      </c>
      <c r="E220" s="25">
        <v>6843</v>
      </c>
      <c r="F220" s="25">
        <v>7078</v>
      </c>
      <c r="G220" s="31">
        <f>F220*(1+G221)</f>
        <v>7078</v>
      </c>
      <c r="H220" s="1"/>
    </row>
    <row r="221">
      <c r="A221" s="44" t="s">
        <v>167</v>
      </c>
      <c r="B221" s="27">
        <f>IF(AND(ISNUMBER(Inputs!E54),ISNUMBER(B220)),IF(Inputs!E54&gt;0,B220/Inputs!E54-1,"n.m."),"unavail.")</f>
        <v>-0.031099119568304467</v>
      </c>
      <c r="C221" s="34">
        <f>IF(AND(ISNUMBER(B220),ISNUMBER(C220)),IF(B220&gt;0,C220/B220-1,"n.m."),"unavail.")</f>
        <v>-0.026527920269676097</v>
      </c>
      <c r="D221" s="1"/>
      <c r="E221" s="34">
        <f>IF(AND(ISNUMBER(C220),ISNUMBER(E220)),IF(C220&gt;0,E220/C220-1,"n.m."),"unavail.")</f>
        <v>0.03026196928635949</v>
      </c>
      <c r="F221" s="34">
        <f>IF(AND(ISNUMBER(E220),ISNUMBER(F220)),IF(E220&gt;0,F220/E220-1,"n.m."),"unavail.")</f>
        <v>0.03434166301329822</v>
      </c>
      <c r="G221" s="29">
        <v>0</v>
      </c>
      <c r="H221" s="1"/>
    </row>
    <row r="222">
      <c r="A222" s="44" t="s">
        <v>168</v>
      </c>
      <c r="B222" s="27">
        <f>IF(AND(ISNUMBER(Inputs!B54),ISNUMBER(B220)),IF(Inputs!B54&gt;0,B220/Inputs!B54-1,"n.m."),"unavail.")</f>
        <v>-0.08563387831680513</v>
      </c>
      <c r="C222" s="27">
        <f>IF(AND(ISNUMBER(Inputs!C54),ISNUMBER(C220)),IF(Inputs!C54&gt;0,C220/Inputs!C54-1,"n.m."),"unavail.")</f>
        <v>-0.09212684527063975</v>
      </c>
      <c r="D222" s="27">
        <f>IF(AND(ISNUMBER(Inputs!F54),ISNUMBER(D220)),IF(Inputs!F54&gt;0,D220/Inputs!F54-1,"n.m."),"unavail.")</f>
        <v>0.0017401392111369152</v>
      </c>
      <c r="E222" s="27">
        <f>IF(AND(ISNUMBER(Inputs!D54),ISNUMBER(E220)),IF(Inputs!D54&gt;0,E220/Inputs!D54-1,"n.m."),"unavail.")</f>
        <v>-0.04065610542548714</v>
      </c>
      <c r="F222" s="27">
        <f>IF(AND(ISNUMBER(Inputs!E54),ISNUMBER(F220)),IF(Inputs!E54&gt;0,F220/Inputs!E54-1,"n.m."),"unavail.")</f>
        <v>0.005112184038625456</v>
      </c>
      <c r="G222" s="40">
        <f>IF(AND(ISNUMBER(B220),ISNUMBER(G220)),IF(B220&gt;0,G220/B220-1,"n.m."),"unavail.")</f>
        <v>0.037373589330206736</v>
      </c>
      <c r="H222" s="1"/>
    </row>
    <row r="223">
      <c r="A223" s="70" t="s">
        <v>169</v>
      </c>
      <c r="B223" s="20">
        <f>B220-Inputs!E54</f>
        <v>-219</v>
      </c>
      <c r="C223" s="14">
        <f>C220-B220</f>
        <v>-181</v>
      </c>
      <c r="D223" s="1"/>
      <c r="E223" s="14">
        <f>E220-C220</f>
        <v>201</v>
      </c>
      <c r="F223" s="14">
        <f>F220-E220</f>
        <v>235</v>
      </c>
      <c r="G223" s="31">
        <f>G220-F220</f>
        <v>0</v>
      </c>
      <c r="H223" s="1"/>
    </row>
    <row r="224">
      <c r="A224" s="37" t="s">
        <v>243</v>
      </c>
      <c r="B224" s="25">
        <v>88</v>
      </c>
      <c r="C224" s="25">
        <v>84</v>
      </c>
      <c r="D224" s="20">
        <f>Inputs!D55+Inputs!E55+B224+C224</f>
        <v>348</v>
      </c>
      <c r="E224" s="25">
        <v>86</v>
      </c>
      <c r="F224" s="25">
        <v>89</v>
      </c>
      <c r="G224" s="31">
        <f>G220*G225*G$6/365</f>
        <v>89.97802197802199</v>
      </c>
      <c r="H224" s="1"/>
    </row>
    <row r="225">
      <c r="A225" s="32" t="s">
        <v>244</v>
      </c>
      <c r="B225" s="42">
        <f>B224/B220*365/B$6</f>
        <v>0.05116963722447731</v>
      </c>
      <c r="C225" s="42">
        <f>C224/C220*365/C$6</f>
        <v>0.05017477711008995</v>
      </c>
      <c r="D225" s="42">
        <f>D224/D220*365/D$6</f>
        <v>0.050376375217139543</v>
      </c>
      <c r="E225" s="42">
        <f>E224/E220*365/E$6</f>
        <v>0.05096854855732542</v>
      </c>
      <c r="F225" s="42">
        <f>F224/F220*365/F$6</f>
        <v>0.05043487171206867</v>
      </c>
      <c r="G225" s="55">
        <f>F225+G226/10000</f>
        <v>0.05043487171206867</v>
      </c>
      <c r="H225" s="1"/>
    </row>
    <row r="226">
      <c r="A226" s="44" t="s">
        <v>172</v>
      </c>
      <c r="B226" s="24">
        <f>IFERROR((B225-(Inputs!E55/Inputs!E54*365/Inputs!E$6))*10000,"unavail.")</f>
        <v>-0.9264777822234893</v>
      </c>
      <c r="C226" s="26">
        <f>IFERROR((C225-B225)*10000,"unavail.")</f>
        <v>-9.948601143873608</v>
      </c>
      <c r="D226" s="1"/>
      <c r="E226" s="26">
        <f>IFERROR((E225-C225)*10000,"unavail.")</f>
        <v>7.9377144723546955</v>
      </c>
      <c r="F226" s="26">
        <f>IFERROR((F225-E225)*10000,"unavail.")</f>
        <v>-5.336768452567503</v>
      </c>
      <c r="G226" s="50">
        <v>0</v>
      </c>
      <c r="H226" s="1"/>
    </row>
    <row r="227">
      <c r="A227" s="44" t="s">
        <v>173</v>
      </c>
      <c r="B227" s="24">
        <f>IFERROR((B225-(Inputs!B55/Inputs!B54*365/Inputs!B$6))*10000,"unavail.")</f>
        <v>17.234577411822382</v>
      </c>
      <c r="C227" s="24">
        <f>IFERROR((C225-(Inputs!C55/Inputs!C54*365/Inputs!C$6))*10000,"unavail.")</f>
        <v>13.687058428258208</v>
      </c>
      <c r="D227" s="24">
        <f>IFERROR((D225-(Inputs!F55/Inputs!F54))*10000,"unavail.")</f>
        <v>20.875121080908208</v>
      </c>
      <c r="E227" s="24">
        <f>IFERROR((E225-(Inputs!D55/Inputs!D54*365/Inputs!D$6))*10000,"unavail.")</f>
        <v>20.721826835306892</v>
      </c>
      <c r="F227" s="24">
        <f>IFERROR((F225-(Inputs!E55/Inputs!E54*365/Inputs!E$6))*10000,"unavail.")</f>
        <v>-8.274132906309905</v>
      </c>
      <c r="G227" s="39">
        <f>IFERROR((G225-B225)*10000,"unavail.")</f>
        <v>-7.347655124086416</v>
      </c>
      <c r="H227" s="1"/>
    </row>
    <row r="228">
      <c r="A228" s="37" t="s">
        <v>245</v>
      </c>
      <c r="B228" s="25">
        <v>3811</v>
      </c>
      <c r="C228" s="25">
        <v>3179</v>
      </c>
      <c r="D228" s="25">
        <v>4073</v>
      </c>
      <c r="E228" s="25">
        <v>2824</v>
      </c>
      <c r="F228" s="25">
        <v>2496</v>
      </c>
      <c r="G228" s="31">
        <f>F228*(1+G229)</f>
        <v>2300.064</v>
      </c>
      <c r="H228" s="1"/>
    </row>
    <row r="229">
      <c r="A229" s="44" t="s">
        <v>167</v>
      </c>
      <c r="B229" s="27">
        <f>IF(AND(ISNUMBER(Inputs!E56),ISNUMBER(B228)),IF(Inputs!E56&gt;0,B228/Inputs!E56-1,"n.m."),"unavail.")</f>
        <v>-0.13268092853891666</v>
      </c>
      <c r="C229" s="34">
        <f>IF(AND(ISNUMBER(B228),ISNUMBER(C228)),IF(B228&gt;0,C228/B228-1,"n.m."),"unavail.")</f>
        <v>-0.16583573865127266</v>
      </c>
      <c r="D229" s="1"/>
      <c r="E229" s="34">
        <f>IF(AND(ISNUMBER(C228),ISNUMBER(E228)),IF(C228&gt;0,E228/C228-1,"n.m."),"unavail.")</f>
        <v>-0.11167033658383141</v>
      </c>
      <c r="F229" s="34">
        <f>IF(AND(ISNUMBER(E228),ISNUMBER(F228)),IF(E228&gt;0,F228/E228-1,"n.m."),"unavail.")</f>
        <v>-0.11614730878186974</v>
      </c>
      <c r="G229" s="29">
        <v>-0.0785</v>
      </c>
      <c r="H229" s="1"/>
    </row>
    <row r="230">
      <c r="A230" s="44" t="s">
        <v>168</v>
      </c>
      <c r="B230" s="27">
        <f>IF(AND(ISNUMBER(Inputs!B56),ISNUMBER(B228)),IF(Inputs!B56&gt;0,B228/Inputs!B56-1,"n.m."),"unavail.")</f>
        <v>-0.3373326378021214</v>
      </c>
      <c r="C230" s="27">
        <f>IF(AND(ISNUMBER(Inputs!C56),ISNUMBER(C228)),IF(Inputs!C56&gt;0,C228/Inputs!C56-1,"n.m."),"unavail.")</f>
        <v>-0.41140529531568226</v>
      </c>
      <c r="D230" s="27">
        <f>IF(AND(ISNUMBER(Inputs!F56),ISNUMBER(D228)),IF(Inputs!F56&gt;0,D228/Inputs!F56-1,"n.m."),"unavail.")</f>
        <v>-0.27475071225071224</v>
      </c>
      <c r="E230" s="27">
        <f>IF(AND(ISNUMBER(Inputs!D56),ISNUMBER(E228)),IF(Inputs!D56&gt;0,E228/Inputs!D56-1,"n.m."),"unavail.")</f>
        <v>-0.42706431324812333</v>
      </c>
      <c r="F230" s="27">
        <f>IF(AND(ISNUMBER(Inputs!E56),ISNUMBER(F228)),IF(Inputs!E56&gt;0,F228/Inputs!E56-1,"n.m."),"unavail.")</f>
        <v>-0.4319526627218935</v>
      </c>
      <c r="G230" s="40">
        <f>IF(AND(ISNUMBER(B228),ISNUMBER(G228)),IF(B228&gt;0,G228/B228-1,"n.m."),"unavail.")</f>
        <v>-0.39646706901075834</v>
      </c>
      <c r="H230" s="1"/>
    </row>
    <row r="231">
      <c r="A231" s="70" t="s">
        <v>169</v>
      </c>
      <c r="B231" s="20">
        <f>B228-Inputs!E56</f>
        <v>-583</v>
      </c>
      <c r="C231" s="14">
        <f>C228-B228</f>
        <v>-632</v>
      </c>
      <c r="D231" s="1"/>
      <c r="E231" s="14">
        <f>E228-C228</f>
        <v>-355</v>
      </c>
      <c r="F231" s="14">
        <f>F228-E228</f>
        <v>-328</v>
      </c>
      <c r="G231" s="31">
        <f>G228-F228</f>
        <v>-195.93600000000015</v>
      </c>
      <c r="H231" s="1"/>
    </row>
    <row r="232">
      <c r="A232" s="37" t="s">
        <v>246</v>
      </c>
      <c r="B232" s="25">
        <v>49</v>
      </c>
      <c r="C232" s="25">
        <v>43</v>
      </c>
      <c r="D232" s="20">
        <f>Inputs!D57+Inputs!E57+B232+C232</f>
        <v>214</v>
      </c>
      <c r="E232" s="25">
        <v>39</v>
      </c>
      <c r="F232" s="25">
        <v>32</v>
      </c>
      <c r="G232" s="31">
        <f>G228*G233*G$6/365</f>
        <v>29.812043956043954</v>
      </c>
      <c r="H232" s="1"/>
    </row>
    <row r="233">
      <c r="A233" s="32" t="s">
        <v>247</v>
      </c>
      <c r="B233" s="42">
        <f>B232/B228*365/B$6</f>
        <v>0.05101080396563723</v>
      </c>
      <c r="C233" s="42">
        <f>C232/C228*365/C$6</f>
        <v>0.05366399059042357</v>
      </c>
      <c r="D233" s="42">
        <f>D232/D228*365/D$6</f>
        <v>0.052541124478271535</v>
      </c>
      <c r="E233" s="42">
        <f>E232/E228*365/E$6</f>
        <v>0.056008026440037766</v>
      </c>
      <c r="F233" s="42">
        <f>F232/F228*365/F$6</f>
        <v>0.051422936038320655</v>
      </c>
      <c r="G233" s="55">
        <f>F233+G234/10000</f>
        <v>0.051422936038320655</v>
      </c>
      <c r="H233" s="1"/>
    </row>
    <row r="234">
      <c r="A234" s="44" t="s">
        <v>172</v>
      </c>
      <c r="B234" s="24">
        <f>IFERROR((B233-(Inputs!E57/Inputs!E56*365/Inputs!E$6))*10000,"unavail.")</f>
        <v>-10.206875287582239</v>
      </c>
      <c r="C234" s="26">
        <f>IFERROR((C233-B233)*10000,"unavail.")</f>
        <v>26.531866247863427</v>
      </c>
      <c r="D234" s="1"/>
      <c r="E234" s="26">
        <f>IFERROR((E233-C233)*10000,"unavail.")</f>
        <v>23.44035849614193</v>
      </c>
      <c r="F234" s="26">
        <f>IFERROR((F233-E233)*10000,"unavail.")</f>
        <v>-45.85090401717111</v>
      </c>
      <c r="G234" s="50">
        <v>0</v>
      </c>
      <c r="H234" s="1"/>
    </row>
    <row r="235">
      <c r="A235" s="44" t="s">
        <v>173</v>
      </c>
      <c r="B235" s="24">
        <f>IFERROR((B233-(Inputs!B57/Inputs!B56*365/Inputs!B$6))*10000,"unavail.")</f>
        <v>-27.98363438141313</v>
      </c>
      <c r="C235" s="24">
        <f>IFERROR((C233-(Inputs!C57/Inputs!C56*365/Inputs!C$6))*10000,"unavail.")</f>
        <v>-6.9389804533630945</v>
      </c>
      <c r="D235" s="24">
        <f>IFERROR((D233-(Inputs!F57/Inputs!F56))*10000,"unavail.")</f>
        <v>-19.46055008907953</v>
      </c>
      <c r="E235" s="24">
        <f>IFERROR((E233-(Inputs!D57/Inputs!D56*365/Inputs!D$6))*10000,"unavail.")</f>
        <v>25.26364619970585</v>
      </c>
      <c r="F235" s="24">
        <f>IFERROR((F233-(Inputs!E57/Inputs!E56*365/Inputs!E$6))*10000,"unavail.")</f>
        <v>-6.085554560747997</v>
      </c>
      <c r="G235" s="39">
        <f>IFERROR((G233-B233)*10000,"unavail.")</f>
        <v>4.121320726834243</v>
      </c>
      <c r="H235" s="1"/>
    </row>
    <row r="236">
      <c r="A236" s="8" t="s">
        <v>248</v>
      </c>
      <c r="B236" s="30">
        <f>B172+B180+B188+B196</f>
        <v>137887</v>
      </c>
      <c r="C236" s="30">
        <f>C172+C180+C188+C196</f>
        <v>140864</v>
      </c>
      <c r="D236" s="30">
        <f>D172+D180+D188+D196</f>
        <v>137936</v>
      </c>
      <c r="E236" s="30">
        <f>E172+E180+E188+E196</f>
        <v>142029</v>
      </c>
      <c r="F236" s="30">
        <f>F172+F180+F188+F196</f>
        <v>143739</v>
      </c>
      <c r="G236" s="38">
        <f>G172+G180+G188+G196</f>
        <v>144968.76799999998</v>
      </c>
      <c r="H236" s="1"/>
    </row>
    <row r="237">
      <c r="A237" s="32" t="s">
        <v>125</v>
      </c>
      <c r="B237" s="27">
        <f>IF(AND(ISNUMBER(Inputs!E58),ISNUMBER(B236)),IF(Inputs!E58&gt;0,B236/Inputs!E58-1,"n.m."),"unavail.")</f>
        <v>0.00810802906900232</v>
      </c>
      <c r="C237" s="34">
        <f>IF(AND(ISNUMBER(B236),ISNUMBER(C236)),IF(B236&gt;0,C236/B236-1,"n.m."),"unavail.")</f>
        <v>0.021590142653042044</v>
      </c>
      <c r="D237" s="1"/>
      <c r="E237" s="34">
        <f>IF(AND(ISNUMBER(C236),ISNUMBER(E236)),IF(C236&gt;0,E236/C236-1,"n.m."),"unavail.")</f>
        <v>0.008270388459791</v>
      </c>
      <c r="F237" s="34">
        <f>IF(AND(ISNUMBER(E236),ISNUMBER(F236)),IF(E236&gt;0,F236/E236-1,"n.m."),"unavail.")</f>
        <v>0.012039794689816974</v>
      </c>
      <c r="G237" s="40">
        <f>IF(AND(ISNUMBER(F236),ISNUMBER(G236)),IF(F236&gt;0,G236/F236-1,"n.m."),"unavail.")</f>
        <v>0.008555562512609471</v>
      </c>
      <c r="H237" s="1"/>
    </row>
    <row r="238">
      <c r="A238" s="32" t="s">
        <v>168</v>
      </c>
      <c r="B238" s="27">
        <f>IF(AND(ISNUMBER(Inputs!B58),ISNUMBER(B236)),IF(Inputs!B58&gt;0,B236/Inputs!B58-1,"n.m."),"unavail.")</f>
        <v>0.0005224395022311867</v>
      </c>
      <c r="C238" s="27">
        <f>IF(AND(ISNUMBER(Inputs!C58),ISNUMBER(C236)),IF(Inputs!C58&gt;0,C236/Inputs!C58-1,"n.m."),"unavail.")</f>
        <v>0.02403349859695547</v>
      </c>
      <c r="D238" s="27">
        <f>IF(AND(ISNUMBER(Inputs!F58),ISNUMBER(D236)),IF(Inputs!F58&gt;0,D236/Inputs!F58-1,"n.m."),"unavail.")</f>
        <v>-0.0009198699144593592</v>
      </c>
      <c r="E238" s="27">
        <f>IF(AND(ISNUMBER(Inputs!D58),ISNUMBER(E236)),IF(Inputs!D58&gt;0,E236/Inputs!D58-1,"n.m."),"unavail.")</f>
        <v>0.043088380017919814</v>
      </c>
      <c r="F238" s="27">
        <f>IF(AND(ISNUMBER(Inputs!E58),ISNUMBER(F236)),IF(Inputs!E58&gt;0,F236/Inputs!E58-1,"n.m."),"unavail.")</f>
        <v>0.05089268742049158</v>
      </c>
      <c r="G238" s="40">
        <f>IF(AND(ISNUMBER(B236),ISNUMBER(G236)),IF(B236&gt;0,G236/B236-1,"n.m."),"unavail.")</f>
        <v>0.051359214429206324</v>
      </c>
      <c r="H238" s="1"/>
    </row>
    <row r="239">
      <c r="A239" s="37" t="s">
        <v>169</v>
      </c>
      <c r="B239" s="20">
        <f>B236-Inputs!E58</f>
        <v>1109</v>
      </c>
      <c r="C239" s="14">
        <f>C236-B236</f>
        <v>2977</v>
      </c>
      <c r="D239" s="1"/>
      <c r="E239" s="14">
        <f>E236-C236</f>
        <v>1165</v>
      </c>
      <c r="F239" s="14">
        <f>F236-E236</f>
        <v>1710</v>
      </c>
      <c r="G239" s="31">
        <f>G236-F236</f>
        <v>1229.7679999999818</v>
      </c>
      <c r="H239" s="1"/>
    </row>
    <row r="240">
      <c r="A240" s="8" t="s">
        <v>249</v>
      </c>
      <c r="B240" s="30">
        <f>B176+B184+B192+B200</f>
        <v>816</v>
      </c>
      <c r="C240" s="30">
        <f>C176+C184+C192+C200</f>
        <v>781</v>
      </c>
      <c r="D240" s="30">
        <f>D176+D184+D192+D200</f>
        <v>3194</v>
      </c>
      <c r="E240" s="30">
        <f>E176+E184+E192+E200</f>
        <v>715</v>
      </c>
      <c r="F240" s="30">
        <f>F176+F184+F192+F200</f>
        <v>747</v>
      </c>
      <c r="G240" s="38">
        <f>G176+G184+G192+G200</f>
        <v>773.0125402962277</v>
      </c>
      <c r="H240" s="1"/>
    </row>
    <row r="241">
      <c r="A241" s="3" t="s">
        <v>250</v>
      </c>
      <c r="B241" s="42">
        <f>B240/B236*365/B$6</f>
        <v>0.023478582493982946</v>
      </c>
      <c r="C241" s="42">
        <f>C240/C236*365/C$6</f>
        <v>0.02199662517531557</v>
      </c>
      <c r="D241" s="42">
        <f>D240/D236*365/D$6</f>
        <v>0.023155666396009748</v>
      </c>
      <c r="E241" s="42">
        <f>E240/E236*365/E$6</f>
        <v>0.020416409481318763</v>
      </c>
      <c r="F241" s="42">
        <f>F240/F236*365/F$6</f>
        <v>0.0208447866703455</v>
      </c>
      <c r="G241" s="55">
        <f>G240/G236*365/G$6</f>
        <v>0.02115519965323205</v>
      </c>
      <c r="H241" s="1"/>
    </row>
    <row r="242">
      <c r="A242" s="32" t="s">
        <v>204</v>
      </c>
      <c r="B242" s="24">
        <f>IFERROR((B241-(Inputs!E59/Inputs!E58*365/Inputs!E$6))*10000,"unavail.")</f>
        <v>-0.39915998561075583</v>
      </c>
      <c r="C242" s="26">
        <f>IFERROR((C241-B241)*10000,"unavail.")</f>
        <v>-14.819573186673763</v>
      </c>
      <c r="D242" s="1"/>
      <c r="E242" s="26">
        <f>IFERROR((E241-C241)*10000,"unavail.")</f>
        <v>-15.802156939968073</v>
      </c>
      <c r="F242" s="26">
        <f>IFERROR((F241-E241)*10000,"unavail.")</f>
        <v>4.283771890267358</v>
      </c>
      <c r="G242" s="39">
        <f>IFERROR((G241-F241)*10000,"unavail.")</f>
        <v>3.104129828865529</v>
      </c>
      <c r="H242" s="1"/>
    </row>
    <row r="243">
      <c r="A243" s="32" t="s">
        <v>173</v>
      </c>
      <c r="B243" s="24">
        <f>IFERROR((B241-(Inputs!B59/Inputs!B58*365/Inputs!B$6))*10000,"unavail.")</f>
        <v>-50.21344156268096</v>
      </c>
      <c r="C243" s="24">
        <f>IFERROR((C241-(Inputs!C59/Inputs!C58*365/Inputs!C$6))*10000,"unavail.")</f>
        <v>-34.70497941763264</v>
      </c>
      <c r="D243" s="24">
        <f>IFERROR((D241-(Inputs!F59/Inputs!F58))*10000,"unavail.")</f>
        <v>-45.490770906593816</v>
      </c>
      <c r="E243" s="24">
        <f>IFERROR((E241-(Inputs!D59/Inputs!D58*365/Inputs!D$6))*10000,"unavail.")</f>
        <v>-32.62492610797002</v>
      </c>
      <c r="F243" s="24">
        <f>IFERROR((F241-(Inputs!E59/Inputs!E58*365/Inputs!E$6))*10000,"unavail.")</f>
        <v>-26.737118221985234</v>
      </c>
      <c r="G243" s="39">
        <f>IFERROR((G241-B241)*10000,"unavail.")</f>
        <v>-23.23382840750895</v>
      </c>
      <c r="H243" s="1"/>
    </row>
    <row r="244">
      <c r="A244" s="8" t="s">
        <v>251</v>
      </c>
      <c r="B244" s="30">
        <f>B212+B220+B228</f>
        <v>11643</v>
      </c>
      <c r="C244" s="30">
        <f>C212+C220+C228</f>
        <v>9856</v>
      </c>
      <c r="D244" s="30">
        <f>D212+D220+D228</f>
        <v>11656</v>
      </c>
      <c r="E244" s="30">
        <f>E212+E220+E228</f>
        <v>11075</v>
      </c>
      <c r="F244" s="30">
        <f>F212+F220+F228</f>
        <v>13112</v>
      </c>
      <c r="G244" s="38">
        <f>G212+G220+G228</f>
        <v>14878.238800000001</v>
      </c>
      <c r="H244" s="1"/>
    </row>
    <row r="245">
      <c r="A245" s="32" t="s">
        <v>125</v>
      </c>
      <c r="B245" s="27">
        <f>IF(AND(ISNUMBER(Inputs!E60),ISNUMBER(B244)),IF(Inputs!E60&gt;0,B244/Inputs!E60-1,"n.m."),"unavail.")</f>
        <v>-0.06848547883830702</v>
      </c>
      <c r="C245" s="34">
        <f>IF(AND(ISNUMBER(B244),ISNUMBER(C244)),IF(B244&gt;0,C244/B244-1,"n.m."),"unavail.")</f>
        <v>-0.15348277935240062</v>
      </c>
      <c r="D245" s="1"/>
      <c r="E245" s="34">
        <f>IF(AND(ISNUMBER(C244),ISNUMBER(E244)),IF(C244&gt;0,E244/C244-1,"n.m."),"unavail.")</f>
        <v>0.12368100649350655</v>
      </c>
      <c r="F245" s="34">
        <f>IF(AND(ISNUMBER(E244),ISNUMBER(F244)),IF(E244&gt;0,F244/E244-1,"n.m."),"unavail.")</f>
        <v>0.18392776523702037</v>
      </c>
      <c r="G245" s="40">
        <f>IF(AND(ISNUMBER(F244),ISNUMBER(G244)),IF(F244&gt;0,G244/F244-1,"n.m."),"unavail.")</f>
        <v>0.13470399633923136</v>
      </c>
      <c r="H245" s="1"/>
    </row>
    <row r="246">
      <c r="A246" s="32" t="s">
        <v>168</v>
      </c>
      <c r="B246" s="27">
        <f>IF(AND(ISNUMBER(Inputs!B60),ISNUMBER(B244)),IF(Inputs!B60&gt;0,B244/Inputs!B60-1,"n.m."),"unavail.")</f>
        <v>-0.1495252008765522</v>
      </c>
      <c r="C246" s="27">
        <f>IF(AND(ISNUMBER(Inputs!C60),ISNUMBER(C244)),IF(Inputs!C60&gt;0,C244/Inputs!C60-1,"n.m."),"unavail.")</f>
        <v>-0.23531693692295752</v>
      </c>
      <c r="D246" s="27">
        <f>IF(AND(ISNUMBER(Inputs!F60),ISNUMBER(D244)),IF(Inputs!F60&gt;0,D244/Inputs!F60-1,"n.m."),"unavail.")</f>
        <v>-0.1572554406767407</v>
      </c>
      <c r="E246" s="27">
        <f>IF(AND(ISNUMBER(Inputs!D60),ISNUMBER(E244)),IF(Inputs!D60&gt;0,E244/Inputs!D60-1,"n.m."),"unavail.")</f>
        <v>-0.12499012404203202</v>
      </c>
      <c r="F246" s="27">
        <f>IF(AND(ISNUMBER(Inputs!E60),ISNUMBER(F244)),IF(Inputs!E60&gt;0,F244/Inputs!E60-1,"n.m."),"unavail.")</f>
        <v>0.049043923513881094</v>
      </c>
      <c r="G246" s="40">
        <f>IF(AND(ISNUMBER(B244),ISNUMBER(G244)),IF(B244&gt;0,G244/B244-1,"n.m."),"unavail.")</f>
        <v>0.27786986171948813</v>
      </c>
      <c r="H246" s="1"/>
    </row>
    <row r="247">
      <c r="A247" s="37" t="s">
        <v>169</v>
      </c>
      <c r="B247" s="20">
        <f>B244-Inputs!E60</f>
        <v>-856</v>
      </c>
      <c r="C247" s="14">
        <f>C244-B244</f>
        <v>-1787</v>
      </c>
      <c r="D247" s="1"/>
      <c r="E247" s="14">
        <f>E244-C244</f>
        <v>1219</v>
      </c>
      <c r="F247" s="14">
        <f>F244-E244</f>
        <v>2037</v>
      </c>
      <c r="G247" s="31">
        <f>G244-F244</f>
        <v>1766.238800000001</v>
      </c>
      <c r="H247" s="1"/>
    </row>
    <row r="248">
      <c r="A248" s="8" t="s">
        <v>252</v>
      </c>
      <c r="B248" s="30">
        <f>B216+B224+B232</f>
        <v>149</v>
      </c>
      <c r="C248" s="30">
        <f>C216+C224+C232</f>
        <v>128</v>
      </c>
      <c r="D248" s="30">
        <f>D216+D224+D232</f>
        <v>594</v>
      </c>
      <c r="E248" s="30">
        <f>E216+E224+E232</f>
        <v>139</v>
      </c>
      <c r="F248" s="30">
        <f>F216+F224+F232</f>
        <v>156</v>
      </c>
      <c r="G248" s="38">
        <f>G216+G224+G232</f>
        <v>174.79898901098903</v>
      </c>
      <c r="H248" s="1"/>
    </row>
    <row r="249">
      <c r="A249" s="3" t="s">
        <v>253</v>
      </c>
      <c r="B249" s="42">
        <f>B248/B244*365/B$6</f>
        <v>0.05077224979368085</v>
      </c>
      <c r="C249" s="42">
        <f>C248/C244*365/C$6</f>
        <v>0.051524562394127615</v>
      </c>
      <c r="D249" s="42">
        <f>D248/D244*365/D$6</f>
        <v>0.050960878517501716</v>
      </c>
      <c r="E249" s="42">
        <f>E248/E244*365/E$6</f>
        <v>0.0509004263857537</v>
      </c>
      <c r="F249" s="42">
        <f>F248/F244*365/F$6</f>
        <v>0.04772073564019873</v>
      </c>
      <c r="G249" s="55">
        <f>G248/G244*365/G$6</f>
        <v>0.046611430178885756</v>
      </c>
      <c r="H249" s="1"/>
    </row>
    <row r="250">
      <c r="A250" s="32" t="s">
        <v>204</v>
      </c>
      <c r="B250" s="24">
        <f>IFERROR((B249-(Inputs!E61/Inputs!E60*365/Inputs!E$6))*10000,"unavail.")</f>
        <v>-2.516123350696717</v>
      </c>
      <c r="C250" s="26">
        <f>IFERROR((C249-B249)*10000,"unavail.")</f>
        <v>7.5231260044676675</v>
      </c>
      <c r="D250" s="1"/>
      <c r="E250" s="26">
        <f>IFERROR((E249-C249)*10000,"unavail.")</f>
        <v>-6.24136008373917</v>
      </c>
      <c r="F250" s="26">
        <f>IFERROR((F249-E249)*10000,"unavail.")</f>
        <v>-31.796907455549707</v>
      </c>
      <c r="G250" s="39">
        <f>IFERROR((G249-F249)*10000,"unavail.")</f>
        <v>-11.093054613129718</v>
      </c>
      <c r="H250" s="1"/>
    </row>
    <row r="251">
      <c r="A251" s="32" t="s">
        <v>173</v>
      </c>
      <c r="B251" s="24">
        <f>IFERROR((B249-(Inputs!B61/Inputs!B60*365/Inputs!B$6))*10000,"unavail.")</f>
        <v>-5.227290864919174</v>
      </c>
      <c r="C251" s="24">
        <f>IFERROR((C249-(Inputs!C61/Inputs!C60*365/Inputs!C$6))*10000,"unavail.")</f>
        <v>4.277390159183603</v>
      </c>
      <c r="D251" s="24">
        <f>IFERROR((D249-(Inputs!F61/Inputs!F60))*10000,"unavail.")</f>
        <v>-5.899854836551032</v>
      </c>
      <c r="E251" s="24">
        <f>IFERROR((E249-(Inputs!D61/Inputs!D60*365/Inputs!D$6))*10000,"unavail.")</f>
        <v>2.7407118485476416</v>
      </c>
      <c r="F251" s="24">
        <f>IFERROR((F249-(Inputs!E61/Inputs!E60*365/Inputs!E$6))*10000,"unavail.")</f>
        <v>-33.03126488551793</v>
      </c>
      <c r="G251" s="39">
        <f>IFERROR((G249-B249)*10000,"unavail.")</f>
        <v>-41.60819614795093</v>
      </c>
      <c r="H251" s="1"/>
    </row>
    <row r="252">
      <c r="A252" s="8" t="s">
        <v>254</v>
      </c>
      <c r="B252" s="30">
        <f>B172+B180+B188+B196+B204+B212+B220+B228</f>
        <v>150119</v>
      </c>
      <c r="C252" s="30">
        <f>C172+C180+C188+C196+C204+C212+C220+C228</f>
        <v>150941</v>
      </c>
      <c r="D252" s="30">
        <f>D172+D180+D188+D196+D204+D212+D220+D228</f>
        <v>150193</v>
      </c>
      <c r="E252" s="30">
        <f>E172+E180+E188+E196+E204+E212+E220+E228</f>
        <v>153558</v>
      </c>
      <c r="F252" s="30">
        <f>F172+F180+F188+F196+F204+F212+F220+F228</f>
        <v>157840</v>
      </c>
      <c r="G252" s="38">
        <f>G172+G180+G188+G196+G204+G212+G220+G228</f>
        <v>160846.8858</v>
      </c>
      <c r="H252" s="1"/>
    </row>
    <row r="253">
      <c r="A253" s="32" t="s">
        <v>125</v>
      </c>
      <c r="B253" s="27">
        <f>IF(AND(ISNUMBER(Inputs!E62),ISNUMBER(B252)),IF(Inputs!E62&gt;0,B252/Inputs!E62-1,"n.m."),"unavail.")</f>
        <v>-0.0005525891799044169</v>
      </c>
      <c r="C253" s="34">
        <f>IF(AND(ISNUMBER(B252),ISNUMBER(C252)),IF(B252&gt;0,C252/B252-1,"n.m."),"unavail.")</f>
        <v>0.005475655979589433</v>
      </c>
      <c r="D253" s="1"/>
      <c r="E253" s="34">
        <f>IF(AND(ISNUMBER(C252),ISNUMBER(E252)),IF(C252&gt;0,E252/C252-1,"n.m."),"unavail.")</f>
        <v>0.01733790023916626</v>
      </c>
      <c r="F253" s="34">
        <f>IF(AND(ISNUMBER(E252),ISNUMBER(F252)),IF(E252&gt;0,F252/E252-1,"n.m."),"unavail.")</f>
        <v>0.027885229033980607</v>
      </c>
      <c r="G253" s="40">
        <f>IF(AND(ISNUMBER(F252),ISNUMBER(G252)),IF(F252&gt;0,G252/F252-1,"n.m."),"unavail.")</f>
        <v>0.019050214140902133</v>
      </c>
      <c r="H253" s="1"/>
    </row>
    <row r="254">
      <c r="A254" s="32" t="s">
        <v>168</v>
      </c>
      <c r="B254" s="27">
        <f>IF(AND(ISNUMBER(Inputs!B62),ISNUMBER(B252)),IF(Inputs!B62&gt;0,B252/Inputs!B62-1,"n.m."),"unavail.")</f>
        <v>-0.010128251623751305</v>
      </c>
      <c r="C254" s="27">
        <f>IF(AND(ISNUMBER(Inputs!C62),ISNUMBER(C252)),IF(Inputs!C62&gt;0,C252/Inputs!C62-1,"n.m."),"unavail.")</f>
        <v>0.0030102067938972965</v>
      </c>
      <c r="D254" s="27">
        <f>IF(AND(ISNUMBER(Inputs!F62),ISNUMBER(D252)),IF(Inputs!F62&gt;0,D252/Inputs!F62-1,"n.m."),"unavail.")</f>
        <v>-0.012836354554178198</v>
      </c>
      <c r="E254" s="27">
        <f>IF(AND(ISNUMBER(Inputs!D62),ISNUMBER(E252)),IF(Inputs!D62&gt;0,E252/Inputs!D62-1,"n.m."),"unavail.")</f>
        <v>0.027185037526589628</v>
      </c>
      <c r="F254" s="27">
        <f>IF(AND(ISNUMBER(Inputs!E62),ISNUMBER(F252)),IF(Inputs!E62&gt;0,F252/Inputs!E62-1,"n.m."),"unavail.")</f>
        <v>0.050851519953129865</v>
      </c>
      <c r="G254" s="40">
        <f>IF(AND(ISNUMBER(B252),ISNUMBER(G252)),IF(B252&gt;0,G252/B252-1,"n.m."),"unavail.")</f>
        <v>0.07146254504759542</v>
      </c>
      <c r="H254" s="1"/>
    </row>
    <row r="255">
      <c r="A255" s="37" t="s">
        <v>169</v>
      </c>
      <c r="B255" s="20">
        <f>B252-Inputs!E62</f>
        <v>-83</v>
      </c>
      <c r="C255" s="14">
        <f>C252-B252</f>
        <v>822</v>
      </c>
      <c r="D255" s="1"/>
      <c r="E255" s="14">
        <f>E252-C252</f>
        <v>2617</v>
      </c>
      <c r="F255" s="14">
        <f>F252-E252</f>
        <v>4282</v>
      </c>
      <c r="G255" s="31">
        <f>G252-F252</f>
        <v>3006.885799999989</v>
      </c>
      <c r="H255" s="1"/>
    </row>
    <row r="256">
      <c r="A256" s="8" t="s">
        <v>255</v>
      </c>
      <c r="B256" s="30">
        <f>B176+B184+B192+B200+B208+B216+B224+B232</f>
        <v>970</v>
      </c>
      <c r="C256" s="30">
        <f>C176+C184+C192+C200+C208+C216+C224+C232</f>
        <v>909</v>
      </c>
      <c r="D256" s="30">
        <f>D176+D184+D192+D200+D208+D216+D224+D232</f>
        <v>3810</v>
      </c>
      <c r="E256" s="30">
        <f>E176+E184+E192+E200+E208+E216+E224+E232</f>
        <v>858</v>
      </c>
      <c r="F256" s="30">
        <f>F176+F184+F192+F200+F208+F216+F224+F232</f>
        <v>912</v>
      </c>
      <c r="G256" s="38">
        <f>G176+G184+G192+G200+G208+G216+G224+G232</f>
        <v>957.6405790579317</v>
      </c>
      <c r="H256" s="1"/>
    </row>
    <row r="257">
      <c r="A257" s="3" t="s">
        <v>256</v>
      </c>
      <c r="B257" s="42">
        <f>B256/B252*365/B$6</f>
        <v>0.025635459636804078</v>
      </c>
      <c r="C257" s="42">
        <f>C256/C252*365/C$6</f>
        <v>0.02389250565222288</v>
      </c>
      <c r="D257" s="42">
        <f>D256/D252*365/D$6</f>
        <v>0.025367360662614104</v>
      </c>
      <c r="E257" s="42">
        <f>E256/E252*365/E$6</f>
        <v>0.02266027603033816</v>
      </c>
      <c r="F257" s="42">
        <f>F256/F252*365/F$6</f>
        <v>0.023175506703129616</v>
      </c>
      <c r="G257" s="55">
        <f>G256/G252*365/G$6</f>
        <v>0.02362081732044983</v>
      </c>
      <c r="H257" s="1"/>
    </row>
    <row r="258">
      <c r="A258" s="32" t="s">
        <v>204</v>
      </c>
      <c r="B258" s="24">
        <f>IFERROR((B257-(Inputs!E63/Inputs!E62*365/Inputs!E$6))*10000,"unavail.")</f>
        <v>-2.6738680105520967</v>
      </c>
      <c r="C258" s="26">
        <f>IFERROR((C257-B257)*10000,"unavail.")</f>
        <v>-17.429539845811963</v>
      </c>
      <c r="D258" s="1"/>
      <c r="E258" s="26">
        <f>IFERROR((E257-C257)*10000,"unavail.")</f>
        <v>-12.322296218847221</v>
      </c>
      <c r="F258" s="26">
        <f>IFERROR((F257-E257)*10000,"unavail.")</f>
        <v>5.1523067279145645</v>
      </c>
      <c r="G258" s="39">
        <f>IFERROR((G257-F257)*10000,"unavail.")</f>
        <v>4.453106173202132</v>
      </c>
      <c r="H258" s="1"/>
    </row>
    <row r="259">
      <c r="A259" s="32" t="s">
        <v>173</v>
      </c>
      <c r="B259" s="24">
        <f>IFERROR((B257-(Inputs!B63/Inputs!B62*365/Inputs!B$6))*10000,"unavail.")</f>
        <v>-49.72484882578447</v>
      </c>
      <c r="C259" s="24">
        <f>IFERROR((C257-(Inputs!C63/Inputs!C62*365/Inputs!C$6))*10000,"unavail.")</f>
        <v>-37.89175741411278</v>
      </c>
      <c r="D259" s="24">
        <f>IFERROR((D257-(Inputs!F63/Inputs!F62))*10000,"unavail.")</f>
        <v>-45.578427604137765</v>
      </c>
      <c r="E259" s="24">
        <f>IFERROR((E257-(Inputs!D63/Inputs!D62*365/Inputs!D$6))*10000,"unavail.")</f>
        <v>-34.1026117442517</v>
      </c>
      <c r="F259" s="24">
        <f>IFERROR((F257-(Inputs!E63/Inputs!E62*365/Inputs!E$6))*10000,"unavail.")</f>
        <v>-27.27339734729672</v>
      </c>
      <c r="G259" s="39">
        <f>IFERROR((G257-B257)*10000,"unavail.")</f>
        <v>-20.14642316354249</v>
      </c>
      <c r="H259" s="1"/>
    </row>
    <row r="260">
      <c r="A260" s="37" t="s">
        <v>257</v>
      </c>
      <c r="B260" s="25">
        <v>38070</v>
      </c>
      <c r="C260" s="25">
        <v>38993</v>
      </c>
      <c r="D260" s="25">
        <v>37746</v>
      </c>
      <c r="E260" s="25">
        <v>39286</v>
      </c>
      <c r="F260" s="25">
        <v>39881</v>
      </c>
      <c r="G260" s="31">
        <f>F260*(1+G261)</f>
        <v>40080.405</v>
      </c>
      <c r="H260" s="1"/>
    </row>
    <row r="261">
      <c r="A261" s="44" t="s">
        <v>167</v>
      </c>
      <c r="B261" s="27">
        <f>IF(AND(ISNUMBER(Inputs!E64),ISNUMBER(B260)),IF(Inputs!E64&gt;0,B260/Inputs!E64-1,"n.m."),"unavail.")</f>
        <v>0.01927710843373487</v>
      </c>
      <c r="C261" s="34">
        <f>IF(AND(ISNUMBER(B260),ISNUMBER(C260)),IF(B260&gt;0,C260/B260-1,"n.m."),"unavail.")</f>
        <v>0.024244812188074505</v>
      </c>
      <c r="D261" s="1"/>
      <c r="E261" s="34">
        <f>IF(AND(ISNUMBER(C260),ISNUMBER(E260)),IF(C260&gt;0,E260/C260-1,"n.m."),"unavail.")</f>
        <v>0.007514169209858146</v>
      </c>
      <c r="F261" s="34">
        <f>IF(AND(ISNUMBER(E260),ISNUMBER(F260)),IF(E260&gt;0,F260/E260-1,"n.m."),"unavail.")</f>
        <v>0.015145344397495375</v>
      </c>
      <c r="G261" s="29">
        <v>0.005</v>
      </c>
      <c r="H261" s="1"/>
    </row>
    <row r="262">
      <c r="A262" s="44" t="s">
        <v>168</v>
      </c>
      <c r="B262" s="27">
        <f>IF(AND(ISNUMBER(Inputs!B64),ISNUMBER(B260)),IF(Inputs!B64&gt;0,B260/Inputs!B64-1,"n.m."),"unavail.")</f>
        <v>0.050612650402914294</v>
      </c>
      <c r="C262" s="27">
        <f>IF(AND(ISNUMBER(Inputs!C64),ISNUMBER(C260)),IF(Inputs!C64&gt;0,C260/Inputs!C64-1,"n.m."),"unavail.")</f>
        <v>0.06236377506538804</v>
      </c>
      <c r="D262" s="27">
        <f>IF(AND(ISNUMBER(Inputs!F64),ISNUMBER(D260)),IF(Inputs!F64&gt;0,D260/Inputs!F64-1,"n.m."),"unavail.")</f>
        <v>0.03535672161724768</v>
      </c>
      <c r="E262" s="27">
        <f>IF(AND(ISNUMBER(Inputs!D64),ISNUMBER(E260)),IF(Inputs!D64&gt;0,E260/Inputs!D64-1,"n.m."),"unavail.")</f>
        <v>0.07506225542511569</v>
      </c>
      <c r="F262" s="27">
        <f>IF(AND(ISNUMBER(Inputs!E64),ISNUMBER(F260)),IF(Inputs!E64&gt;0,F260/Inputs!E64-1,"n.m."),"unavail.")</f>
        <v>0.06776439089692099</v>
      </c>
      <c r="G262" s="40">
        <f>IF(AND(ISNUMBER(B260),ISNUMBER(G260)),IF(B260&gt;0,G260/B260-1,"n.m."),"unavail.")</f>
        <v>0.05280811662726559</v>
      </c>
      <c r="H262" s="1"/>
    </row>
    <row r="263">
      <c r="A263" s="70" t="s">
        <v>169</v>
      </c>
      <c r="B263" s="20">
        <f>B260-Inputs!E64</f>
        <v>720</v>
      </c>
      <c r="C263" s="14">
        <f>C260-B260</f>
        <v>923</v>
      </c>
      <c r="D263" s="1"/>
      <c r="E263" s="14">
        <f>E260-C260</f>
        <v>293</v>
      </c>
      <c r="F263" s="14">
        <f>F260-E260</f>
        <v>595</v>
      </c>
      <c r="G263" s="31">
        <f>G260-F260</f>
        <v>199.40499999999884</v>
      </c>
      <c r="H263" s="1"/>
    </row>
    <row r="264">
      <c r="A264" s="8" t="s">
        <v>258</v>
      </c>
      <c r="B264" s="30">
        <f>B236+B260</f>
        <v>175957</v>
      </c>
      <c r="C264" s="30">
        <f>C236+C260</f>
        <v>179857</v>
      </c>
      <c r="D264" s="30">
        <f>D236+D260</f>
        <v>175682</v>
      </c>
      <c r="E264" s="30">
        <f>E236+E260</f>
        <v>181315</v>
      </c>
      <c r="F264" s="30">
        <f>F236+F260</f>
        <v>183620</v>
      </c>
      <c r="G264" s="38">
        <f>G236+G260</f>
        <v>185049.17299999998</v>
      </c>
      <c r="H264" s="1"/>
    </row>
    <row r="265">
      <c r="A265" s="32" t="s">
        <v>168</v>
      </c>
      <c r="B265" s="27">
        <f>IF(AND(ISNUMBER((Inputs!B58+Inputs!B64)),ISNUMBER(B264)),IF((Inputs!B58+Inputs!B64)&gt;0,B264/(Inputs!B58+Inputs!B64)-1,"n.m."),"unavail.")</f>
        <v>0.01095081326737568</v>
      </c>
      <c r="C265" s="27">
        <f>IF(AND(ISNUMBER((Inputs!C58+Inputs!C64)),ISNUMBER(C264)),IF((Inputs!C58+Inputs!C64)&gt;0,C264/(Inputs!C58+Inputs!C64)-1,"n.m."),"unavail.")</f>
        <v>0.03210682765031958</v>
      </c>
      <c r="D265" s="27">
        <f>IF(AND(ISNUMBER((Inputs!F58+Inputs!F64)),ISNUMBER(D264)),IF((Inputs!F58+Inputs!F64)&gt;0,D264/(Inputs!F58+Inputs!F64)-1,"n.m."),"unavail.")</f>
        <v>0.006658262663305159</v>
      </c>
      <c r="E265" s="27">
        <f>IF(AND(ISNUMBER((Inputs!D58+Inputs!D64)),ISNUMBER(E264)),IF((Inputs!D58+Inputs!D64)&gt;0,E264/(Inputs!D58+Inputs!D64)-1,"n.m."),"unavail.")</f>
        <v>0.04985379693697345</v>
      </c>
      <c r="F265" s="27">
        <f>IF(AND(ISNUMBER((Inputs!E58+Inputs!E64)),ISNUMBER(F264)),IF((Inputs!E58+Inputs!E64)&gt;0,F264/(Inputs!E58+Inputs!E64)-1,"n.m."),"unavail.")</f>
        <v>0.05451162363318929</v>
      </c>
      <c r="G265" s="40">
        <f>IF(AND(ISNUMBER(B264),ISNUMBER(G264)),IF(B264&gt;0,G264/B264-1,"n.m."),"unavail.")</f>
        <v>0.051672698443369525</v>
      </c>
      <c r="H265" s="1"/>
    </row>
    <row r="266">
      <c r="A266" s="37" t="s">
        <v>169</v>
      </c>
      <c r="B266" s="20">
        <f>B264-(Inputs!E58+Inputs!E64)</f>
        <v>1829</v>
      </c>
      <c r="C266" s="14">
        <f>C264-B264</f>
        <v>3900</v>
      </c>
      <c r="D266" s="1"/>
      <c r="E266" s="14">
        <f>E264-C264</f>
        <v>1458</v>
      </c>
      <c r="F266" s="14">
        <f>F264-E264</f>
        <v>2305</v>
      </c>
      <c r="G266" s="31">
        <f>G264-F264</f>
        <v>1429.1729999999807</v>
      </c>
      <c r="H266" s="1"/>
    </row>
    <row r="267">
      <c r="A267" s="32" t="s">
        <v>259</v>
      </c>
      <c r="B267" s="34">
        <f>B260/B264</f>
        <v>0.21635967878515774</v>
      </c>
      <c r="C267" s="34">
        <f>C260/C264</f>
        <v>0.21680001334393434</v>
      </c>
      <c r="D267" s="34">
        <f>D260/D264</f>
        <v>0.21485411140583555</v>
      </c>
      <c r="E267" s="34">
        <f>E260/E264</f>
        <v>0.21667264153544935</v>
      </c>
      <c r="F267" s="34">
        <f>F260/F264</f>
        <v>0.2171931162182769</v>
      </c>
      <c r="G267" s="40">
        <f>G260/G264</f>
        <v>0.2165932673473769</v>
      </c>
      <c r="H267" s="1"/>
    </row>
    <row r="268">
      <c r="A268" s="44" t="s">
        <v>204</v>
      </c>
      <c r="B268" s="24">
        <f>IFERROR((B267-(Inputs!E64/(Inputs!E58+Inputs!E64)))*10000,"unavail.")</f>
        <v>18.622975483664206</v>
      </c>
      <c r="C268" s="26">
        <f>IFERROR((C267-B267)*10000,"unavail.")</f>
        <v>4.4033455877659495</v>
      </c>
      <c r="D268" s="1"/>
      <c r="E268" s="26">
        <f>IFERROR((E267-C267)*10000,"unavail.")</f>
        <v>-1.2737180848498841</v>
      </c>
      <c r="F268" s="26">
        <f>IFERROR((F267-E267)*10000,"unavail.")</f>
        <v>5.2047468282753755</v>
      </c>
      <c r="G268" s="39">
        <f>IFERROR((G267-F267)*10000,"unavail.")</f>
        <v>-5.998488708999772</v>
      </c>
      <c r="H268" s="1"/>
    </row>
    <row r="269">
      <c r="A269" s="44" t="s">
        <v>173</v>
      </c>
      <c r="B269" s="24">
        <f>IFERROR((B267-(Inputs!B64/(Inputs!B58+Inputs!B64)))*10000,"unavail.")</f>
        <v>81.67826971608838</v>
      </c>
      <c r="C269" s="24">
        <f>IFERROR((C267-(Inputs!C64/(Inputs!C58+Inputs!C64)))*10000,"unavail.")</f>
        <v>61.74633169254845</v>
      </c>
      <c r="D269" s="24">
        <f>IFERROR((D267-(Inputs!F64/(Inputs!F58+Inputs!F64)))*10000,"unavail.")</f>
        <v>59.55417846358113</v>
      </c>
      <c r="E269" s="24">
        <f>IFERROR((E267-(Inputs!D64/(Inputs!D58+Inputs!D64)))*10000,"unavail.")</f>
        <v>50.80620459047391</v>
      </c>
      <c r="F269" s="24">
        <f>IFERROR((F267-(Inputs!E64/(Inputs!E58+Inputs!E64)))*10000,"unavail.")</f>
        <v>26.957349814855647</v>
      </c>
      <c r="G269" s="39">
        <f>IFERROR((G267-B267)*10000,"unavail.")</f>
        <v>2.335885622191669</v>
      </c>
      <c r="H269" s="1"/>
    </row>
    <row r="270">
      <c r="A270" s="3" t="s">
        <v>260</v>
      </c>
      <c r="B270" s="42">
        <f>B240/B264*365/B$6</f>
        <v>0.018398763927253963</v>
      </c>
      <c r="C270" s="42">
        <f>C240/C264*365/C$6</f>
        <v>0.01722775654378563</v>
      </c>
      <c r="D270" s="42">
        <f>D240/D264*365/D$6</f>
        <v>0.018180576268485103</v>
      </c>
      <c r="E270" s="42">
        <f>E240/E264*365/E$6</f>
        <v>0.015992732108332033</v>
      </c>
      <c r="F270" s="42">
        <f>F240/F264*365/F$6</f>
        <v>0.016317442496507954</v>
      </c>
      <c r="G270" s="55">
        <f>G240/G264*365/G$6</f>
        <v>0.016573125838952426</v>
      </c>
      <c r="H270" s="1"/>
    </row>
    <row r="271">
      <c r="A271" s="32" t="s">
        <v>204</v>
      </c>
      <c r="B271" s="24">
        <f>IFERROR((B270-(Inputs!E59/(Inputs!E58+Inputs!E64)*365/Inputs!E$6))*10000,"unavail.")</f>
        <v>-0.7507822801794406</v>
      </c>
      <c r="C271" s="26">
        <f>IFERROR((C270-B270)*10000,"unavail.")</f>
        <v>-11.710073834683318</v>
      </c>
      <c r="D271" s="1"/>
      <c r="E271" s="26">
        <f>IFERROR((E270-C270)*10000,"unavail.")</f>
        <v>-12.350244354535981</v>
      </c>
      <c r="F271" s="26">
        <f>IFERROR((F270-E270)*10000,"unavail.")</f>
        <v>3.2471038817592084</v>
      </c>
      <c r="G271" s="39">
        <f>IFERROR((G270-F270)*10000,"unavail.")</f>
        <v>2.556833424444717</v>
      </c>
      <c r="H271" s="1"/>
    </row>
    <row r="272">
      <c r="A272" s="32" t="s">
        <v>173</v>
      </c>
      <c r="B272" s="24">
        <f>IFERROR((B270-(Inputs!B59/(Inputs!B58+Inputs!B64)*365/Inputs!B$6))*10000,"unavail.")</f>
        <v>-41.677102171310025</v>
      </c>
      <c r="C272" s="24">
        <f>IFERROR((C270-(Inputs!C59/(Inputs!C58+Inputs!C64)*365/Inputs!C$6))*10000,"unavail.")</f>
        <v>-28.75344084803104</v>
      </c>
      <c r="D272" s="24">
        <f>IFERROR((D270-(Inputs!F59/(Inputs!F58+Inputs!F64)))*10000,"unavail.")</f>
        <v>-37.366824984184056</v>
      </c>
      <c r="E272" s="24">
        <f>IFERROR((E270-(Inputs!D59/(Inputs!D58+Inputs!D64)*365/Inputs!D$6))*10000,"unavail.")</f>
        <v>-26.75903233242717</v>
      </c>
      <c r="F272" s="24">
        <f>IFERROR((F270-(Inputs!E59/(Inputs!E58+Inputs!E64)*365/Inputs!E$6))*10000,"unavail.")</f>
        <v>-21.56399658763953</v>
      </c>
      <c r="G272" s="39">
        <f>IFERROR((G270-B270)*10000,"unavail.")</f>
        <v>-18.25638088301537</v>
      </c>
      <c r="H272" s="1"/>
    </row>
    <row r="273">
      <c r="A273" s="3" t="s">
        <v>261</v>
      </c>
      <c r="B273" s="34">
        <f>B153/B264</f>
        <v>0.7957114522298061</v>
      </c>
      <c r="C273" s="34">
        <f>C153/C264</f>
        <v>0.7881650422279922</v>
      </c>
      <c r="D273" s="34">
        <f>D153/D264</f>
        <v>0.7973326806388816</v>
      </c>
      <c r="E273" s="34">
        <f>E153/E264</f>
        <v>0.7909439373466067</v>
      </c>
      <c r="F273" s="34">
        <f>F153/F264</f>
        <v>0.7958174490796209</v>
      </c>
      <c r="G273" s="40">
        <f>G153/G264</f>
        <v>0.8002608149996976</v>
      </c>
      <c r="H273" s="1"/>
    </row>
    <row r="274">
      <c r="A274" s="32" t="s">
        <v>204</v>
      </c>
      <c r="B274" s="24">
        <f>IFERROR((B273-(Inputs!E38/(Inputs!E58+Inputs!E64)))*10000,"unavail.")</f>
        <v>-14.55000035194387</v>
      </c>
      <c r="C274" s="26">
        <f>IFERROR((C273-B273)*10000,"unavail.")</f>
        <v>-75.46410001813885</v>
      </c>
      <c r="D274" s="1"/>
      <c r="E274" s="26">
        <f>IFERROR((E273-C273)*10000,"unavail.")</f>
        <v>27.788951186145106</v>
      </c>
      <c r="F274" s="26">
        <f>IFERROR((F273-E273)*10000,"unavail.")</f>
        <v>48.73511733014202</v>
      </c>
      <c r="G274" s="39">
        <f>IFERROR((G273-F273)*10000,"unavail.")</f>
        <v>44.433659200766584</v>
      </c>
      <c r="H274" s="1"/>
    </row>
    <row r="275">
      <c r="A275" s="32" t="s">
        <v>173</v>
      </c>
      <c r="B275" s="24">
        <f>IFERROR((B273-(Inputs!B38/(Inputs!B58+Inputs!B64)))*10000,"unavail.")</f>
        <v>-201.58608844246916</v>
      </c>
      <c r="C275" s="24">
        <f>IFERROR((C273-(Inputs!C38/(Inputs!C58+Inputs!C64)))*10000,"unavail.")</f>
        <v>-206.57305730828358</v>
      </c>
      <c r="D275" s="24">
        <f>IFERROR((D273-(Inputs!F38/(Inputs!F58+Inputs!F64)))*10000,"unavail.")</f>
        <v>-203.61566438817147</v>
      </c>
      <c r="E275" s="24">
        <f>IFERROR((E273-(Inputs!D38/(Inputs!D58+Inputs!D64)))*10000,"unavail.")</f>
        <v>-180.0774326484056</v>
      </c>
      <c r="F275" s="24">
        <f>IFERROR((F273-(Inputs!E38/(Inputs!E58+Inputs!E64)))*10000,"unavail.")</f>
        <v>-13.490031853795603</v>
      </c>
      <c r="G275" s="39">
        <f>IFERROR((G273-B273)*10000,"unavail.")</f>
        <v>45.49362769891485</v>
      </c>
      <c r="H275" s="1"/>
    </row>
    <row r="276">
      <c r="A276" s="1"/>
      <c r="B276" s="1"/>
      <c r="C276" s="1"/>
      <c r="D276" s="1"/>
      <c r="E276" s="1"/>
      <c r="F276" s="1"/>
      <c r="G276" s="41"/>
      <c r="H276" s="1"/>
    </row>
    <row r="277">
      <c r="A277" s="8" t="s">
        <v>262</v>
      </c>
      <c r="B277" s="30">
        <f>B165</f>
        <v>2458</v>
      </c>
      <c r="C277" s="30">
        <f>C165</f>
        <v>2446</v>
      </c>
      <c r="D277" s="30">
        <f>D165</f>
        <v>9663</v>
      </c>
      <c r="E277" s="30">
        <f>E165</f>
        <v>2420</v>
      </c>
      <c r="F277" s="30">
        <f>F165</f>
        <v>2543</v>
      </c>
      <c r="G277" s="38">
        <f>G165</f>
        <v>2641.3139978644654</v>
      </c>
      <c r="H277" s="1"/>
    </row>
    <row r="278">
      <c r="A278" s="8" t="s">
        <v>263</v>
      </c>
      <c r="B278" s="30">
        <f>B256</f>
        <v>970</v>
      </c>
      <c r="C278" s="30">
        <f>C256</f>
        <v>909</v>
      </c>
      <c r="D278" s="30">
        <f>D256</f>
        <v>3810</v>
      </c>
      <c r="E278" s="30">
        <f>E256</f>
        <v>858</v>
      </c>
      <c r="F278" s="30">
        <f>F256</f>
        <v>912</v>
      </c>
      <c r="G278" s="38">
        <f>G256</f>
        <v>957.6405790579317</v>
      </c>
      <c r="H278" s="1"/>
    </row>
    <row r="279">
      <c r="A279" s="8" t="s">
        <v>264</v>
      </c>
      <c r="B279" s="30">
        <f>B277-B278</f>
        <v>1488</v>
      </c>
      <c r="C279" s="30">
        <f>C277-C278</f>
        <v>1537</v>
      </c>
      <c r="D279" s="30">
        <f>D277-D278</f>
        <v>5853</v>
      </c>
      <c r="E279" s="30">
        <f>E277-E278</f>
        <v>1562</v>
      </c>
      <c r="F279" s="30">
        <f>F277-F278</f>
        <v>1631</v>
      </c>
      <c r="G279" s="38">
        <f>G277-G278</f>
        <v>1683.6734188065336</v>
      </c>
      <c r="H279" s="1"/>
    </row>
    <row r="280">
      <c r="A280" s="32" t="s">
        <v>125</v>
      </c>
      <c r="B280" s="27">
        <f>IF(AND(ISNUMBER(Inputs!E65),ISNUMBER(B279)),IF(Inputs!E65&gt;0,B279/Inputs!E65-1,"n.m."),"unavail.")</f>
        <v>0.035490605427974886</v>
      </c>
      <c r="C280" s="34">
        <f>IF(AND(ISNUMBER(B279),ISNUMBER(C279)),IF(B279&gt;0,C279/B279-1,"n.m."),"unavail.")</f>
        <v>0.03293010752688175</v>
      </c>
      <c r="D280" s="1"/>
      <c r="E280" s="34">
        <f>IF(AND(ISNUMBER(C279),ISNUMBER(E279)),IF(C279&gt;0,E279/C279-1,"n.m."),"unavail.")</f>
        <v>0.01626545217957065</v>
      </c>
      <c r="F280" s="34">
        <f>IF(AND(ISNUMBER(E279),ISNUMBER(F279)),IF(E279&gt;0,F279/E279-1,"n.m."),"unavail.")</f>
        <v>0.04417413572343154</v>
      </c>
      <c r="G280" s="40">
        <f>IF(AND(ISNUMBER(F279),ISNUMBER(G279)),IF(F279&gt;0,G279/F279-1,"n.m."),"unavail.")</f>
        <v>0.03229516787647668</v>
      </c>
      <c r="H280" s="1"/>
    </row>
    <row r="281">
      <c r="A281" s="32" t="s">
        <v>127</v>
      </c>
      <c r="B281" s="27">
        <f>IF(AND(ISNUMBER(Inputs!B65),ISNUMBER(B279)),IF(Inputs!B65&gt;0,B279/Inputs!B65-1,"n.m."),"unavail.")</f>
        <v>0.08692476260043835</v>
      </c>
      <c r="C281" s="27">
        <f>IF(AND(ISNUMBER(Inputs!C65),ISNUMBER(C279)),IF(Inputs!C65&gt;0,C279/Inputs!C65-1,"n.m."),"unavail.")</f>
        <v>0.08852691218130304</v>
      </c>
      <c r="D281" s="27">
        <f>IF(AND(ISNUMBER(Inputs!F65),ISNUMBER(D279)),IF(Inputs!F65&gt;0,D279/Inputs!F65-1,"n.m."),"unavail.")</f>
        <v>0.03905556541807198</v>
      </c>
      <c r="E281" s="27">
        <f>IF(AND(ISNUMBER(Inputs!D65),ISNUMBER(E279)),IF(Inputs!D65&gt;0,E279/Inputs!D65-1,"n.m."),"unavail.")</f>
        <v>0.12293314162473035</v>
      </c>
      <c r="F281" s="27">
        <f>IF(AND(ISNUMBER(Inputs!E65),ISNUMBER(F279)),IF(Inputs!E65&gt;0,F279/Inputs!E65-1,"n.m."),"unavail.")</f>
        <v>0.13500347947112035</v>
      </c>
      <c r="G281" s="40">
        <f>IF(AND(ISNUMBER(B279),ISNUMBER(G279)),IF(B279&gt;0,G279/B279-1,"n.m."),"unavail.")</f>
        <v>0.13150095349901458</v>
      </c>
      <c r="H281" s="1"/>
    </row>
    <row r="282">
      <c r="A282" s="32" t="s">
        <v>128</v>
      </c>
      <c r="B282" s="33">
        <v>0</v>
      </c>
      <c r="C282" s="33">
        <v>0</v>
      </c>
      <c r="D282" s="33">
        <v>0</v>
      </c>
      <c r="E282" s="33">
        <v>0</v>
      </c>
      <c r="F282" s="33">
        <v>0</v>
      </c>
      <c r="G282" s="29">
        <v>0</v>
      </c>
      <c r="H282" s="23" t="s">
        <v>129</v>
      </c>
    </row>
    <row r="283">
      <c r="A283" s="32" t="s">
        <v>130</v>
      </c>
      <c r="B283" s="33">
        <v>0</v>
      </c>
      <c r="C283" s="33">
        <v>0</v>
      </c>
      <c r="D283" s="33">
        <v>0</v>
      </c>
      <c r="E283" s="33">
        <v>0</v>
      </c>
      <c r="F283" s="33">
        <v>0</v>
      </c>
      <c r="G283" s="29">
        <v>0</v>
      </c>
      <c r="H283" s="23" t="s">
        <v>131</v>
      </c>
    </row>
    <row r="284">
      <c r="A284" s="32" t="s">
        <v>132</v>
      </c>
      <c r="B284" s="34">
        <f>IF(AND(ISNUMBER(B281),ISNUMBER(B282),ISNUMBER(B283)),(1+B281)/((1+B282)*(1+B283))-1,"unavail.")</f>
        <v>0.08692476260043835</v>
      </c>
      <c r="C284" s="34">
        <f>IF(AND(ISNUMBER(C281),ISNUMBER(C282),ISNUMBER(C283)),(1+C281)/((1+C282)*(1+C283))-1,"unavail.")</f>
        <v>0.08852691218130304</v>
      </c>
      <c r="D284" s="34">
        <f>IF(AND(ISNUMBER(D281),ISNUMBER(D282),ISNUMBER(D283)),(1+D281)/((1+D282)*(1+D283))-1,"unavail.")</f>
        <v>0.03905556541807198</v>
      </c>
      <c r="E284" s="34">
        <f>IF(AND(ISNUMBER(E281),ISNUMBER(E282),ISNUMBER(E283)),(1+E281)/((1+E282)*(1+E283))-1,"unavail.")</f>
        <v>0.12293314162473035</v>
      </c>
      <c r="F284" s="34">
        <f>IF(AND(ISNUMBER(F281),ISNUMBER(F282),ISNUMBER(F283)),(1+F281)/((1+F282)*(1+F283))-1,"unavail.")</f>
        <v>0.13500347947112035</v>
      </c>
      <c r="G284" s="40">
        <f>IF(AND(ISNUMBER(G281),ISNUMBER(G282),ISNUMBER(G283)),(1+G281)/((1+G282)*(1+G283))-1,"unavail.")</f>
        <v>0.13150095349901458</v>
      </c>
      <c r="H284" s="23" t="s">
        <v>133</v>
      </c>
    </row>
    <row r="285">
      <c r="A285" s="37" t="s">
        <v>265</v>
      </c>
      <c r="B285" s="25">
        <v>4</v>
      </c>
      <c r="C285" s="25">
        <v>4</v>
      </c>
      <c r="D285" s="20">
        <f>Inputs!D66+Inputs!E66+B285+C285</f>
        <v>16</v>
      </c>
      <c r="E285" s="25">
        <v>3</v>
      </c>
      <c r="F285" s="25">
        <v>3</v>
      </c>
      <c r="G285" s="31">
        <f>F285</f>
        <v>3</v>
      </c>
      <c r="H285" s="23" t="s">
        <v>266</v>
      </c>
    </row>
    <row r="286">
      <c r="A286" s="8" t="s">
        <v>267</v>
      </c>
      <c r="B286" s="30">
        <f>B279+B285</f>
        <v>1492</v>
      </c>
      <c r="C286" s="30">
        <f>C279+C285</f>
        <v>1541</v>
      </c>
      <c r="D286" s="30">
        <f>D279+D285</f>
        <v>5869</v>
      </c>
      <c r="E286" s="30">
        <f>E279+E285</f>
        <v>1565</v>
      </c>
      <c r="F286" s="30">
        <f>F279+F285</f>
        <v>1634</v>
      </c>
      <c r="G286" s="38">
        <f>G279+G285</f>
        <v>1686.6734188065336</v>
      </c>
      <c r="H286" s="1"/>
    </row>
    <row r="287">
      <c r="A287" s="3" t="s">
        <v>268</v>
      </c>
      <c r="B287" s="42">
        <f>B279*365/B$6/B161</f>
        <v>0.02987620452064072</v>
      </c>
      <c r="C287" s="42">
        <f>C279*365/C$6/C161</f>
        <v>0.030616921652596107</v>
      </c>
      <c r="D287" s="42">
        <f>D279*365/D$6/D161</f>
        <v>0.029703422516341196</v>
      </c>
      <c r="E287" s="42">
        <f>E279*365/E$6/E161</f>
        <v>0.031371312579063816</v>
      </c>
      <c r="F287" s="42">
        <f>F279*365/F$6/F161</f>
        <v>0.03163864717765187</v>
      </c>
      <c r="G287" s="55">
        <f>G279*365/G$6/G161</f>
        <v>0.031928201827904686</v>
      </c>
      <c r="H287" s="1"/>
    </row>
    <row r="288">
      <c r="A288" s="32" t="s">
        <v>204</v>
      </c>
      <c r="B288" s="24">
        <f>IFERROR((B287-(Inputs!E65*365/Inputs!E$6/Inputs!E40))*10000,"unavail.")</f>
        <v>5.167407486421811</v>
      </c>
      <c r="C288" s="26">
        <f>IFERROR((C287-B287)*10000,"unavail.")</f>
        <v>7.40717131955386</v>
      </c>
      <c r="D288" s="1"/>
      <c r="E288" s="26">
        <f>IFERROR((E287-C287)*10000,"unavail.")</f>
        <v>7.543909264677088</v>
      </c>
      <c r="F288" s="26">
        <f>IFERROR((F287-E287)*10000,"unavail.")</f>
        <v>2.6733459858805513</v>
      </c>
      <c r="G288" s="39">
        <f>IFERROR((G287-F287)*10000,"unavail.")</f>
        <v>2.895546502528143</v>
      </c>
      <c r="H288" s="1"/>
    </row>
    <row r="289">
      <c r="A289" s="32" t="s">
        <v>173</v>
      </c>
      <c r="B289" s="24">
        <f>IFERROR((B287-(Inputs!B65*365/Inputs!B$6/Inputs!B40))*10000,"unavail.")</f>
        <v>23.287886858424123</v>
      </c>
      <c r="C289" s="24">
        <f>IFERROR((C287-(Inputs!C65*365/Inputs!C$6/Inputs!C40))*10000,"unavail.")</f>
        <v>21.24621948410066</v>
      </c>
      <c r="D289" s="24">
        <f>IFERROR((D287-(Inputs!F65/Inputs!F40))*10000,"unavail.")</f>
        <v>12.64269077187758</v>
      </c>
      <c r="E289" s="24">
        <f>IFERROR((E287-(Inputs!D65*365/Inputs!D$6/Inputs!D40))*10000,"unavail.")</f>
        <v>24.502851011968357</v>
      </c>
      <c r="F289" s="24">
        <f>IFERROR((F287-(Inputs!E65*365/Inputs!E$6/Inputs!E40))*10000,"unavail.")</f>
        <v>22.79183405653331</v>
      </c>
      <c r="G289" s="39">
        <f>IFERROR((G287-B287)*10000,"unavail.")</f>
        <v>20.51997307263964</v>
      </c>
      <c r="H289" s="88" t="s">
        <v>269</v>
      </c>
    </row>
    <row r="290">
      <c r="A290" s="83" t="s">
        <v>270</v>
      </c>
      <c r="B290" s="80">
        <f>B286*365/B$6/B161</f>
        <v>0.02995651689838438</v>
      </c>
      <c r="C290" s="80">
        <f>C286*365/C$6/C161</f>
        <v>0.03069660134460026</v>
      </c>
      <c r="D290" s="80">
        <f>D286*365/D$6/D161</f>
        <v>0.029784621006049287</v>
      </c>
      <c r="E290" s="80">
        <f>E286*365/E$6/E161</f>
        <v>0.031431564779919895</v>
      </c>
      <c r="F290" s="80">
        <f>F286*365/F$6/F161</f>
        <v>0.03169684211421407</v>
      </c>
      <c r="G290" s="87">
        <f>G286*365/G$6/G161</f>
        <v>0.03198509208014351</v>
      </c>
      <c r="H290" s="1"/>
    </row>
    <row r="291">
      <c r="A291" s="32" t="s">
        <v>204</v>
      </c>
      <c r="B291" s="24">
        <f>IFERROR((B290-((Inputs!E65+Inputs!E66)*365/Inputs!E$6/Inputs!E40))*10000,"unavail.")</f>
        <v>5.153288013420056</v>
      </c>
      <c r="C291" s="26">
        <f>IFERROR((C290-B290)*10000,"unavail.")</f>
        <v>7.400844462158787</v>
      </c>
      <c r="D291" s="1"/>
      <c r="E291" s="26">
        <f>IFERROR((E290-C290)*10000,"unavail.")</f>
        <v>7.349634353196362</v>
      </c>
      <c r="F291" s="26">
        <f>IFERROR((F290-E290)*10000,"unavail.")</f>
        <v>2.6527733429417695</v>
      </c>
      <c r="G291" s="39">
        <f>IFERROR((G290-F290)*10000,"unavail.")</f>
        <v>2.8824996592943797</v>
      </c>
      <c r="H291" s="1"/>
    </row>
    <row r="292">
      <c r="A292" s="32" t="s">
        <v>173</v>
      </c>
      <c r="B292" s="24">
        <f>IFERROR((B290-((Inputs!B65+Inputs!B66)*365/Inputs!B$6/Inputs!B40))*10000,"unavail.")</f>
        <v>23.286119011761418</v>
      </c>
      <c r="C292" s="24">
        <f>IFERROR((C290-((Inputs!C65+Inputs!C66)*365/Inputs!C$6/Inputs!C40))*10000,"unavail.")</f>
        <v>21.235869103740264</v>
      </c>
      <c r="D292" s="24">
        <f>IFERROR((D290-((Inputs!F65+Inputs!F66)/Inputs!F40))*10000,"unavail.")</f>
        <v>12.596401909921347</v>
      </c>
      <c r="E292" s="24">
        <f>IFERROR((E290-((Inputs!D65+Inputs!D66)*365/Inputs!D$6/Inputs!D40))*10000,"unavail.")</f>
        <v>24.27371155459476</v>
      </c>
      <c r="F292" s="24">
        <f>IFERROR((F290-((Inputs!E65+Inputs!E66)*365/Inputs!E$6/Inputs!E40))*10000,"unavail.")</f>
        <v>22.556540171716975</v>
      </c>
      <c r="G292" s="39">
        <f>IFERROR((G290-B290)*10000,"unavail.")</f>
        <v>20.285751817591297</v>
      </c>
      <c r="H292" s="1"/>
    </row>
    <row r="293">
      <c r="A293" s="32" t="s">
        <v>271</v>
      </c>
      <c r="B293" s="28">
        <v>0.03</v>
      </c>
      <c r="C293" s="28">
        <v>0.0307</v>
      </c>
      <c r="D293" s="28">
        <v>0.0298</v>
      </c>
      <c r="E293" s="28">
        <v>0.031400000000000004</v>
      </c>
      <c r="F293" s="28">
        <v>0.0317</v>
      </c>
      <c r="G293" s="41"/>
      <c r="H293" s="23" t="s">
        <v>272</v>
      </c>
    </row>
    <row r="294">
      <c r="A294" s="32" t="s">
        <v>273</v>
      </c>
      <c r="B294" s="26">
        <f>ROUND((B290-B293)*10000,1)</f>
        <v>-0.4</v>
      </c>
      <c r="C294" s="26">
        <f>ROUND((C290-C293)*10000,1)</f>
        <v>0</v>
      </c>
      <c r="D294" s="26">
        <f>ROUND((D290-D293)*10000,1)</f>
        <v>-0.2</v>
      </c>
      <c r="E294" s="26">
        <f>ROUND((E290-E293)*10000,1)</f>
        <v>0.3</v>
      </c>
      <c r="F294" s="26">
        <f>ROUND((F290-F293)*10000,1)</f>
        <v>0</v>
      </c>
      <c r="G294" s="41"/>
      <c r="H294" s="88" t="s">
        <v>274</v>
      </c>
    </row>
    <row r="295">
      <c r="A295" s="37" t="s">
        <v>275</v>
      </c>
      <c r="B295" s="25">
        <v>1488</v>
      </c>
      <c r="C295" s="25">
        <v>1537</v>
      </c>
      <c r="D295" s="1"/>
      <c r="E295" s="25">
        <v>1562</v>
      </c>
      <c r="F295" s="25">
        <v>1631</v>
      </c>
      <c r="G295" s="41"/>
      <c r="H295" s="23" t="s">
        <v>215</v>
      </c>
    </row>
    <row r="296">
      <c r="A296" s="32" t="s">
        <v>216</v>
      </c>
      <c r="B296" s="35">
        <f>ROUND(B279-B295,6)</f>
        <v>0</v>
      </c>
      <c r="C296" s="35">
        <f>ROUND(C279-C295,6)</f>
        <v>0</v>
      </c>
      <c r="D296" s="1"/>
      <c r="E296" s="35">
        <f>ROUND(E279-E295,6)</f>
        <v>0</v>
      </c>
      <c r="F296" s="35">
        <f>ROUND(F279-F295,6)</f>
        <v>0</v>
      </c>
      <c r="G296" s="41"/>
      <c r="H296" s="1"/>
    </row>
    <row r="297">
      <c r="A297" s="1"/>
      <c r="B297" s="1"/>
      <c r="C297" s="1"/>
      <c r="D297" s="1"/>
      <c r="E297" s="1"/>
      <c r="F297" s="1"/>
      <c r="G297" s="41"/>
      <c r="H297" s="1"/>
    </row>
    <row r="298">
      <c r="A298" s="8" t="s">
        <v>276</v>
      </c>
      <c r="B298" s="1"/>
      <c r="C298" s="1"/>
      <c r="D298" s="1"/>
      <c r="E298" s="1"/>
      <c r="F298" s="1"/>
      <c r="G298" s="41"/>
      <c r="H298" s="1"/>
    </row>
    <row r="299">
      <c r="A299" s="83" t="s">
        <v>277</v>
      </c>
      <c r="B299" s="1"/>
      <c r="C299" s="1"/>
      <c r="D299" s="1"/>
      <c r="E299" s="1"/>
      <c r="F299" s="1"/>
      <c r="G299" s="41"/>
      <c r="H299" s="1"/>
    </row>
    <row r="300">
      <c r="A300" s="37" t="s">
        <v>278</v>
      </c>
      <c r="B300" s="25">
        <v>2150</v>
      </c>
      <c r="C300" s="25">
        <v>2486</v>
      </c>
      <c r="D300" s="20">
        <f>Inputs!D67+Inputs!E67+B300+C300</f>
        <v>9206</v>
      </c>
      <c r="E300" s="25">
        <v>2299</v>
      </c>
      <c r="F300" s="25">
        <v>2590</v>
      </c>
      <c r="G300" s="31">
        <f>F300*(1+G301)</f>
        <v>2460.5</v>
      </c>
      <c r="H300" s="1"/>
    </row>
    <row r="301">
      <c r="A301" s="44" t="s">
        <v>167</v>
      </c>
      <c r="B301" s="27">
        <f>IF(AND(ISNUMBER(Inputs!E67),ISNUMBER(B300)),IF(Inputs!E67&gt;0,B300/Inputs!E67-1,"n.m."),"unavail.")</f>
        <v>-0.12530512611879574</v>
      </c>
      <c r="C301" s="34">
        <f>IF(AND(ISNUMBER(B300),ISNUMBER(C300)),IF(B300&gt;0,C300/B300-1,"n.m."),"unavail.")</f>
        <v>0.15627906976744188</v>
      </c>
      <c r="D301" s="1"/>
      <c r="E301" s="34">
        <f>IF(AND(ISNUMBER(C300),ISNUMBER(E300)),IF(C300&gt;0,E300/C300-1,"n.m."),"unavail.")</f>
        <v>-0.0752212389380531</v>
      </c>
      <c r="F301" s="34">
        <f>IF(AND(ISNUMBER(E300),ISNUMBER(F300)),IF(E300&gt;0,F300/E300-1,"n.m."),"unavail.")</f>
        <v>0.12657677250978683</v>
      </c>
      <c r="G301" s="29">
        <v>-0.05</v>
      </c>
      <c r="H301" s="1"/>
    </row>
    <row r="302">
      <c r="A302" s="44" t="s">
        <v>168</v>
      </c>
      <c r="B302" s="27">
        <f>IF(AND(ISNUMBER(Inputs!B67),ISNUMBER(B300)),IF(Inputs!B67&gt;0,B300/Inputs!B67-1,"n.m."),"unavail.")</f>
        <v>0.07715430861723438</v>
      </c>
      <c r="C302" s="27">
        <f>IF(AND(ISNUMBER(Inputs!C67),ISNUMBER(C300)),IF(Inputs!C67&gt;0,C300/Inputs!C67-1,"n.m."),"unavail.")</f>
        <v>0.611147116007777</v>
      </c>
      <c r="D302" s="27" t="str">
        <f>IF(AND(ISNUMBER(Inputs!F67),ISNUMBER(D300)),IF(Inputs!F67&gt;0,D300/Inputs!F67-1,"n.m."),"unavail.")</f>
        <v>unavail.</v>
      </c>
      <c r="E302" s="27">
        <f>IF(AND(ISNUMBER(Inputs!D67),ISNUMBER(E300)),IF(Inputs!D67&gt;0,E300/Inputs!D67-1,"n.m."),"unavail.")</f>
        <v>0.08854166666666674</v>
      </c>
      <c r="F302" s="27">
        <f>IF(AND(ISNUMBER(Inputs!E67),ISNUMBER(F300)),IF(Inputs!E67&gt;0,F300/Inputs!E67-1,"n.m."),"unavail.")</f>
        <v>0.05370219690805533</v>
      </c>
      <c r="G302" s="40">
        <f>IF(AND(ISNUMBER(B300),ISNUMBER(G300)),IF(B300&gt;0,G300/B300-1,"n.m."),"unavail.")</f>
        <v>0.14441860465116285</v>
      </c>
      <c r="H302" s="1"/>
    </row>
    <row r="303">
      <c r="A303" s="70" t="s">
        <v>169</v>
      </c>
      <c r="B303" s="20">
        <f>B300-Inputs!E67</f>
        <v>-308</v>
      </c>
      <c r="C303" s="14">
        <f>C300-B300</f>
        <v>336</v>
      </c>
      <c r="D303" s="1"/>
      <c r="E303" s="14">
        <f>E300-C300</f>
        <v>-187</v>
      </c>
      <c r="F303" s="14">
        <f>F300-E300</f>
        <v>291</v>
      </c>
      <c r="G303" s="31">
        <f>G300-F300</f>
        <v>-129.5</v>
      </c>
      <c r="H303" s="1"/>
    </row>
    <row r="304">
      <c r="A304" s="32" t="s">
        <v>279</v>
      </c>
      <c r="B304" s="42">
        <f>B307/B300</f>
        <v>0.008372093023255815</v>
      </c>
      <c r="C304" s="42">
        <f>C307/C300</f>
        <v>0.007642799678197908</v>
      </c>
      <c r="D304" s="42">
        <f>D307/D300</f>
        <v>0.0077123615033673695</v>
      </c>
      <c r="E304" s="42">
        <f>E307/E300</f>
        <v>0.009134406263592866</v>
      </c>
      <c r="F304" s="42">
        <f>F307/F300</f>
        <v>0.005791505791505791</v>
      </c>
      <c r="G304" s="55">
        <f>F304+G305/10000</f>
        <v>0.006291505791505791</v>
      </c>
      <c r="H304" s="1"/>
    </row>
    <row r="305">
      <c r="A305" s="44" t="s">
        <v>172</v>
      </c>
      <c r="B305" s="24">
        <f>IFERROR((B304-(Inputs!E68/Inputs!E67))*10000,"unavail.")</f>
        <v>6.422313470963353</v>
      </c>
      <c r="C305" s="26">
        <f>IFERROR((C304-B304)*10000,"unavail.")</f>
        <v>-7.292933450579065</v>
      </c>
      <c r="D305" s="1"/>
      <c r="E305" s="26">
        <f>IFERROR((E304-C304)*10000,"unavail.")</f>
        <v>14.916065853949577</v>
      </c>
      <c r="F305" s="26">
        <f>IFERROR((F304-E304)*10000,"unavail.")</f>
        <v>-33.42900472087074</v>
      </c>
      <c r="G305" s="50">
        <v>5</v>
      </c>
      <c r="H305" s="1"/>
    </row>
    <row r="306">
      <c r="A306" s="44" t="s">
        <v>173</v>
      </c>
      <c r="B306" s="24">
        <f>IFERROR((B304-(Inputs!B68/Inputs!B67))*10000,"unavail.")</f>
        <v>8.570629631355743</v>
      </c>
      <c r="C306" s="24">
        <f>IFERROR((C304-(Inputs!C68/Inputs!C67))*10000,"unavail.")</f>
        <v>-14.304342816206274</v>
      </c>
      <c r="D306" s="26" t="str">
        <f>"unavail."</f>
        <v>unavail.</v>
      </c>
      <c r="E306" s="24">
        <f>IFERROR((E304-(Inputs!D68/Inputs!D67))*10000,"unavail.")</f>
        <v>20.32133536320139</v>
      </c>
      <c r="F306" s="24">
        <f>IFERROR((F304-(Inputs!E68/Inputs!E67))*10000,"unavail.")</f>
        <v>-19.383558846536882</v>
      </c>
      <c r="G306" s="39">
        <f>IFERROR((G304-B304)*10000,"unavail.")</f>
        <v>-20.80587231750024</v>
      </c>
      <c r="H306" s="1"/>
    </row>
    <row r="307">
      <c r="A307" s="37" t="s">
        <v>280</v>
      </c>
      <c r="B307" s="25">
        <v>18</v>
      </c>
      <c r="C307" s="25">
        <v>19</v>
      </c>
      <c r="D307" s="20">
        <f>Inputs!D68+Inputs!E68+B307+C307</f>
        <v>71</v>
      </c>
      <c r="E307" s="25">
        <v>21</v>
      </c>
      <c r="F307" s="25">
        <v>15</v>
      </c>
      <c r="G307" s="31">
        <f>G300*G304</f>
        <v>15.480249999999998</v>
      </c>
      <c r="H307" s="1"/>
    </row>
    <row r="308">
      <c r="A308" s="44" t="s">
        <v>168</v>
      </c>
      <c r="B308" s="27">
        <f>IF(AND(ISNUMBER(Inputs!B68),ISNUMBER(B307)),IF(Inputs!B68&gt;0,B307/Inputs!B68-1,"n.m."),"unavail.")</f>
        <v>0.19999999999999996</v>
      </c>
      <c r="C308" s="27">
        <f>IF(AND(ISNUMBER(Inputs!C68),ISNUMBER(C307)),IF(Inputs!C68&gt;0,C307/Inputs!C68-1,"n.m."),"unavail.")</f>
        <v>0.3571428571428572</v>
      </c>
      <c r="D308" s="27" t="str">
        <f>IF(AND(ISNUMBER(Inputs!F68),ISNUMBER(D307)),IF(Inputs!F68&gt;0,D307/Inputs!F68-1,"n.m."),"unavail.")</f>
        <v>unavail.</v>
      </c>
      <c r="E308" s="27">
        <f>IF(AND(ISNUMBER(Inputs!D68),ISNUMBER(E307)),IF(Inputs!D68&gt;0,E307/Inputs!D68-1,"n.m."),"unavail.")</f>
        <v>0.3999999999999999</v>
      </c>
      <c r="F308" s="27">
        <f>IF(AND(ISNUMBER(Inputs!E68),ISNUMBER(F307)),IF(Inputs!E68&gt;0,F307/Inputs!E68-1,"n.m."),"unavail.")</f>
        <v>-0.21052631578947367</v>
      </c>
      <c r="G308" s="40">
        <f>IF(AND(ISNUMBER(B307),ISNUMBER(G307)),IF(B307&gt;0,G307/B307-1,"n.m."),"unavail.")</f>
        <v>-0.13998611111111126</v>
      </c>
      <c r="H308" s="1"/>
    </row>
    <row r="309">
      <c r="A309" s="70" t="s">
        <v>169</v>
      </c>
      <c r="B309" s="20">
        <f>B307-Inputs!E68</f>
        <v>-1</v>
      </c>
      <c r="C309" s="14">
        <f>C307-B307</f>
        <v>1</v>
      </c>
      <c r="D309" s="1"/>
      <c r="E309" s="14">
        <f>E307-C307</f>
        <v>2</v>
      </c>
      <c r="F309" s="14">
        <f>F307-E307</f>
        <v>-6</v>
      </c>
      <c r="G309" s="31">
        <f>G307-F307</f>
        <v>0.48024999999999807</v>
      </c>
      <c r="H309" s="1"/>
    </row>
    <row r="310">
      <c r="A310" s="37" t="s">
        <v>281</v>
      </c>
      <c r="B310" s="25">
        <v>95244</v>
      </c>
      <c r="C310" s="25">
        <v>94877</v>
      </c>
      <c r="D310" s="14">
        <f>C310</f>
        <v>94877</v>
      </c>
      <c r="E310" s="25">
        <v>94794</v>
      </c>
      <c r="F310" s="25">
        <v>94589</v>
      </c>
      <c r="G310" s="31">
        <f>F310*(1+G311)</f>
        <v>94399.822</v>
      </c>
      <c r="H310" s="1"/>
    </row>
    <row r="311">
      <c r="A311" s="44" t="s">
        <v>167</v>
      </c>
      <c r="B311" s="27">
        <f>IF(AND(ISNUMBER(Inputs!E69),ISNUMBER(B310)),IF(Inputs!E69&gt;0,B310/Inputs!E69-1,"n.m."),"unavail.")</f>
        <v>-0.0018653979166229906</v>
      </c>
      <c r="C311" s="34">
        <f>IF(AND(ISNUMBER(B310),ISNUMBER(C310)),IF(B310&gt;0,C310/B310-1,"n.m."),"unavail.")</f>
        <v>-0.003853261097811922</v>
      </c>
      <c r="D311" s="1"/>
      <c r="E311" s="34">
        <f>IF(AND(ISNUMBER(C310),ISNUMBER(E310)),IF(C310&gt;0,E310/C310-1,"n.m."),"unavail.")</f>
        <v>-0.0008748168681556034</v>
      </c>
      <c r="F311" s="34">
        <f>IF(AND(ISNUMBER(E310),ISNUMBER(F310)),IF(E310&gt;0,F310/E310-1,"n.m."),"unavail.")</f>
        <v>-0.002162584129797196</v>
      </c>
      <c r="G311" s="29">
        <v>-0.002</v>
      </c>
      <c r="H311" s="1"/>
    </row>
    <row r="312">
      <c r="A312" s="44" t="s">
        <v>168</v>
      </c>
      <c r="B312" s="27">
        <f>IF(AND(ISNUMBER(Inputs!B69),ISNUMBER(B310)),IF(Inputs!B69&gt;0,B310/Inputs!B69-1,"n.m."),"unavail.")</f>
        <v>-0.009113607990012484</v>
      </c>
      <c r="C312" s="27">
        <f>IF(AND(ISNUMBER(Inputs!C69),ISNUMBER(C310)),IF(Inputs!C69&gt;0,C310/Inputs!C69-1,"n.m."),"unavail.")</f>
        <v>-0.0075627615062761055</v>
      </c>
      <c r="D312" s="27">
        <f>IF(AND(ISNUMBER(Inputs!C69),ISNUMBER(D310)),IF(Inputs!C69&gt;0,D310/Inputs!C69-1,"n.m."),"unavail.")</f>
        <v>-0.0075627615062761055</v>
      </c>
      <c r="E312" s="27">
        <f>IF(AND(ISNUMBER(Inputs!D69),ISNUMBER(E310)),IF(Inputs!D69&gt;0,E310/Inputs!D69-1,"n.m."),"unavail.")</f>
        <v>-0.004296083106624771</v>
      </c>
      <c r="F312" s="27">
        <f>IF(AND(ISNUMBER(Inputs!E69),ISNUMBER(F310)),IF(Inputs!E69&gt;0,F310/Inputs!E69-1,"n.m."),"unavail.")</f>
        <v>-0.008729643059252612</v>
      </c>
      <c r="G312" s="40">
        <f>IF(AND(ISNUMBER(B310),ISNUMBER(G310)),IF(B310&gt;0,G310/B310-1,"n.m."),"unavail.")</f>
        <v>-0.00886331947419261</v>
      </c>
      <c r="H312" s="1"/>
    </row>
    <row r="313">
      <c r="A313" s="70" t="s">
        <v>169</v>
      </c>
      <c r="B313" s="20">
        <f>B310-Inputs!E69</f>
        <v>-178</v>
      </c>
      <c r="C313" s="14">
        <f>C310-B310</f>
        <v>-367</v>
      </c>
      <c r="D313" s="1"/>
      <c r="E313" s="14">
        <f>E310-C310</f>
        <v>-83</v>
      </c>
      <c r="F313" s="14">
        <f>F310-E310</f>
        <v>-205</v>
      </c>
      <c r="G313" s="31">
        <f>G310-F310</f>
        <v>-189.17799999999988</v>
      </c>
      <c r="H313" s="1"/>
    </row>
    <row r="314">
      <c r="A314" s="37" t="s">
        <v>282</v>
      </c>
      <c r="B314" s="25">
        <v>34760</v>
      </c>
      <c r="C314" s="25">
        <v>35599</v>
      </c>
      <c r="D314" s="14">
        <f>C314</f>
        <v>35599</v>
      </c>
      <c r="E314" s="25">
        <v>35888</v>
      </c>
      <c r="F314" s="25">
        <v>36975</v>
      </c>
      <c r="G314" s="31">
        <f>F314*(1+G315)</f>
        <v>37714.5</v>
      </c>
      <c r="H314" s="1"/>
    </row>
    <row r="315">
      <c r="A315" s="44" t="s">
        <v>167</v>
      </c>
      <c r="B315" s="27">
        <f>IF(AND(ISNUMBER(Inputs!E70),ISNUMBER(B314)),IF(Inputs!E70&gt;0,B314/Inputs!E70-1,"n.m."),"unavail.")</f>
        <v>0.013884027534710075</v>
      </c>
      <c r="C315" s="34">
        <f>IF(AND(ISNUMBER(B314),ISNUMBER(C314)),IF(B314&gt;0,C314/B314-1,"n.m."),"unavail.")</f>
        <v>0.02413693901035674</v>
      </c>
      <c r="D315" s="1"/>
      <c r="E315" s="34">
        <f>IF(AND(ISNUMBER(C314),ISNUMBER(E314)),IF(C314&gt;0,E314/C314-1,"n.m."),"unavail.")</f>
        <v>0.008118205567572145</v>
      </c>
      <c r="F315" s="34">
        <f>IF(AND(ISNUMBER(E314),ISNUMBER(F314)),IF(E314&gt;0,F314/E314-1,"n.m."),"unavail.")</f>
        <v>0.030288675880517202</v>
      </c>
      <c r="G315" s="29">
        <v>0.02</v>
      </c>
      <c r="H315" s="1"/>
    </row>
    <row r="316">
      <c r="A316" s="44" t="s">
        <v>168</v>
      </c>
      <c r="B316" s="27">
        <f>IF(AND(ISNUMBER(Inputs!B70),ISNUMBER(B314)),IF(Inputs!B70&gt;0,B314/Inputs!B70-1,"n.m."),"unavail.")</f>
        <v>0.06446179758076864</v>
      </c>
      <c r="C316" s="27">
        <f>IF(AND(ISNUMBER(Inputs!C70),ISNUMBER(C314)),IF(Inputs!C70&gt;0,C314/Inputs!C70-1,"n.m."),"unavail.")</f>
        <v>0.07666948947495755</v>
      </c>
      <c r="D316" s="27">
        <f>IF(AND(ISNUMBER(Inputs!C70),ISNUMBER(D314)),IF(Inputs!C70&gt;0,D314/Inputs!C70-1,"n.m."),"unavail.")</f>
        <v>0.07666948947495755</v>
      </c>
      <c r="E316" s="27">
        <f>IF(AND(ISNUMBER(Inputs!D70),ISNUMBER(E314)),IF(Inputs!D70&gt;0,E314/Inputs!D70-1,"n.m."),"unavail.")</f>
        <v>0.06375789192874293</v>
      </c>
      <c r="F316" s="27">
        <f>IF(AND(ISNUMBER(Inputs!E70),ISNUMBER(F314)),IF(Inputs!E70&gt;0,F314/Inputs!E70-1,"n.m."),"unavail.")</f>
        <v>0.07849142457122849</v>
      </c>
      <c r="G316" s="40">
        <f>IF(AND(ISNUMBER(B314),ISNUMBER(G314)),IF(B314&gt;0,G314/B314-1,"n.m."),"unavail.")</f>
        <v>0.0849971231300346</v>
      </c>
      <c r="H316" s="1"/>
    </row>
    <row r="317">
      <c r="A317" s="70" t="s">
        <v>169</v>
      </c>
      <c r="B317" s="20">
        <f>B314-Inputs!E70</f>
        <v>476</v>
      </c>
      <c r="C317" s="14">
        <f>C314-B314</f>
        <v>839</v>
      </c>
      <c r="D317" s="1"/>
      <c r="E317" s="14">
        <f>E314-C314</f>
        <v>289</v>
      </c>
      <c r="F317" s="14">
        <f>F314-E314</f>
        <v>1087</v>
      </c>
      <c r="G317" s="31">
        <f>G314-F314</f>
        <v>739.5</v>
      </c>
      <c r="H317" s="1"/>
    </row>
    <row r="318">
      <c r="A318" s="61" t="s">
        <v>283</v>
      </c>
      <c r="B318" s="30">
        <f>B310+B314</f>
        <v>130004</v>
      </c>
      <c r="C318" s="30">
        <f>C310+C314</f>
        <v>130476</v>
      </c>
      <c r="D318" s="30">
        <f>D310+D314</f>
        <v>130476</v>
      </c>
      <c r="E318" s="30">
        <f>E310+E314</f>
        <v>130682</v>
      </c>
      <c r="F318" s="30">
        <f>F310+F314</f>
        <v>131564</v>
      </c>
      <c r="G318" s="38">
        <f>G310+G314</f>
        <v>132114.322</v>
      </c>
      <c r="H318" s="1"/>
    </row>
    <row r="319">
      <c r="A319" s="44" t="s">
        <v>168</v>
      </c>
      <c r="B319" s="27">
        <f>IF(AND(ISNUMBER((Inputs!B69+Inputs!B70)),ISNUMBER(B318)),IF((Inputs!B69+Inputs!B70)&gt;0,B318/(Inputs!B69+Inputs!B70)-1,"n.m."),"unavail.")</f>
        <v>0.00954377790720251</v>
      </c>
      <c r="C319" s="27">
        <f>IF(AND(ISNUMBER((Inputs!C69+Inputs!C70)),ISNUMBER(C318)),IF((Inputs!C69+Inputs!C70)&gt;0,C318/(Inputs!C69+Inputs!C70)-1,"n.m."),"unavail.")</f>
        <v>0.014083193434060837</v>
      </c>
      <c r="D319" s="34">
        <f>IF(AND(ISNUMBER((Inputs!C69+Inputs!C70)),ISNUMBER(D318)),IF((Inputs!C69+Inputs!C70)&gt;0,D318/(Inputs!C69+Inputs!C70)-1,"n.m."),"unavail.")</f>
        <v>0.014083193434060837</v>
      </c>
      <c r="E319" s="27">
        <f>IF(AND(ISNUMBER((Inputs!D69+Inputs!D70)),ISNUMBER(E318)),IF((Inputs!D69+Inputs!D70)&gt;0,E318/(Inputs!D69+Inputs!D70)-1,"n.m."),"unavail.")</f>
        <v>0.013510159764231533</v>
      </c>
      <c r="F319" s="27">
        <f>IF(AND(ISNUMBER((Inputs!E69+Inputs!E70)),ISNUMBER(F318)),IF((Inputs!E69+Inputs!E70)&gt;0,F318/(Inputs!E69+Inputs!E70)-1,"n.m."),"unavail.")</f>
        <v>0.01432470356035953</v>
      </c>
      <c r="G319" s="40">
        <f>IF(AND(ISNUMBER(B318),ISNUMBER(G318)),IF(B318&gt;0,G318/B318-1,"n.m."),"unavail.")</f>
        <v>0.016232746684717192</v>
      </c>
      <c r="H319" s="1"/>
    </row>
    <row r="320">
      <c r="A320" s="70" t="s">
        <v>169</v>
      </c>
      <c r="B320" s="20">
        <f>B318-(Inputs!E69+Inputs!E70)</f>
        <v>298</v>
      </c>
      <c r="C320" s="14">
        <f>C318-B318</f>
        <v>472</v>
      </c>
      <c r="D320" s="1"/>
      <c r="E320" s="14">
        <f>E318-C318</f>
        <v>206</v>
      </c>
      <c r="F320" s="14">
        <f>F318-E318</f>
        <v>882</v>
      </c>
      <c r="G320" s="31">
        <f>G318-F318</f>
        <v>550.3219999999856</v>
      </c>
      <c r="H320" s="1"/>
    </row>
    <row r="321">
      <c r="A321" s="32" t="s">
        <v>284</v>
      </c>
      <c r="B321" s="42">
        <f>B324/B310*365/B$6</f>
        <v>0.0012079957564370138</v>
      </c>
      <c r="C321" s="42">
        <f>C324/C310*365/C$6</f>
        <v>0.0008781392475658414</v>
      </c>
      <c r="D321" s="42">
        <f>D324/D310*365/D$6</f>
        <v>0.0011593958493628593</v>
      </c>
      <c r="E321" s="42">
        <f>E324/E310*365/E$6</f>
        <v>0.0010267879120338136</v>
      </c>
      <c r="F321" s="42">
        <f>F324/F310*365/F$6</f>
        <v>0.0012721317524201582</v>
      </c>
      <c r="G321" s="55">
        <f>F321+G322/10000</f>
        <v>0.0011721317524201582</v>
      </c>
      <c r="H321" s="23" t="s">
        <v>285</v>
      </c>
    </row>
    <row r="322">
      <c r="A322" s="44" t="s">
        <v>172</v>
      </c>
      <c r="B322" s="24">
        <f>IFERROR((B321-(Inputs!E71/Inputs!E69*365/Inputs!E$6))*10000,"unavail.")</f>
        <v>0.3103769322630452</v>
      </c>
      <c r="C322" s="26">
        <f>IFERROR((C321-B321)*10000,"unavail.")</f>
        <v>-3.298565088711724</v>
      </c>
      <c r="D322" s="1"/>
      <c r="E322" s="26">
        <f>IFERROR((E321-C321)*10000,"unavail.")</f>
        <v>1.486486644679722</v>
      </c>
      <c r="F322" s="26">
        <f>IFERROR((F321-E321)*10000,"unavail.")</f>
        <v>2.4534384038634456</v>
      </c>
      <c r="G322" s="50">
        <v>-1</v>
      </c>
      <c r="H322" s="1"/>
    </row>
    <row r="323">
      <c r="A323" s="44" t="s">
        <v>173</v>
      </c>
      <c r="B323" s="24">
        <f>IFERROR((B321-(Inputs!B71/Inputs!B69*365/Inputs!B$6))*10000,"unavail.")</f>
        <v>-1.5409239424419978</v>
      </c>
      <c r="C323" s="24">
        <f>IFERROR((C321-(Inputs!C71/Inputs!C69*365/Inputs!C$6))*10000,"unavail.")</f>
        <v>-4.913577507969017</v>
      </c>
      <c r="D323" s="26" t="str">
        <f>"unavail."</f>
        <v>unavail.</v>
      </c>
      <c r="E323" s="24">
        <f>IFERROR((E321-(Inputs!D71/Inputs!D69*365/Inputs!D$6))*10000,"unavail.")</f>
        <v>-3.3638108240730467</v>
      </c>
      <c r="F323" s="24">
        <f>IFERROR((F321-(Inputs!E71/Inputs!E69*365/Inputs!E$6))*10000,"unavail.")</f>
        <v>0.9517368920944889</v>
      </c>
      <c r="G323" s="39">
        <f>IFERROR((G321-B321)*10000,"unavail.")</f>
        <v>-0.3586400401685568</v>
      </c>
      <c r="H323" s="1"/>
    </row>
    <row r="324">
      <c r="A324" s="37" t="s">
        <v>286</v>
      </c>
      <c r="B324" s="25">
        <v>29</v>
      </c>
      <c r="C324" s="25">
        <v>21</v>
      </c>
      <c r="D324" s="20">
        <f>Inputs!D71+Inputs!E71+B324+C324</f>
        <v>110</v>
      </c>
      <c r="E324" s="25">
        <v>24</v>
      </c>
      <c r="F324" s="25">
        <v>30</v>
      </c>
      <c r="G324" s="31">
        <f>G310*G321*G$6/365</f>
        <v>27.889618215312364</v>
      </c>
      <c r="H324" s="1"/>
    </row>
    <row r="325">
      <c r="A325" s="44" t="s">
        <v>168</v>
      </c>
      <c r="B325" s="27">
        <f>IF(AND(ISNUMBER(Inputs!B71),ISNUMBER(B324)),IF(Inputs!B71&gt;0,B324/Inputs!B71-1,"n.m."),"unavail.")</f>
        <v>-0.12121212121212122</v>
      </c>
      <c r="C325" s="27">
        <f>IF(AND(ISNUMBER(Inputs!C71),ISNUMBER(C324)),IF(Inputs!C71&gt;0,C324/Inputs!C71-1,"n.m."),"unavail.")</f>
        <v>-0.36363636363636365</v>
      </c>
      <c r="D325" s="27" t="str">
        <f>IF(AND(ISNUMBER(Inputs!F71),ISNUMBER(D324)),IF(Inputs!F71&gt;0,D324/Inputs!F71-1,"n.m."),"unavail.")</f>
        <v>unavail.</v>
      </c>
      <c r="E325" s="27">
        <f>IF(AND(ISNUMBER(Inputs!D71),ISNUMBER(E324)),IF(Inputs!D71&gt;0,E324/Inputs!D71-1,"n.m."),"unavail.")</f>
        <v>-0.25</v>
      </c>
      <c r="F325" s="27">
        <f>IF(AND(ISNUMBER(Inputs!E71),ISNUMBER(F324)),IF(Inputs!E71&gt;0,F324/Inputs!E71-1,"n.m."),"unavail.")</f>
        <v>0.0714285714285714</v>
      </c>
      <c r="G325" s="40">
        <f>IF(AND(ISNUMBER(B324),ISNUMBER(G324)),IF(B324&gt;0,G324/B324-1,"n.m."),"unavail.")</f>
        <v>-0.03828902705819437</v>
      </c>
      <c r="H325" s="1"/>
    </row>
    <row r="326">
      <c r="A326" s="70" t="s">
        <v>169</v>
      </c>
      <c r="B326" s="20">
        <f>B324-Inputs!E71</f>
        <v>1</v>
      </c>
      <c r="C326" s="14">
        <f>C324-B324</f>
        <v>-8</v>
      </c>
      <c r="D326" s="1"/>
      <c r="E326" s="14">
        <f>E324-C324</f>
        <v>3</v>
      </c>
      <c r="F326" s="14">
        <f>F324-E324</f>
        <v>6</v>
      </c>
      <c r="G326" s="31">
        <f>G324-F324</f>
        <v>-2.110381784687636</v>
      </c>
      <c r="H326" s="1"/>
    </row>
    <row r="327">
      <c r="A327" s="37" t="s">
        <v>287</v>
      </c>
      <c r="B327" s="25">
        <v>2</v>
      </c>
      <c r="C327" s="25">
        <v>12</v>
      </c>
      <c r="D327" s="20">
        <f>Inputs!D72+Inputs!E72+B327+C327</f>
        <v>52</v>
      </c>
      <c r="E327" s="25">
        <v>-3</v>
      </c>
      <c r="F327" s="25">
        <v>-3</v>
      </c>
      <c r="G327" s="51">
        <v>3</v>
      </c>
      <c r="H327" s="23" t="s">
        <v>288</v>
      </c>
    </row>
    <row r="328">
      <c r="A328" s="70" t="s">
        <v>169</v>
      </c>
      <c r="B328" s="20">
        <f>B327-Inputs!E72</f>
        <v>-24</v>
      </c>
      <c r="C328" s="14">
        <f>C327-B327</f>
        <v>10</v>
      </c>
      <c r="D328" s="1"/>
      <c r="E328" s="14">
        <f>E327-C327</f>
        <v>-15</v>
      </c>
      <c r="F328" s="14">
        <f>F327-E327</f>
        <v>0</v>
      </c>
      <c r="G328" s="31">
        <f>G327-F327</f>
        <v>6</v>
      </c>
      <c r="H328" s="1"/>
    </row>
    <row r="329">
      <c r="A329" s="70" t="s">
        <v>289</v>
      </c>
      <c r="B329" s="20">
        <f>IF(ISNUMBER(Inputs!B72),B327-Inputs!B72,"unavail.")</f>
        <v>4</v>
      </c>
      <c r="C329" s="20">
        <f>IF(ISNUMBER(Inputs!C72),C327-Inputs!C72,"unavail.")</f>
        <v>-1</v>
      </c>
      <c r="D329" s="20" t="str">
        <f>IF(ISNUMBER(Inputs!F72),D327-Inputs!F72,"unavail.")</f>
        <v>unavail.</v>
      </c>
      <c r="E329" s="20">
        <f>IF(ISNUMBER(Inputs!D72),E327-Inputs!D72,"unavail.")</f>
        <v>-15</v>
      </c>
      <c r="F329" s="20">
        <f>IF(ISNUMBER(Inputs!E72),F327-Inputs!E72,"unavail.")</f>
        <v>-29</v>
      </c>
      <c r="G329" s="31">
        <f>IF(ISNUMBER(B327),G327-B327,"unavail.")</f>
        <v>1</v>
      </c>
      <c r="H329" s="1"/>
    </row>
    <row r="330">
      <c r="A330" s="61" t="s">
        <v>290</v>
      </c>
      <c r="B330" s="30">
        <f>B307+B324+B327</f>
        <v>49</v>
      </c>
      <c r="C330" s="30">
        <f>C307+C324+C327</f>
        <v>52</v>
      </c>
      <c r="D330" s="30">
        <f>D307+D324+D327</f>
        <v>233</v>
      </c>
      <c r="E330" s="30">
        <f>E307+E324+E327</f>
        <v>42</v>
      </c>
      <c r="F330" s="30">
        <f>F307+F324+F327</f>
        <v>42</v>
      </c>
      <c r="G330" s="38">
        <f>G307+G324+G327</f>
        <v>46.369868215312366</v>
      </c>
      <c r="H330" s="1"/>
    </row>
    <row r="331">
      <c r="A331" s="37" t="s">
        <v>291</v>
      </c>
      <c r="B331" s="25">
        <v>2019</v>
      </c>
      <c r="C331" s="25">
        <v>2175</v>
      </c>
      <c r="D331" s="20">
        <f>Inputs!D74+Inputs!E74+B331+C331</f>
        <v>7827</v>
      </c>
      <c r="E331" s="25">
        <v>1944</v>
      </c>
      <c r="F331" s="25">
        <v>2657</v>
      </c>
      <c r="G331" s="31">
        <f>F331*(1+G332)</f>
        <v>2524.15</v>
      </c>
      <c r="H331" s="1"/>
    </row>
    <row r="332">
      <c r="A332" s="44" t="s">
        <v>167</v>
      </c>
      <c r="B332" s="27">
        <f>IF(AND(ISNUMBER(Inputs!E74),ISNUMBER(B331)),IF(Inputs!E74&gt;0,B331/Inputs!E74-1,"n.m."),"unavail.")</f>
        <v>-0.07766103243490174</v>
      </c>
      <c r="C332" s="34">
        <f>IF(AND(ISNUMBER(B331),ISNUMBER(C331)),IF(B331&gt;0,C331/B331-1,"n.m."),"unavail.")</f>
        <v>0.07726597325408613</v>
      </c>
      <c r="D332" s="1"/>
      <c r="E332" s="34">
        <f>IF(AND(ISNUMBER(C331),ISNUMBER(E331)),IF(C331&gt;0,E331/C331-1,"n.m."),"unavail.")</f>
        <v>-0.1062068965517241</v>
      </c>
      <c r="F332" s="34">
        <f>IF(AND(ISNUMBER(E331),ISNUMBER(F331)),IF(E331&gt;0,F331/E331-1,"n.m."),"unavail.")</f>
        <v>0.3667695473251029</v>
      </c>
      <c r="G332" s="29">
        <v>-0.05</v>
      </c>
      <c r="H332" s="1"/>
    </row>
    <row r="333">
      <c r="A333" s="44" t="s">
        <v>168</v>
      </c>
      <c r="B333" s="27">
        <f>IF(AND(ISNUMBER(Inputs!B74),ISNUMBER(B331)),IF(Inputs!B74&gt;0,B331/Inputs!B74-1,"n.m."),"unavail.")</f>
        <v>0.15437392795883365</v>
      </c>
      <c r="C333" s="27">
        <f>IF(AND(ISNUMBER(Inputs!C74),ISNUMBER(C331)),IF(Inputs!C74&gt;0,C331/Inputs!C74-1,"n.m."),"unavail.")</f>
        <v>0.2946428571428572</v>
      </c>
      <c r="D333" s="27" t="str">
        <f>IF(AND(ISNUMBER(Inputs!F74),ISNUMBER(D331)),IF(Inputs!F74&gt;0,D331/Inputs!F74-1,"n.m."),"unavail.")</f>
        <v>unavail.</v>
      </c>
      <c r="E333" s="27">
        <f>IF(AND(ISNUMBER(Inputs!D74),ISNUMBER(E331)),IF(Inputs!D74&gt;0,E331/Inputs!D74-1,"n.m."),"unavail.")</f>
        <v>0.3462603878116344</v>
      </c>
      <c r="F333" s="27">
        <f>IF(AND(ISNUMBER(Inputs!E74),ISNUMBER(F331)),IF(Inputs!E74&gt;0,F331/Inputs!E74-1,"n.m."),"unavail.")</f>
        <v>0.2137962539972591</v>
      </c>
      <c r="G333" s="40">
        <f>IF(AND(ISNUMBER(B331),ISNUMBER(G331)),IF(B331&gt;0,G331/B331-1,"n.m."),"unavail.")</f>
        <v>0.2501981178801387</v>
      </c>
      <c r="H333" s="1"/>
    </row>
    <row r="334">
      <c r="A334" s="70" t="s">
        <v>169</v>
      </c>
      <c r="B334" s="20">
        <f>B331-Inputs!E74</f>
        <v>-170</v>
      </c>
      <c r="C334" s="14">
        <f>C331-B331</f>
        <v>156</v>
      </c>
      <c r="D334" s="1"/>
      <c r="E334" s="14">
        <f>E331-C331</f>
        <v>-231</v>
      </c>
      <c r="F334" s="14">
        <f>F331-E331</f>
        <v>713</v>
      </c>
      <c r="G334" s="31">
        <f>G331-F331</f>
        <v>-132.8499999999999</v>
      </c>
      <c r="H334" s="1"/>
    </row>
    <row r="335">
      <c r="A335" s="37" t="s">
        <v>292</v>
      </c>
      <c r="B335" s="25">
        <v>1837</v>
      </c>
      <c r="C335" s="25">
        <v>2179</v>
      </c>
      <c r="D335" s="20">
        <f>Inputs!D75+Inputs!E75+B335+C335</f>
        <v>7406</v>
      </c>
      <c r="E335" s="25">
        <v>1854</v>
      </c>
      <c r="F335" s="25">
        <v>2079</v>
      </c>
      <c r="G335" s="31">
        <f>F335*(1+G336)</f>
        <v>1975.05</v>
      </c>
      <c r="H335" s="1"/>
    </row>
    <row r="336">
      <c r="A336" s="44" t="s">
        <v>167</v>
      </c>
      <c r="B336" s="27">
        <f>IF(AND(ISNUMBER(Inputs!E75),ISNUMBER(B335)),IF(Inputs!E75&gt;0,B335/Inputs!E75-1,"n.m."),"unavail.")</f>
        <v>-0.04123173277661796</v>
      </c>
      <c r="C336" s="34">
        <f>IF(AND(ISNUMBER(B335),ISNUMBER(C335)),IF(B335&gt;0,C335/B335-1,"n.m."),"unavail.")</f>
        <v>0.18617310832879697</v>
      </c>
      <c r="D336" s="1"/>
      <c r="E336" s="34">
        <f>IF(AND(ISNUMBER(C335),ISNUMBER(E335)),IF(C335&gt;0,E335/C335-1,"n.m."),"unavail.")</f>
        <v>-0.14915098669114268</v>
      </c>
      <c r="F336" s="34">
        <f>IF(AND(ISNUMBER(E335),ISNUMBER(F335)),IF(E335&gt;0,F335/E335-1,"n.m."),"unavail.")</f>
        <v>0.12135922330097082</v>
      </c>
      <c r="G336" s="29">
        <v>-0.05</v>
      </c>
      <c r="H336" s="1"/>
    </row>
    <row r="337">
      <c r="A337" s="44" t="s">
        <v>168</v>
      </c>
      <c r="B337" s="27">
        <f>IF(AND(ISNUMBER(Inputs!B75),ISNUMBER(B335)),IF(Inputs!B75&gt;0,B335/Inputs!B75-1,"n.m."),"unavail.")</f>
        <v>0.22140957446808507</v>
      </c>
      <c r="C337" s="27">
        <f>IF(AND(ISNUMBER(Inputs!C75),ISNUMBER(C335)),IF(Inputs!C75&gt;0,C335/Inputs!C75-1,"n.m."),"unavail.")</f>
        <v>0.6249067859806114</v>
      </c>
      <c r="D337" s="27" t="str">
        <f>IF(AND(ISNUMBER(Inputs!F75),ISNUMBER(D335)),IF(Inputs!F75&gt;0,D335/Inputs!F75-1,"n.m."),"unavail.")</f>
        <v>unavail.</v>
      </c>
      <c r="E337" s="27">
        <f>IF(AND(ISNUMBER(Inputs!D75),ISNUMBER(E335)),IF(Inputs!D75&gt;0,E335/Inputs!D75-1,"n.m."),"unavail.")</f>
        <v>0.2578018995929443</v>
      </c>
      <c r="F337" s="27">
        <f>IF(AND(ISNUMBER(Inputs!E75),ISNUMBER(F335)),IF(Inputs!E75&gt;0,F335/Inputs!E75-1,"n.m."),"unavail.")</f>
        <v>0.08507306889352817</v>
      </c>
      <c r="G337" s="40">
        <f>IF(AND(ISNUMBER(B335),ISNUMBER(G335)),IF(B335&gt;0,G335/B335-1,"n.m."),"unavail.")</f>
        <v>0.07514970059880244</v>
      </c>
      <c r="H337" s="1"/>
    </row>
    <row r="338">
      <c r="A338" s="70" t="s">
        <v>169</v>
      </c>
      <c r="B338" s="20">
        <f>B335-Inputs!E75</f>
        <v>-79</v>
      </c>
      <c r="C338" s="14">
        <f>C335-B335</f>
        <v>342</v>
      </c>
      <c r="D338" s="1"/>
      <c r="E338" s="14">
        <f>E335-C335</f>
        <v>-325</v>
      </c>
      <c r="F338" s="14">
        <f>F335-E335</f>
        <v>225</v>
      </c>
      <c r="G338" s="31">
        <f>G335-F335</f>
        <v>-103.95000000000005</v>
      </c>
      <c r="H338" s="1"/>
    </row>
    <row r="339">
      <c r="A339" s="61" t="s">
        <v>293</v>
      </c>
      <c r="B339" s="30">
        <f>B331+B335</f>
        <v>3856</v>
      </c>
      <c r="C339" s="30">
        <f>C331+C335</f>
        <v>4354</v>
      </c>
      <c r="D339" s="30">
        <f>D331+D335</f>
        <v>15233</v>
      </c>
      <c r="E339" s="30">
        <f>E331+E335</f>
        <v>3798</v>
      </c>
      <c r="F339" s="30">
        <f>F331+F335</f>
        <v>4736</v>
      </c>
      <c r="G339" s="38">
        <f>G331+G335</f>
        <v>4499.2</v>
      </c>
      <c r="H339" s="1"/>
    </row>
    <row r="340">
      <c r="A340" s="44" t="s">
        <v>168</v>
      </c>
      <c r="B340" s="27">
        <f>IF(AND(ISNUMBER((Inputs!B74+Inputs!B75)),ISNUMBER(B339)),IF((Inputs!B74+Inputs!B75)&gt;0,B339/(Inputs!B74+Inputs!B75)-1,"n.m."),"unavail.")</f>
        <v>0.18536735321241937</v>
      </c>
      <c r="C340" s="27">
        <f>IF(AND(ISNUMBER((Inputs!C74+Inputs!C75)),ISNUMBER(C339)),IF((Inputs!C74+Inputs!C75)&gt;0,C339/(Inputs!C74+Inputs!C75)-1,"n.m."),"unavail.")</f>
        <v>0.44124462098642825</v>
      </c>
      <c r="D340" s="34" t="str">
        <f>"unavail."</f>
        <v>unavail.</v>
      </c>
      <c r="E340" s="27">
        <f>IF(AND(ISNUMBER((Inputs!D74+Inputs!D75)),ISNUMBER(E339)),IF((Inputs!D74+Inputs!D75)&gt;0,E339/(Inputs!D74+Inputs!D75)-1,"n.m."),"unavail.")</f>
        <v>0.301576422206991</v>
      </c>
      <c r="F340" s="27">
        <f>IF(AND(ISNUMBER((Inputs!E74+Inputs!E75)),ISNUMBER(F339)),IF((Inputs!E74+Inputs!E75)&gt;0,F339/(Inputs!E74+Inputs!E75)-1,"n.m."),"unavail.")</f>
        <v>0.15371498172959797</v>
      </c>
      <c r="G340" s="40">
        <f>IF(AND(ISNUMBER(B339),ISNUMBER(G339)),IF(B339&gt;0,G339/B339-1,"n.m."),"unavail.")</f>
        <v>0.16680497925311188</v>
      </c>
      <c r="H340" s="1"/>
    </row>
    <row r="341">
      <c r="A341" s="70" t="s">
        <v>169</v>
      </c>
      <c r="B341" s="20">
        <f>B339-(Inputs!E74+Inputs!E75)</f>
        <v>-249</v>
      </c>
      <c r="C341" s="14">
        <f>C339-B339</f>
        <v>498</v>
      </c>
      <c r="D341" s="1"/>
      <c r="E341" s="14">
        <f>E339-C339</f>
        <v>-556</v>
      </c>
      <c r="F341" s="14">
        <f>F339-E339</f>
        <v>938</v>
      </c>
      <c r="G341" s="31">
        <f>G339-F339</f>
        <v>-236.80000000000018</v>
      </c>
      <c r="H341" s="1"/>
    </row>
    <row r="342">
      <c r="A342" s="37" t="s">
        <v>294</v>
      </c>
      <c r="B342" s="25">
        <v>2379</v>
      </c>
      <c r="C342" s="25">
        <v>2748</v>
      </c>
      <c r="D342" s="20">
        <f>Inputs!D76+Inputs!E76+B342+C342</f>
        <v>9529</v>
      </c>
      <c r="E342" s="25">
        <v>2415</v>
      </c>
      <c r="F342" s="25">
        <v>2676</v>
      </c>
      <c r="G342" s="31">
        <f>G339*F342/F339</f>
        <v>2542.2</v>
      </c>
      <c r="H342" s="1"/>
    </row>
    <row r="343">
      <c r="A343" s="37" t="s">
        <v>295</v>
      </c>
      <c r="B343" s="14">
        <f>B339-B342</f>
        <v>1477</v>
      </c>
      <c r="C343" s="14">
        <f>C339-C342</f>
        <v>1606</v>
      </c>
      <c r="D343" s="14">
        <f>D339-D342</f>
        <v>5704</v>
      </c>
      <c r="E343" s="14">
        <f>E339-E342</f>
        <v>1383</v>
      </c>
      <c r="F343" s="14">
        <f>F339-F342</f>
        <v>2060</v>
      </c>
      <c r="G343" s="31">
        <f>G339-G342</f>
        <v>1957</v>
      </c>
      <c r="H343" s="1"/>
    </row>
    <row r="344">
      <c r="A344" s="44" t="s">
        <v>296</v>
      </c>
      <c r="B344" s="34">
        <f>B342/B339</f>
        <v>0.6169605809128631</v>
      </c>
      <c r="C344" s="34">
        <f>C342/C339</f>
        <v>0.6311437758383096</v>
      </c>
      <c r="D344" s="34">
        <f>D342/D339</f>
        <v>0.6255497932121052</v>
      </c>
      <c r="E344" s="34">
        <f>E342/E339</f>
        <v>0.6358609794628752</v>
      </c>
      <c r="F344" s="34">
        <f>F342/F339</f>
        <v>0.5650337837837838</v>
      </c>
      <c r="G344" s="40">
        <f>G342/G339</f>
        <v>0.5650337837837838</v>
      </c>
      <c r="H344" s="1"/>
    </row>
    <row r="345">
      <c r="A345" s="84" t="s">
        <v>204</v>
      </c>
      <c r="B345" s="24">
        <f>IFERROR((B344-(Inputs!E76/(Inputs!E74+Inputs!E75)))*10000,"unavail.")</f>
        <v>113.57657648551233</v>
      </c>
      <c r="C345" s="26">
        <f>IFERROR((C344-B344)*10000,"unavail.")</f>
        <v>141.8319492544651</v>
      </c>
      <c r="D345" s="1"/>
      <c r="E345" s="26">
        <f>IFERROR((E344-C344)*10000,"unavail.")</f>
        <v>47.172036245656244</v>
      </c>
      <c r="F345" s="26">
        <f>IFERROR((F344-E344)*10000,"unavail.")</f>
        <v>-708.2719567909146</v>
      </c>
      <c r="G345" s="39">
        <f>IFERROR((G344-F344)*10000,"unavail.")</f>
        <v>0</v>
      </c>
      <c r="H345" s="1"/>
    </row>
    <row r="346">
      <c r="A346" s="84" t="s">
        <v>173</v>
      </c>
      <c r="B346" s="24">
        <f>IFERROR((B344-(Inputs!B76/(Inputs!B74+Inputs!B75)))*10000,"unavail.")</f>
        <v>-433.52975804013647</v>
      </c>
      <c r="C346" s="24">
        <f>IFERROR((C344-(Inputs!C76/(Inputs!C74+Inputs!C75)))*10000,"unavail.")</f>
        <v>-136.75820321902287</v>
      </c>
      <c r="D346" s="26" t="str">
        <f>"unavail."</f>
        <v>unavail.</v>
      </c>
      <c r="E346" s="24">
        <f>IFERROR((E344-(Inputs!D76/(Inputs!D74+Inputs!D75)))*10000,"unavail.")</f>
        <v>-207.5313979689175</v>
      </c>
      <c r="F346" s="24">
        <f>IFERROR((F344-(Inputs!E76/(Inputs!E74+Inputs!E75)))*10000,"unavail.")</f>
        <v>-405.69139480528094</v>
      </c>
      <c r="G346" s="39">
        <f>IFERROR((G344-B344)*10000,"unavail.")</f>
        <v>-519.2679712907933</v>
      </c>
      <c r="H346" s="1"/>
    </row>
    <row r="347">
      <c r="A347" s="37" t="s">
        <v>297</v>
      </c>
      <c r="B347" s="25">
        <v>49</v>
      </c>
      <c r="C347" s="25">
        <v>52</v>
      </c>
      <c r="D347" s="1"/>
      <c r="E347" s="25">
        <v>42</v>
      </c>
      <c r="F347" s="25">
        <v>42</v>
      </c>
      <c r="G347" s="41"/>
      <c r="H347" s="23" t="s">
        <v>215</v>
      </c>
    </row>
    <row r="348">
      <c r="A348" s="32" t="s">
        <v>216</v>
      </c>
      <c r="B348" s="35">
        <f>ROUND(B330-B347,6)</f>
        <v>0</v>
      </c>
      <c r="C348" s="35">
        <f>ROUND(C330-C347,6)</f>
        <v>0</v>
      </c>
      <c r="D348" s="1"/>
      <c r="E348" s="35">
        <f>ROUND(E330-E347,6)</f>
        <v>0</v>
      </c>
      <c r="F348" s="35">
        <f>ROUND(F330-F347,6)</f>
        <v>0</v>
      </c>
      <c r="G348" s="41"/>
      <c r="H348" s="1"/>
    </row>
    <row r="349">
      <c r="A349" s="83" t="s">
        <v>298</v>
      </c>
      <c r="B349" s="1"/>
      <c r="C349" s="1"/>
      <c r="D349" s="1"/>
      <c r="E349" s="1"/>
      <c r="F349" s="1"/>
      <c r="G349" s="41"/>
      <c r="H349" s="1"/>
    </row>
    <row r="350">
      <c r="A350" s="1" t="s">
        <v>299</v>
      </c>
      <c r="B350" s="25">
        <v>112</v>
      </c>
      <c r="C350" s="25">
        <v>112</v>
      </c>
      <c r="D350" s="20">
        <f>Inputs!D77+Inputs!E77+B350+C350</f>
        <v>444</v>
      </c>
      <c r="E350" s="25">
        <v>112</v>
      </c>
      <c r="F350" s="25">
        <v>117</v>
      </c>
      <c r="G350" s="51">
        <v>118</v>
      </c>
      <c r="H350" s="23" t="s">
        <v>300</v>
      </c>
    </row>
    <row r="351">
      <c r="A351" s="32" t="s">
        <v>125</v>
      </c>
      <c r="B351" s="27">
        <f>IF(AND(ISNUMBER(Inputs!E77),ISNUMBER(B350)),IF(Inputs!E77&gt;0,B350/Inputs!E77-1,"n.m."),"unavail.")</f>
        <v>0.009009009009008917</v>
      </c>
      <c r="C351" s="34">
        <f>IF(AND(ISNUMBER(B350),ISNUMBER(C350)),IF(B350&gt;0,C350/B350-1,"n.m."),"unavail.")</f>
        <v>0</v>
      </c>
      <c r="D351" s="1"/>
      <c r="E351" s="34">
        <f>IF(AND(ISNUMBER(C350),ISNUMBER(E350)),IF(C350&gt;0,E350/C350-1,"n.m."),"unavail.")</f>
        <v>0</v>
      </c>
      <c r="F351" s="34">
        <f>IF(AND(ISNUMBER(E350),ISNUMBER(F350)),IF(E350&gt;0,F350/E350-1,"n.m."),"unavail.")</f>
        <v>0.044642857142857206</v>
      </c>
      <c r="G351" s="40">
        <f>IF(AND(ISNUMBER(F350),ISNUMBER(G350)),IF(F350&gt;0,G350/F350-1,"n.m."),"unavail.")</f>
        <v>0.008547008547008517</v>
      </c>
      <c r="H351" s="1"/>
    </row>
    <row r="352">
      <c r="A352" s="37" t="s">
        <v>169</v>
      </c>
      <c r="B352" s="20">
        <f>B350-Inputs!E77</f>
        <v>1</v>
      </c>
      <c r="C352" s="14">
        <f>C350-B350</f>
        <v>0</v>
      </c>
      <c r="D352" s="1"/>
      <c r="E352" s="14">
        <f>E350-C350</f>
        <v>0</v>
      </c>
      <c r="F352" s="14">
        <f>F350-E350</f>
        <v>5</v>
      </c>
      <c r="G352" s="31">
        <f>G350-F350</f>
        <v>1</v>
      </c>
      <c r="H352" s="1"/>
    </row>
    <row r="353">
      <c r="A353" s="32" t="s">
        <v>127</v>
      </c>
      <c r="B353" s="27">
        <f>IF(AND(ISNUMBER(Inputs!B77),ISNUMBER(B350)),IF(Inputs!B77&gt;0,B350/Inputs!B77-1,"n.m."),"unavail.")</f>
        <v>0.02752293577981657</v>
      </c>
      <c r="C353" s="27">
        <f>IF(AND(ISNUMBER(Inputs!C77),ISNUMBER(C350)),IF(Inputs!C77&gt;0,C350/Inputs!C77-1,"n.m."),"unavail.")</f>
        <v>0.02752293577981657</v>
      </c>
      <c r="D353" s="27">
        <f>IF(AND(ISNUMBER(Inputs!F77),ISNUMBER(D350)),IF(Inputs!F77&gt;0,D350/Inputs!F77-1,"n.m."),"unavail.")</f>
        <v>0.05714285714285716</v>
      </c>
      <c r="E353" s="27">
        <f>IF(AND(ISNUMBER(Inputs!D77),ISNUMBER(E350)),IF(Inputs!D77&gt;0,E350/Inputs!D77-1,"n.m."),"unavail.")</f>
        <v>0.02752293577981657</v>
      </c>
      <c r="F353" s="27">
        <f>IF(AND(ISNUMBER(Inputs!E77),ISNUMBER(F350)),IF(Inputs!E77&gt;0,F350/Inputs!E77-1,"n.m."),"unavail.")</f>
        <v>0.054054054054053946</v>
      </c>
      <c r="G353" s="40">
        <f>IF(AND(ISNUMBER(B350),ISNUMBER(G350)),IF(B350&gt;0,G350/B350-1,"n.m."),"unavail.")</f>
        <v>0.0535714285714286</v>
      </c>
      <c r="H353" s="1"/>
    </row>
    <row r="354">
      <c r="A354" s="32" t="s">
        <v>128</v>
      </c>
      <c r="B354" s="33">
        <v>0</v>
      </c>
      <c r="C354" s="33">
        <v>0</v>
      </c>
      <c r="D354" s="33">
        <v>0</v>
      </c>
      <c r="E354" s="33">
        <v>0</v>
      </c>
      <c r="F354" s="33">
        <v>0</v>
      </c>
      <c r="G354" s="29">
        <v>0</v>
      </c>
      <c r="H354" s="23" t="s">
        <v>129</v>
      </c>
    </row>
    <row r="355">
      <c r="A355" s="32" t="s">
        <v>130</v>
      </c>
      <c r="B355" s="33">
        <v>0</v>
      </c>
      <c r="C355" s="33">
        <v>0</v>
      </c>
      <c r="D355" s="33">
        <v>0</v>
      </c>
      <c r="E355" s="33">
        <v>0</v>
      </c>
      <c r="F355" s="33">
        <v>0</v>
      </c>
      <c r="G355" s="29">
        <v>0</v>
      </c>
      <c r="H355" s="23" t="s">
        <v>131</v>
      </c>
    </row>
    <row r="356">
      <c r="A356" s="32" t="s">
        <v>132</v>
      </c>
      <c r="B356" s="34">
        <f>IF(AND(ISNUMBER(B353),ISNUMBER(B354),ISNUMBER(B355)),(1+B353)/((1+B354)*(1+B355))-1,"unavail.")</f>
        <v>0.02752293577981657</v>
      </c>
      <c r="C356" s="34">
        <f>IF(AND(ISNUMBER(C353),ISNUMBER(C354),ISNUMBER(C355)),(1+C353)/((1+C354)*(1+C355))-1,"unavail.")</f>
        <v>0.02752293577981657</v>
      </c>
      <c r="D356" s="34">
        <f>IF(AND(ISNUMBER(D353),ISNUMBER(D354),ISNUMBER(D355)),(1+D353)/((1+D354)*(1+D355))-1,"unavail.")</f>
        <v>0.05714285714285716</v>
      </c>
      <c r="E356" s="34">
        <f>IF(AND(ISNUMBER(E353),ISNUMBER(E354),ISNUMBER(E355)),(1+E353)/((1+E354)*(1+E355))-1,"unavail.")</f>
        <v>0.02752293577981657</v>
      </c>
      <c r="F356" s="34">
        <f>IF(AND(ISNUMBER(F353),ISNUMBER(F354),ISNUMBER(F355)),(1+F353)/((1+F354)*(1+F355))-1,"unavail.")</f>
        <v>0.054054054054053946</v>
      </c>
      <c r="G356" s="40">
        <f>IF(AND(ISNUMBER(G353),ISNUMBER(G354),ISNUMBER(G355)),(1+G353)/((1+G354)*(1+G355))-1,"unavail.")</f>
        <v>0.0535714285714286</v>
      </c>
      <c r="H356" s="23" t="s">
        <v>133</v>
      </c>
    </row>
    <row r="357">
      <c r="A357" s="1" t="s">
        <v>301</v>
      </c>
      <c r="B357" s="25">
        <v>166</v>
      </c>
      <c r="C357" s="25">
        <v>140</v>
      </c>
      <c r="D357" s="20">
        <f>Inputs!D78+Inputs!E78+B357+C357</f>
        <v>511</v>
      </c>
      <c r="E357" s="25">
        <v>134</v>
      </c>
      <c r="F357" s="25">
        <v>153</v>
      </c>
      <c r="G357" s="51">
        <v>150</v>
      </c>
      <c r="H357" s="23" t="s">
        <v>302</v>
      </c>
    </row>
    <row r="358">
      <c r="A358" s="32" t="s">
        <v>125</v>
      </c>
      <c r="B358" s="27">
        <f>IF(AND(ISNUMBER(Inputs!E78),ISNUMBER(B357)),IF(Inputs!E78&gt;0,B357/Inputs!E78-1,"n.m."),"unavail.")</f>
        <v>0.5809523809523809</v>
      </c>
      <c r="C358" s="34">
        <f>IF(AND(ISNUMBER(B357),ISNUMBER(C357)),IF(B357&gt;0,C357/B357-1,"n.m."),"unavail.")</f>
        <v>-0.15662650602409633</v>
      </c>
      <c r="D358" s="1"/>
      <c r="E358" s="34">
        <f>IF(AND(ISNUMBER(C357),ISNUMBER(E357)),IF(C357&gt;0,E357/C357-1,"n.m."),"unavail.")</f>
        <v>-0.042857142857142816</v>
      </c>
      <c r="F358" s="34">
        <f>IF(AND(ISNUMBER(E357),ISNUMBER(F357)),IF(E357&gt;0,F357/E357-1,"n.m."),"unavail.")</f>
        <v>0.14179104477611948</v>
      </c>
      <c r="G358" s="40">
        <f>IF(AND(ISNUMBER(F357),ISNUMBER(G357)),IF(F357&gt;0,G357/F357-1,"n.m."),"unavail.")</f>
        <v>-0.019607843137254943</v>
      </c>
      <c r="H358" s="1"/>
    </row>
    <row r="359">
      <c r="A359" s="37" t="s">
        <v>169</v>
      </c>
      <c r="B359" s="20">
        <f>B357-Inputs!E78</f>
        <v>61</v>
      </c>
      <c r="C359" s="14">
        <f>C357-B357</f>
        <v>-26</v>
      </c>
      <c r="D359" s="1"/>
      <c r="E359" s="14">
        <f>E357-C357</f>
        <v>-6</v>
      </c>
      <c r="F359" s="14">
        <f>F357-E357</f>
        <v>19</v>
      </c>
      <c r="G359" s="31">
        <f>G357-F357</f>
        <v>-3</v>
      </c>
      <c r="H359" s="1"/>
    </row>
    <row r="360">
      <c r="A360" s="32" t="s">
        <v>127</v>
      </c>
      <c r="B360" s="27">
        <f>IF(AND(ISNUMBER(Inputs!B78),ISNUMBER(B357)),IF(Inputs!B78&gt;0,B357/Inputs!B78-1,"n.m."),"unavail.")</f>
        <v>0.7659574468085106</v>
      </c>
      <c r="C360" s="27">
        <f>IF(AND(ISNUMBER(Inputs!C78),ISNUMBER(C357)),IF(Inputs!C78&gt;0,C357/Inputs!C78-1,"n.m."),"unavail.")</f>
        <v>0.15702479338842967</v>
      </c>
      <c r="D360" s="27">
        <f>IF(AND(ISNUMBER(Inputs!F78),ISNUMBER(D357)),IF(Inputs!F78&gt;0,D357/Inputs!F78-1,"n.m."),"unavail.")</f>
        <v>0.09421841541755893</v>
      </c>
      <c r="E360" s="27">
        <f>IF(AND(ISNUMBER(Inputs!D78),ISNUMBER(E357)),IF(Inputs!D78&gt;0,E357/Inputs!D78-1,"n.m."),"unavail.")</f>
        <v>0.3400000000000001</v>
      </c>
      <c r="F360" s="27">
        <f>IF(AND(ISNUMBER(Inputs!E78),ISNUMBER(F357)),IF(Inputs!E78&gt;0,F357/Inputs!E78-1,"n.m."),"unavail.")</f>
        <v>0.4571428571428571</v>
      </c>
      <c r="G360" s="40">
        <f>IF(AND(ISNUMBER(B357),ISNUMBER(G357)),IF(B357&gt;0,G357/B357-1,"n.m."),"unavail.")</f>
        <v>-0.09638554216867468</v>
      </c>
      <c r="H360" s="1"/>
    </row>
    <row r="361">
      <c r="A361" s="32" t="s">
        <v>128</v>
      </c>
      <c r="B361" s="33">
        <v>0</v>
      </c>
      <c r="C361" s="33">
        <v>0</v>
      </c>
      <c r="D361" s="33">
        <v>0</v>
      </c>
      <c r="E361" s="33">
        <v>0</v>
      </c>
      <c r="F361" s="33">
        <v>0</v>
      </c>
      <c r="G361" s="29">
        <v>0</v>
      </c>
      <c r="H361" s="23" t="s">
        <v>129</v>
      </c>
    </row>
    <row r="362">
      <c r="A362" s="32" t="s">
        <v>130</v>
      </c>
      <c r="B362" s="33">
        <v>0</v>
      </c>
      <c r="C362" s="33">
        <v>0</v>
      </c>
      <c r="D362" s="33">
        <v>0</v>
      </c>
      <c r="E362" s="33">
        <v>0</v>
      </c>
      <c r="F362" s="33">
        <v>0</v>
      </c>
      <c r="G362" s="29">
        <v>0</v>
      </c>
      <c r="H362" s="23" t="s">
        <v>131</v>
      </c>
    </row>
    <row r="363">
      <c r="A363" s="32" t="s">
        <v>132</v>
      </c>
      <c r="B363" s="34">
        <f>IF(AND(ISNUMBER(B360),ISNUMBER(B361),ISNUMBER(B362)),(1+B360)/((1+B361)*(1+B362))-1,"unavail.")</f>
        <v>0.7659574468085106</v>
      </c>
      <c r="C363" s="34">
        <f>IF(AND(ISNUMBER(C360),ISNUMBER(C361),ISNUMBER(C362)),(1+C360)/((1+C361)*(1+C362))-1,"unavail.")</f>
        <v>0.15702479338842967</v>
      </c>
      <c r="D363" s="34">
        <f>IF(AND(ISNUMBER(D360),ISNUMBER(D361),ISNUMBER(D362)),(1+D360)/((1+D361)*(1+D362))-1,"unavail.")</f>
        <v>0.09421841541755893</v>
      </c>
      <c r="E363" s="34">
        <f>IF(AND(ISNUMBER(E360),ISNUMBER(E361),ISNUMBER(E362)),(1+E360)/((1+E361)*(1+E362))-1,"unavail.")</f>
        <v>0.3400000000000001</v>
      </c>
      <c r="F363" s="34">
        <f>IF(AND(ISNUMBER(F360),ISNUMBER(F361),ISNUMBER(F362)),(1+F360)/((1+F361)*(1+F362))-1,"unavail.")</f>
        <v>0.4571428571428571</v>
      </c>
      <c r="G363" s="40">
        <f>IF(AND(ISNUMBER(G360),ISNUMBER(G361),ISNUMBER(G362)),(1+G360)/((1+G361)*(1+G362))-1,"unavail.")</f>
        <v>-0.09638554216867468</v>
      </c>
      <c r="H363" s="23" t="s">
        <v>133</v>
      </c>
    </row>
    <row r="364">
      <c r="A364" s="1" t="s">
        <v>303</v>
      </c>
      <c r="B364" s="25">
        <v>93</v>
      </c>
      <c r="C364" s="25">
        <v>98</v>
      </c>
      <c r="D364" s="20">
        <f>Inputs!D79+Inputs!E79+B364+C364</f>
        <v>360</v>
      </c>
      <c r="E364" s="25">
        <v>100</v>
      </c>
      <c r="F364" s="25">
        <v>102</v>
      </c>
      <c r="G364" s="51">
        <v>105</v>
      </c>
      <c r="H364" s="23" t="s">
        <v>304</v>
      </c>
    </row>
    <row r="365">
      <c r="A365" s="32" t="s">
        <v>125</v>
      </c>
      <c r="B365" s="27">
        <f>IF(AND(ISNUMBER(Inputs!E79),ISNUMBER(B364)),IF(Inputs!E79&gt;0,B364/Inputs!E79-1,"n.m."),"unavail.")</f>
        <v>0.05681818181818188</v>
      </c>
      <c r="C365" s="34">
        <f>IF(AND(ISNUMBER(B364),ISNUMBER(C364)),IF(B364&gt;0,C364/B364-1,"n.m."),"unavail.")</f>
        <v>0.053763440860215006</v>
      </c>
      <c r="D365" s="1"/>
      <c r="E365" s="34">
        <f>IF(AND(ISNUMBER(C364),ISNUMBER(E364)),IF(C364&gt;0,E364/C364-1,"n.m."),"unavail.")</f>
        <v>0.020408163265306145</v>
      </c>
      <c r="F365" s="34">
        <f>IF(AND(ISNUMBER(E364),ISNUMBER(F364)),IF(E364&gt;0,F364/E364-1,"n.m."),"unavail.")</f>
        <v>0.020000000000000018</v>
      </c>
      <c r="G365" s="40">
        <f>IF(AND(ISNUMBER(F364),ISNUMBER(G364)),IF(F364&gt;0,G364/F364-1,"n.m."),"unavail.")</f>
        <v>0.02941176470588225</v>
      </c>
      <c r="H365" s="1"/>
    </row>
    <row r="366">
      <c r="A366" s="37" t="s">
        <v>169</v>
      </c>
      <c r="B366" s="20">
        <f>B364-Inputs!E79</f>
        <v>5</v>
      </c>
      <c r="C366" s="14">
        <f>C364-B364</f>
        <v>5</v>
      </c>
      <c r="D366" s="1"/>
      <c r="E366" s="14">
        <f>E364-C364</f>
        <v>2</v>
      </c>
      <c r="F366" s="14">
        <f>F364-E364</f>
        <v>2</v>
      </c>
      <c r="G366" s="31">
        <f>G364-F364</f>
        <v>3</v>
      </c>
      <c r="H366" s="1"/>
    </row>
    <row r="367">
      <c r="A367" s="32" t="s">
        <v>127</v>
      </c>
      <c r="B367" s="27">
        <f>IF(AND(ISNUMBER(Inputs!B79),ISNUMBER(B364)),IF(Inputs!B79&gt;0,B364/Inputs!B79-1,"n.m."),"unavail.")</f>
        <v>0.2236842105263157</v>
      </c>
      <c r="C367" s="27">
        <f>IF(AND(ISNUMBER(Inputs!C79),ISNUMBER(C364)),IF(Inputs!C79&gt;0,C364/Inputs!C79-1,"n.m."),"unavail.")</f>
        <v>0.30666666666666664</v>
      </c>
      <c r="D367" s="27">
        <f>IF(AND(ISNUMBER(Inputs!F79),ISNUMBER(D364)),IF(Inputs!F79&gt;0,D364/Inputs!F79-1,"n.m."),"unavail.")</f>
        <v>0.22448979591836737</v>
      </c>
      <c r="E367" s="27">
        <f>IF(AND(ISNUMBER(Inputs!D79),ISNUMBER(E364)),IF(Inputs!D79&gt;0,E364/Inputs!D79-1,"n.m."),"unavail.")</f>
        <v>0.23456790123456783</v>
      </c>
      <c r="F367" s="27">
        <f>IF(AND(ISNUMBER(Inputs!E79),ISNUMBER(F364)),IF(Inputs!E79&gt;0,F364/Inputs!E79-1,"n.m."),"unavail.")</f>
        <v>0.15909090909090917</v>
      </c>
      <c r="G367" s="40">
        <f>IF(AND(ISNUMBER(B364),ISNUMBER(G364)),IF(B364&gt;0,G364/B364-1,"n.m."),"unavail.")</f>
        <v>0.12903225806451624</v>
      </c>
      <c r="H367" s="1"/>
    </row>
    <row r="368">
      <c r="A368" s="32" t="s">
        <v>128</v>
      </c>
      <c r="B368" s="33">
        <v>0</v>
      </c>
      <c r="C368" s="33">
        <v>0</v>
      </c>
      <c r="D368" s="33">
        <v>0</v>
      </c>
      <c r="E368" s="33">
        <v>0</v>
      </c>
      <c r="F368" s="33">
        <v>0</v>
      </c>
      <c r="G368" s="29">
        <v>0</v>
      </c>
      <c r="H368" s="23" t="s">
        <v>129</v>
      </c>
    </row>
    <row r="369">
      <c r="A369" s="32" t="s">
        <v>130</v>
      </c>
      <c r="B369" s="33">
        <v>0</v>
      </c>
      <c r="C369" s="33">
        <v>0</v>
      </c>
      <c r="D369" s="33">
        <v>0</v>
      </c>
      <c r="E369" s="33">
        <v>0</v>
      </c>
      <c r="F369" s="33">
        <v>0</v>
      </c>
      <c r="G369" s="29">
        <v>0</v>
      </c>
      <c r="H369" s="23" t="s">
        <v>131</v>
      </c>
    </row>
    <row r="370">
      <c r="A370" s="32" t="s">
        <v>132</v>
      </c>
      <c r="B370" s="34">
        <f>IF(AND(ISNUMBER(B367),ISNUMBER(B368),ISNUMBER(B369)),(1+B367)/((1+B368)*(1+B369))-1,"unavail.")</f>
        <v>0.2236842105263157</v>
      </c>
      <c r="C370" s="34">
        <f>IF(AND(ISNUMBER(C367),ISNUMBER(C368),ISNUMBER(C369)),(1+C367)/((1+C368)*(1+C369))-1,"unavail.")</f>
        <v>0.30666666666666664</v>
      </c>
      <c r="D370" s="34">
        <f>IF(AND(ISNUMBER(D367),ISNUMBER(D368),ISNUMBER(D369)),(1+D367)/((1+D368)*(1+D369))-1,"unavail.")</f>
        <v>0.22448979591836737</v>
      </c>
      <c r="E370" s="34">
        <f>IF(AND(ISNUMBER(E367),ISNUMBER(E368),ISNUMBER(E369)),(1+E367)/((1+E368)*(1+E369))-1,"unavail.")</f>
        <v>0.23456790123456783</v>
      </c>
      <c r="F370" s="34">
        <f>IF(AND(ISNUMBER(F367),ISNUMBER(F368),ISNUMBER(F369)),(1+F367)/((1+F368)*(1+F369))-1,"unavail.")</f>
        <v>0.15909090909090917</v>
      </c>
      <c r="G370" s="40">
        <f>IF(AND(ISNUMBER(G367),ISNUMBER(G368),ISNUMBER(G369)),(1+G367)/((1+G368)*(1+G369))-1,"unavail.")</f>
        <v>0.12903225806451624</v>
      </c>
      <c r="H370" s="23" t="s">
        <v>133</v>
      </c>
    </row>
    <row r="371">
      <c r="A371" s="1" t="s">
        <v>305</v>
      </c>
      <c r="B371" s="25">
        <v>87</v>
      </c>
      <c r="C371" s="25">
        <v>86</v>
      </c>
      <c r="D371" s="20">
        <f>Inputs!D80+Inputs!E80+B371+C371</f>
        <v>346</v>
      </c>
      <c r="E371" s="25">
        <v>83</v>
      </c>
      <c r="F371" s="25">
        <v>89</v>
      </c>
      <c r="G371" s="51">
        <v>90</v>
      </c>
      <c r="H371" s="23" t="s">
        <v>306</v>
      </c>
    </row>
    <row r="372">
      <c r="A372" s="32" t="s">
        <v>125</v>
      </c>
      <c r="B372" s="27">
        <f>IF(AND(ISNUMBER(Inputs!E80),ISNUMBER(B371)),IF(Inputs!E80&gt;0,B371/Inputs!E80-1,"n.m."),"unavail.")</f>
        <v>-0.033333333333333326</v>
      </c>
      <c r="C372" s="34">
        <f>IF(AND(ISNUMBER(B371),ISNUMBER(C371)),IF(B371&gt;0,C371/B371-1,"n.m."),"unavail.")</f>
        <v>-0.011494252873563204</v>
      </c>
      <c r="D372" s="1"/>
      <c r="E372" s="34">
        <f>IF(AND(ISNUMBER(C371),ISNUMBER(E371)),IF(C371&gt;0,E371/C371-1,"n.m."),"unavail.")</f>
        <v>-0.03488372093023251</v>
      </c>
      <c r="F372" s="34">
        <f>IF(AND(ISNUMBER(E371),ISNUMBER(F371)),IF(E371&gt;0,F371/E371-1,"n.m."),"unavail.")</f>
        <v>0.07228915662650603</v>
      </c>
      <c r="G372" s="40">
        <f>IF(AND(ISNUMBER(F371),ISNUMBER(G371)),IF(F371&gt;0,G371/F371-1,"n.m."),"unavail.")</f>
        <v>0.011235955056179803</v>
      </c>
      <c r="H372" s="1"/>
    </row>
    <row r="373">
      <c r="A373" s="37" t="s">
        <v>169</v>
      </c>
      <c r="B373" s="20">
        <f>B371-Inputs!E80</f>
        <v>-3</v>
      </c>
      <c r="C373" s="14">
        <f>C371-B371</f>
        <v>-1</v>
      </c>
      <c r="D373" s="1"/>
      <c r="E373" s="14">
        <f>E371-C371</f>
        <v>-3</v>
      </c>
      <c r="F373" s="14">
        <f>F371-E371</f>
        <v>6</v>
      </c>
      <c r="G373" s="31">
        <f>G371-F371</f>
        <v>1</v>
      </c>
      <c r="H373" s="1"/>
    </row>
    <row r="374">
      <c r="A374" s="32" t="s">
        <v>127</v>
      </c>
      <c r="B374" s="27">
        <f>IF(AND(ISNUMBER(Inputs!B80),ISNUMBER(B371)),IF(Inputs!B80&gt;0,B371/Inputs!B80-1,"n.m."),"unavail.")</f>
        <v>-0.06451612903225812</v>
      </c>
      <c r="C374" s="27">
        <f>IF(AND(ISNUMBER(Inputs!C80),ISNUMBER(C371)),IF(Inputs!C80&gt;0,C371/Inputs!C80-1,"n.m."),"unavail.")</f>
        <v>-0.11340206185567014</v>
      </c>
      <c r="D374" s="27">
        <f>IF(AND(ISNUMBER(Inputs!F80),ISNUMBER(D371)),IF(Inputs!F80&gt;0,D371/Inputs!F80-1,"n.m."),"unavail.")</f>
        <v>-0.05978260869565222</v>
      </c>
      <c r="E374" s="27">
        <f>IF(AND(ISNUMBER(Inputs!D80),ISNUMBER(E371)),IF(Inputs!D80&gt;0,E371/Inputs!D80-1,"n.m."),"unavail.")</f>
        <v>0</v>
      </c>
      <c r="F374" s="27">
        <f>IF(AND(ISNUMBER(Inputs!E80),ISNUMBER(F371)),IF(Inputs!E80&gt;0,F371/Inputs!E80-1,"n.m."),"unavail.")</f>
        <v>-0.011111111111111072</v>
      </c>
      <c r="G374" s="40">
        <f>IF(AND(ISNUMBER(B371),ISNUMBER(G371)),IF(B371&gt;0,G371/B371-1,"n.m."),"unavail.")</f>
        <v>0.034482758620689724</v>
      </c>
      <c r="H374" s="1"/>
    </row>
    <row r="375">
      <c r="A375" s="32" t="s">
        <v>128</v>
      </c>
      <c r="B375" s="33">
        <v>0</v>
      </c>
      <c r="C375" s="33">
        <v>0</v>
      </c>
      <c r="D375" s="33">
        <v>0</v>
      </c>
      <c r="E375" s="33">
        <v>0</v>
      </c>
      <c r="F375" s="33">
        <v>0</v>
      </c>
      <c r="G375" s="29">
        <v>0</v>
      </c>
      <c r="H375" s="23" t="s">
        <v>129</v>
      </c>
    </row>
    <row r="376">
      <c r="A376" s="32" t="s">
        <v>130</v>
      </c>
      <c r="B376" s="33">
        <v>0</v>
      </c>
      <c r="C376" s="33">
        <v>0</v>
      </c>
      <c r="D376" s="33">
        <v>0</v>
      </c>
      <c r="E376" s="33">
        <v>0</v>
      </c>
      <c r="F376" s="33">
        <v>0</v>
      </c>
      <c r="G376" s="29">
        <v>0</v>
      </c>
      <c r="H376" s="23" t="s">
        <v>131</v>
      </c>
    </row>
    <row r="377">
      <c r="A377" s="32" t="s">
        <v>132</v>
      </c>
      <c r="B377" s="34">
        <f>IF(AND(ISNUMBER(B374),ISNUMBER(B375),ISNUMBER(B376)),(1+B374)/((1+B375)*(1+B376))-1,"unavail.")</f>
        <v>-0.06451612903225812</v>
      </c>
      <c r="C377" s="34">
        <f>IF(AND(ISNUMBER(C374),ISNUMBER(C375),ISNUMBER(C376)),(1+C374)/((1+C375)*(1+C376))-1,"unavail.")</f>
        <v>-0.11340206185567014</v>
      </c>
      <c r="D377" s="34">
        <f>IF(AND(ISNUMBER(D374),ISNUMBER(D375),ISNUMBER(D376)),(1+D374)/((1+D375)*(1+D376))-1,"unavail.")</f>
        <v>-0.05978260869565222</v>
      </c>
      <c r="E377" s="34">
        <f>IF(AND(ISNUMBER(E374),ISNUMBER(E375),ISNUMBER(E376)),(1+E374)/((1+E375)*(1+E376))-1,"unavail.")</f>
        <v>0</v>
      </c>
      <c r="F377" s="34">
        <f>IF(AND(ISNUMBER(F374),ISNUMBER(F375),ISNUMBER(F376)),(1+F374)/((1+F375)*(1+F376))-1,"unavail.")</f>
        <v>-0.011111111111111072</v>
      </c>
      <c r="G377" s="40">
        <f>IF(AND(ISNUMBER(G374),ISNUMBER(G375),ISNUMBER(G376)),(1+G374)/((1+G375)*(1+G376))-1,"unavail.")</f>
        <v>0.034482758620689724</v>
      </c>
      <c r="H377" s="23" t="s">
        <v>133</v>
      </c>
    </row>
    <row r="378">
      <c r="A378" s="1" t="s">
        <v>307</v>
      </c>
      <c r="B378" s="14">
        <f>B330</f>
        <v>49</v>
      </c>
      <c r="C378" s="14">
        <f>C330</f>
        <v>52</v>
      </c>
      <c r="D378" s="14">
        <f>D330</f>
        <v>233</v>
      </c>
      <c r="E378" s="14">
        <f>E330</f>
        <v>42</v>
      </c>
      <c r="F378" s="14">
        <f>F330</f>
        <v>42</v>
      </c>
      <c r="G378" s="31">
        <f>G330</f>
        <v>46.369868215312366</v>
      </c>
      <c r="H378" s="23" t="s">
        <v>308</v>
      </c>
    </row>
    <row r="379">
      <c r="A379" s="32" t="s">
        <v>125</v>
      </c>
      <c r="B379" s="27">
        <f>IF(AND(ISNUMBER(Inputs!E81),ISNUMBER(B378)),IF(Inputs!E81&gt;0,B378/Inputs!E81-1,"n.m."),"unavail.")</f>
        <v>-0.3287671232876712</v>
      </c>
      <c r="C379" s="34">
        <f>IF(AND(ISNUMBER(B378),ISNUMBER(C378)),IF(B378&gt;0,C378/B378-1,"n.m."),"unavail.")</f>
        <v>0.061224489795918435</v>
      </c>
      <c r="D379" s="1"/>
      <c r="E379" s="34">
        <f>IF(AND(ISNUMBER(C378),ISNUMBER(E378)),IF(C378&gt;0,E378/C378-1,"n.m."),"unavail.")</f>
        <v>-0.1923076923076923</v>
      </c>
      <c r="F379" s="34">
        <f>IF(AND(ISNUMBER(E378),ISNUMBER(F378)),IF(E378&gt;0,F378/E378-1,"n.m."),"unavail.")</f>
        <v>0</v>
      </c>
      <c r="G379" s="40">
        <f>IF(AND(ISNUMBER(F378),ISNUMBER(G378)),IF(F378&gt;0,G378/F378-1,"n.m."),"unavail.")</f>
        <v>0.10404448131696098</v>
      </c>
      <c r="H379" s="1"/>
    </row>
    <row r="380">
      <c r="A380" s="37" t="s">
        <v>169</v>
      </c>
      <c r="B380" s="20">
        <f>B378-Inputs!E81</f>
        <v>-24</v>
      </c>
      <c r="C380" s="14">
        <f>C378-B378</f>
        <v>3</v>
      </c>
      <c r="D380" s="1"/>
      <c r="E380" s="14">
        <f>E378-C378</f>
        <v>-10</v>
      </c>
      <c r="F380" s="14">
        <f>F378-E378</f>
        <v>0</v>
      </c>
      <c r="G380" s="31">
        <f>G378-F378</f>
        <v>4.369868215312366</v>
      </c>
      <c r="H380" s="1"/>
    </row>
    <row r="381">
      <c r="A381" s="32" t="s">
        <v>127</v>
      </c>
      <c r="B381" s="27">
        <f>IF(AND(ISNUMBER(Inputs!B81),ISNUMBER(B378)),IF(Inputs!B81&gt;0,B378/Inputs!B81-1,"n.m."),"unavail.")</f>
        <v>0.0652173913043479</v>
      </c>
      <c r="C381" s="27">
        <f>IF(AND(ISNUMBER(Inputs!C81),ISNUMBER(C378)),IF(Inputs!C81&gt;0,C378/Inputs!C81-1,"n.m."),"unavail.")</f>
        <v>-0.1333333333333333</v>
      </c>
      <c r="D381" s="27">
        <f>IF(AND(ISNUMBER(Inputs!F81),ISNUMBER(D378)),IF(Inputs!F81&gt;0,D378/Inputs!F81-1,"n.m."),"unavail.")</f>
        <v>0.1148325358851674</v>
      </c>
      <c r="E381" s="27">
        <f>IF(AND(ISNUMBER(Inputs!D81),ISNUMBER(E378)),IF(Inputs!D81&gt;0,E378/Inputs!D81-1,"n.m."),"unavail.")</f>
        <v>-0.288135593220339</v>
      </c>
      <c r="F381" s="27">
        <f>IF(AND(ISNUMBER(Inputs!E81),ISNUMBER(F378)),IF(Inputs!E81&gt;0,F378/Inputs!E81-1,"n.m."),"unavail.")</f>
        <v>-0.4246575342465754</v>
      </c>
      <c r="G381" s="40">
        <f>IF(AND(ISNUMBER(B378),ISNUMBER(G378)),IF(B378&gt;0,G378/B378-1,"n.m."),"unavail.")</f>
        <v>-0.05367615887117616</v>
      </c>
      <c r="H381" s="1"/>
    </row>
    <row r="382">
      <c r="A382" s="32" t="s">
        <v>128</v>
      </c>
      <c r="B382" s="33">
        <v>0</v>
      </c>
      <c r="C382" s="33">
        <v>0</v>
      </c>
      <c r="D382" s="33">
        <v>0</v>
      </c>
      <c r="E382" s="33">
        <v>0</v>
      </c>
      <c r="F382" s="33">
        <v>0</v>
      </c>
      <c r="G382" s="29">
        <v>0</v>
      </c>
      <c r="H382" s="23" t="s">
        <v>129</v>
      </c>
    </row>
    <row r="383">
      <c r="A383" s="32" t="s">
        <v>130</v>
      </c>
      <c r="B383" s="33">
        <v>0</v>
      </c>
      <c r="C383" s="33">
        <v>0</v>
      </c>
      <c r="D383" s="33">
        <v>0</v>
      </c>
      <c r="E383" s="33">
        <v>0</v>
      </c>
      <c r="F383" s="33">
        <v>0</v>
      </c>
      <c r="G383" s="29">
        <v>0</v>
      </c>
      <c r="H383" s="23" t="s">
        <v>131</v>
      </c>
    </row>
    <row r="384">
      <c r="A384" s="32" t="s">
        <v>132</v>
      </c>
      <c r="B384" s="34">
        <f>IF(AND(ISNUMBER(B381),ISNUMBER(B382),ISNUMBER(B383)),(1+B381)/((1+B382)*(1+B383))-1,"unavail.")</f>
        <v>0.0652173913043479</v>
      </c>
      <c r="C384" s="34">
        <f>IF(AND(ISNUMBER(C381),ISNUMBER(C382),ISNUMBER(C383)),(1+C381)/((1+C382)*(1+C383))-1,"unavail.")</f>
        <v>-0.1333333333333333</v>
      </c>
      <c r="D384" s="34">
        <f>IF(AND(ISNUMBER(D381),ISNUMBER(D382),ISNUMBER(D383)),(1+D381)/((1+D382)*(1+D383))-1,"unavail.")</f>
        <v>0.1148325358851674</v>
      </c>
      <c r="E384" s="34">
        <f>IF(AND(ISNUMBER(E381),ISNUMBER(E382),ISNUMBER(E383)),(1+E381)/((1+E382)*(1+E383))-1,"unavail.")</f>
        <v>-0.288135593220339</v>
      </c>
      <c r="F384" s="34">
        <f>IF(AND(ISNUMBER(F381),ISNUMBER(F382),ISNUMBER(F383)),(1+F381)/((1+F382)*(1+F383))-1,"unavail.")</f>
        <v>-0.4246575342465754</v>
      </c>
      <c r="G384" s="40">
        <f>IF(AND(ISNUMBER(G381),ISNUMBER(G382),ISNUMBER(G383)),(1+G381)/((1+G382)*(1+G383))-1,"unavail.")</f>
        <v>-0.05367615887117616</v>
      </c>
      <c r="H384" s="23" t="s">
        <v>133</v>
      </c>
    </row>
    <row r="385">
      <c r="A385" s="1" t="s">
        <v>309</v>
      </c>
      <c r="B385" s="25">
        <v>42</v>
      </c>
      <c r="C385" s="25">
        <v>34</v>
      </c>
      <c r="D385" s="20">
        <f>Inputs!D82+Inputs!E82+B385+C385</f>
        <v>156</v>
      </c>
      <c r="E385" s="25">
        <v>44</v>
      </c>
      <c r="F385" s="25">
        <v>47</v>
      </c>
      <c r="G385" s="51">
        <v>48</v>
      </c>
      <c r="H385" s="23" t="s">
        <v>310</v>
      </c>
    </row>
    <row r="386">
      <c r="A386" s="32" t="s">
        <v>125</v>
      </c>
      <c r="B386" s="27">
        <f>IF(AND(ISNUMBER(Inputs!E82),ISNUMBER(B385)),IF(Inputs!E82&gt;0,B385/Inputs!E82-1,"n.m."),"unavail.")</f>
        <v>0.024390243902439046</v>
      </c>
      <c r="C386" s="34">
        <f>IF(AND(ISNUMBER(B385),ISNUMBER(C385)),IF(B385&gt;0,C385/B385-1,"n.m."),"unavail.")</f>
        <v>-0.19047619047619047</v>
      </c>
      <c r="D386" s="1"/>
      <c r="E386" s="34">
        <f>IF(AND(ISNUMBER(C385),ISNUMBER(E385)),IF(C385&gt;0,E385/C385-1,"n.m."),"unavail.")</f>
        <v>0.2941176470588236</v>
      </c>
      <c r="F386" s="34">
        <f>IF(AND(ISNUMBER(E385),ISNUMBER(F385)),IF(E385&gt;0,F385/E385-1,"n.m."),"unavail.")</f>
        <v>0.06818181818181812</v>
      </c>
      <c r="G386" s="40">
        <f>IF(AND(ISNUMBER(F385),ISNUMBER(G385)),IF(F385&gt;0,G385/F385-1,"n.m."),"unavail.")</f>
        <v>0.02127659574468077</v>
      </c>
      <c r="H386" s="1"/>
    </row>
    <row r="387">
      <c r="A387" s="37" t="s">
        <v>169</v>
      </c>
      <c r="B387" s="20">
        <f>B385-Inputs!E82</f>
        <v>1</v>
      </c>
      <c r="C387" s="14">
        <f>C385-B385</f>
        <v>-8</v>
      </c>
      <c r="D387" s="1"/>
      <c r="E387" s="14">
        <f>E385-C385</f>
        <v>10</v>
      </c>
      <c r="F387" s="14">
        <f>F385-E385</f>
        <v>3</v>
      </c>
      <c r="G387" s="31">
        <f>G385-F385</f>
        <v>1</v>
      </c>
      <c r="H387" s="1"/>
    </row>
    <row r="388">
      <c r="A388" s="32" t="s">
        <v>127</v>
      </c>
      <c r="B388" s="27">
        <f>IF(AND(ISNUMBER(Inputs!B82),ISNUMBER(B385)),IF(Inputs!B82&gt;0,B385/Inputs!B82-1,"n.m."),"unavail.")</f>
        <v>0.16666666666666674</v>
      </c>
      <c r="C388" s="27">
        <f>IF(AND(ISNUMBER(Inputs!C82),ISNUMBER(C385)),IF(Inputs!C82&gt;0,C385/Inputs!C82-1,"n.m."),"unavail.")</f>
        <v>-0.02857142857142858</v>
      </c>
      <c r="D388" s="27">
        <f>IF(AND(ISNUMBER(Inputs!F82),ISNUMBER(D385)),IF(Inputs!F82&gt;0,D385/Inputs!F82-1,"n.m."),"unavail.")</f>
        <v>0.06849315068493156</v>
      </c>
      <c r="E388" s="27">
        <f>IF(AND(ISNUMBER(Inputs!D82),ISNUMBER(E385)),IF(Inputs!D82&gt;0,E385/Inputs!D82-1,"n.m."),"unavail.")</f>
        <v>0.1282051282051282</v>
      </c>
      <c r="F388" s="27">
        <f>IF(AND(ISNUMBER(Inputs!E82),ISNUMBER(F385)),IF(Inputs!E82&gt;0,F385/Inputs!E82-1,"n.m."),"unavail.")</f>
        <v>0.14634146341463405</v>
      </c>
      <c r="G388" s="40">
        <f>IF(AND(ISNUMBER(B385),ISNUMBER(G385)),IF(B385&gt;0,G385/B385-1,"n.m."),"unavail.")</f>
        <v>0.1428571428571428</v>
      </c>
      <c r="H388" s="1"/>
    </row>
    <row r="389">
      <c r="A389" s="32" t="s">
        <v>128</v>
      </c>
      <c r="B389" s="33">
        <v>0</v>
      </c>
      <c r="C389" s="33">
        <v>0</v>
      </c>
      <c r="D389" s="33">
        <v>0</v>
      </c>
      <c r="E389" s="33">
        <v>0</v>
      </c>
      <c r="F389" s="33">
        <v>0</v>
      </c>
      <c r="G389" s="29">
        <v>0</v>
      </c>
      <c r="H389" s="23" t="s">
        <v>129</v>
      </c>
    </row>
    <row r="390">
      <c r="A390" s="32" t="s">
        <v>130</v>
      </c>
      <c r="B390" s="33">
        <v>0</v>
      </c>
      <c r="C390" s="33">
        <v>0</v>
      </c>
      <c r="D390" s="33">
        <v>0</v>
      </c>
      <c r="E390" s="33">
        <v>0</v>
      </c>
      <c r="F390" s="33">
        <v>0</v>
      </c>
      <c r="G390" s="29">
        <v>0</v>
      </c>
      <c r="H390" s="23" t="s">
        <v>131</v>
      </c>
    </row>
    <row r="391">
      <c r="A391" s="32" t="s">
        <v>132</v>
      </c>
      <c r="B391" s="34">
        <f>IF(AND(ISNUMBER(B388),ISNUMBER(B389),ISNUMBER(B390)),(1+B388)/((1+B389)*(1+B390))-1,"unavail.")</f>
        <v>0.16666666666666674</v>
      </c>
      <c r="C391" s="34">
        <f>IF(AND(ISNUMBER(C388),ISNUMBER(C389),ISNUMBER(C390)),(1+C388)/((1+C389)*(1+C390))-1,"unavail.")</f>
        <v>-0.02857142857142858</v>
      </c>
      <c r="D391" s="34">
        <f>IF(AND(ISNUMBER(D388),ISNUMBER(D389),ISNUMBER(D390)),(1+D388)/((1+D389)*(1+D390))-1,"unavail.")</f>
        <v>0.06849315068493156</v>
      </c>
      <c r="E391" s="34">
        <f>IF(AND(ISNUMBER(E388),ISNUMBER(E389),ISNUMBER(E390)),(1+E388)/((1+E389)*(1+E390))-1,"unavail.")</f>
        <v>0.1282051282051282</v>
      </c>
      <c r="F391" s="34">
        <f>IF(AND(ISNUMBER(F388),ISNUMBER(F389),ISNUMBER(F390)),(1+F388)/((1+F389)*(1+F390))-1,"unavail.")</f>
        <v>0.14634146341463405</v>
      </c>
      <c r="G391" s="40">
        <f>IF(AND(ISNUMBER(G388),ISNUMBER(G389),ISNUMBER(G390)),(1+G388)/((1+G389)*(1+G390))-1,"unavail.")</f>
        <v>0.1428571428571428</v>
      </c>
      <c r="H391" s="23" t="s">
        <v>133</v>
      </c>
    </row>
    <row r="392">
      <c r="A392" s="1" t="s">
        <v>311</v>
      </c>
      <c r="B392" s="25">
        <v>48</v>
      </c>
      <c r="C392" s="25">
        <v>49</v>
      </c>
      <c r="D392" s="20">
        <f>Inputs!D83+Inputs!E83+B392+C392</f>
        <v>186</v>
      </c>
      <c r="E392" s="25">
        <v>50</v>
      </c>
      <c r="F392" s="25">
        <v>52</v>
      </c>
      <c r="G392" s="51">
        <v>53</v>
      </c>
      <c r="H392" s="23" t="s">
        <v>312</v>
      </c>
    </row>
    <row r="393">
      <c r="A393" s="32" t="s">
        <v>125</v>
      </c>
      <c r="B393" s="27">
        <f>IF(AND(ISNUMBER(Inputs!E83),ISNUMBER(B392)),IF(Inputs!E83&gt;0,B392/Inputs!E83-1,"n.m."),"unavail.")</f>
        <v>0.06666666666666665</v>
      </c>
      <c r="C393" s="34">
        <f>IF(AND(ISNUMBER(B392),ISNUMBER(C392)),IF(B392&gt;0,C392/B392-1,"n.m."),"unavail.")</f>
        <v>0.02083333333333326</v>
      </c>
      <c r="D393" s="1"/>
      <c r="E393" s="34">
        <f>IF(AND(ISNUMBER(C392),ISNUMBER(E392)),IF(C392&gt;0,E392/C392-1,"n.m."),"unavail.")</f>
        <v>0.020408163265306145</v>
      </c>
      <c r="F393" s="34">
        <f>IF(AND(ISNUMBER(E392),ISNUMBER(F392)),IF(E392&gt;0,F392/E392-1,"n.m."),"unavail.")</f>
        <v>0.040000000000000036</v>
      </c>
      <c r="G393" s="40">
        <f>IF(AND(ISNUMBER(F392),ISNUMBER(G392)),IF(F392&gt;0,G392/F392-1,"n.m."),"unavail.")</f>
        <v>0.019230769230769162</v>
      </c>
      <c r="H393" s="1"/>
    </row>
    <row r="394">
      <c r="A394" s="37" t="s">
        <v>169</v>
      </c>
      <c r="B394" s="20">
        <f>B392-Inputs!E83</f>
        <v>3</v>
      </c>
      <c r="C394" s="14">
        <f>C392-B392</f>
        <v>1</v>
      </c>
      <c r="D394" s="1"/>
      <c r="E394" s="14">
        <f>E392-C392</f>
        <v>1</v>
      </c>
      <c r="F394" s="14">
        <f>F392-E392</f>
        <v>2</v>
      </c>
      <c r="G394" s="31">
        <f>G392-F392</f>
        <v>1</v>
      </c>
      <c r="H394" s="1"/>
    </row>
    <row r="395">
      <c r="A395" s="32" t="s">
        <v>127</v>
      </c>
      <c r="B395" s="27">
        <f>IF(AND(ISNUMBER(Inputs!B83),ISNUMBER(B392)),IF(Inputs!B83&gt;0,B392/Inputs!B83-1,"n.m."),"unavail.")</f>
        <v>0.06666666666666665</v>
      </c>
      <c r="C395" s="27">
        <f>IF(AND(ISNUMBER(Inputs!C83),ISNUMBER(C392)),IF(Inputs!C83&gt;0,C392/Inputs!C83-1,"n.m."),"unavail.")</f>
        <v>0.0888888888888888</v>
      </c>
      <c r="D395" s="27">
        <f>IF(AND(ISNUMBER(Inputs!F83),ISNUMBER(D392)),IF(Inputs!F83&gt;0,D392/Inputs!F83-1,"n.m."),"unavail.")</f>
        <v>0.06285714285714294</v>
      </c>
      <c r="E395" s="27">
        <f>IF(AND(ISNUMBER(Inputs!D83),ISNUMBER(E392)),IF(Inputs!D83&gt;0,E392/Inputs!D83-1,"n.m."),"unavail.")</f>
        <v>0.13636363636363646</v>
      </c>
      <c r="F395" s="27">
        <f>IF(AND(ISNUMBER(Inputs!E83),ISNUMBER(F392)),IF(Inputs!E83&gt;0,F392/Inputs!E83-1,"n.m."),"unavail.")</f>
        <v>0.15555555555555545</v>
      </c>
      <c r="G395" s="40">
        <f>IF(AND(ISNUMBER(B392),ISNUMBER(G392)),IF(B392&gt;0,G392/B392-1,"n.m."),"unavail.")</f>
        <v>0.10416666666666674</v>
      </c>
      <c r="H395" s="1"/>
    </row>
    <row r="396">
      <c r="A396" s="32" t="s">
        <v>128</v>
      </c>
      <c r="B396" s="33">
        <v>0</v>
      </c>
      <c r="C396" s="33">
        <v>0</v>
      </c>
      <c r="D396" s="33">
        <v>0</v>
      </c>
      <c r="E396" s="33">
        <v>0</v>
      </c>
      <c r="F396" s="33">
        <v>0</v>
      </c>
      <c r="G396" s="29">
        <v>0</v>
      </c>
      <c r="H396" s="23" t="s">
        <v>129</v>
      </c>
    </row>
    <row r="397">
      <c r="A397" s="32" t="s">
        <v>130</v>
      </c>
      <c r="B397" s="33">
        <v>0</v>
      </c>
      <c r="C397" s="33">
        <v>0</v>
      </c>
      <c r="D397" s="33">
        <v>0</v>
      </c>
      <c r="E397" s="33">
        <v>0</v>
      </c>
      <c r="F397" s="33">
        <v>0</v>
      </c>
      <c r="G397" s="29">
        <v>0</v>
      </c>
      <c r="H397" s="23" t="s">
        <v>131</v>
      </c>
    </row>
    <row r="398">
      <c r="A398" s="32" t="s">
        <v>132</v>
      </c>
      <c r="B398" s="34">
        <f>IF(AND(ISNUMBER(B395),ISNUMBER(B396),ISNUMBER(B397)),(1+B395)/((1+B396)*(1+B397))-1,"unavail.")</f>
        <v>0.06666666666666665</v>
      </c>
      <c r="C398" s="34">
        <f>IF(AND(ISNUMBER(C395),ISNUMBER(C396),ISNUMBER(C397)),(1+C395)/((1+C396)*(1+C397))-1,"unavail.")</f>
        <v>0.0888888888888888</v>
      </c>
      <c r="D398" s="34">
        <f>IF(AND(ISNUMBER(D395),ISNUMBER(D396),ISNUMBER(D397)),(1+D395)/((1+D396)*(1+D397))-1,"unavail.")</f>
        <v>0.06285714285714294</v>
      </c>
      <c r="E398" s="34">
        <f>IF(AND(ISNUMBER(E395),ISNUMBER(E396),ISNUMBER(E397)),(1+E395)/((1+E396)*(1+E397))-1,"unavail.")</f>
        <v>0.13636363636363646</v>
      </c>
      <c r="F398" s="34">
        <f>IF(AND(ISNUMBER(F395),ISNUMBER(F396),ISNUMBER(F397)),(1+F395)/((1+F396)*(1+F397))-1,"unavail.")</f>
        <v>0.15555555555555545</v>
      </c>
      <c r="G398" s="40">
        <f>IF(AND(ISNUMBER(G395),ISNUMBER(G396),ISNUMBER(G397)),(1+G395)/((1+G396)*(1+G397))-1,"unavail.")</f>
        <v>0.10416666666666674</v>
      </c>
      <c r="H398" s="23" t="s">
        <v>133</v>
      </c>
    </row>
    <row r="399">
      <c r="A399" s="1" t="s">
        <v>313</v>
      </c>
      <c r="B399" s="25">
        <v>2</v>
      </c>
      <c r="C399" s="25">
        <v>7</v>
      </c>
      <c r="D399" s="20">
        <f>Inputs!D84+Inputs!E84+B399+C399</f>
        <v>21</v>
      </c>
      <c r="E399" s="25">
        <v>7</v>
      </c>
      <c r="F399" s="25">
        <v>6</v>
      </c>
      <c r="G399" s="51">
        <v>5</v>
      </c>
      <c r="H399" s="23" t="s">
        <v>314</v>
      </c>
    </row>
    <row r="400">
      <c r="A400" s="32" t="s">
        <v>125</v>
      </c>
      <c r="B400" s="27">
        <f>IF(AND(ISNUMBER(Inputs!E84),ISNUMBER(B399)),IF(Inputs!E84&gt;0,B399/Inputs!E84-1,"n.m."),"unavail.")</f>
        <v>-0.6</v>
      </c>
      <c r="C400" s="34">
        <f>IF(AND(ISNUMBER(B399),ISNUMBER(C399)),IF(B399&gt;0,C399/B399-1,"n.m."),"unavail.")</f>
        <v>2.5</v>
      </c>
      <c r="D400" s="1"/>
      <c r="E400" s="34">
        <f>IF(AND(ISNUMBER(C399),ISNUMBER(E399)),IF(C399&gt;0,E399/C399-1,"n.m."),"unavail.")</f>
        <v>0</v>
      </c>
      <c r="F400" s="34">
        <f>IF(AND(ISNUMBER(E399),ISNUMBER(F399)),IF(E399&gt;0,F399/E399-1,"n.m."),"unavail.")</f>
        <v>-0.1428571428571429</v>
      </c>
      <c r="G400" s="40">
        <f>IF(AND(ISNUMBER(F399),ISNUMBER(G399)),IF(F399&gt;0,G399/F399-1,"n.m."),"unavail.")</f>
        <v>-0.16666666666666663</v>
      </c>
      <c r="H400" s="1"/>
    </row>
    <row r="401">
      <c r="A401" s="37" t="s">
        <v>169</v>
      </c>
      <c r="B401" s="20">
        <f>B399-Inputs!E84</f>
        <v>-3</v>
      </c>
      <c r="C401" s="14">
        <f>C399-B399</f>
        <v>5</v>
      </c>
      <c r="D401" s="1"/>
      <c r="E401" s="14">
        <f>E399-C399</f>
        <v>0</v>
      </c>
      <c r="F401" s="14">
        <f>F399-E399</f>
        <v>-1</v>
      </c>
      <c r="G401" s="31">
        <f>G399-F399</f>
        <v>-1</v>
      </c>
      <c r="H401" s="1"/>
    </row>
    <row r="402">
      <c r="A402" s="32" t="s">
        <v>127</v>
      </c>
      <c r="B402" s="27">
        <f>IF(AND(ISNUMBER(Inputs!B84),ISNUMBER(B399)),IF(Inputs!B84&gt;0,B399/Inputs!B84-1,"n.m."),"unavail.")</f>
        <v>-0.7777777777777778</v>
      </c>
      <c r="C402" s="27">
        <f>IF(AND(ISNUMBER(Inputs!C84),ISNUMBER(C399)),IF(Inputs!C84&gt;0,C399/Inputs!C84-1,"n.m."),"unavail.")</f>
        <v>0.75</v>
      </c>
      <c r="D402" s="27">
        <f>IF(AND(ISNUMBER(Inputs!F84),ISNUMBER(D399)),IF(Inputs!F84&gt;0,D399/Inputs!F84-1,"n.m."),"unavail.")</f>
        <v>0.16666666666666674</v>
      </c>
      <c r="E402" s="27">
        <f>IF(AND(ISNUMBER(Inputs!D84),ISNUMBER(E399)),IF(Inputs!D84&gt;0,E399/Inputs!D84-1,"n.m."),"unavail.")</f>
        <v>0</v>
      </c>
      <c r="F402" s="27">
        <f>IF(AND(ISNUMBER(Inputs!E84),ISNUMBER(F399)),IF(Inputs!E84&gt;0,F399/Inputs!E84-1,"n.m."),"unavail.")</f>
        <v>0.19999999999999996</v>
      </c>
      <c r="G402" s="40">
        <f>IF(AND(ISNUMBER(B399),ISNUMBER(G399)),IF(B399&gt;0,G399/B399-1,"n.m."),"unavail.")</f>
        <v>1.5</v>
      </c>
      <c r="H402" s="1"/>
    </row>
    <row r="403">
      <c r="A403" s="32" t="s">
        <v>128</v>
      </c>
      <c r="B403" s="33">
        <v>0</v>
      </c>
      <c r="C403" s="33">
        <v>0</v>
      </c>
      <c r="D403" s="33">
        <v>0</v>
      </c>
      <c r="E403" s="33">
        <v>0</v>
      </c>
      <c r="F403" s="33">
        <v>0</v>
      </c>
      <c r="G403" s="29">
        <v>0</v>
      </c>
      <c r="H403" s="23" t="s">
        <v>129</v>
      </c>
    </row>
    <row r="404">
      <c r="A404" s="32" t="s">
        <v>130</v>
      </c>
      <c r="B404" s="33">
        <v>0</v>
      </c>
      <c r="C404" s="33">
        <v>0</v>
      </c>
      <c r="D404" s="33">
        <v>0</v>
      </c>
      <c r="E404" s="33">
        <v>0</v>
      </c>
      <c r="F404" s="33">
        <v>0</v>
      </c>
      <c r="G404" s="29">
        <v>0</v>
      </c>
      <c r="H404" s="23" t="s">
        <v>131</v>
      </c>
    </row>
    <row r="405">
      <c r="A405" s="32" t="s">
        <v>132</v>
      </c>
      <c r="B405" s="34">
        <f>IF(AND(ISNUMBER(B402),ISNUMBER(B403),ISNUMBER(B404)),(1+B402)/((1+B403)*(1+B404))-1,"unavail.")</f>
        <v>-0.7777777777777778</v>
      </c>
      <c r="C405" s="34">
        <f>IF(AND(ISNUMBER(C402),ISNUMBER(C403),ISNUMBER(C404)),(1+C402)/((1+C403)*(1+C404))-1,"unavail.")</f>
        <v>0.75</v>
      </c>
      <c r="D405" s="34">
        <f>IF(AND(ISNUMBER(D402),ISNUMBER(D403),ISNUMBER(D404)),(1+D402)/((1+D403)*(1+D404))-1,"unavail.")</f>
        <v>0.16666666666666674</v>
      </c>
      <c r="E405" s="34">
        <f>IF(AND(ISNUMBER(E402),ISNUMBER(E403),ISNUMBER(E404)),(1+E402)/((1+E403)*(1+E404))-1,"unavail.")</f>
        <v>0</v>
      </c>
      <c r="F405" s="34">
        <f>IF(AND(ISNUMBER(F402),ISNUMBER(F403),ISNUMBER(F404)),(1+F402)/((1+F403)*(1+F404))-1,"unavail.")</f>
        <v>0.19999999999999996</v>
      </c>
      <c r="G405" s="40">
        <f>IF(AND(ISNUMBER(G402),ISNUMBER(G403),ISNUMBER(G404)),(1+G402)/((1+G403)*(1+G404))-1,"unavail.")</f>
        <v>1.5</v>
      </c>
      <c r="H405" s="23" t="s">
        <v>133</v>
      </c>
    </row>
    <row r="406">
      <c r="A406" s="1" t="s">
        <v>315</v>
      </c>
      <c r="B406" s="25">
        <v>31</v>
      </c>
      <c r="C406" s="25">
        <v>42</v>
      </c>
      <c r="D406" s="20">
        <f>Inputs!D85+Inputs!E85+B406+C406</f>
        <v>137</v>
      </c>
      <c r="E406" s="25">
        <v>34</v>
      </c>
      <c r="F406" s="25">
        <v>44</v>
      </c>
      <c r="G406" s="51">
        <v>42</v>
      </c>
      <c r="H406" s="23" t="s">
        <v>316</v>
      </c>
    </row>
    <row r="407">
      <c r="A407" s="32" t="s">
        <v>125</v>
      </c>
      <c r="B407" s="27">
        <f>IF(AND(ISNUMBER(Inputs!E85),ISNUMBER(B406)),IF(Inputs!E85&gt;0,B406/Inputs!E85-1,"n.m."),"unavail.")</f>
        <v>-0.26190476190476186</v>
      </c>
      <c r="C407" s="34">
        <f>IF(AND(ISNUMBER(B406),ISNUMBER(C406)),IF(B406&gt;0,C406/B406-1,"n.m."),"unavail.")</f>
        <v>0.35483870967741926</v>
      </c>
      <c r="D407" s="1"/>
      <c r="E407" s="34">
        <f>IF(AND(ISNUMBER(C406),ISNUMBER(E406)),IF(C406&gt;0,E406/C406-1,"n.m."),"unavail.")</f>
        <v>-0.19047619047619047</v>
      </c>
      <c r="F407" s="34">
        <f>IF(AND(ISNUMBER(E406),ISNUMBER(F406)),IF(E406&gt;0,F406/E406-1,"n.m."),"unavail.")</f>
        <v>0.2941176470588236</v>
      </c>
      <c r="G407" s="40">
        <f>IF(AND(ISNUMBER(F406),ISNUMBER(G406)),IF(F406&gt;0,G406/F406-1,"n.m."),"unavail.")</f>
        <v>-0.045454545454545414</v>
      </c>
      <c r="H407" s="1"/>
    </row>
    <row r="408">
      <c r="A408" s="37" t="s">
        <v>169</v>
      </c>
      <c r="B408" s="20">
        <f>B406-Inputs!E85</f>
        <v>-11</v>
      </c>
      <c r="C408" s="14">
        <f>C406-B406</f>
        <v>11</v>
      </c>
      <c r="D408" s="1"/>
      <c r="E408" s="14">
        <f>E406-C406</f>
        <v>-8</v>
      </c>
      <c r="F408" s="14">
        <f>F406-E406</f>
        <v>10</v>
      </c>
      <c r="G408" s="31">
        <f>G406-F406</f>
        <v>-2</v>
      </c>
      <c r="H408" s="1"/>
    </row>
    <row r="409">
      <c r="A409" s="32" t="s">
        <v>127</v>
      </c>
      <c r="B409" s="27">
        <f>IF(AND(ISNUMBER(Inputs!B85),ISNUMBER(B406)),IF(Inputs!B85&gt;0,B406/Inputs!B85-1,"n.m."),"unavail.")</f>
        <v>0.29166666666666674</v>
      </c>
      <c r="C409" s="27">
        <f>IF(AND(ISNUMBER(Inputs!C85),ISNUMBER(C406)),IF(Inputs!C85&gt;0,C406/Inputs!C85-1,"n.m."),"unavail.")</f>
        <v>0.5</v>
      </c>
      <c r="D409" s="27">
        <f>IF(AND(ISNUMBER(Inputs!F85),ISNUMBER(D406)),IF(Inputs!F85&gt;0,D406/Inputs!F85-1,"n.m."),"unavail.")</f>
        <v>0.7341772151898733</v>
      </c>
      <c r="E409" s="27">
        <f>IF(AND(ISNUMBER(Inputs!D85),ISNUMBER(E406)),IF(Inputs!D85&gt;0,E406/Inputs!D85-1,"n.m."),"unavail.")</f>
        <v>0.5454545454545454</v>
      </c>
      <c r="F409" s="27">
        <f>IF(AND(ISNUMBER(Inputs!E85),ISNUMBER(F406)),IF(Inputs!E85&gt;0,F406/Inputs!E85-1,"n.m."),"unavail.")</f>
        <v>0.04761904761904767</v>
      </c>
      <c r="G409" s="40">
        <f>IF(AND(ISNUMBER(B406),ISNUMBER(G406)),IF(B406&gt;0,G406/B406-1,"n.m."),"unavail.")</f>
        <v>0.35483870967741926</v>
      </c>
      <c r="H409" s="1"/>
    </row>
    <row r="410">
      <c r="A410" s="32" t="s">
        <v>128</v>
      </c>
      <c r="B410" s="33">
        <v>0</v>
      </c>
      <c r="C410" s="33">
        <v>0</v>
      </c>
      <c r="D410" s="33">
        <v>0</v>
      </c>
      <c r="E410" s="33">
        <v>0</v>
      </c>
      <c r="F410" s="33">
        <v>0</v>
      </c>
      <c r="G410" s="29">
        <v>0</v>
      </c>
      <c r="H410" s="23" t="s">
        <v>129</v>
      </c>
    </row>
    <row r="411">
      <c r="A411" s="32" t="s">
        <v>130</v>
      </c>
      <c r="B411" s="33">
        <v>0</v>
      </c>
      <c r="C411" s="33">
        <v>0</v>
      </c>
      <c r="D411" s="33">
        <v>0</v>
      </c>
      <c r="E411" s="33">
        <v>0</v>
      </c>
      <c r="F411" s="33">
        <v>0</v>
      </c>
      <c r="G411" s="29">
        <v>0</v>
      </c>
      <c r="H411" s="23" t="s">
        <v>131</v>
      </c>
    </row>
    <row r="412">
      <c r="A412" s="32" t="s">
        <v>132</v>
      </c>
      <c r="B412" s="34">
        <f>IF(AND(ISNUMBER(B409),ISNUMBER(B410),ISNUMBER(B411)),(1+B409)/((1+B410)*(1+B411))-1,"unavail.")</f>
        <v>0.29166666666666674</v>
      </c>
      <c r="C412" s="34">
        <f>IF(AND(ISNUMBER(C409),ISNUMBER(C410),ISNUMBER(C411)),(1+C409)/((1+C410)*(1+C411))-1,"unavail.")</f>
        <v>0.5</v>
      </c>
      <c r="D412" s="34">
        <f>IF(AND(ISNUMBER(D409),ISNUMBER(D410),ISNUMBER(D411)),(1+D409)/((1+D410)*(1+D411))-1,"unavail.")</f>
        <v>0.7341772151898733</v>
      </c>
      <c r="E412" s="34">
        <f>IF(AND(ISNUMBER(E409),ISNUMBER(E410),ISNUMBER(E411)),(1+E409)/((1+E410)*(1+E411))-1,"unavail.")</f>
        <v>0.5454545454545454</v>
      </c>
      <c r="F412" s="34">
        <f>IF(AND(ISNUMBER(F409),ISNUMBER(F410),ISNUMBER(F411)),(1+F409)/((1+F410)*(1+F411))-1,"unavail.")</f>
        <v>0.04761904761904767</v>
      </c>
      <c r="G412" s="40">
        <f>IF(AND(ISNUMBER(G409),ISNUMBER(G410),ISNUMBER(G411)),(1+G409)/((1+G410)*(1+G411))-1,"unavail.")</f>
        <v>0.35483870967741926</v>
      </c>
      <c r="H412" s="23" t="s">
        <v>133</v>
      </c>
    </row>
    <row r="413">
      <c r="A413" s="8" t="s">
        <v>317</v>
      </c>
      <c r="B413" s="30">
        <f>B350+B357+B364+B371+B378+B385+B392+B399+B406</f>
        <v>630</v>
      </c>
      <c r="C413" s="30">
        <f>C350+C357+C364+C371+C378+C385+C392+C399+C406</f>
        <v>620</v>
      </c>
      <c r="D413" s="30">
        <f>D350+D357+D364+D371+D378+D385+D392+D399+D406</f>
        <v>2394</v>
      </c>
      <c r="E413" s="30">
        <f>E350+E357+E364+E371+E378+E385+E392+E399+E406</f>
        <v>606</v>
      </c>
      <c r="F413" s="30">
        <f>F350+F357+F364+F371+F378+F385+F392+F399+F406</f>
        <v>652</v>
      </c>
      <c r="G413" s="38">
        <f>G350+G357+G364+G371+G378+G385+G392+G399+G406</f>
        <v>657.3698682153124</v>
      </c>
      <c r="H413" s="1"/>
    </row>
    <row r="414">
      <c r="A414" s="32" t="s">
        <v>125</v>
      </c>
      <c r="B414" s="27">
        <f>IF(AND(ISNUMBER(Inputs!E86),ISNUMBER(B413)),IF(Inputs!E86&gt;0,B413/Inputs!E86-1,"n.m."),"unavail.")</f>
        <v>0.050000000000000044</v>
      </c>
      <c r="C414" s="34">
        <f>IF(AND(ISNUMBER(B413),ISNUMBER(C413)),IF(B413&gt;0,C413/B413-1,"n.m."),"unavail.")</f>
        <v>-0.015873015873015928</v>
      </c>
      <c r="D414" s="1"/>
      <c r="E414" s="34">
        <f>IF(AND(ISNUMBER(C413),ISNUMBER(E413)),IF(C413&gt;0,E413/C413-1,"n.m."),"unavail.")</f>
        <v>-0.022580645161290325</v>
      </c>
      <c r="F414" s="34">
        <f>IF(AND(ISNUMBER(E413),ISNUMBER(F413)),IF(E413&gt;0,F413/E413-1,"n.m."),"unavail.")</f>
        <v>0.07590759075907583</v>
      </c>
      <c r="G414" s="40">
        <f>IF(AND(ISNUMBER(F413),ISNUMBER(G413)),IF(F413&gt;0,G413/F413-1,"n.m."),"unavail.")</f>
        <v>0.008235994195264329</v>
      </c>
      <c r="H414" s="1"/>
    </row>
    <row r="415">
      <c r="A415" s="32" t="s">
        <v>127</v>
      </c>
      <c r="B415" s="27">
        <f>IF(AND(ISNUMBER(Inputs!B86),ISNUMBER(B413)),IF(Inputs!B86&gt;0,B413/Inputs!B86-1,"n.m."),"unavail.")</f>
        <v>0.18421052631578938</v>
      </c>
      <c r="C415" s="27">
        <f>IF(AND(ISNUMBER(Inputs!C86),ISNUMBER(C413)),IF(Inputs!C86&gt;0,C413/Inputs!C86-1,"n.m."),"unavail.")</f>
        <v>0.08013937282229966</v>
      </c>
      <c r="D415" s="27">
        <f>IF(AND(ISNUMBER(Inputs!F86),ISNUMBER(D413)),IF(Inputs!F86&gt;0,D413/Inputs!F86-1,"n.m."),"unavail.")</f>
        <v>0.10018382352941169</v>
      </c>
      <c r="E415" s="27">
        <f>IF(AND(ISNUMBER(Inputs!D86),ISNUMBER(E413)),IF(Inputs!D86&gt;0,E413/Inputs!D86-1,"n.m."),"unavail.")</f>
        <v>0.11397058823529416</v>
      </c>
      <c r="F415" s="27">
        <f>IF(AND(ISNUMBER(Inputs!E86),ISNUMBER(F413)),IF(Inputs!E86&gt;0,F413/Inputs!E86-1,"n.m."),"unavail.")</f>
        <v>0.08666666666666667</v>
      </c>
      <c r="G415" s="40">
        <f>IF(AND(ISNUMBER(B413),ISNUMBER(G413)),IF(B413&gt;0,G413/B413-1,"n.m."),"unavail.")</f>
        <v>0.04344423526240071</v>
      </c>
      <c r="H415" s="1"/>
    </row>
    <row r="416">
      <c r="A416" s="32" t="s">
        <v>128</v>
      </c>
      <c r="B416" s="33">
        <v>0</v>
      </c>
      <c r="C416" s="33">
        <v>0</v>
      </c>
      <c r="D416" s="33">
        <v>0</v>
      </c>
      <c r="E416" s="33">
        <v>0</v>
      </c>
      <c r="F416" s="33">
        <v>0</v>
      </c>
      <c r="G416" s="29">
        <v>0</v>
      </c>
      <c r="H416" s="23" t="s">
        <v>129</v>
      </c>
    </row>
    <row r="417">
      <c r="A417" s="32" t="s">
        <v>130</v>
      </c>
      <c r="B417" s="33">
        <v>0</v>
      </c>
      <c r="C417" s="33">
        <v>0</v>
      </c>
      <c r="D417" s="33">
        <v>0</v>
      </c>
      <c r="E417" s="33">
        <v>0</v>
      </c>
      <c r="F417" s="33">
        <v>0</v>
      </c>
      <c r="G417" s="29">
        <v>0</v>
      </c>
      <c r="H417" s="23" t="s">
        <v>131</v>
      </c>
    </row>
    <row r="418">
      <c r="A418" s="32" t="s">
        <v>132</v>
      </c>
      <c r="B418" s="34">
        <f>IF(AND(ISNUMBER(B415),ISNUMBER(B416),ISNUMBER(B417)),(1+B415)/((1+B416)*(1+B417))-1,"unavail.")</f>
        <v>0.18421052631578938</v>
      </c>
      <c r="C418" s="34">
        <f>IF(AND(ISNUMBER(C415),ISNUMBER(C416),ISNUMBER(C417)),(1+C415)/((1+C416)*(1+C417))-1,"unavail.")</f>
        <v>0.08013937282229966</v>
      </c>
      <c r="D418" s="34">
        <f>IF(AND(ISNUMBER(D415),ISNUMBER(D416),ISNUMBER(D417)),(1+D415)/((1+D416)*(1+D417))-1,"unavail.")</f>
        <v>0.10018382352941169</v>
      </c>
      <c r="E418" s="34">
        <f>IF(AND(ISNUMBER(E415),ISNUMBER(E416),ISNUMBER(E417)),(1+E415)/((1+E416)*(1+E417))-1,"unavail.")</f>
        <v>0.11397058823529416</v>
      </c>
      <c r="F418" s="34">
        <f>IF(AND(ISNUMBER(F415),ISNUMBER(F416),ISNUMBER(F417)),(1+F415)/((1+F416)*(1+F417))-1,"unavail.")</f>
        <v>0.08666666666666667</v>
      </c>
      <c r="G418" s="40">
        <f>IF(AND(ISNUMBER(G415),ISNUMBER(G416),ISNUMBER(G417)),(1+G415)/((1+G416)*(1+G417))-1,"unavail.")</f>
        <v>0.04344423526240071</v>
      </c>
      <c r="H418" s="23" t="s">
        <v>133</v>
      </c>
    </row>
    <row r="419">
      <c r="A419" s="37" t="s">
        <v>318</v>
      </c>
      <c r="B419" s="25">
        <v>630</v>
      </c>
      <c r="C419" s="25">
        <v>620</v>
      </c>
      <c r="D419" s="1"/>
      <c r="E419" s="25">
        <v>606</v>
      </c>
      <c r="F419" s="25">
        <v>652</v>
      </c>
      <c r="G419" s="41"/>
      <c r="H419" s="23" t="s">
        <v>215</v>
      </c>
    </row>
    <row r="420">
      <c r="A420" s="32" t="s">
        <v>216</v>
      </c>
      <c r="B420" s="35">
        <f>ROUND(B413-B419,6)</f>
        <v>0</v>
      </c>
      <c r="C420" s="35">
        <f>ROUND(C413-C419,6)</f>
        <v>0</v>
      </c>
      <c r="D420" s="1"/>
      <c r="E420" s="35">
        <f>ROUND(E413-E419,6)</f>
        <v>0</v>
      </c>
      <c r="F420" s="35">
        <f>ROUND(F413-F419,6)</f>
        <v>0</v>
      </c>
      <c r="G420" s="41"/>
      <c r="H420" s="1"/>
    </row>
    <row r="421">
      <c r="A421" s="1"/>
      <c r="B421" s="1"/>
      <c r="C421" s="1"/>
      <c r="D421" s="1"/>
      <c r="E421" s="1"/>
      <c r="F421" s="1"/>
      <c r="G421" s="41"/>
      <c r="H421" s="1"/>
    </row>
    <row r="422">
      <c r="A422" s="8" t="s">
        <v>319</v>
      </c>
      <c r="B422" s="1"/>
      <c r="C422" s="1"/>
      <c r="D422" s="1"/>
      <c r="E422" s="1"/>
      <c r="F422" s="1"/>
      <c r="G422" s="41"/>
      <c r="H422" s="1"/>
    </row>
    <row r="423">
      <c r="A423" s="8" t="s">
        <v>320</v>
      </c>
      <c r="B423" s="30">
        <f>B279+B413</f>
        <v>2118</v>
      </c>
      <c r="C423" s="30">
        <f>C279+C413</f>
        <v>2157</v>
      </c>
      <c r="D423" s="30">
        <f>D279+D413</f>
        <v>8247</v>
      </c>
      <c r="E423" s="30">
        <f>E279+E413</f>
        <v>2168</v>
      </c>
      <c r="F423" s="30">
        <f>F279+F413</f>
        <v>2283</v>
      </c>
      <c r="G423" s="38">
        <f>G279+G413</f>
        <v>2341.043287021846</v>
      </c>
      <c r="H423" s="1"/>
    </row>
    <row r="424">
      <c r="A424" s="32" t="s">
        <v>125</v>
      </c>
      <c r="B424" s="27">
        <f>IF(AND(ISNUMBER(Inputs!E87),ISNUMBER(B423)),IF(Inputs!E87&gt;0,B423/Inputs!E87-1,"n.m."),"unavail.")</f>
        <v>0.0397643593519883</v>
      </c>
      <c r="C424" s="34">
        <f>IF(AND(ISNUMBER(B423),ISNUMBER(C423)),IF(B423&gt;0,C423/B423-1,"n.m."),"unavail.")</f>
        <v>0.018413597733710985</v>
      </c>
      <c r="D424" s="1"/>
      <c r="E424" s="34">
        <f>IF(AND(ISNUMBER(C423),ISNUMBER(E423)),IF(C423&gt;0,E423/C423-1,"n.m."),"unavail.")</f>
        <v>0.005099675475197074</v>
      </c>
      <c r="F424" s="34">
        <f>IF(AND(ISNUMBER(E423),ISNUMBER(F423)),IF(E423&gt;0,F423/E423-1,"n.m."),"unavail.")</f>
        <v>0.0530442804428044</v>
      </c>
      <c r="G424" s="40">
        <f>IF(AND(ISNUMBER(F423),ISNUMBER(G423)),IF(F423&gt;0,G423/F423-1,"n.m."),"unavail.")</f>
        <v>0.025424129225512848</v>
      </c>
      <c r="H424" s="1"/>
    </row>
    <row r="425">
      <c r="A425" s="32" t="s">
        <v>127</v>
      </c>
      <c r="B425" s="27">
        <f>IF(AND(ISNUMBER(Inputs!B87),ISNUMBER(B423)),IF(Inputs!B87&gt;0,B423/Inputs!B87-1,"n.m."),"unavail.")</f>
        <v>0.11415044713308786</v>
      </c>
      <c r="C425" s="27">
        <f>IF(AND(ISNUMBER(Inputs!C87),ISNUMBER(C423)),IF(Inputs!C87&gt;0,C423/Inputs!C87-1,"n.m."),"unavail.")</f>
        <v>0.08610271903323263</v>
      </c>
      <c r="D425" s="27">
        <f>IF(AND(ISNUMBER(Inputs!F87),ISNUMBER(D423)),IF(Inputs!F87&gt;0,D423/Inputs!F87-1,"n.m."),"unavail.")</f>
        <v>0.05608912792931231</v>
      </c>
      <c r="E425" s="27">
        <f>IF(AND(ISNUMBER(Inputs!D87),ISNUMBER(E423)),IF(Inputs!D87&gt;0,E423/Inputs!D87-1,"n.m."),"unavail.")</f>
        <v>0.12041343669250648</v>
      </c>
      <c r="F425" s="27">
        <f>IF(AND(ISNUMBER(Inputs!E87),ISNUMBER(F423)),IF(Inputs!E87&gt;0,F423/Inputs!E87-1,"n.m."),"unavail.")</f>
        <v>0.1207658321060383</v>
      </c>
      <c r="G425" s="40">
        <f>IF(AND(ISNUMBER(B423),ISNUMBER(G423)),IF(B423&gt;0,G423/B423-1,"n.m."),"unavail.")</f>
        <v>0.10530844524166483</v>
      </c>
      <c r="H425" s="1"/>
    </row>
    <row r="426">
      <c r="A426" s="32" t="s">
        <v>128</v>
      </c>
      <c r="B426" s="33">
        <v>0</v>
      </c>
      <c r="C426" s="33">
        <v>0</v>
      </c>
      <c r="D426" s="33">
        <v>0</v>
      </c>
      <c r="E426" s="33">
        <v>0</v>
      </c>
      <c r="F426" s="33">
        <v>0</v>
      </c>
      <c r="G426" s="29">
        <v>0</v>
      </c>
      <c r="H426" s="23" t="s">
        <v>129</v>
      </c>
    </row>
    <row r="427">
      <c r="A427" s="32" t="s">
        <v>130</v>
      </c>
      <c r="B427" s="33">
        <v>0</v>
      </c>
      <c r="C427" s="33">
        <v>0</v>
      </c>
      <c r="D427" s="33">
        <v>0</v>
      </c>
      <c r="E427" s="33">
        <v>0</v>
      </c>
      <c r="F427" s="33">
        <v>0</v>
      </c>
      <c r="G427" s="29">
        <v>0</v>
      </c>
      <c r="H427" s="23" t="s">
        <v>131</v>
      </c>
    </row>
    <row r="428">
      <c r="A428" s="32" t="s">
        <v>132</v>
      </c>
      <c r="B428" s="34">
        <f>IF(AND(ISNUMBER(B425),ISNUMBER(B426),ISNUMBER(B427)),(1+B425)/((1+B426)*(1+B427))-1,"unavail.")</f>
        <v>0.11415044713308786</v>
      </c>
      <c r="C428" s="34">
        <f>IF(AND(ISNUMBER(C425),ISNUMBER(C426),ISNUMBER(C427)),(1+C425)/((1+C426)*(1+C427))-1,"unavail.")</f>
        <v>0.08610271903323263</v>
      </c>
      <c r="D428" s="34">
        <f>IF(AND(ISNUMBER(D425),ISNUMBER(D426),ISNUMBER(D427)),(1+D425)/((1+D426)*(1+D427))-1,"unavail.")</f>
        <v>0.05608912792931231</v>
      </c>
      <c r="E428" s="34">
        <f>IF(AND(ISNUMBER(E425),ISNUMBER(E426),ISNUMBER(E427)),(1+E425)/((1+E426)*(1+E427))-1,"unavail.")</f>
        <v>0.12041343669250648</v>
      </c>
      <c r="F428" s="34">
        <f>IF(AND(ISNUMBER(F425),ISNUMBER(F426),ISNUMBER(F427)),(1+F425)/((1+F426)*(1+F427))-1,"unavail.")</f>
        <v>0.1207658321060383</v>
      </c>
      <c r="G428" s="40">
        <f>IF(AND(ISNUMBER(G425),ISNUMBER(G426),ISNUMBER(G427)),(1+G425)/((1+G426)*(1+G427))-1,"unavail.")</f>
        <v>0.10530844524166483</v>
      </c>
      <c r="H428" s="23" t="s">
        <v>133</v>
      </c>
    </row>
    <row r="429">
      <c r="A429" s="3" t="s">
        <v>321</v>
      </c>
      <c r="B429" s="34">
        <f>B413/B423</f>
        <v>0.29745042492917845</v>
      </c>
      <c r="C429" s="34">
        <f>C413/C423</f>
        <v>0.28743625405656004</v>
      </c>
      <c r="D429" s="34">
        <f>D413/D423</f>
        <v>0.29028737722808295</v>
      </c>
      <c r="E429" s="34">
        <f>E413/E423</f>
        <v>0.279520295202952</v>
      </c>
      <c r="F429" s="34">
        <f>F413/F423</f>
        <v>0.2855891371003066</v>
      </c>
      <c r="G429" s="40">
        <f>G413/G423</f>
        <v>0.280802098730769</v>
      </c>
      <c r="H429" s="1"/>
    </row>
    <row r="430">
      <c r="A430" s="32" t="s">
        <v>204</v>
      </c>
      <c r="B430" s="24">
        <f>IFERROR((B429-(Inputs!E86/Inputs!E87))*10000,"unavail.")</f>
        <v>28.996149144508987</v>
      </c>
      <c r="C430" s="26">
        <f>IFERROR((C429-B429)*10000,"unavail.")</f>
        <v>-100.1417087261841</v>
      </c>
      <c r="D430" s="1"/>
      <c r="E430" s="26">
        <f>IFERROR((E429-C429)*10000,"unavail.")</f>
        <v>-79.15958853608018</v>
      </c>
      <c r="F430" s="26">
        <f>IFERROR((F429-E429)*10000,"unavail.")</f>
        <v>60.68841897354571</v>
      </c>
      <c r="G430" s="39">
        <f>IFERROR((G429-F429)*10000,"unavail.")</f>
        <v>-47.870383695375885</v>
      </c>
      <c r="H430" s="1"/>
    </row>
    <row r="431">
      <c r="A431" s="32" t="s">
        <v>173</v>
      </c>
      <c r="B431" s="24">
        <f>IFERROR((B429-(Inputs!B86/Inputs!B87))*10000,"unavail.")</f>
        <v>175.97715828705006</v>
      </c>
      <c r="C431" s="24">
        <f>IFERROR((C429-(Inputs!C86/Inputs!C87))*10000,"unavail.")</f>
        <v>-15.869080783845746</v>
      </c>
      <c r="D431" s="24">
        <f>IFERROR((D429-(Inputs!F86/Inputs!F87))*10000,"unavail.")</f>
        <v>116.34540757344047</v>
      </c>
      <c r="E431" s="24">
        <f>IFERROR((E429-(Inputs!D86/Inputs!D87))*10000,"unavail.")</f>
        <v>-16.166557014407612</v>
      </c>
      <c r="F431" s="24">
        <f>IFERROR((F429-(Inputs!E86/Inputs!E87))*10000,"unavail.")</f>
        <v>-89.6167291442096</v>
      </c>
      <c r="G431" s="39">
        <f>IFERROR((G429-B429)*10000,"unavail.")</f>
        <v>-166.48326198409447</v>
      </c>
      <c r="H431" s="1"/>
    </row>
    <row r="432">
      <c r="A432" s="37" t="s">
        <v>322</v>
      </c>
      <c r="B432" s="20">
        <f>Inputs!H265</f>
        <v>2118</v>
      </c>
      <c r="C432" s="20">
        <f>Inputs!H266</f>
        <v>2157</v>
      </c>
      <c r="D432" s="1"/>
      <c r="E432" s="20">
        <f>Inputs!H267</f>
        <v>2168</v>
      </c>
      <c r="F432" s="20">
        <f>Inputs!H268</f>
        <v>2283</v>
      </c>
      <c r="G432" s="41"/>
      <c r="H432" s="23" t="s">
        <v>323</v>
      </c>
    </row>
    <row r="433">
      <c r="A433" s="32" t="s">
        <v>324</v>
      </c>
      <c r="B433" s="35">
        <f>ROUND(B423-B432,6)</f>
        <v>0</v>
      </c>
      <c r="C433" s="35">
        <f>ROUND(C423-C432,6)</f>
        <v>0</v>
      </c>
      <c r="D433" s="1"/>
      <c r="E433" s="35">
        <f>ROUND(E423-E432,6)</f>
        <v>0</v>
      </c>
      <c r="F433" s="35">
        <f>ROUND(F423-F432,6)</f>
        <v>0</v>
      </c>
      <c r="G433" s="41"/>
      <c r="H433" s="1"/>
    </row>
    <row r="434">
      <c r="A434" s="1"/>
      <c r="B434" s="1"/>
      <c r="C434" s="1"/>
      <c r="D434" s="1"/>
      <c r="E434" s="1"/>
      <c r="F434" s="1"/>
      <c r="G434" s="1"/>
      <c r="H434" s="1"/>
    </row>
    <row r="435">
      <c r="A435" s="1"/>
      <c r="B435" s="1"/>
      <c r="C435" s="1"/>
      <c r="D435" s="1"/>
      <c r="E435" s="1"/>
      <c r="F435" s="1"/>
      <c r="G435" s="1"/>
      <c r="H435" s="1"/>
    </row>
    <row r="436">
      <c r="A436" s="1"/>
      <c r="B436" s="1"/>
      <c r="C436" s="1"/>
      <c r="D436" s="1"/>
      <c r="E436" s="1"/>
      <c r="F436" s="1"/>
      <c r="G436" s="1"/>
      <c r="H436" s="1"/>
    </row>
    <row r="437">
      <c r="A437" s="1"/>
      <c r="B437" s="1"/>
      <c r="C437" s="1"/>
      <c r="D437" s="1"/>
      <c r="E437" s="1"/>
      <c r="F437" s="1"/>
      <c r="G437" s="1"/>
      <c r="H437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H100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325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326</v>
      </c>
      <c r="B8" s="1"/>
      <c r="C8" s="1"/>
      <c r="D8" s="1"/>
      <c r="E8" s="1"/>
      <c r="F8" s="1"/>
      <c r="G8" s="41"/>
      <c r="H8" s="1"/>
    </row>
    <row r="9">
      <c r="A9" s="1" t="s">
        <v>327</v>
      </c>
      <c r="B9" s="25">
        <v>74870</v>
      </c>
      <c r="C9" s="25">
        <v>76583</v>
      </c>
      <c r="D9" s="25">
        <v>74035</v>
      </c>
      <c r="E9" s="25">
        <v>77695</v>
      </c>
      <c r="F9" s="25">
        <v>79163</v>
      </c>
      <c r="G9" s="31">
        <f>F9*(1+G10)</f>
        <v>80350.44499999999</v>
      </c>
      <c r="H9" s="23" t="s">
        <v>328</v>
      </c>
    </row>
    <row r="10">
      <c r="A10" s="32" t="s">
        <v>167</v>
      </c>
      <c r="B10" s="27">
        <f>IF(AND(ISNUMBER(Inputs!E88),ISNUMBER(B9)),IF(Inputs!E88&gt;0,B9/Inputs!E88-1,"n.m."),"unavail.")</f>
        <v>0.025785060557899975</v>
      </c>
      <c r="C10" s="34">
        <f>IF(AND(ISNUMBER(B9),ISNUMBER(C9)),IF(B9&gt;0,C9/B9-1,"n.m."),"unavail.")</f>
        <v>0.022879658073994946</v>
      </c>
      <c r="D10" s="1"/>
      <c r="E10" s="34">
        <f>IF(AND(ISNUMBER(C9),ISNUMBER(E9)),IF(C9&gt;0,E9/C9-1,"n.m."),"unavail.")</f>
        <v>0.014520193776686785</v>
      </c>
      <c r="F10" s="34">
        <f>IF(AND(ISNUMBER(E9),ISNUMBER(F9)),IF(E9&gt;0,F9/E9-1,"n.m."),"unavail.")</f>
        <v>0.018894394748696808</v>
      </c>
      <c r="G10" s="29">
        <v>0.015</v>
      </c>
      <c r="H10" s="1"/>
    </row>
    <row r="11">
      <c r="A11" s="32" t="s">
        <v>168</v>
      </c>
      <c r="B11" s="27" t="str">
        <f>IF(AND(ISNUMBER(Inputs!B88),ISNUMBER(B9)),IF(Inputs!B88&gt;0,B9/Inputs!B88-1,"n.m."),"unavail.")</f>
        <v>unavail.</v>
      </c>
      <c r="C11" s="27">
        <f>IF(AND(ISNUMBER(Inputs!C88),ISNUMBER(C9)),IF(Inputs!C88&gt;0,C9/Inputs!C88-1,"n.m."),"unavail.")</f>
        <v>0.08081064679565886</v>
      </c>
      <c r="D11" s="27">
        <f>IF(AND(ISNUMBER(Inputs!F88),ISNUMBER(D9)),IF(Inputs!F88&gt;0,D9/Inputs!F88-1,"n.m."),"unavail.")</f>
        <v>0.0687579397159026</v>
      </c>
      <c r="E11" s="27">
        <f>IF(AND(ISNUMBER(Inputs!D88),ISNUMBER(E9)),IF(Inputs!D88&gt;0,E9/Inputs!D88-1,"n.m."),"unavail.")</f>
        <v>0.08459551895023387</v>
      </c>
      <c r="F11" s="27">
        <f>IF(AND(ISNUMBER(Inputs!E88),ISNUMBER(F9)),IF(Inputs!E88&gt;0,F9/Inputs!E88-1,"n.m."),"unavail.")</f>
        <v>0.08460294842987892</v>
      </c>
      <c r="G11" s="40">
        <f>IF(AND(ISNUMBER(B9),ISNUMBER(G9)),IF(B9&gt;0,G9/B9-1,"n.m."),"unavail.")</f>
        <v>0.07319947909710156</v>
      </c>
      <c r="H11" s="1"/>
    </row>
    <row r="12">
      <c r="A12" s="37" t="s">
        <v>169</v>
      </c>
      <c r="B12" s="20">
        <f>B9-Inputs!E88</f>
        <v>1882</v>
      </c>
      <c r="C12" s="14">
        <f>C9-B9</f>
        <v>1713</v>
      </c>
      <c r="D12" s="1"/>
      <c r="E12" s="14">
        <f>E9-C9</f>
        <v>1112</v>
      </c>
      <c r="F12" s="14">
        <f>F9-E9</f>
        <v>1468</v>
      </c>
      <c r="G12" s="31">
        <f>G9-F9</f>
        <v>1187.4449999999924</v>
      </c>
      <c r="H12" s="1"/>
    </row>
    <row r="13">
      <c r="A13" s="1" t="s">
        <v>329</v>
      </c>
      <c r="B13" s="25">
        <v>74274</v>
      </c>
      <c r="C13" s="25">
        <v>75980</v>
      </c>
      <c r="D13" s="25">
        <v>73443</v>
      </c>
      <c r="E13" s="25">
        <v>77089</v>
      </c>
      <c r="F13" s="25">
        <v>78550</v>
      </c>
      <c r="G13" s="31">
        <f>F13*(1+G14)</f>
        <v>79728.24999999999</v>
      </c>
      <c r="H13" s="23" t="s">
        <v>328</v>
      </c>
    </row>
    <row r="14">
      <c r="A14" s="32" t="s">
        <v>167</v>
      </c>
      <c r="B14" s="27">
        <f>IF(AND(ISNUMBER(Inputs!E89),ISNUMBER(B13)),IF(Inputs!E89&gt;0,B13/Inputs!E89-1,"n.m."),"unavail.")</f>
        <v>0.02585563934697932</v>
      </c>
      <c r="C14" s="34">
        <f>IF(AND(ISNUMBER(B13),ISNUMBER(C13)),IF(B13&gt;0,C13/B13-1,"n.m."),"unavail.")</f>
        <v>0.02296900665104884</v>
      </c>
      <c r="D14" s="1"/>
      <c r="E14" s="34">
        <f>IF(AND(ISNUMBER(C13),ISNUMBER(E13)),IF(C13&gt;0,E13/C13-1,"n.m."),"unavail.")</f>
        <v>0.01459594630165828</v>
      </c>
      <c r="F14" s="34">
        <f>IF(AND(ISNUMBER(E13),ISNUMBER(F13)),IF(E13&gt;0,F13/E13-1,"n.m."),"unavail.")</f>
        <v>0.018952120276563456</v>
      </c>
      <c r="G14" s="29">
        <v>0.015</v>
      </c>
      <c r="H14" s="1"/>
    </row>
    <row r="15">
      <c r="A15" s="32" t="s">
        <v>168</v>
      </c>
      <c r="B15" s="27" t="str">
        <f>IF(AND(ISNUMBER(Inputs!B89),ISNUMBER(B13)),IF(Inputs!B89&gt;0,B13/Inputs!B89-1,"n.m."),"unavail.")</f>
        <v>unavail.</v>
      </c>
      <c r="C15" s="27">
        <f>IF(AND(ISNUMBER(Inputs!C89),ISNUMBER(C13)),IF(Inputs!C89&gt;0,C13/Inputs!C89-1,"n.m."),"unavail.")</f>
        <v>0.0811964595725303</v>
      </c>
      <c r="D15" s="27">
        <f>IF(AND(ISNUMBER(Inputs!F89),ISNUMBER(D13)),IF(Inputs!F89&gt;0,D13/Inputs!F89-1,"n.m."),"unavail.")</f>
        <v>0.06933504171459348</v>
      </c>
      <c r="E15" s="27">
        <f>IF(AND(ISNUMBER(Inputs!D89),ISNUMBER(E13)),IF(Inputs!D89&gt;0,E13/Inputs!D89-1,"n.m."),"unavail.")</f>
        <v>0.08493540124412413</v>
      </c>
      <c r="F15" s="27">
        <f>IF(AND(ISNUMBER(Inputs!E89),ISNUMBER(F13)),IF(Inputs!E89&gt;0,F13/Inputs!E89-1,"n.m."),"unavail.")</f>
        <v>0.08491478135963093</v>
      </c>
      <c r="G15" s="40">
        <f>IF(AND(ISNUMBER(B13),ISNUMBER(G13)),IF(B13&gt;0,G13/B13-1,"n.m."),"unavail.")</f>
        <v>0.07343417615854797</v>
      </c>
      <c r="H15" s="1"/>
    </row>
    <row r="16">
      <c r="A16" s="37" t="s">
        <v>169</v>
      </c>
      <c r="B16" s="20">
        <f>B13-Inputs!E89</f>
        <v>1872</v>
      </c>
      <c r="C16" s="14">
        <f>C13-B13</f>
        <v>1706</v>
      </c>
      <c r="D16" s="1"/>
      <c r="E16" s="14">
        <f>E13-C13</f>
        <v>1109</v>
      </c>
      <c r="F16" s="14">
        <f>F13-E13</f>
        <v>1461</v>
      </c>
      <c r="G16" s="31">
        <f>G13-F13</f>
        <v>1178.2499999999854</v>
      </c>
      <c r="H16" s="1"/>
    </row>
    <row r="17">
      <c r="A17" s="1" t="s">
        <v>330</v>
      </c>
      <c r="B17" s="25">
        <v>128547</v>
      </c>
      <c r="C17" s="25">
        <v>131488</v>
      </c>
      <c r="D17" s="25">
        <v>128275</v>
      </c>
      <c r="E17" s="25">
        <v>133126</v>
      </c>
      <c r="F17" s="25">
        <v>136722</v>
      </c>
      <c r="G17" s="31">
        <f>F17*(1+G18)</f>
        <v>138089.22</v>
      </c>
      <c r="H17" s="23" t="s">
        <v>328</v>
      </c>
    </row>
    <row r="18">
      <c r="A18" s="32" t="s">
        <v>167</v>
      </c>
      <c r="B18" s="27">
        <f>IF(AND(ISNUMBER(Inputs!E90),ISNUMBER(B17)),IF(Inputs!E90&gt;0,B17/Inputs!E90-1,"n.m."),"unavail.")</f>
        <v>0.010025850350826149</v>
      </c>
      <c r="C18" s="34">
        <f>IF(AND(ISNUMBER(B17),ISNUMBER(C17)),IF(B17&gt;0,C17/B17-1,"n.m."),"unavail.")</f>
        <v>0.022878791414813193</v>
      </c>
      <c r="D18" s="1"/>
      <c r="E18" s="34">
        <f>IF(AND(ISNUMBER(C17),ISNUMBER(E17)),IF(C17&gt;0,E17/C17-1,"n.m."),"unavail.")</f>
        <v>0.012457410562180637</v>
      </c>
      <c r="F18" s="34">
        <f>IF(AND(ISNUMBER(E17),ISNUMBER(F17)),IF(E17&gt;0,F17/E17-1,"n.m."),"unavail.")</f>
        <v>0.027012003665700224</v>
      </c>
      <c r="G18" s="29">
        <v>0.01</v>
      </c>
      <c r="H18" s="1"/>
    </row>
    <row r="19">
      <c r="A19" s="32" t="s">
        <v>168</v>
      </c>
      <c r="B19" s="27" t="str">
        <f>IF(AND(ISNUMBER(Inputs!B90),ISNUMBER(B17)),IF(Inputs!B90&gt;0,B17/Inputs!B90-1,"n.m."),"unavail.")</f>
        <v>unavail.</v>
      </c>
      <c r="C19" s="27">
        <f>IF(AND(ISNUMBER(Inputs!C90),ISNUMBER(C17)),IF(Inputs!C90&gt;0,C17/Inputs!C90-1,"n.m."),"unavail.")</f>
        <v>0.05568758430213894</v>
      </c>
      <c r="D19" s="27">
        <f>IF(AND(ISNUMBER(Inputs!F90),ISNUMBER(D17)),IF(Inputs!F90&gt;0,D17/Inputs!F90-1,"n.m."),"unavail.")</f>
        <v>0.05363669965912354</v>
      </c>
      <c r="E19" s="27">
        <f>IF(AND(ISNUMBER(Inputs!D90),ISNUMBER(E17)),IF(Inputs!D90&gt;0,E17/Inputs!D90-1,"n.m."),"unavail.")</f>
        <v>0.05884130822092137</v>
      </c>
      <c r="F19" s="27">
        <f>IF(AND(ISNUMBER(Inputs!E90),ISNUMBER(F17)),IF(Inputs!E90&gt;0,F17/Inputs!E90-1,"n.m."),"unavail.")</f>
        <v>0.07425886494173839</v>
      </c>
      <c r="G19" s="40">
        <f>IF(AND(ISNUMBER(B17),ISNUMBER(G17)),IF(B17&gt;0,G17/B17-1,"n.m."),"unavail.")</f>
        <v>0.07423137062708585</v>
      </c>
      <c r="H19" s="1"/>
    </row>
    <row r="20">
      <c r="A20" s="37" t="s">
        <v>169</v>
      </c>
      <c r="B20" s="20">
        <f>B17-Inputs!E90</f>
        <v>1276</v>
      </c>
      <c r="C20" s="14">
        <f>C17-B17</f>
        <v>2941</v>
      </c>
      <c r="D20" s="1"/>
      <c r="E20" s="14">
        <f>E17-C17</f>
        <v>1638</v>
      </c>
      <c r="F20" s="14">
        <f>F17-E17</f>
        <v>3596</v>
      </c>
      <c r="G20" s="31">
        <f>G17-F17</f>
        <v>1367.2200000000012</v>
      </c>
      <c r="H20" s="1"/>
    </row>
    <row r="21">
      <c r="A21" s="1" t="s">
        <v>331</v>
      </c>
      <c r="B21" s="25">
        <v>80729</v>
      </c>
      <c r="C21" s="25">
        <v>82552</v>
      </c>
      <c r="D21" s="25">
        <v>79925</v>
      </c>
      <c r="E21" s="25">
        <v>83870</v>
      </c>
      <c r="F21" s="25">
        <v>85302</v>
      </c>
      <c r="G21" s="31">
        <f>F21*(1+G22)</f>
        <v>86581.53</v>
      </c>
      <c r="H21" s="23" t="s">
        <v>328</v>
      </c>
    </row>
    <row r="22">
      <c r="A22" s="32" t="s">
        <v>167</v>
      </c>
      <c r="B22" s="27">
        <f>IF(AND(ISNUMBER(Inputs!E91),ISNUMBER(B21)),IF(Inputs!E91&gt;0,B21/Inputs!E91-1,"n.m."),"unavail.")</f>
        <v>0.024193753013118213</v>
      </c>
      <c r="C22" s="34">
        <f>IF(AND(ISNUMBER(B21),ISNUMBER(C21)),IF(B21&gt;0,C21/B21-1,"n.m."),"unavail.")</f>
        <v>0.02258172403968839</v>
      </c>
      <c r="D22" s="1"/>
      <c r="E22" s="34">
        <f>IF(AND(ISNUMBER(C21),ISNUMBER(E21)),IF(C21&gt;0,E21/C21-1,"n.m."),"unavail.")</f>
        <v>0.015965694350227766</v>
      </c>
      <c r="F22" s="34">
        <f>IF(AND(ISNUMBER(E21),ISNUMBER(F21)),IF(E21&gt;0,F21/E21-1,"n.m."),"unavail.")</f>
        <v>0.017074043162036423</v>
      </c>
      <c r="G22" s="29">
        <v>0.015</v>
      </c>
      <c r="H22" s="1"/>
    </row>
    <row r="23">
      <c r="A23" s="32" t="s">
        <v>168</v>
      </c>
      <c r="B23" s="27" t="str">
        <f>IF(AND(ISNUMBER(Inputs!B91),ISNUMBER(B21)),IF(Inputs!B91&gt;0,B21/Inputs!B91-1,"n.m."),"unavail.")</f>
        <v>unavail.</v>
      </c>
      <c r="C23" s="27">
        <f>IF(AND(ISNUMBER(Inputs!C91),ISNUMBER(C21)),IF(Inputs!C91&gt;0,C21/Inputs!C91-1,"n.m."),"unavail.")</f>
        <v>0.0771820400067853</v>
      </c>
      <c r="D23" s="27">
        <f>IF(AND(ISNUMBER(Inputs!F91),ISNUMBER(D21)),IF(Inputs!F91&gt;0,D21/Inputs!F91-1,"n.m."),"unavail.")</f>
        <v>0.06475807311094539</v>
      </c>
      <c r="E23" s="27">
        <f>IF(AND(ISNUMBER(Inputs!D91),ISNUMBER(E21)),IF(Inputs!D91&gt;0,E21/Inputs!D91-1,"n.m."),"unavail.")</f>
        <v>0.08171898779890108</v>
      </c>
      <c r="F23" s="27">
        <f>IF(AND(ISNUMBER(Inputs!E91),ISNUMBER(F21)),IF(Inputs!E91&gt;0,F21/Inputs!E91-1,"n.m."),"unavail.")</f>
        <v>0.08221055035396208</v>
      </c>
      <c r="G23" s="40">
        <f>IF(AND(ISNUMBER(B21),ISNUMBER(G21)),IF(B21&gt;0,G21/B21-1,"n.m."),"unavail.")</f>
        <v>0.07249600515304278</v>
      </c>
      <c r="H23" s="1"/>
    </row>
    <row r="24">
      <c r="A24" s="37" t="s">
        <v>169</v>
      </c>
      <c r="B24" s="20">
        <f>B21-Inputs!E91</f>
        <v>1907</v>
      </c>
      <c r="C24" s="14">
        <f>C21-B21</f>
        <v>1823</v>
      </c>
      <c r="D24" s="1"/>
      <c r="E24" s="14">
        <f>E21-C21</f>
        <v>1318</v>
      </c>
      <c r="F24" s="14">
        <f>F21-E21</f>
        <v>1432</v>
      </c>
      <c r="G24" s="31">
        <f>G21-F21</f>
        <v>1279.5299999999988</v>
      </c>
      <c r="H24" s="1"/>
    </row>
    <row r="25">
      <c r="A25" s="3" t="s">
        <v>261</v>
      </c>
      <c r="B25" s="34">
        <f>B13/B17</f>
        <v>0.5777964479917851</v>
      </c>
      <c r="C25" s="34">
        <f>C13/C17</f>
        <v>0.5778474081284984</v>
      </c>
      <c r="D25" s="34">
        <f>D13/D17</f>
        <v>0.5725433638666927</v>
      </c>
      <c r="E25" s="34">
        <f>E13/E17</f>
        <v>0.5790679506632814</v>
      </c>
      <c r="F25" s="34">
        <f>F13/F17</f>
        <v>0.574523485613142</v>
      </c>
      <c r="G25" s="40">
        <f>G13/G17</f>
        <v>0.5773676612844941</v>
      </c>
      <c r="H25" s="1"/>
    </row>
    <row r="26">
      <c r="A26" s="32" t="s">
        <v>204</v>
      </c>
      <c r="B26" s="24">
        <f>IFERROR((B25-(Inputs!E89/Inputs!E90))*10000,"unavail.")</f>
        <v>89.15870326802522</v>
      </c>
      <c r="C26" s="26">
        <f>IFERROR((C25-B25)*10000,"unavail.")</f>
        <v>0.5096013671335164</v>
      </c>
      <c r="D26" s="1"/>
      <c r="E26" s="26">
        <f>IFERROR((E25-C25)*10000,"unavail.")</f>
        <v>12.205425347829868</v>
      </c>
      <c r="F26" s="26">
        <f>IFERROR((F25-E25)*10000,"unavail.")</f>
        <v>-45.4446505013939</v>
      </c>
      <c r="G26" s="39">
        <f>IFERROR((G25-F25)*10000,"unavail.")</f>
        <v>28.441756713520896</v>
      </c>
      <c r="H26" s="1"/>
    </row>
    <row r="27">
      <c r="A27" s="32" t="s">
        <v>173</v>
      </c>
      <c r="B27" s="26" t="str">
        <f>"unavail."</f>
        <v>unavail.</v>
      </c>
      <c r="C27" s="24">
        <f>IFERROR((C25-(Inputs!C89/Inputs!C90))*10000,"unavail.")</f>
        <v>136.33264638229338</v>
      </c>
      <c r="D27" s="24">
        <f>IFERROR((D25-(Inputs!F89/Inputs!F90))*10000,"unavail.")</f>
        <v>84.05206242149576</v>
      </c>
      <c r="E27" s="24">
        <f>IFERROR((E25-(Inputs!D89/Inputs!D90))*10000,"unavail.")</f>
        <v>139.27329640120334</v>
      </c>
      <c r="F27" s="24">
        <f>IFERROR((F25-(Inputs!E89/Inputs!E90))*10000,"unavail.")</f>
        <v>56.4290794815947</v>
      </c>
      <c r="G27" s="39">
        <f>IFERROR((G25-B25)*10000,"unavail.")</f>
        <v>-4.2878670729096235</v>
      </c>
      <c r="H27" s="1"/>
    </row>
    <row r="28">
      <c r="A28" s="8" t="s">
        <v>332</v>
      </c>
      <c r="B28" s="1"/>
      <c r="C28" s="1"/>
      <c r="D28" s="1"/>
      <c r="E28" s="1"/>
      <c r="F28" s="1"/>
      <c r="G28" s="41"/>
      <c r="H28" s="1"/>
    </row>
    <row r="29">
      <c r="A29" s="1" t="s">
        <v>333</v>
      </c>
      <c r="B29" s="20">
        <f>Inputs!E89</f>
        <v>72402</v>
      </c>
      <c r="C29" s="14">
        <f>B13</f>
        <v>74274</v>
      </c>
      <c r="D29" s="20">
        <f>Inputs!C89</f>
        <v>70274</v>
      </c>
      <c r="E29" s="14">
        <f>C13</f>
        <v>75980</v>
      </c>
      <c r="F29" s="14">
        <f>E13</f>
        <v>77089</v>
      </c>
      <c r="G29" s="31">
        <f>F13</f>
        <v>78550</v>
      </c>
      <c r="H29" s="23" t="s">
        <v>334</v>
      </c>
    </row>
    <row r="30">
      <c r="A30" s="37" t="s">
        <v>152</v>
      </c>
      <c r="B30" s="14">
        <f>-B79</f>
        <v>-81</v>
      </c>
      <c r="C30" s="14">
        <f>-C79</f>
        <v>-80</v>
      </c>
      <c r="D30" s="14">
        <f>-D79</f>
        <v>-328</v>
      </c>
      <c r="E30" s="14">
        <f>-E79</f>
        <v>-71</v>
      </c>
      <c r="F30" s="14">
        <f>-F79</f>
        <v>-72</v>
      </c>
      <c r="G30" s="31">
        <f>-G79</f>
        <v>-72.34519561643835</v>
      </c>
      <c r="H30" s="1"/>
    </row>
    <row r="31">
      <c r="A31" s="37" t="s">
        <v>335</v>
      </c>
      <c r="B31" s="14">
        <f>B32-B29-B30</f>
        <v>1953</v>
      </c>
      <c r="C31" s="14">
        <f>C32-C29-C30</f>
        <v>1786</v>
      </c>
      <c r="D31" s="14" t="s">
        <v>336</v>
      </c>
      <c r="E31" s="14">
        <f>E32-E29-E30</f>
        <v>1180</v>
      </c>
      <c r="F31" s="14">
        <f>F32-F29-F30</f>
        <v>1533</v>
      </c>
      <c r="G31" s="31">
        <f>G32-G29-G30</f>
        <v>1250.5951956164238</v>
      </c>
      <c r="H31" s="23" t="s">
        <v>337</v>
      </c>
    </row>
    <row r="32">
      <c r="A32" s="8" t="s">
        <v>338</v>
      </c>
      <c r="B32" s="30">
        <f>B13</f>
        <v>74274</v>
      </c>
      <c r="C32" s="30">
        <f>C13</f>
        <v>75980</v>
      </c>
      <c r="D32" s="30">
        <f>D13</f>
        <v>73443</v>
      </c>
      <c r="E32" s="30">
        <f>E13</f>
        <v>77089</v>
      </c>
      <c r="F32" s="30">
        <f>F13</f>
        <v>78550</v>
      </c>
      <c r="G32" s="38">
        <f>G13</f>
        <v>79728.24999999999</v>
      </c>
      <c r="H32" s="1"/>
    </row>
    <row r="33">
      <c r="A33" s="32" t="s">
        <v>156</v>
      </c>
      <c r="B33" s="34">
        <f>B32/B29-1</f>
        <v>0.02585563934697932</v>
      </c>
      <c r="C33" s="34">
        <f>C32/C29-1</f>
        <v>0.02296900665104884</v>
      </c>
      <c r="D33" s="34" t="s">
        <v>336</v>
      </c>
      <c r="E33" s="34">
        <f>E32/E29-1</f>
        <v>0.01459594630165828</v>
      </c>
      <c r="F33" s="34">
        <f>F32/F29-1</f>
        <v>0.018952120276563456</v>
      </c>
      <c r="G33" s="40">
        <f>G32/G29-1</f>
        <v>0.014999999999999902</v>
      </c>
      <c r="H33" s="1"/>
    </row>
    <row r="34">
      <c r="A34" s="1" t="s">
        <v>339</v>
      </c>
      <c r="B34" s="20">
        <f>Inputs!E90</f>
        <v>127271</v>
      </c>
      <c r="C34" s="14">
        <f>B17</f>
        <v>128547</v>
      </c>
      <c r="D34" s="20">
        <f>Inputs!C90</f>
        <v>124552</v>
      </c>
      <c r="E34" s="14">
        <f>C17</f>
        <v>131488</v>
      </c>
      <c r="F34" s="14">
        <f>E17</f>
        <v>133126</v>
      </c>
      <c r="G34" s="31">
        <f>F17</f>
        <v>136722</v>
      </c>
      <c r="H34" s="1"/>
    </row>
    <row r="35">
      <c r="A35" s="37" t="s">
        <v>160</v>
      </c>
      <c r="B35" s="14">
        <f>B36-B34</f>
        <v>1276</v>
      </c>
      <c r="C35" s="14">
        <f>C36-C34</f>
        <v>2941</v>
      </c>
      <c r="D35" s="14" t="s">
        <v>336</v>
      </c>
      <c r="E35" s="14">
        <f>E36-E34</f>
        <v>1638</v>
      </c>
      <c r="F35" s="14">
        <f>F36-F34</f>
        <v>3596</v>
      </c>
      <c r="G35" s="31">
        <f>G36-G34</f>
        <v>1367.2200000000012</v>
      </c>
      <c r="H35" s="1"/>
    </row>
    <row r="36">
      <c r="A36" s="8" t="s">
        <v>340</v>
      </c>
      <c r="B36" s="30">
        <f>B17</f>
        <v>128547</v>
      </c>
      <c r="C36" s="30">
        <f>C17</f>
        <v>131488</v>
      </c>
      <c r="D36" s="30">
        <f>D17</f>
        <v>128275</v>
      </c>
      <c r="E36" s="30">
        <f>E17</f>
        <v>133126</v>
      </c>
      <c r="F36" s="30">
        <f>F17</f>
        <v>136722</v>
      </c>
      <c r="G36" s="38">
        <f>G17</f>
        <v>138089.22</v>
      </c>
      <c r="H36" s="1"/>
    </row>
    <row r="37">
      <c r="A37" s="32" t="s">
        <v>156</v>
      </c>
      <c r="B37" s="34">
        <f>B36/B34-1</f>
        <v>0.010025850350826149</v>
      </c>
      <c r="C37" s="34">
        <f>C36/C34-1</f>
        <v>0.022878791414813193</v>
      </c>
      <c r="D37" s="34" t="s">
        <v>336</v>
      </c>
      <c r="E37" s="34">
        <f>E36/E34-1</f>
        <v>0.012457410562180637</v>
      </c>
      <c r="F37" s="34">
        <f>F36/F34-1</f>
        <v>0.027012003665700224</v>
      </c>
      <c r="G37" s="40">
        <f>G36/G34-1</f>
        <v>0.010000000000000009</v>
      </c>
      <c r="H37" s="1"/>
    </row>
    <row r="38">
      <c r="A38" s="8" t="s">
        <v>341</v>
      </c>
      <c r="B38" s="1"/>
      <c r="C38" s="1"/>
      <c r="D38" s="1"/>
      <c r="E38" s="1"/>
      <c r="F38" s="1"/>
      <c r="G38" s="41"/>
      <c r="H38" s="1"/>
    </row>
    <row r="39">
      <c r="A39" s="3" t="s">
        <v>342</v>
      </c>
      <c r="B39" s="28">
        <v>0.0669</v>
      </c>
      <c r="C39" s="28">
        <v>0.06730000000000001</v>
      </c>
      <c r="D39" s="28">
        <v>0.0672</v>
      </c>
      <c r="E39" s="28">
        <v>0.0683</v>
      </c>
      <c r="F39" s="28">
        <v>0.0683</v>
      </c>
      <c r="G39" s="55">
        <f>F39+G40/10000</f>
        <v>0.0686</v>
      </c>
      <c r="H39" s="23" t="s">
        <v>343</v>
      </c>
    </row>
    <row r="40">
      <c r="A40" s="32" t="s">
        <v>172</v>
      </c>
      <c r="B40" s="24">
        <f>IFERROR((B39-Inputs!E92)*10000,"unavail.")</f>
        <v>0</v>
      </c>
      <c r="C40" s="26">
        <f>IFERROR((C39-B39)*10000,"unavail.")</f>
        <v>4.000000000000115</v>
      </c>
      <c r="D40" s="1"/>
      <c r="E40" s="26">
        <f>IFERROR((E39-C39)*10000,"unavail.")</f>
        <v>9.99999999999987</v>
      </c>
      <c r="F40" s="26">
        <f>IFERROR((F39-E39)*10000,"unavail.")</f>
        <v>0</v>
      </c>
      <c r="G40" s="50">
        <v>3</v>
      </c>
      <c r="H40" s="1"/>
    </row>
    <row r="41">
      <c r="A41" s="32" t="s">
        <v>173</v>
      </c>
      <c r="B41" s="26" t="str">
        <f>"unavail."</f>
        <v>unavail.</v>
      </c>
      <c r="C41" s="24">
        <f>IFERROR((C39-Inputs!C92)*10000,"unavail.")</f>
        <v>1.0000000000001674</v>
      </c>
      <c r="D41" s="24">
        <f>IFERROR((D39-Inputs!F92)*10000,"unavail.")</f>
        <v>12.999999999999956</v>
      </c>
      <c r="E41" s="24">
        <f>IFERROR((E39-Inputs!D92)*10000,"unavail.")</f>
        <v>7.000000000000062</v>
      </c>
      <c r="F41" s="24">
        <f>IFERROR((F39-Inputs!E92)*10000,"unavail.")</f>
        <v>13.999999999999984</v>
      </c>
      <c r="G41" s="39">
        <f>IFERROR((G39-B39)*10000,"unavail.")</f>
        <v>16.999999999999932</v>
      </c>
      <c r="H41" s="1"/>
    </row>
    <row r="42">
      <c r="A42" s="1" t="s">
        <v>264</v>
      </c>
      <c r="B42" s="25">
        <v>1262</v>
      </c>
      <c r="C42" s="25">
        <v>1299</v>
      </c>
      <c r="D42" s="20">
        <f>Inputs!D93+Inputs!E93+B42+C42</f>
        <v>4972</v>
      </c>
      <c r="E42" s="25">
        <v>1309</v>
      </c>
      <c r="F42" s="25">
        <v>1348</v>
      </c>
      <c r="G42" s="31">
        <f>G9*G39*G$6/365</f>
        <v>1389.3362424219176</v>
      </c>
      <c r="H42" s="23" t="s">
        <v>344</v>
      </c>
    </row>
    <row r="43">
      <c r="A43" s="32" t="s">
        <v>125</v>
      </c>
      <c r="B43" s="27">
        <f>IF(AND(ISNUMBER(Inputs!E93),ISNUMBER(B42)),IF(Inputs!E93&gt;0,B42/Inputs!E93-1,"n.m."),"unavail.")</f>
        <v>0.03612479474548436</v>
      </c>
      <c r="C43" s="34">
        <f>IF(AND(ISNUMBER(B42),ISNUMBER(C42)),IF(B42&gt;0,C42/B42-1,"n.m."),"unavail.")</f>
        <v>0.029318541996830483</v>
      </c>
      <c r="D43" s="1"/>
      <c r="E43" s="34">
        <f>IF(AND(ISNUMBER(C42),ISNUMBER(E42)),IF(C42&gt;0,E42/C42-1,"n.m."),"unavail.")</f>
        <v>0.007698229407236301</v>
      </c>
      <c r="F43" s="34">
        <f>IF(AND(ISNUMBER(E42),ISNUMBER(F42)),IF(E42&gt;0,F42/E42-1,"n.m."),"unavail.")</f>
        <v>0.029793735676088673</v>
      </c>
      <c r="G43" s="40">
        <f>IF(AND(ISNUMBER(F42),ISNUMBER(G42)),IF(F42&gt;0,G42/F42-1,"n.m."),"unavail.")</f>
        <v>0.03066486826551751</v>
      </c>
      <c r="H43" s="1"/>
    </row>
    <row r="44">
      <c r="A44" s="32" t="s">
        <v>127</v>
      </c>
      <c r="B44" s="27" t="str">
        <f>IF(AND(ISNUMBER(Inputs!B93),ISNUMBER(B42)),IF(Inputs!B93&gt;0,B42/Inputs!B93-1,"n.m."),"unavail.")</f>
        <v>unavail.</v>
      </c>
      <c r="C44" s="27">
        <f>IF(AND(ISNUMBER(Inputs!C93),ISNUMBER(C42)),IF(Inputs!C93&gt;0,C42/Inputs!C93-1,"n.m."),"unavail.")</f>
        <v>0.08702928870292892</v>
      </c>
      <c r="D44" s="27">
        <f>IF(AND(ISNUMBER(Inputs!F93),ISNUMBER(D42)),IF(Inputs!F93&gt;0,D42/Inputs!F93-1,"n.m."),"unavail.")</f>
        <v>0.08939526730937764</v>
      </c>
      <c r="E44" s="27">
        <f>IF(AND(ISNUMBER(Inputs!D93),ISNUMBER(E42)),IF(Inputs!D93&gt;0,E42/Inputs!D93-1,"n.m."),"unavail.")</f>
        <v>0.09723386420787938</v>
      </c>
      <c r="F44" s="27">
        <f>IF(AND(ISNUMBER(Inputs!E93),ISNUMBER(F42)),IF(Inputs!E93&gt;0,F42/Inputs!E93-1,"n.m."),"unavail.")</f>
        <v>0.10673234811165844</v>
      </c>
      <c r="G44" s="40">
        <f>IF(AND(ISNUMBER(B42),ISNUMBER(G42)),IF(B42&gt;0,G42/B42-1,"n.m."),"unavail.")</f>
        <v>0.1009003505720425</v>
      </c>
      <c r="H44" s="1"/>
    </row>
    <row r="45">
      <c r="A45" s="32" t="s">
        <v>128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29">
        <v>0</v>
      </c>
      <c r="H45" s="23" t="s">
        <v>129</v>
      </c>
    </row>
    <row r="46">
      <c r="A46" s="32" t="s">
        <v>130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29">
        <v>0</v>
      </c>
      <c r="H46" s="23" t="s">
        <v>131</v>
      </c>
    </row>
    <row r="47">
      <c r="A47" s="32" t="s">
        <v>132</v>
      </c>
      <c r="B47" s="34" t="str">
        <f>IF(AND(ISNUMBER(B44),ISNUMBER(B45),ISNUMBER(B46)),(1+B44)/((1+B45)*(1+B46))-1,"unavail.")</f>
        <v>unavail.</v>
      </c>
      <c r="C47" s="34">
        <f>IF(AND(ISNUMBER(C44),ISNUMBER(C45),ISNUMBER(C46)),(1+C44)/((1+C45)*(1+C46))-1,"unavail.")</f>
        <v>0.08702928870292892</v>
      </c>
      <c r="D47" s="34">
        <f>IF(AND(ISNUMBER(D44),ISNUMBER(D45),ISNUMBER(D46)),(1+D44)/((1+D45)*(1+D46))-1,"unavail.")</f>
        <v>0.08939526730937764</v>
      </c>
      <c r="E47" s="34">
        <f>IF(AND(ISNUMBER(E44),ISNUMBER(E45),ISNUMBER(E46)),(1+E44)/((1+E45)*(1+E46))-1,"unavail.")</f>
        <v>0.09723386420787938</v>
      </c>
      <c r="F47" s="34">
        <f>IF(AND(ISNUMBER(F44),ISNUMBER(F45),ISNUMBER(F46)),(1+F44)/((1+F45)*(1+F46))-1,"unavail.")</f>
        <v>0.10673234811165844</v>
      </c>
      <c r="G47" s="40">
        <f>IF(AND(ISNUMBER(G44),ISNUMBER(G45),ISNUMBER(G46)),(1+G44)/((1+G45)*(1+G46))-1,"unavail.")</f>
        <v>0.1009003505720425</v>
      </c>
      <c r="H47" s="23" t="s">
        <v>133</v>
      </c>
    </row>
    <row r="48">
      <c r="A48" s="1" t="s">
        <v>345</v>
      </c>
      <c r="B48" s="25">
        <v>311</v>
      </c>
      <c r="C48" s="25">
        <v>315</v>
      </c>
      <c r="D48" s="20">
        <f>Inputs!D94+Inputs!E94+B48+C48</f>
        <v>1252</v>
      </c>
      <c r="E48" s="25">
        <v>299</v>
      </c>
      <c r="F48" s="25">
        <v>314</v>
      </c>
      <c r="G48" s="31">
        <f>F48*(1+G49)</f>
        <v>315.884</v>
      </c>
      <c r="H48" s="1"/>
    </row>
    <row r="49">
      <c r="A49" s="32" t="s">
        <v>167</v>
      </c>
      <c r="B49" s="27">
        <f>IF(AND(ISNUMBER(Inputs!E94),ISNUMBER(B48)),IF(Inputs!E94&gt;0,B48/Inputs!E94-1,"n.m."),"unavail.")</f>
        <v>-0.054711246200607855</v>
      </c>
      <c r="C49" s="34">
        <f>IF(AND(ISNUMBER(B48),ISNUMBER(C48)),IF(B48&gt;0,C48/B48-1,"n.m."),"unavail.")</f>
        <v>0.012861736334405238</v>
      </c>
      <c r="D49" s="1"/>
      <c r="E49" s="34">
        <f>IF(AND(ISNUMBER(C48),ISNUMBER(E48)),IF(C48&gt;0,E48/C48-1,"n.m."),"unavail.")</f>
        <v>-0.050793650793650835</v>
      </c>
      <c r="F49" s="34">
        <f>IF(AND(ISNUMBER(E48),ISNUMBER(F48)),IF(E48&gt;0,F48/E48-1,"n.m."),"unavail.")</f>
        <v>0.050167224080267525</v>
      </c>
      <c r="G49" s="29">
        <v>0.006</v>
      </c>
      <c r="H49" s="1"/>
    </row>
    <row r="50">
      <c r="A50" s="37" t="s">
        <v>169</v>
      </c>
      <c r="B50" s="20">
        <f>B48-Inputs!E94</f>
        <v>-18</v>
      </c>
      <c r="C50" s="14">
        <f>C48-B48</f>
        <v>4</v>
      </c>
      <c r="D50" s="1"/>
      <c r="E50" s="14">
        <f>E48-C48</f>
        <v>-16</v>
      </c>
      <c r="F50" s="14">
        <f>F48-E48</f>
        <v>15</v>
      </c>
      <c r="G50" s="31">
        <f>G48-F48</f>
        <v>1.8840000000000146</v>
      </c>
      <c r="H50" s="1"/>
    </row>
    <row r="51">
      <c r="A51" s="32" t="s">
        <v>127</v>
      </c>
      <c r="B51" s="27" t="str">
        <f>IF(AND(ISNUMBER(Inputs!B94),ISNUMBER(B48)),IF(Inputs!B94&gt;0,B48/Inputs!B94-1,"n.m."),"unavail.")</f>
        <v>unavail.</v>
      </c>
      <c r="C51" s="27">
        <f>IF(AND(ISNUMBER(Inputs!C94),ISNUMBER(C48)),IF(Inputs!C94&gt;0,C48/Inputs!C94-1,"n.m."),"unavail.")</f>
        <v>0.012861736334405238</v>
      </c>
      <c r="D51" s="27">
        <f>IF(AND(ISNUMBER(Inputs!F94),ISNUMBER(D48)),IF(Inputs!F94&gt;0,D48/Inputs!F94-1,"n.m."),"unavail.")</f>
        <v>0.10698496905393462</v>
      </c>
      <c r="E51" s="27">
        <f>IF(AND(ISNUMBER(Inputs!D94),ISNUMBER(E48)),IF(Inputs!D94&gt;0,E48/Inputs!D94-1,"n.m."),"unavail.")</f>
        <v>0.006734006734006703</v>
      </c>
      <c r="F51" s="27">
        <f>IF(AND(ISNUMBER(Inputs!E94),ISNUMBER(F48)),IF(Inputs!E94&gt;0,F48/Inputs!E94-1,"n.m."),"unavail.")</f>
        <v>-0.045592705167173286</v>
      </c>
      <c r="G51" s="40">
        <f>IF(AND(ISNUMBER(B48),ISNUMBER(G48)),IF(B48&gt;0,G48/B48-1,"n.m."),"unavail.")</f>
        <v>0.015704180064308737</v>
      </c>
      <c r="H51" s="1"/>
    </row>
    <row r="52">
      <c r="A52" s="32" t="s">
        <v>128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29">
        <v>0</v>
      </c>
      <c r="H52" s="23" t="s">
        <v>129</v>
      </c>
    </row>
    <row r="53">
      <c r="A53" s="32" t="s">
        <v>130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29">
        <v>0</v>
      </c>
      <c r="H53" s="23" t="s">
        <v>131</v>
      </c>
    </row>
    <row r="54">
      <c r="A54" s="32" t="s">
        <v>132</v>
      </c>
      <c r="B54" s="34" t="str">
        <f>IF(AND(ISNUMBER(B51),ISNUMBER(B52),ISNUMBER(B53)),(1+B51)/((1+B52)*(1+B53))-1,"unavail.")</f>
        <v>unavail.</v>
      </c>
      <c r="C54" s="34">
        <f>IF(AND(ISNUMBER(C51),ISNUMBER(C52),ISNUMBER(C53)),(1+C51)/((1+C52)*(1+C53))-1,"unavail.")</f>
        <v>0.012861736334405238</v>
      </c>
      <c r="D54" s="34">
        <f>IF(AND(ISNUMBER(D51),ISNUMBER(D52),ISNUMBER(D53)),(1+D51)/((1+D52)*(1+D53))-1,"unavail.")</f>
        <v>0.10698496905393462</v>
      </c>
      <c r="E54" s="34">
        <f>IF(AND(ISNUMBER(E51),ISNUMBER(E52),ISNUMBER(E53)),(1+E51)/((1+E52)*(1+E53))-1,"unavail.")</f>
        <v>0.006734006734006703</v>
      </c>
      <c r="F54" s="34">
        <f>IF(AND(ISNUMBER(F51),ISNUMBER(F52),ISNUMBER(F53)),(1+F51)/((1+F52)*(1+F53))-1,"unavail.")</f>
        <v>-0.045592705167173286</v>
      </c>
      <c r="G54" s="40">
        <f>IF(AND(ISNUMBER(G51),ISNUMBER(G52),ISNUMBER(G53)),(1+G51)/((1+G52)*(1+G53))-1,"unavail.")</f>
        <v>0.015704180064308737</v>
      </c>
      <c r="H54" s="23" t="s">
        <v>133</v>
      </c>
    </row>
    <row r="55">
      <c r="A55" s="8" t="s">
        <v>320</v>
      </c>
      <c r="B55" s="30">
        <f>B42+B48</f>
        <v>1573</v>
      </c>
      <c r="C55" s="30">
        <f>C42+C48</f>
        <v>1614</v>
      </c>
      <c r="D55" s="30">
        <f>D42+D48</f>
        <v>6224</v>
      </c>
      <c r="E55" s="30">
        <f>E42+E48</f>
        <v>1608</v>
      </c>
      <c r="F55" s="30">
        <f>F42+F48</f>
        <v>1662</v>
      </c>
      <c r="G55" s="38">
        <f>G42+G48</f>
        <v>1705.2202424219176</v>
      </c>
      <c r="H55" s="1"/>
    </row>
    <row r="56">
      <c r="A56" s="32" t="s">
        <v>125</v>
      </c>
      <c r="B56" s="27">
        <f>IF(AND(ISNUMBER(Inputs!E9),ISNUMBER(B55)),IF(Inputs!E9&gt;0,B55/Inputs!E9-1,"n.m."),"unavail.")</f>
        <v>0.01680672268907557</v>
      </c>
      <c r="C56" s="34">
        <f>IF(AND(ISNUMBER(B55),ISNUMBER(C55)),IF(B55&gt;0,C55/B55-1,"n.m."),"unavail.")</f>
        <v>0.026064844246662444</v>
      </c>
      <c r="D56" s="1"/>
      <c r="E56" s="34">
        <f>IF(AND(ISNUMBER(C55),ISNUMBER(E55)),IF(C55&gt;0,E55/C55-1,"n.m."),"unavail.")</f>
        <v>-0.0037174721189591198</v>
      </c>
      <c r="F56" s="34">
        <f>IF(AND(ISNUMBER(E55),ISNUMBER(F55)),IF(E55&gt;0,F55/E55-1,"n.m."),"unavail.")</f>
        <v>0.033582089552238736</v>
      </c>
      <c r="G56" s="40">
        <f>IF(AND(ISNUMBER(F55),ISNUMBER(G55)),IF(F55&gt;0,G55/F55-1,"n.m."),"unavail.")</f>
        <v>0.026004959339300582</v>
      </c>
      <c r="H56" s="1"/>
    </row>
    <row r="57">
      <c r="A57" s="32" t="s">
        <v>127</v>
      </c>
      <c r="B57" s="27" t="str">
        <f>IF(AND(ISNUMBER(Inputs!B9),ISNUMBER(B55)),IF(Inputs!B9&gt;0,B55/Inputs!B9-1,"n.m."),"unavail.")</f>
        <v>unavail.</v>
      </c>
      <c r="C57" s="27">
        <f>IF(AND(ISNUMBER(Inputs!C9),ISNUMBER(C55)),IF(Inputs!C9&gt;0,C55/Inputs!C9-1,"n.m."),"unavail.")</f>
        <v>0.0717131474103585</v>
      </c>
      <c r="D57" s="27">
        <f>IF(AND(ISNUMBER(Inputs!F9),ISNUMBER(D55)),IF(Inputs!F9&gt;0,D55/Inputs!F9-1,"n.m."),"unavail.")</f>
        <v>0.09288849868305538</v>
      </c>
      <c r="E57" s="27">
        <f>IF(AND(ISNUMBER(Inputs!D9),ISNUMBER(E55)),IF(Inputs!D9&gt;0,E55/Inputs!D9-1,"n.m."),"unavail.")</f>
        <v>0.07919463087248313</v>
      </c>
      <c r="F57" s="27">
        <f>IF(AND(ISNUMBER(Inputs!E9),ISNUMBER(F55)),IF(Inputs!E9&gt;0,F55/Inputs!E9-1,"n.m."),"unavail.")</f>
        <v>0.07433742727860371</v>
      </c>
      <c r="G57" s="40">
        <f>IF(AND(ISNUMBER(B55),ISNUMBER(G55)),IF(B55&gt;0,G55/B55-1,"n.m."),"unavail.")</f>
        <v>0.08405609817032267</v>
      </c>
      <c r="H57" s="1"/>
    </row>
    <row r="58">
      <c r="A58" s="32" t="s">
        <v>128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29">
        <v>0</v>
      </c>
      <c r="H58" s="23" t="s">
        <v>129</v>
      </c>
    </row>
    <row r="59">
      <c r="A59" s="32" t="s">
        <v>130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29">
        <v>0</v>
      </c>
      <c r="H59" s="23" t="s">
        <v>131</v>
      </c>
    </row>
    <row r="60">
      <c r="A60" s="32" t="s">
        <v>132</v>
      </c>
      <c r="B60" s="34" t="str">
        <f>IF(AND(ISNUMBER(B57),ISNUMBER(B58),ISNUMBER(B59)),(1+B57)/((1+B58)*(1+B59))-1,"unavail.")</f>
        <v>unavail.</v>
      </c>
      <c r="C60" s="34">
        <f>IF(AND(ISNUMBER(C57),ISNUMBER(C58),ISNUMBER(C59)),(1+C57)/((1+C58)*(1+C59))-1,"unavail.")</f>
        <v>0.0717131474103585</v>
      </c>
      <c r="D60" s="34">
        <f>IF(AND(ISNUMBER(D57),ISNUMBER(D58),ISNUMBER(D59)),(1+D57)/((1+D58)*(1+D59))-1,"unavail.")</f>
        <v>0.09288849868305538</v>
      </c>
      <c r="E60" s="34">
        <f>IF(AND(ISNUMBER(E57),ISNUMBER(E58),ISNUMBER(E59)),(1+E57)/((1+E58)*(1+E59))-1,"unavail.")</f>
        <v>0.07919463087248313</v>
      </c>
      <c r="F60" s="34">
        <f>IF(AND(ISNUMBER(F57),ISNUMBER(F58),ISNUMBER(F59)),(1+F57)/((1+F58)*(1+F59))-1,"unavail.")</f>
        <v>0.07433742727860371</v>
      </c>
      <c r="G60" s="40">
        <f>IF(AND(ISNUMBER(G57),ISNUMBER(G58),ISNUMBER(G59)),(1+G57)/((1+G58)*(1+G59))-1,"unavail.")</f>
        <v>0.08405609817032267</v>
      </c>
      <c r="H60" s="23" t="s">
        <v>133</v>
      </c>
    </row>
    <row r="61">
      <c r="A61" s="32" t="s">
        <v>346</v>
      </c>
      <c r="B61" s="34">
        <f>B48/B55</f>
        <v>0.19771137952956136</v>
      </c>
      <c r="C61" s="34">
        <f>C48/C55</f>
        <v>0.19516728624535315</v>
      </c>
      <c r="D61" s="34">
        <f>D48/D55</f>
        <v>0.2011568123393316</v>
      </c>
      <c r="E61" s="34">
        <f>E48/E55</f>
        <v>0.1859452736318408</v>
      </c>
      <c r="F61" s="34">
        <f>F48/F55</f>
        <v>0.18892900120336945</v>
      </c>
      <c r="G61" s="40">
        <f>G48/G55</f>
        <v>0.18524527925574658</v>
      </c>
      <c r="H61" s="1"/>
    </row>
    <row r="62">
      <c r="A62" s="44" t="s">
        <v>204</v>
      </c>
      <c r="B62" s="24">
        <f>IFERROR((B61-(Inputs!E94/Inputs!E9))*10000,"unavail.")</f>
        <v>-149.58303728357185</v>
      </c>
      <c r="C62" s="26">
        <f>IFERROR((C61-B61)*10000,"unavail.")</f>
        <v>-25.4409328420821</v>
      </c>
      <c r="D62" s="1"/>
      <c r="E62" s="26">
        <f>IFERROR((E61-C61)*10000,"unavail.")</f>
        <v>-92.22012613512354</v>
      </c>
      <c r="F62" s="26">
        <f>IFERROR((F61-E61)*10000,"unavail.")</f>
        <v>29.837275715286495</v>
      </c>
      <c r="G62" s="39">
        <f>IFERROR((G61-F61)*10000,"unavail.")</f>
        <v>-36.8372194762287</v>
      </c>
      <c r="H62" s="1"/>
    </row>
    <row r="63">
      <c r="A63" s="44" t="s">
        <v>173</v>
      </c>
      <c r="B63" s="26" t="str">
        <f>"unavail."</f>
        <v>unavail.</v>
      </c>
      <c r="C63" s="24">
        <f>IFERROR((C61-(Inputs!C94/Inputs!C9))*10000,"unavail.")</f>
        <v>-113.40017871512731</v>
      </c>
      <c r="D63" s="24">
        <f>IFERROR((D61-(Inputs!F94/Inputs!F9))*10000,"unavail.")</f>
        <v>25.61553340209577</v>
      </c>
      <c r="E63" s="24">
        <f>IFERROR((E61-(Inputs!D94/Inputs!D9))*10000,"unavail.")</f>
        <v>-133.83585428561884</v>
      </c>
      <c r="F63" s="24">
        <f>IFERROR((F61-(Inputs!E94/Inputs!E9))*10000,"unavail.")</f>
        <v>-237.406820545491</v>
      </c>
      <c r="G63" s="39">
        <f>IFERROR((G61-B61)*10000,"unavail.")</f>
        <v>-124.66100273814784</v>
      </c>
      <c r="H63" s="1"/>
    </row>
    <row r="64">
      <c r="A64" s="8" t="s">
        <v>347</v>
      </c>
      <c r="B64" s="1"/>
      <c r="C64" s="1"/>
      <c r="D64" s="1"/>
      <c r="E64" s="1"/>
      <c r="F64" s="1"/>
      <c r="G64" s="41"/>
      <c r="H64" s="1"/>
    </row>
    <row r="65">
      <c r="A65" s="1" t="s">
        <v>348</v>
      </c>
      <c r="B65" s="25">
        <v>979</v>
      </c>
      <c r="C65" s="25">
        <v>984</v>
      </c>
      <c r="D65" s="20">
        <f>Inputs!D95+Inputs!E95+B65+C65</f>
        <v>3880</v>
      </c>
      <c r="E65" s="25">
        <v>1028</v>
      </c>
      <c r="F65" s="25">
        <v>1016</v>
      </c>
      <c r="G65" s="31">
        <f>F65*(1+G66)</f>
        <v>1020.064</v>
      </c>
      <c r="H65" s="1"/>
    </row>
    <row r="66">
      <c r="A66" s="32" t="s">
        <v>167</v>
      </c>
      <c r="B66" s="27">
        <f>IF(AND(ISNUMBER(Inputs!E95),ISNUMBER(B65)),IF(Inputs!E95&gt;0,B65/Inputs!E95-1,"n.m."),"unavail.")</f>
        <v>0.01661474558670828</v>
      </c>
      <c r="C66" s="34">
        <f>IF(AND(ISNUMBER(B65),ISNUMBER(C65)),IF(B65&gt;0,C65/B65-1,"n.m."),"unavail.")</f>
        <v>0.005107252298263587</v>
      </c>
      <c r="D66" s="1"/>
      <c r="E66" s="34">
        <f>IF(AND(ISNUMBER(C65),ISNUMBER(E65)),IF(C65&gt;0,E65/C65-1,"n.m."),"unavail.")</f>
        <v>0.04471544715447151</v>
      </c>
      <c r="F66" s="34">
        <f>IF(AND(ISNUMBER(E65),ISNUMBER(F65)),IF(E65&gt;0,F65/E65-1,"n.m."),"unavail.")</f>
        <v>-0.011673151750972721</v>
      </c>
      <c r="G66" s="29">
        <v>0.004</v>
      </c>
      <c r="H66" s="1"/>
    </row>
    <row r="67">
      <c r="A67" s="32" t="s">
        <v>168</v>
      </c>
      <c r="B67" s="27" t="str">
        <f>IF(AND(ISNUMBER(Inputs!B95),ISNUMBER(B65)),IF(Inputs!B95&gt;0,B65/Inputs!B95-1,"n.m."),"unavail.")</f>
        <v>unavail.</v>
      </c>
      <c r="C67" s="27">
        <f>IF(AND(ISNUMBER(Inputs!C95),ISNUMBER(C65)),IF(Inputs!C95&gt;0,C65/Inputs!C95-1,"n.m."),"unavail.")</f>
        <v>0.04347826086956519</v>
      </c>
      <c r="D67" s="27">
        <f>IF(AND(ISNUMBER(Inputs!F95),ISNUMBER(D65)),IF(Inputs!F95&gt;0,D65/Inputs!F95-1,"n.m."),"unavail.")</f>
        <v>0.0552080500407941</v>
      </c>
      <c r="E67" s="27">
        <f>IF(AND(ISNUMBER(Inputs!D95),ISNUMBER(E65)),IF(Inputs!D95&gt;0,E65/Inputs!D95-1,"n.m."),"unavail.")</f>
        <v>0.07756813417190767</v>
      </c>
      <c r="F67" s="27">
        <f>IF(AND(ISNUMBER(Inputs!E95),ISNUMBER(F65)),IF(Inputs!E95&gt;0,F65/Inputs!E95-1,"n.m."),"unavail.")</f>
        <v>0.05503634475597097</v>
      </c>
      <c r="G67" s="40">
        <f>IF(AND(ISNUMBER(B65),ISNUMBER(G65)),IF(B65&gt;0,G65/B65-1,"n.m."),"unavail.")</f>
        <v>0.041944841675178646</v>
      </c>
      <c r="H67" s="1"/>
    </row>
    <row r="68">
      <c r="A68" s="37" t="s">
        <v>169</v>
      </c>
      <c r="B68" s="20">
        <f>B65-Inputs!E95</f>
        <v>16</v>
      </c>
      <c r="C68" s="14">
        <f>C65-B65</f>
        <v>5</v>
      </c>
      <c r="D68" s="1"/>
      <c r="E68" s="14">
        <f>E65-C65</f>
        <v>44</v>
      </c>
      <c r="F68" s="14">
        <f>F65-E65</f>
        <v>-12</v>
      </c>
      <c r="G68" s="31">
        <f>G65-F65</f>
        <v>4.0639999999999645</v>
      </c>
      <c r="H68" s="1"/>
    </row>
    <row r="69">
      <c r="A69" s="3" t="s">
        <v>349</v>
      </c>
      <c r="B69" s="34">
        <f>B65/B55</f>
        <v>0.6223776223776224</v>
      </c>
      <c r="C69" s="34">
        <f>C65/C55</f>
        <v>0.6096654275092936</v>
      </c>
      <c r="D69" s="34">
        <f>D65/D55</f>
        <v>0.6233933161953727</v>
      </c>
      <c r="E69" s="34">
        <f>E65/E55</f>
        <v>0.6393034825870647</v>
      </c>
      <c r="F69" s="34">
        <f>F65/F55</f>
        <v>0.6113116726835138</v>
      </c>
      <c r="G69" s="40">
        <f>G65/G55</f>
        <v>0.598200733619727</v>
      </c>
      <c r="H69" s="1"/>
    </row>
    <row r="70">
      <c r="A70" s="32" t="s">
        <v>204</v>
      </c>
      <c r="B70" s="24">
        <f>IFERROR((B69-(Inputs!E95/Inputs!E9))*10000,"unavail.")</f>
        <v>-1.1752952929422467</v>
      </c>
      <c r="C70" s="26">
        <f>IFERROR((C69-B69)*10000,"unavail.")</f>
        <v>-127.12194868328753</v>
      </c>
      <c r="D70" s="1"/>
      <c r="E70" s="26">
        <f>IFERROR((E69-C69)*10000,"unavail.")</f>
        <v>296.38055077771065</v>
      </c>
      <c r="F70" s="26">
        <f>IFERROR((F69-E69)*10000,"unavail.")</f>
        <v>-279.9180990355088</v>
      </c>
      <c r="G70" s="39">
        <f>IFERROR((G69-F69)*10000,"unavail.")</f>
        <v>-131.10939063786796</v>
      </c>
      <c r="H70" s="1"/>
    </row>
    <row r="71">
      <c r="A71" s="32" t="s">
        <v>173</v>
      </c>
      <c r="B71" s="26" t="str">
        <f>"unavail."</f>
        <v>unavail.</v>
      </c>
      <c r="C71" s="24">
        <f>IFERROR((C69-(Inputs!C95/Inputs!C9))*10000,"unavail.")</f>
        <v>-164.9659108300383</v>
      </c>
      <c r="D71" s="24">
        <f>IFERROR((D69-(Inputs!F95/Inputs!F9))*10000,"unavail.")</f>
        <v>-222.60766333161098</v>
      </c>
      <c r="E71" s="24">
        <f>IFERROR((E69-(Inputs!D95/Inputs!D9))*10000,"unavail.")</f>
        <v>-9.649737887742482</v>
      </c>
      <c r="F71" s="24">
        <f>IFERROR((F69-(Inputs!E95/Inputs!E9))*10000,"unavail.")</f>
        <v>-111.83479223402793</v>
      </c>
      <c r="G71" s="39">
        <f>IFERROR((G69-B69)*10000,"unavail.")</f>
        <v>-241.76888757895364</v>
      </c>
      <c r="H71" s="1"/>
    </row>
    <row r="72">
      <c r="A72" s="8" t="s">
        <v>350</v>
      </c>
      <c r="B72" s="30">
        <f>B55-B65</f>
        <v>594</v>
      </c>
      <c r="C72" s="30">
        <f>C55-C65</f>
        <v>630</v>
      </c>
      <c r="D72" s="30">
        <f>D55-D65</f>
        <v>2344</v>
      </c>
      <c r="E72" s="30">
        <f>E55-E65</f>
        <v>580</v>
      </c>
      <c r="F72" s="30">
        <f>F55-F65</f>
        <v>646</v>
      </c>
      <c r="G72" s="38">
        <f>G55-G65</f>
        <v>685.1562424219177</v>
      </c>
      <c r="H72" s="1"/>
    </row>
    <row r="73">
      <c r="A73" s="32" t="s">
        <v>351</v>
      </c>
      <c r="B73" s="34">
        <f>B72/B55</f>
        <v>0.3776223776223776</v>
      </c>
      <c r="C73" s="34">
        <f>C72/C55</f>
        <v>0.3903345724907063</v>
      </c>
      <c r="D73" s="34">
        <f>D72/D55</f>
        <v>0.37660668380462725</v>
      </c>
      <c r="E73" s="34">
        <f>E72/E55</f>
        <v>0.36069651741293535</v>
      </c>
      <c r="F73" s="34">
        <f>F72/F55</f>
        <v>0.38868832731648617</v>
      </c>
      <c r="G73" s="40">
        <f>G72/G55</f>
        <v>0.4017992663802729</v>
      </c>
      <c r="H73" s="1"/>
    </row>
    <row r="74">
      <c r="A74" s="44" t="s">
        <v>204</v>
      </c>
      <c r="B74" s="24">
        <f>IFERROR((B73-(1-Inputs!E95/Inputs!E9))*10000,"unavail.")</f>
        <v>1.1752952929422467</v>
      </c>
      <c r="C74" s="26">
        <f>IFERROR((C73-B73)*10000,"unavail.")</f>
        <v>127.12194868328697</v>
      </c>
      <c r="D74" s="1"/>
      <c r="E74" s="26">
        <f>IFERROR((E73-C73)*10000,"unavail.")</f>
        <v>-296.3805507777095</v>
      </c>
      <c r="F74" s="26">
        <f>IFERROR((F73-E73)*10000,"unavail.")</f>
        <v>279.91809903550825</v>
      </c>
      <c r="G74" s="39">
        <f>IFERROR((G73-F73)*10000,"unavail.")</f>
        <v>131.10939063786742</v>
      </c>
      <c r="H74" s="1"/>
    </row>
    <row r="75">
      <c r="A75" s="44" t="s">
        <v>173</v>
      </c>
      <c r="B75" s="26" t="str">
        <f>"unavail."</f>
        <v>unavail.</v>
      </c>
      <c r="C75" s="24">
        <f>IFERROR((C73-(1-Inputs!C95/Inputs!C9))*10000,"unavail.")</f>
        <v>164.96591083003776</v>
      </c>
      <c r="D75" s="24">
        <f>IFERROR((D73-(1-Inputs!F95/Inputs!F9))*10000,"unavail.")</f>
        <v>222.60766333161098</v>
      </c>
      <c r="E75" s="24">
        <f>IFERROR((E73-(1-Inputs!D95/Inputs!D9))*10000,"unavail.")</f>
        <v>9.649737887743036</v>
      </c>
      <c r="F75" s="24">
        <f>IFERROR((F73-(1-Inputs!E95/Inputs!E9))*10000,"unavail.")</f>
        <v>111.83479223402793</v>
      </c>
      <c r="G75" s="39">
        <f>IFERROR((G73-B73)*10000,"unavail.")</f>
        <v>241.7688875789531</v>
      </c>
      <c r="H75" s="1"/>
    </row>
    <row r="76">
      <c r="A76" s="3" t="s">
        <v>352</v>
      </c>
      <c r="B76" s="42">
        <f>B79/B13*365/B$6</f>
        <v>0.004326664723216386</v>
      </c>
      <c r="C76" s="42">
        <f>C79/C13*365/C$6</f>
        <v>0.004177300662645776</v>
      </c>
      <c r="D76" s="42">
        <f>D79/D13*365/D$6</f>
        <v>0.004466048500197432</v>
      </c>
      <c r="E76" s="42">
        <f>E79/E13*365/E$6</f>
        <v>0.0037352209062829255</v>
      </c>
      <c r="F76" s="42">
        <f>F79/F13*365/F$6</f>
        <v>0.003676527164751226</v>
      </c>
      <c r="G76" s="59">
        <v>0.0036</v>
      </c>
      <c r="H76" s="1"/>
    </row>
    <row r="77">
      <c r="A77" s="32" t="s">
        <v>204</v>
      </c>
      <c r="B77" s="24">
        <f>IFERROR((B76-(Inputs!E96/Inputs!E89*365/Inputs!E$6))*10000,"unavail.")</f>
        <v>-1.6064377503103613</v>
      </c>
      <c r="C77" s="26">
        <f>IFERROR((C76-B76)*10000,"unavail.")</f>
        <v>-1.493640605706101</v>
      </c>
      <c r="D77" s="1"/>
      <c r="E77" s="26">
        <f>IFERROR((E76-C76)*10000,"unavail.")</f>
        <v>-4.420797563628506</v>
      </c>
      <c r="F77" s="26">
        <f>IFERROR((F76-E76)*10000,"unavail.")</f>
        <v>-0.5869374153169962</v>
      </c>
      <c r="G77" s="39">
        <f>IFERROR((G76-F76)*10000,"unavail.")</f>
        <v>-0.7652716475122596</v>
      </c>
      <c r="H77" s="1"/>
    </row>
    <row r="78">
      <c r="A78" s="32" t="s">
        <v>173</v>
      </c>
      <c r="B78" s="26" t="str">
        <f>"unavail."</f>
        <v>unavail.</v>
      </c>
      <c r="C78" s="24">
        <f>IFERROR((C76-(Inputs!C96/Inputs!C89*365/Inputs!C$6))*10000,"unavail.")</f>
        <v>-4.520940915523873</v>
      </c>
      <c r="D78" s="24">
        <f>IFERROR((D76-(Inputs!F96/Inputs!F89))*10000,"unavail.")</f>
        <v>-3.5333386173672707</v>
      </c>
      <c r="E78" s="24">
        <f>IFERROR((E76-(Inputs!D96/Inputs!D89*365/Inputs!D$6))*10000,"unavail.")</f>
        <v>-11.734088369796321</v>
      </c>
      <c r="F78" s="24">
        <f>IFERROR((F76-(Inputs!E96/Inputs!E89*365/Inputs!E$6))*10000,"unavail.")</f>
        <v>-8.107813334961964</v>
      </c>
      <c r="G78" s="39">
        <f>IFERROR((G76-B76)*10000,"unavail.")</f>
        <v>-7.266647232163862</v>
      </c>
      <c r="H78" s="1"/>
    </row>
    <row r="79">
      <c r="A79" s="1" t="s">
        <v>353</v>
      </c>
      <c r="B79" s="25">
        <v>81</v>
      </c>
      <c r="C79" s="25">
        <v>80</v>
      </c>
      <c r="D79" s="20">
        <f>Inputs!D96+Inputs!E96+B79+C79</f>
        <v>328</v>
      </c>
      <c r="E79" s="25">
        <v>71</v>
      </c>
      <c r="F79" s="25">
        <v>72</v>
      </c>
      <c r="G79" s="31">
        <f>G13*G76*G$6/365</f>
        <v>72.34519561643835</v>
      </c>
      <c r="H79" s="88" t="s">
        <v>354</v>
      </c>
    </row>
    <row r="80">
      <c r="A80" s="32" t="s">
        <v>168</v>
      </c>
      <c r="B80" s="27" t="str">
        <f>IF(AND(ISNUMBER(Inputs!B96),ISNUMBER(B79)),IF(Inputs!B96&gt;0,B79/Inputs!B96-1,"n.m."),"unavail.")</f>
        <v>unavail.</v>
      </c>
      <c r="C80" s="27">
        <f>IF(AND(ISNUMBER(Inputs!C96),ISNUMBER(C79)),IF(Inputs!C96&gt;0,C79/Inputs!C96-1,"n.m."),"unavail.")</f>
        <v>-0.024390243902439046</v>
      </c>
      <c r="D80" s="27">
        <f>IF(AND(ISNUMBER(Inputs!F96),ISNUMBER(D79)),IF(Inputs!F96&gt;0,D79/Inputs!F96-1,"n.m."),"unavail.")</f>
        <v>-0.009063444108761365</v>
      </c>
      <c r="E80" s="27">
        <f>IF(AND(ISNUMBER(Inputs!D96),ISNUMBER(E79)),IF(Inputs!D96&gt;0,E79/Inputs!D96-1,"n.m."),"unavail.")</f>
        <v>-0.17441860465116277</v>
      </c>
      <c r="F80" s="27">
        <f>IF(AND(ISNUMBER(Inputs!E96),ISNUMBER(F79)),IF(Inputs!E96&gt;0,F79/Inputs!E96-1,"n.m."),"unavail.")</f>
        <v>-0.11111111111111116</v>
      </c>
      <c r="G80" s="40">
        <f>IF(AND(ISNUMBER(B79),ISNUMBER(G79)),IF(B79&gt;0,G79/B79-1,"n.m."),"unavail.")</f>
        <v>-0.10684943683409454</v>
      </c>
      <c r="H80" s="1"/>
    </row>
    <row r="81">
      <c r="A81" s="8" t="s">
        <v>355</v>
      </c>
      <c r="B81" s="30">
        <f>B72-B79</f>
        <v>513</v>
      </c>
      <c r="C81" s="30">
        <f>C72-C79</f>
        <v>550</v>
      </c>
      <c r="D81" s="30">
        <f>D72-D79</f>
        <v>2016</v>
      </c>
      <c r="E81" s="30">
        <f>E72-E79</f>
        <v>509</v>
      </c>
      <c r="F81" s="30">
        <f>F72-F79</f>
        <v>574</v>
      </c>
      <c r="G81" s="38">
        <f>G72-G79</f>
        <v>612.8110468054794</v>
      </c>
      <c r="H81" s="1"/>
    </row>
    <row r="82">
      <c r="A82" s="32" t="s">
        <v>168</v>
      </c>
      <c r="B82" s="34" t="str">
        <f>"unavail."</f>
        <v>unavail.</v>
      </c>
      <c r="C82" s="27">
        <f>IF(AND(ISNUMBER((Inputs!C9-Inputs!C95-Inputs!C96)),ISNUMBER(C81)),IF((Inputs!C9-Inputs!C95-Inputs!C96)&gt;0,C81/(Inputs!C9-Inputs!C95-Inputs!C96)-1,"n.m."),"unavail.")</f>
        <v>0.1434511434511434</v>
      </c>
      <c r="D82" s="27">
        <f>IF(AND(ISNUMBER((Inputs!F9-Inputs!F95-Inputs!F96)),ISNUMBER(D81)),IF((Inputs!F9-Inputs!F95-Inputs!F96)&gt;0,D81/(Inputs!F9-Inputs!F95-Inputs!F96)-1,"n.m."),"unavail.")</f>
        <v>0.19502074688796678</v>
      </c>
      <c r="E82" s="27">
        <f>IF(AND(ISNUMBER((Inputs!D9-Inputs!D95-Inputs!D96)),ISNUMBER(E81)),IF((Inputs!D9-Inputs!D95-Inputs!D96)&gt;0,E81/(Inputs!D9-Inputs!D95-Inputs!D96)-1,"n.m."),"unavail.")</f>
        <v>0.13111111111111118</v>
      </c>
      <c r="F82" s="27">
        <f>IF(AND(ISNUMBER((Inputs!E9-Inputs!E95-Inputs!E96)),ISNUMBER(F81)),IF((Inputs!E9-Inputs!E95-Inputs!E96)&gt;0,F81/(Inputs!E9-Inputs!E95-Inputs!E96)-1,"n.m."),"unavail.")</f>
        <v>0.1411530815109343</v>
      </c>
      <c r="G82" s="40">
        <f>IF(AND(ISNUMBER(B81),ISNUMBER(G81)),IF(B81&gt;0,G81/B81-1,"n.m."),"unavail.")</f>
        <v>0.19456344406526194</v>
      </c>
      <c r="H82" s="1"/>
    </row>
    <row r="83">
      <c r="A83" s="3" t="s">
        <v>356</v>
      </c>
      <c r="B83" s="34">
        <f>B86/B81</f>
        <v>0.253411306042885</v>
      </c>
      <c r="C83" s="34">
        <f>C86/C81</f>
        <v>0.25272727272727274</v>
      </c>
      <c r="D83" s="34">
        <f>D86/D81</f>
        <v>0.25297619047619047</v>
      </c>
      <c r="E83" s="34">
        <f>E86/E81</f>
        <v>0.25736738703339884</v>
      </c>
      <c r="F83" s="34">
        <f>F86/F81</f>
        <v>0.2578397212543554</v>
      </c>
      <c r="G83" s="29">
        <v>0.258</v>
      </c>
      <c r="H83" s="1"/>
    </row>
    <row r="84">
      <c r="A84" s="32" t="s">
        <v>204</v>
      </c>
      <c r="B84" s="24">
        <f>IFERROR((B83-(Inputs!E97/(Inputs!E9-Inputs!E95-Inputs!E96)))*10000,"unavail.")</f>
        <v>9.262165796642963</v>
      </c>
      <c r="C84" s="26">
        <f>IFERROR((C83-B83)*10000,"unavail.")</f>
        <v>-6.8403331561223135</v>
      </c>
      <c r="D84" s="1"/>
      <c r="E84" s="26">
        <f>IFERROR((E83-C83)*10000,"unavail.")</f>
        <v>46.401143061260974</v>
      </c>
      <c r="F84" s="26">
        <f>IFERROR((F83-E83)*10000,"unavail.")</f>
        <v>4.723342209565495</v>
      </c>
      <c r="G84" s="39">
        <f>IFERROR((G83-F83)*10000,"unavail.")</f>
        <v>1.602787456446153</v>
      </c>
      <c r="H84" s="1"/>
    </row>
    <row r="85">
      <c r="A85" s="32" t="s">
        <v>173</v>
      </c>
      <c r="B85" s="26" t="str">
        <f>"unavail."</f>
        <v>unavail.</v>
      </c>
      <c r="C85" s="24">
        <f>IFERROR((C83-(Inputs!C97/(Inputs!C9-Inputs!C95-Inputs!C96)))*10000,"unavail.")</f>
        <v>-29.899829899829868</v>
      </c>
      <c r="D85" s="24">
        <f>IFERROR((D83-(Inputs!F97/(Inputs!F9-Inputs!F95-Inputs!F96)))*10000,"unavail.")</f>
        <v>-42.85220312191251</v>
      </c>
      <c r="E85" s="24">
        <f>IFERROR((E83-(Inputs!D97/(Inputs!D9-Inputs!D95-Inputs!D96)))*10000,"unavail.")</f>
        <v>40.34053700065488</v>
      </c>
      <c r="F85" s="24">
        <f>IFERROR((F83-(Inputs!E97/(Inputs!E9-Inputs!E95-Inputs!E96)))*10000,"unavail.")</f>
        <v>53.54631791134712</v>
      </c>
      <c r="G85" s="39">
        <f>IFERROR((G83-B83)*10000,"unavail.")</f>
        <v>45.88693957115031</v>
      </c>
      <c r="H85" s="1"/>
    </row>
    <row r="86">
      <c r="A86" s="1" t="s">
        <v>357</v>
      </c>
      <c r="B86" s="25">
        <v>130</v>
      </c>
      <c r="C86" s="25">
        <v>139</v>
      </c>
      <c r="D86" s="20">
        <f>Inputs!D97+Inputs!E97+B86+C86</f>
        <v>510</v>
      </c>
      <c r="E86" s="25">
        <v>131</v>
      </c>
      <c r="F86" s="25">
        <v>148</v>
      </c>
      <c r="G86" s="31">
        <f>G81*G83</f>
        <v>158.10525007581367</v>
      </c>
      <c r="H86" s="1"/>
    </row>
    <row r="87">
      <c r="A87" s="8" t="s">
        <v>358</v>
      </c>
      <c r="B87" s="30">
        <f>B81-B86</f>
        <v>383</v>
      </c>
      <c r="C87" s="30">
        <f>C81-C86</f>
        <v>411</v>
      </c>
      <c r="D87" s="30">
        <f>D81-D86</f>
        <v>1506</v>
      </c>
      <c r="E87" s="30">
        <f>E81-E86</f>
        <v>378</v>
      </c>
      <c r="F87" s="30">
        <f>F81-F86</f>
        <v>426</v>
      </c>
      <c r="G87" s="38">
        <f>G81-G86</f>
        <v>454.7057967296657</v>
      </c>
      <c r="H87" s="1"/>
    </row>
    <row r="88">
      <c r="A88" s="32" t="s">
        <v>168</v>
      </c>
      <c r="B88" s="27" t="str">
        <f>IF(AND(ISNUMBER(Inputs!B98),ISNUMBER(B87)),IF(Inputs!B98&gt;0,B87/Inputs!B98-1,"n.m."),"unavail.")</f>
        <v>unavail.</v>
      </c>
      <c r="C88" s="27">
        <f>IF(AND(ISNUMBER(Inputs!C98),ISNUMBER(C87)),IF(Inputs!C98&gt;0,C87/Inputs!C98-1,"n.m."),"unavail.")</f>
        <v>0.14804469273743015</v>
      </c>
      <c r="D88" s="27">
        <f>IF(AND(ISNUMBER(Inputs!F98),ISNUMBER(D87)),IF(Inputs!F98&gt;0,D87/Inputs!F98-1,"n.m."),"unavail.")</f>
        <v>0.20191540303272149</v>
      </c>
      <c r="E88" s="27">
        <f>IF(AND(ISNUMBER(Inputs!D98),ISNUMBER(E87)),IF(Inputs!D98&gt;0,E87/Inputs!D98-1,"n.m."),"unavail.")</f>
        <v>0.125</v>
      </c>
      <c r="F88" s="27">
        <f>IF(AND(ISNUMBER(Inputs!E98),ISNUMBER(F87)),IF(Inputs!E98&gt;0,F87/Inputs!E98-1,"n.m."),"unavail.")</f>
        <v>0.13297872340425543</v>
      </c>
      <c r="G88" s="40">
        <f>IF(AND(ISNUMBER(B87),ISNUMBER(G87)),IF(B87&gt;0,G87/B87-1,"n.m."),"unavail.")</f>
        <v>0.1872214013829392</v>
      </c>
      <c r="H88" s="1"/>
    </row>
    <row r="89">
      <c r="A89" s="37" t="s">
        <v>359</v>
      </c>
      <c r="B89" s="25">
        <v>383</v>
      </c>
      <c r="C89" s="25">
        <v>411</v>
      </c>
      <c r="D89" s="1"/>
      <c r="E89" s="25">
        <v>378</v>
      </c>
      <c r="F89" s="25">
        <v>426</v>
      </c>
      <c r="G89" s="41"/>
      <c r="H89" s="23" t="s">
        <v>360</v>
      </c>
    </row>
    <row r="90">
      <c r="A90" s="32" t="s">
        <v>216</v>
      </c>
      <c r="B90" s="35">
        <f>ROUND(B87-B89,6)</f>
        <v>0</v>
      </c>
      <c r="C90" s="35">
        <f>ROUND(C87-C89,6)</f>
        <v>0</v>
      </c>
      <c r="D90" s="1"/>
      <c r="E90" s="35">
        <f>ROUND(E87-E89,6)</f>
        <v>0</v>
      </c>
      <c r="F90" s="35">
        <f>ROUND(F87-F89,6)</f>
        <v>0</v>
      </c>
      <c r="G90" s="41"/>
      <c r="H90" s="1"/>
    </row>
    <row r="91">
      <c r="A91" s="3" t="s">
        <v>361</v>
      </c>
      <c r="B91" s="34">
        <f>B87/B21*365/B$6</f>
        <v>0.018822367049823697</v>
      </c>
      <c r="C91" s="34">
        <f>C87/C21*365/C$6</f>
        <v>0.019752372154362784</v>
      </c>
      <c r="D91" s="34">
        <f>D87/D21*365/D$6</f>
        <v>0.018842664998436034</v>
      </c>
      <c r="E91" s="34">
        <f>E87/E21*365/E$6</f>
        <v>0.018278287826397996</v>
      </c>
      <c r="F91" s="34">
        <f>F87/F21*365/F$6</f>
        <v>0.02003096432300906</v>
      </c>
      <c r="G91" s="40">
        <f>G87/G21*365/G$6</f>
        <v>0.020835804402876985</v>
      </c>
      <c r="H91" s="1"/>
    </row>
    <row r="92">
      <c r="A92" s="32" t="s">
        <v>204</v>
      </c>
      <c r="B92" s="24">
        <f>IFERROR((B91-(Inputs!E98/Inputs!E91*365/Inputs!E$6))*10000,"unavail.")</f>
        <v>-3.11020432501901</v>
      </c>
      <c r="C92" s="26">
        <f>IFERROR((C91-B91)*10000,"unavail.")</f>
        <v>9.300051045390868</v>
      </c>
      <c r="D92" s="1"/>
      <c r="E92" s="26">
        <f>IFERROR((E91-C91)*10000,"unavail.")</f>
        <v>-14.740843279647878</v>
      </c>
      <c r="F92" s="26">
        <f>IFERROR((F91-E91)*10000,"unavail.")</f>
        <v>17.52676496611063</v>
      </c>
      <c r="G92" s="39">
        <f>IFERROR((G91-F91)*10000,"unavail.")</f>
        <v>8.048400798679259</v>
      </c>
      <c r="H92" s="1"/>
    </row>
    <row r="93">
      <c r="A93" s="32" t="s">
        <v>173</v>
      </c>
      <c r="B93" s="26" t="str">
        <f>"unavail."</f>
        <v>unavail.</v>
      </c>
      <c r="C93" s="24">
        <f>IFERROR((C91-(Inputs!C98/Inputs!C91*365/Inputs!C$6))*10000,"unavail.")</f>
        <v>12.192081871338772</v>
      </c>
      <c r="D93" s="24">
        <f>IFERROR((D91-(Inputs!F98/Inputs!F91))*10000,"unavail.")</f>
        <v>21.502425322738258</v>
      </c>
      <c r="E93" s="24">
        <f>IFERROR((E91-(Inputs!D98/Inputs!D91*365/Inputs!D$6))*10000,"unavail.")</f>
        <v>7.0320248749291405</v>
      </c>
      <c r="F93" s="24">
        <f>IFERROR((F91-(Inputs!E98/Inputs!E91*365/Inputs!E$6))*10000,"unavail.")</f>
        <v>8.975768406834609</v>
      </c>
      <c r="G93" s="39">
        <f>IFERROR((G91-B91)*10000,"unavail.")</f>
        <v>20.13437353053288</v>
      </c>
      <c r="H93" s="1"/>
    </row>
    <row r="94">
      <c r="A94" s="8" t="s">
        <v>362</v>
      </c>
      <c r="B94" s="1"/>
      <c r="C94" s="1"/>
      <c r="D94" s="1"/>
      <c r="E94" s="1"/>
      <c r="F94" s="1"/>
      <c r="G94" s="41"/>
      <c r="H94" s="1"/>
    </row>
    <row r="95">
      <c r="A95" s="1" t="s">
        <v>363</v>
      </c>
      <c r="B95" s="58">
        <v>0.08</v>
      </c>
      <c r="C95" s="58">
        <v>0.1</v>
      </c>
      <c r="D95" s="58">
        <v>0.28</v>
      </c>
      <c r="E95" s="58">
        <v>0.11</v>
      </c>
      <c r="F95" s="58">
        <v>0.15</v>
      </c>
      <c r="G95" s="56" t="s">
        <v>364</v>
      </c>
      <c r="H95" s="23" t="s">
        <v>365</v>
      </c>
    </row>
    <row r="96">
      <c r="A96" s="1" t="s">
        <v>366</v>
      </c>
      <c r="B96" s="25" t="s">
        <v>367</v>
      </c>
      <c r="C96" s="25">
        <v>14500</v>
      </c>
      <c r="D96" s="14">
        <f>C96</f>
        <v>14500</v>
      </c>
      <c r="E96" s="25">
        <v>16600</v>
      </c>
      <c r="F96" s="25">
        <v>17800</v>
      </c>
      <c r="G96" s="51" t="s">
        <v>364</v>
      </c>
      <c r="H96" s="23" t="s">
        <v>368</v>
      </c>
    </row>
    <row r="97">
      <c r="A97" s="1"/>
      <c r="B97" s="1"/>
      <c r="C97" s="1"/>
      <c r="D97" s="1"/>
      <c r="E97" s="1"/>
      <c r="F97" s="1"/>
      <c r="G97" s="1"/>
      <c r="H97" s="1"/>
    </row>
    <row r="98">
      <c r="A98" s="1"/>
      <c r="B98" s="1"/>
      <c r="C98" s="1"/>
      <c r="D98" s="1"/>
      <c r="E98" s="1"/>
      <c r="F98" s="1"/>
      <c r="G98" s="1"/>
      <c r="H98" s="1"/>
    </row>
    <row r="99">
      <c r="A99" s="1"/>
      <c r="B99" s="1"/>
      <c r="C99" s="1"/>
      <c r="D99" s="1"/>
      <c r="E99" s="1"/>
      <c r="F99" s="1"/>
      <c r="G99" s="1"/>
      <c r="H99" s="1"/>
    </row>
    <row r="100">
      <c r="A100" s="1"/>
      <c r="B100" s="1"/>
      <c r="C100" s="1"/>
      <c r="D100" s="1"/>
      <c r="E100" s="1"/>
      <c r="F100" s="1"/>
      <c r="G100" s="1"/>
      <c r="H100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97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369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370</v>
      </c>
      <c r="B8" s="1"/>
      <c r="C8" s="1"/>
      <c r="D8" s="1"/>
      <c r="E8" s="1"/>
      <c r="F8" s="1"/>
      <c r="G8" s="41"/>
      <c r="H8" s="1"/>
    </row>
    <row r="9">
      <c r="A9" s="1" t="s">
        <v>327</v>
      </c>
      <c r="B9" s="25">
        <v>63719</v>
      </c>
      <c r="C9" s="25">
        <v>64248</v>
      </c>
      <c r="D9" s="25">
        <v>63677</v>
      </c>
      <c r="E9" s="25">
        <v>65345</v>
      </c>
      <c r="F9" s="25">
        <v>67145</v>
      </c>
      <c r="G9" s="31">
        <f>F9*(1+G10)</f>
        <v>68487.9</v>
      </c>
      <c r="H9" s="23" t="s">
        <v>328</v>
      </c>
    </row>
    <row r="10">
      <c r="A10" s="32" t="s">
        <v>167</v>
      </c>
      <c r="B10" s="27">
        <f>IF(AND(ISNUMBER(Inputs!E99),ISNUMBER(B9)),IF(Inputs!E99&gt;0,B9/Inputs!E99-1,"n.m."),"unavail.")</f>
        <v>0.00014126510751855115</v>
      </c>
      <c r="C10" s="34">
        <f>IF(AND(ISNUMBER(B9),ISNUMBER(C9)),IF(B9&gt;0,C9/B9-1,"n.m."),"unavail.")</f>
        <v>0.008302076303771333</v>
      </c>
      <c r="D10" s="1"/>
      <c r="E10" s="34">
        <f>IF(AND(ISNUMBER(C9),ISNUMBER(E9)),IF(C9&gt;0,E9/C9-1,"n.m."),"unavail.")</f>
        <v>0.017074461461835444</v>
      </c>
      <c r="F10" s="34">
        <f>IF(AND(ISNUMBER(E9),ISNUMBER(F9)),IF(E9&gt;0,F9/E9-1,"n.m."),"unavail.")</f>
        <v>0.027546101461473738</v>
      </c>
      <c r="G10" s="29">
        <v>0.02</v>
      </c>
      <c r="H10" s="1"/>
    </row>
    <row r="11">
      <c r="A11" s="32" t="s">
        <v>168</v>
      </c>
      <c r="B11" s="27" t="str">
        <f>IF(AND(ISNUMBER(Inputs!B99),ISNUMBER(B9)),IF(Inputs!B99&gt;0,B9/Inputs!B99-1,"n.m."),"unavail.")</f>
        <v>unavail.</v>
      </c>
      <c r="C11" s="27">
        <f>IF(AND(ISNUMBER(Inputs!C99),ISNUMBER(C9)),IF(Inputs!C99&gt;0,C9/Inputs!C99-1,"n.m."),"unavail.")</f>
        <v>-0.0026544963442463043</v>
      </c>
      <c r="D11" s="27">
        <f>IF(AND(ISNUMBER(Inputs!F99),ISNUMBER(D9)),IF(Inputs!F99&gt;0,D9/Inputs!F99-1,"n.m."),"unavail.")</f>
        <v>-0.034933769816010374</v>
      </c>
      <c r="E11" s="27">
        <f>IF(AND(ISNUMBER(Inputs!D99),ISNUMBER(E9)),IF(Inputs!D99&gt;0,E9/Inputs!D99-1,"n.m."),"unavail.")</f>
        <v>0.036925957662889974</v>
      </c>
      <c r="F11" s="27">
        <f>IF(AND(ISNUMBER(Inputs!E99),ISNUMBER(F9)),IF(Inputs!E99&gt;0,F9/Inputs!E99-1,"n.m."),"unavail.")</f>
        <v>0.05391618270287246</v>
      </c>
      <c r="G11" s="40">
        <f>IF(AND(ISNUMBER(B9),ISNUMBER(G9)),IF(B9&gt;0,G9/B9-1,"n.m."),"unavail.")</f>
        <v>0.07484266859178579</v>
      </c>
      <c r="H11" s="1"/>
    </row>
    <row r="12">
      <c r="A12" s="37" t="s">
        <v>169</v>
      </c>
      <c r="B12" s="20">
        <f>B9-Inputs!E99</f>
        <v>9</v>
      </c>
      <c r="C12" s="14">
        <f>C9-B9</f>
        <v>529</v>
      </c>
      <c r="D12" s="1"/>
      <c r="E12" s="14">
        <f>E9-C9</f>
        <v>1097</v>
      </c>
      <c r="F12" s="14">
        <f>F9-E9</f>
        <v>1800</v>
      </c>
      <c r="G12" s="31">
        <f>G9-F9</f>
        <v>1342.8999999999942</v>
      </c>
      <c r="H12" s="1"/>
    </row>
    <row r="13">
      <c r="A13" s="1" t="s">
        <v>329</v>
      </c>
      <c r="B13" s="25">
        <v>62905</v>
      </c>
      <c r="C13" s="25">
        <v>63356</v>
      </c>
      <c r="D13" s="25">
        <v>62941</v>
      </c>
      <c r="E13" s="25">
        <v>64574</v>
      </c>
      <c r="F13" s="25">
        <v>66421</v>
      </c>
      <c r="G13" s="31">
        <f>F13*(1+G14)</f>
        <v>67749.42</v>
      </c>
      <c r="H13" s="23" t="s">
        <v>328</v>
      </c>
    </row>
    <row r="14">
      <c r="A14" s="32" t="s">
        <v>167</v>
      </c>
      <c r="B14" s="27">
        <f>IF(AND(ISNUMBER(Inputs!E100),ISNUMBER(B13)),IF(Inputs!E100&gt;0,B13/Inputs!E100-1,"n.m."),"unavail.")</f>
        <v>-0.0024105174683223263</v>
      </c>
      <c r="C14" s="34">
        <f>IF(AND(ISNUMBER(B13),ISNUMBER(C13)),IF(B13&gt;0,C13/B13-1,"n.m."),"unavail.")</f>
        <v>0.007169541371909949</v>
      </c>
      <c r="D14" s="1"/>
      <c r="E14" s="34">
        <f>IF(AND(ISNUMBER(C13),ISNUMBER(E13)),IF(C13&gt;0,E13/C13-1,"n.m."),"unavail.")</f>
        <v>0.01922469852894748</v>
      </c>
      <c r="F14" s="34">
        <f>IF(AND(ISNUMBER(E13),ISNUMBER(F13)),IF(E13&gt;0,F13/E13-1,"n.m."),"unavail.")</f>
        <v>0.028602843249605048</v>
      </c>
      <c r="G14" s="29">
        <v>0.02</v>
      </c>
      <c r="H14" s="1"/>
    </row>
    <row r="15">
      <c r="A15" s="32" t="s">
        <v>168</v>
      </c>
      <c r="B15" s="27" t="str">
        <f>IF(AND(ISNUMBER(Inputs!B100),ISNUMBER(B13)),IF(Inputs!B100&gt;0,B13/Inputs!B100-1,"n.m."),"unavail.")</f>
        <v>unavail.</v>
      </c>
      <c r="C15" s="27">
        <f>IF(AND(ISNUMBER(Inputs!C100),ISNUMBER(C13)),IF(Inputs!C100&gt;0,C13/Inputs!C100-1,"n.m."),"unavail.")</f>
        <v>-0.006788004201351283</v>
      </c>
      <c r="D15" s="27">
        <f>IF(AND(ISNUMBER(Inputs!F100),ISNUMBER(D13)),IF(Inputs!F100&gt;0,D13/Inputs!F100-1,"n.m."),"unavail.")</f>
        <v>-0.03878987797987199</v>
      </c>
      <c r="E15" s="27">
        <f>IF(AND(ISNUMBER(Inputs!D100),ISNUMBER(E13)),IF(Inputs!D100&gt;0,E13/Inputs!D100-1,"n.m."),"unavail.")</f>
        <v>0.03422650031231478</v>
      </c>
      <c r="F15" s="27">
        <f>IF(AND(ISNUMBER(Inputs!E100),ISNUMBER(F13)),IF(Inputs!E100&gt;0,F13/Inputs!E100-1,"n.m."),"unavail.")</f>
        <v>0.05334855765418589</v>
      </c>
      <c r="G15" s="40">
        <f>IF(AND(ISNUMBER(B13),ISNUMBER(G13)),IF(B13&gt;0,G13/B13-1,"n.m."),"unavail.")</f>
        <v>0.07701168428582772</v>
      </c>
      <c r="H15" s="1"/>
    </row>
    <row r="16">
      <c r="A16" s="37" t="s">
        <v>169</v>
      </c>
      <c r="B16" s="20">
        <f>B13-Inputs!E100</f>
        <v>-152</v>
      </c>
      <c r="C16" s="14">
        <f>C13-B13</f>
        <v>451</v>
      </c>
      <c r="D16" s="1"/>
      <c r="E16" s="14">
        <f>E13-C13</f>
        <v>1218</v>
      </c>
      <c r="F16" s="14">
        <f>F13-E13</f>
        <v>1847</v>
      </c>
      <c r="G16" s="31">
        <f>G13-F13</f>
        <v>1328.4199999999983</v>
      </c>
      <c r="H16" s="1"/>
    </row>
    <row r="17">
      <c r="A17" s="1" t="s">
        <v>330</v>
      </c>
      <c r="B17" s="25">
        <v>44482</v>
      </c>
      <c r="C17" s="25">
        <v>45443</v>
      </c>
      <c r="D17" s="25">
        <v>43657</v>
      </c>
      <c r="E17" s="25">
        <v>45354</v>
      </c>
      <c r="F17" s="25">
        <v>44064</v>
      </c>
      <c r="G17" s="31">
        <f>F17*(1+G18)</f>
        <v>44504.64</v>
      </c>
      <c r="H17" s="23" t="s">
        <v>328</v>
      </c>
    </row>
    <row r="18">
      <c r="A18" s="32" t="s">
        <v>167</v>
      </c>
      <c r="B18" s="27">
        <f>IF(AND(ISNUMBER(Inputs!E101),ISNUMBER(B17)),IF(Inputs!E101&gt;0,B17/Inputs!E101-1,"n.m."),"unavail.")</f>
        <v>0.04710341093665393</v>
      </c>
      <c r="C18" s="34">
        <f>IF(AND(ISNUMBER(B17),ISNUMBER(C17)),IF(B17&gt;0,C17/B17-1,"n.m."),"unavail.")</f>
        <v>0.02160424441347053</v>
      </c>
      <c r="D18" s="1"/>
      <c r="E18" s="34">
        <f>IF(AND(ISNUMBER(C17),ISNUMBER(E17)),IF(C17&gt;0,E17/C17-1,"n.m."),"unavail.")</f>
        <v>-0.0019584974583544135</v>
      </c>
      <c r="F18" s="34">
        <f>IF(AND(ISNUMBER(E17),ISNUMBER(F17)),IF(E17&gt;0,F17/E17-1,"n.m."),"unavail.")</f>
        <v>-0.0284429157295939</v>
      </c>
      <c r="G18" s="29">
        <v>0.01</v>
      </c>
      <c r="H18" s="1"/>
    </row>
    <row r="19">
      <c r="A19" s="32" t="s">
        <v>168</v>
      </c>
      <c r="B19" s="27" t="str">
        <f>IF(AND(ISNUMBER(Inputs!B101),ISNUMBER(B17)),IF(Inputs!B101&gt;0,B17/Inputs!B101-1,"n.m."),"unavail.")</f>
        <v>unavail.</v>
      </c>
      <c r="C19" s="27">
        <f>IF(AND(ISNUMBER(Inputs!C101),ISNUMBER(C17)),IF(Inputs!C101&gt;0,C17/Inputs!C101-1,"n.m."),"unavail.")</f>
        <v>0.04234236300662886</v>
      </c>
      <c r="D19" s="27">
        <f>IF(AND(ISNUMBER(Inputs!F101),ISNUMBER(D17)),IF(Inputs!F101&gt;0,D17/Inputs!F101-1,"n.m."),"unavail.")</f>
        <v>-0.018326137794567376</v>
      </c>
      <c r="E19" s="27">
        <f>IF(AND(ISNUMBER(Inputs!D101),ISNUMBER(E17)),IF(Inputs!D101&gt;0,E17/Inputs!D101-1,"n.m."),"unavail.")</f>
        <v>0.07529991938925495</v>
      </c>
      <c r="F19" s="27">
        <f>IF(AND(ISNUMBER(Inputs!E101),ISNUMBER(F17)),IF(Inputs!E101&gt;0,F17/Inputs!E101-1,"n.m."),"unavail.")</f>
        <v>0.037263717897412896</v>
      </c>
      <c r="G19" s="40">
        <f>IF(AND(ISNUMBER(B17),ISNUMBER(G17)),IF(B17&gt;0,G17/B17-1,"n.m."),"unavail.")</f>
        <v>0.0005089699204172682</v>
      </c>
      <c r="H19" s="1"/>
    </row>
    <row r="20">
      <c r="A20" s="37" t="s">
        <v>169</v>
      </c>
      <c r="B20" s="20">
        <f>B17-Inputs!E101</f>
        <v>2001</v>
      </c>
      <c r="C20" s="14">
        <f>C17-B17</f>
        <v>961</v>
      </c>
      <c r="D20" s="1"/>
      <c r="E20" s="14">
        <f>E17-C17</f>
        <v>-89</v>
      </c>
      <c r="F20" s="14">
        <f>F17-E17</f>
        <v>-1290</v>
      </c>
      <c r="G20" s="31">
        <f>G17-F17</f>
        <v>440.6399999999994</v>
      </c>
      <c r="H20" s="1"/>
    </row>
    <row r="21">
      <c r="A21" s="1" t="s">
        <v>331</v>
      </c>
      <c r="B21" s="25">
        <v>66134</v>
      </c>
      <c r="C21" s="25">
        <v>66750</v>
      </c>
      <c r="D21" s="25">
        <v>66137</v>
      </c>
      <c r="E21" s="25">
        <v>67737</v>
      </c>
      <c r="F21" s="25">
        <v>69614</v>
      </c>
      <c r="G21" s="31">
        <f>F21*(1+G22)</f>
        <v>71006.28</v>
      </c>
      <c r="H21" s="23" t="s">
        <v>328</v>
      </c>
    </row>
    <row r="22">
      <c r="A22" s="32" t="s">
        <v>167</v>
      </c>
      <c r="B22" s="27">
        <f>IF(AND(ISNUMBER(Inputs!E102),ISNUMBER(B21)),IF(Inputs!E102&gt;0,B21/Inputs!E102-1,"n.m."),"unavail.")</f>
        <v>-0.0022629895600748684</v>
      </c>
      <c r="C22" s="34">
        <f>IF(AND(ISNUMBER(B21),ISNUMBER(C21)),IF(B21&gt;0,C21/B21-1,"n.m."),"unavail.")</f>
        <v>0.009314422233646757</v>
      </c>
      <c r="D22" s="1"/>
      <c r="E22" s="34">
        <f>IF(AND(ISNUMBER(C21),ISNUMBER(E21)),IF(C21&gt;0,E21/C21-1,"n.m."),"unavail.")</f>
        <v>0.014786516853932508</v>
      </c>
      <c r="F22" s="34">
        <f>IF(AND(ISNUMBER(E21),ISNUMBER(F21)),IF(E21&gt;0,F21/E21-1,"n.m."),"unavail.")</f>
        <v>0.02771011411783819</v>
      </c>
      <c r="G22" s="29">
        <v>0.02</v>
      </c>
      <c r="H22" s="1"/>
    </row>
    <row r="23">
      <c r="A23" s="32" t="s">
        <v>168</v>
      </c>
      <c r="B23" s="27" t="str">
        <f>IF(AND(ISNUMBER(Inputs!B102),ISNUMBER(B21)),IF(Inputs!B102&gt;0,B21/Inputs!B102-1,"n.m."),"unavail.")</f>
        <v>unavail.</v>
      </c>
      <c r="C23" s="27">
        <f>IF(AND(ISNUMBER(Inputs!C102),ISNUMBER(C21)),IF(Inputs!C102&gt;0,C21/Inputs!C102-1,"n.m."),"unavail.")</f>
        <v>-0.0005540000299459891</v>
      </c>
      <c r="D23" s="27">
        <f>IF(AND(ISNUMBER(Inputs!F102),ISNUMBER(D21)),IF(Inputs!F102&gt;0,D21/Inputs!F102-1,"n.m."),"unavail.")</f>
        <v>-0.034186161979029794</v>
      </c>
      <c r="E23" s="27">
        <f>IF(AND(ISNUMBER(Inputs!D102),ISNUMBER(E21)),IF(Inputs!D102&gt;0,E21/Inputs!D102-1,"n.m."),"unavail.")</f>
        <v>0.03627267998653738</v>
      </c>
      <c r="F23" s="27">
        <f>IF(AND(ISNUMBER(Inputs!E102),ISNUMBER(F21)),IF(Inputs!E102&gt;0,F21/Inputs!E102-1,"n.m."),"unavail.")</f>
        <v>0.050238368233661124</v>
      </c>
      <c r="G23" s="40">
        <f>IF(AND(ISNUMBER(B21),ISNUMBER(G21)),IF(B21&gt;0,G21/B21-1,"n.m."),"unavail.")</f>
        <v>0.07367284603985835</v>
      </c>
      <c r="H23" s="1"/>
    </row>
    <row r="24">
      <c r="A24" s="37" t="s">
        <v>169</v>
      </c>
      <c r="B24" s="20">
        <f>B21-Inputs!E102</f>
        <v>-150</v>
      </c>
      <c r="C24" s="14">
        <f>C21-B21</f>
        <v>616</v>
      </c>
      <c r="D24" s="1"/>
      <c r="E24" s="14">
        <f>E21-C21</f>
        <v>987</v>
      </c>
      <c r="F24" s="14">
        <f>F21-E21</f>
        <v>1877</v>
      </c>
      <c r="G24" s="31">
        <f>G21-F21</f>
        <v>1392.2799999999988</v>
      </c>
      <c r="H24" s="1"/>
    </row>
    <row r="25">
      <c r="A25" s="3" t="s">
        <v>261</v>
      </c>
      <c r="B25" s="34">
        <f>B13/B17</f>
        <v>1.4141675284384696</v>
      </c>
      <c r="C25" s="34">
        <f>C13/C17</f>
        <v>1.3941861232753119</v>
      </c>
      <c r="D25" s="34">
        <f>D13/D17</f>
        <v>1.441716105091967</v>
      </c>
      <c r="E25" s="34">
        <f>E13/E17</f>
        <v>1.4237773955990651</v>
      </c>
      <c r="F25" s="34">
        <f>F13/F17</f>
        <v>1.507375635439361</v>
      </c>
      <c r="G25" s="40">
        <f>G13/G17</f>
        <v>1.5223001466813348</v>
      </c>
      <c r="H25" s="1"/>
    </row>
    <row r="26">
      <c r="A26" s="32" t="s">
        <v>204</v>
      </c>
      <c r="B26" s="24">
        <f>IFERROR((B25-(Inputs!E100/Inputs!E101))*10000,"unavail.")</f>
        <v>-701.9018442139724</v>
      </c>
      <c r="C26" s="26">
        <f>IFERROR((C25-B25)*10000,"unavail.")</f>
        <v>-199.81405163157717</v>
      </c>
      <c r="D26" s="1"/>
      <c r="E26" s="26">
        <f>IFERROR((E25-C25)*10000,"unavail.")</f>
        <v>295.9127232375325</v>
      </c>
      <c r="F26" s="26">
        <f>IFERROR((F25-E25)*10000,"unavail.")</f>
        <v>835.9823984029591</v>
      </c>
      <c r="G26" s="39">
        <f>IFERROR((G25-F25)*10000,"unavail.")</f>
        <v>149.24511241973804</v>
      </c>
      <c r="H26" s="1"/>
    </row>
    <row r="27">
      <c r="A27" s="32" t="s">
        <v>173</v>
      </c>
      <c r="B27" s="26" t="str">
        <f>"unavail."</f>
        <v>unavail.</v>
      </c>
      <c r="C27" s="24">
        <f>IFERROR((C25-(Inputs!C100/Inputs!C101))*10000,"unavail.")</f>
        <v>-689.65010977045</v>
      </c>
      <c r="D27" s="24">
        <f>IFERROR((D25-(Inputs!F100/Inputs!F101))*10000,"unavail.")</f>
        <v>-306.93500952285734</v>
      </c>
      <c r="E27" s="24">
        <f>IFERROR((E25-(Inputs!D100/Inputs!D101))*10000,"unavail.")</f>
        <v>-565.4409901898227</v>
      </c>
      <c r="F27" s="24">
        <f>IFERROR((F25-(Inputs!E100/Inputs!E101))*10000,"unavail.")</f>
        <v>230.179225794942</v>
      </c>
      <c r="G27" s="39">
        <f>IFERROR((G25-B25)*10000,"unavail.")</f>
        <v>1081.3261824286524</v>
      </c>
      <c r="H27" s="1"/>
    </row>
    <row r="28">
      <c r="A28" s="8" t="s">
        <v>371</v>
      </c>
      <c r="B28" s="1"/>
      <c r="C28" s="1"/>
      <c r="D28" s="1"/>
      <c r="E28" s="1"/>
      <c r="F28" s="1"/>
      <c r="G28" s="41"/>
      <c r="H28" s="1"/>
    </row>
    <row r="29">
      <c r="A29" s="1" t="s">
        <v>333</v>
      </c>
      <c r="B29" s="20">
        <f>Inputs!E100</f>
        <v>63057</v>
      </c>
      <c r="C29" s="14">
        <f>B13</f>
        <v>62905</v>
      </c>
      <c r="D29" s="20">
        <f>Inputs!C100</f>
        <v>63789</v>
      </c>
      <c r="E29" s="14">
        <f>C13</f>
        <v>63356</v>
      </c>
      <c r="F29" s="14">
        <f>E13</f>
        <v>64574</v>
      </c>
      <c r="G29" s="31">
        <f>F13</f>
        <v>66421</v>
      </c>
      <c r="H29" s="23" t="s">
        <v>334</v>
      </c>
    </row>
    <row r="30">
      <c r="A30" s="37" t="s">
        <v>152</v>
      </c>
      <c r="B30" s="14">
        <f>-B79</f>
        <v>-78</v>
      </c>
      <c r="C30" s="14">
        <f>-C79</f>
        <v>-70</v>
      </c>
      <c r="D30" s="14">
        <f>-D79</f>
        <v>-309</v>
      </c>
      <c r="E30" s="14">
        <f>-E79</f>
        <v>-64</v>
      </c>
      <c r="F30" s="14">
        <f>-F79</f>
        <v>-63</v>
      </c>
      <c r="G30" s="31">
        <f>-G79</f>
        <v>-63.18329470684932</v>
      </c>
      <c r="H30" s="1"/>
    </row>
    <row r="31">
      <c r="A31" s="37" t="s">
        <v>335</v>
      </c>
      <c r="B31" s="14">
        <f>B32-B29-B30</f>
        <v>-74</v>
      </c>
      <c r="C31" s="14">
        <f>C32-C29-C30</f>
        <v>521</v>
      </c>
      <c r="D31" s="14" t="s">
        <v>336</v>
      </c>
      <c r="E31" s="14">
        <f>E32-E29-E30</f>
        <v>1282</v>
      </c>
      <c r="F31" s="14">
        <f>F32-F29-F30</f>
        <v>1910</v>
      </c>
      <c r="G31" s="31">
        <f>G32-G29-G30</f>
        <v>1391.6032947068475</v>
      </c>
      <c r="H31" s="23" t="s">
        <v>337</v>
      </c>
    </row>
    <row r="32">
      <c r="A32" s="8" t="s">
        <v>338</v>
      </c>
      <c r="B32" s="30">
        <f>B13</f>
        <v>62905</v>
      </c>
      <c r="C32" s="30">
        <f>C13</f>
        <v>63356</v>
      </c>
      <c r="D32" s="30">
        <f>D13</f>
        <v>62941</v>
      </c>
      <c r="E32" s="30">
        <f>E13</f>
        <v>64574</v>
      </c>
      <c r="F32" s="30">
        <f>F13</f>
        <v>66421</v>
      </c>
      <c r="G32" s="38">
        <f>G13</f>
        <v>67749.42</v>
      </c>
      <c r="H32" s="1"/>
    </row>
    <row r="33">
      <c r="A33" s="32" t="s">
        <v>156</v>
      </c>
      <c r="B33" s="34">
        <f>B32/B29-1</f>
        <v>-0.0024105174683223263</v>
      </c>
      <c r="C33" s="34">
        <f>C32/C29-1</f>
        <v>0.007169541371909949</v>
      </c>
      <c r="D33" s="34" t="s">
        <v>336</v>
      </c>
      <c r="E33" s="34">
        <f>E32/E29-1</f>
        <v>0.01922469852894748</v>
      </c>
      <c r="F33" s="34">
        <f>F32/F29-1</f>
        <v>0.028602843249605048</v>
      </c>
      <c r="G33" s="40">
        <f>G32/G29-1</f>
        <v>0.020000000000000018</v>
      </c>
      <c r="H33" s="1"/>
    </row>
    <row r="34">
      <c r="A34" s="1" t="s">
        <v>339</v>
      </c>
      <c r="B34" s="20">
        <f>Inputs!E101</f>
        <v>42481</v>
      </c>
      <c r="C34" s="14">
        <f>B17</f>
        <v>44482</v>
      </c>
      <c r="D34" s="20">
        <f>Inputs!C101</f>
        <v>43597</v>
      </c>
      <c r="E34" s="14">
        <f>C17</f>
        <v>45443</v>
      </c>
      <c r="F34" s="14">
        <f>E17</f>
        <v>45354</v>
      </c>
      <c r="G34" s="31">
        <f>F17</f>
        <v>44064</v>
      </c>
      <c r="H34" s="1"/>
    </row>
    <row r="35">
      <c r="A35" s="37" t="s">
        <v>160</v>
      </c>
      <c r="B35" s="14">
        <f>B36-B34</f>
        <v>2001</v>
      </c>
      <c r="C35" s="14">
        <f>C36-C34</f>
        <v>961</v>
      </c>
      <c r="D35" s="14" t="s">
        <v>336</v>
      </c>
      <c r="E35" s="14">
        <f>E36-E34</f>
        <v>-89</v>
      </c>
      <c r="F35" s="14">
        <f>F36-F34</f>
        <v>-1290</v>
      </c>
      <c r="G35" s="31">
        <f>G36-G34</f>
        <v>440.6399999999994</v>
      </c>
      <c r="H35" s="1"/>
    </row>
    <row r="36">
      <c r="A36" s="8" t="s">
        <v>340</v>
      </c>
      <c r="B36" s="30">
        <f>B17</f>
        <v>44482</v>
      </c>
      <c r="C36" s="30">
        <f>C17</f>
        <v>45443</v>
      </c>
      <c r="D36" s="30">
        <f>D17</f>
        <v>43657</v>
      </c>
      <c r="E36" s="30">
        <f>E17</f>
        <v>45354</v>
      </c>
      <c r="F36" s="30">
        <f>F17</f>
        <v>44064</v>
      </c>
      <c r="G36" s="38">
        <f>G17</f>
        <v>44504.64</v>
      </c>
      <c r="H36" s="1"/>
    </row>
    <row r="37">
      <c r="A37" s="32" t="s">
        <v>156</v>
      </c>
      <c r="B37" s="34">
        <f>B36/B34-1</f>
        <v>0.04710341093665393</v>
      </c>
      <c r="C37" s="34">
        <f>C36/C34-1</f>
        <v>0.02160424441347053</v>
      </c>
      <c r="D37" s="34" t="s">
        <v>336</v>
      </c>
      <c r="E37" s="34">
        <f>E36/E34-1</f>
        <v>-0.0019584974583544135</v>
      </c>
      <c r="F37" s="34">
        <f>F36/F34-1</f>
        <v>-0.0284429157295939</v>
      </c>
      <c r="G37" s="40">
        <f>G36/G34-1</f>
        <v>0.010000000000000009</v>
      </c>
      <c r="H37" s="1"/>
    </row>
    <row r="38">
      <c r="A38" s="8" t="s">
        <v>372</v>
      </c>
      <c r="B38" s="1"/>
      <c r="C38" s="1"/>
      <c r="D38" s="1"/>
      <c r="E38" s="1"/>
      <c r="F38" s="1"/>
      <c r="G38" s="41"/>
      <c r="H38" s="1"/>
    </row>
    <row r="39">
      <c r="A39" s="3" t="s">
        <v>342</v>
      </c>
      <c r="B39" s="28">
        <v>0.0278</v>
      </c>
      <c r="C39" s="28">
        <v>0.0278</v>
      </c>
      <c r="D39" s="28">
        <v>0.0279</v>
      </c>
      <c r="E39" s="28">
        <v>0.0284</v>
      </c>
      <c r="F39" s="28">
        <v>0.0278</v>
      </c>
      <c r="G39" s="55">
        <f>F39+G40/10000</f>
        <v>0.0278</v>
      </c>
      <c r="H39" s="23" t="s">
        <v>343</v>
      </c>
    </row>
    <row r="40">
      <c r="A40" s="32" t="s">
        <v>172</v>
      </c>
      <c r="B40" s="24">
        <f>IFERROR((B39-Inputs!E103)*10000,"unavail.")</f>
        <v>0</v>
      </c>
      <c r="C40" s="26">
        <f>IFERROR((C39-B39)*10000,"unavail.")</f>
        <v>0</v>
      </c>
      <c r="D40" s="1"/>
      <c r="E40" s="26">
        <f>IFERROR((E39-C39)*10000,"unavail.")</f>
        <v>6.000000000000033</v>
      </c>
      <c r="F40" s="26">
        <f>IFERROR((F39-E39)*10000,"unavail.")</f>
        <v>-6.000000000000033</v>
      </c>
      <c r="G40" s="50">
        <v>0</v>
      </c>
      <c r="H40" s="1"/>
    </row>
    <row r="41">
      <c r="A41" s="32" t="s">
        <v>173</v>
      </c>
      <c r="B41" s="26" t="str">
        <f>"unavail."</f>
        <v>unavail.</v>
      </c>
      <c r="C41" s="24">
        <f>IFERROR((C39-Inputs!C103)*10000,"unavail.")</f>
        <v>-8.000000000000021</v>
      </c>
      <c r="D41" s="24">
        <f>IFERROR((D39-Inputs!F103)*10000,"unavail.")</f>
        <v>-17</v>
      </c>
      <c r="E41" s="24">
        <f>IFERROR((E39-Inputs!D103)*10000,"unavail.")</f>
        <v>1.0000000000000286</v>
      </c>
      <c r="F41" s="24">
        <f>IFERROR((F39-Inputs!E103)*10000,"unavail.")</f>
        <v>0</v>
      </c>
      <c r="G41" s="39">
        <f>IFERROR((G39-B39)*10000,"unavail.")</f>
        <v>0</v>
      </c>
      <c r="H41" s="1"/>
    </row>
    <row r="42">
      <c r="A42" s="1" t="s">
        <v>264</v>
      </c>
      <c r="B42" s="25">
        <v>448</v>
      </c>
      <c r="C42" s="25">
        <v>450</v>
      </c>
      <c r="D42" s="20">
        <f>Inputs!D104+Inputs!E104+B42+C42</f>
        <v>1778</v>
      </c>
      <c r="E42" s="25">
        <v>456</v>
      </c>
      <c r="F42" s="25">
        <v>467</v>
      </c>
      <c r="G42" s="31">
        <f>G9*G39*G$6/365</f>
        <v>479.90315901369854</v>
      </c>
      <c r="H42" s="23" t="s">
        <v>344</v>
      </c>
    </row>
    <row r="43">
      <c r="A43" s="32" t="s">
        <v>125</v>
      </c>
      <c r="B43" s="27">
        <f>IF(AND(ISNUMBER(Inputs!E104),ISNUMBER(B42)),IF(Inputs!E104&gt;0,B42/Inputs!E104-1,"n.m."),"unavail.")</f>
        <v>0.0205011389521641</v>
      </c>
      <c r="C43" s="34">
        <f>IF(AND(ISNUMBER(B42),ISNUMBER(C42)),IF(B42&gt;0,C42/B42-1,"n.m."),"unavail.")</f>
        <v>0.0044642857142858094</v>
      </c>
      <c r="D43" s="1"/>
      <c r="E43" s="34">
        <f>IF(AND(ISNUMBER(C42),ISNUMBER(E42)),IF(C42&gt;0,E42/C42-1,"n.m."),"unavail.")</f>
        <v>0.01333333333333342</v>
      </c>
      <c r="F43" s="34">
        <f>IF(AND(ISNUMBER(E42),ISNUMBER(F42)),IF(E42&gt;0,F42/E42-1,"n.m."),"unavail.")</f>
        <v>0.02412280701754388</v>
      </c>
      <c r="G43" s="40">
        <f>IF(AND(ISNUMBER(F42),ISNUMBER(G42)),IF(F42&gt;0,G42/F42-1,"n.m."),"unavail.")</f>
        <v>0.02762989082162437</v>
      </c>
      <c r="H43" s="1"/>
    </row>
    <row r="44">
      <c r="A44" s="32" t="s">
        <v>127</v>
      </c>
      <c r="B44" s="27" t="str">
        <f>IF(AND(ISNUMBER(Inputs!B104),ISNUMBER(B42)),IF(Inputs!B104&gt;0,B42/Inputs!B104-1,"n.m."),"unavail.")</f>
        <v>unavail.</v>
      </c>
      <c r="C44" s="27">
        <f>IF(AND(ISNUMBER(Inputs!C104),ISNUMBER(C42)),IF(Inputs!C104&gt;0,C42/Inputs!C104-1,"n.m."),"unavail.")</f>
        <v>-0.030172413793103425</v>
      </c>
      <c r="D44" s="27">
        <f>IF(AND(ISNUMBER(Inputs!F104),ISNUMBER(D42)),IF(Inputs!F104&gt;0,D42/Inputs!F104-1,"n.m."),"unavail.")</f>
        <v>-0.08820512820512816</v>
      </c>
      <c r="E44" s="27">
        <f>IF(AND(ISNUMBER(Inputs!D104),ISNUMBER(E42)),IF(Inputs!D104&gt;0,E42/Inputs!D104-1,"n.m."),"unavail.")</f>
        <v>0.03401360544217691</v>
      </c>
      <c r="F44" s="27">
        <f>IF(AND(ISNUMBER(Inputs!E104),ISNUMBER(F42)),IF(Inputs!E104&gt;0,F42/Inputs!E104-1,"n.m."),"unavail.")</f>
        <v>0.06378132118451019</v>
      </c>
      <c r="G44" s="40">
        <f>IF(AND(ISNUMBER(B42),ISNUMBER(G42)),IF(B42&gt;0,G42/B42-1,"n.m."),"unavail.")</f>
        <v>0.07121240851271993</v>
      </c>
      <c r="H44" s="1"/>
    </row>
    <row r="45">
      <c r="A45" s="32" t="s">
        <v>128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29">
        <v>0</v>
      </c>
      <c r="H45" s="23" t="s">
        <v>129</v>
      </c>
    </row>
    <row r="46">
      <c r="A46" s="32" t="s">
        <v>130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29">
        <v>0</v>
      </c>
      <c r="H46" s="23" t="s">
        <v>131</v>
      </c>
    </row>
    <row r="47">
      <c r="A47" s="32" t="s">
        <v>132</v>
      </c>
      <c r="B47" s="34" t="str">
        <f>IF(AND(ISNUMBER(B44),ISNUMBER(B45),ISNUMBER(B46)),(1+B44)/((1+B45)*(1+B46))-1,"unavail.")</f>
        <v>unavail.</v>
      </c>
      <c r="C47" s="34">
        <f>IF(AND(ISNUMBER(C44),ISNUMBER(C45),ISNUMBER(C46)),(1+C44)/((1+C45)*(1+C46))-1,"unavail.")</f>
        <v>-0.030172413793103425</v>
      </c>
      <c r="D47" s="34">
        <f>IF(AND(ISNUMBER(D44),ISNUMBER(D45),ISNUMBER(D46)),(1+D44)/((1+D45)*(1+D46))-1,"unavail.")</f>
        <v>-0.08820512820512816</v>
      </c>
      <c r="E47" s="34">
        <f>IF(AND(ISNUMBER(E44),ISNUMBER(E45),ISNUMBER(E46)),(1+E44)/((1+E45)*(1+E46))-1,"unavail.")</f>
        <v>0.03401360544217691</v>
      </c>
      <c r="F47" s="34">
        <f>IF(AND(ISNUMBER(F44),ISNUMBER(F45),ISNUMBER(F46)),(1+F44)/((1+F45)*(1+F46))-1,"unavail.")</f>
        <v>0.06378132118451019</v>
      </c>
      <c r="G47" s="40">
        <f>IF(AND(ISNUMBER(G44),ISNUMBER(G45),ISNUMBER(G46)),(1+G44)/((1+G45)*(1+G46))-1,"unavail.")</f>
        <v>0.07121240851271993</v>
      </c>
      <c r="H47" s="23" t="s">
        <v>133</v>
      </c>
    </row>
    <row r="48">
      <c r="A48" s="1" t="s">
        <v>345</v>
      </c>
      <c r="B48" s="25">
        <v>286</v>
      </c>
      <c r="C48" s="25">
        <v>262</v>
      </c>
      <c r="D48" s="20">
        <f>Inputs!D105+Inputs!E105+B48+C48</f>
        <v>995</v>
      </c>
      <c r="E48" s="25">
        <v>263</v>
      </c>
      <c r="F48" s="25">
        <v>292</v>
      </c>
      <c r="G48" s="31">
        <f>F48*(1+G49)</f>
        <v>289.956</v>
      </c>
      <c r="H48" s="1"/>
    </row>
    <row r="49">
      <c r="A49" s="32" t="s">
        <v>167</v>
      </c>
      <c r="B49" s="27">
        <f>IF(AND(ISNUMBER(Inputs!E105),ISNUMBER(B48)),IF(Inputs!E105&gt;0,B48/Inputs!E105-1,"n.m."),"unavail.")</f>
        <v>0.23275862068965525</v>
      </c>
      <c r="C49" s="34">
        <f>IF(AND(ISNUMBER(B48),ISNUMBER(C48)),IF(B48&gt;0,C48/B48-1,"n.m."),"unavail.")</f>
        <v>-0.08391608391608396</v>
      </c>
      <c r="D49" s="1"/>
      <c r="E49" s="34">
        <f>IF(AND(ISNUMBER(C48),ISNUMBER(E48)),IF(C48&gt;0,E48/C48-1,"n.m."),"unavail.")</f>
        <v>0.003816793893129722</v>
      </c>
      <c r="F49" s="34">
        <f>IF(AND(ISNUMBER(E48),ISNUMBER(F48)),IF(E48&gt;0,F48/E48-1,"n.m."),"unavail.")</f>
        <v>0.11026615969581743</v>
      </c>
      <c r="G49" s="29">
        <v>-0.007</v>
      </c>
      <c r="H49" s="1"/>
    </row>
    <row r="50">
      <c r="A50" s="37" t="s">
        <v>169</v>
      </c>
      <c r="B50" s="20">
        <f>B48-Inputs!E105</f>
        <v>54</v>
      </c>
      <c r="C50" s="14">
        <f>C48-B48</f>
        <v>-24</v>
      </c>
      <c r="D50" s="1"/>
      <c r="E50" s="14">
        <f>E48-C48</f>
        <v>1</v>
      </c>
      <c r="F50" s="14">
        <f>F48-E48</f>
        <v>29</v>
      </c>
      <c r="G50" s="31">
        <f>G48-F48</f>
        <v>-2.0439999999999827</v>
      </c>
      <c r="H50" s="1"/>
    </row>
    <row r="51">
      <c r="A51" s="32" t="s">
        <v>127</v>
      </c>
      <c r="B51" s="27" t="str">
        <f>IF(AND(ISNUMBER(Inputs!B105),ISNUMBER(B48)),IF(Inputs!B105&gt;0,B48/Inputs!B105-1,"n.m."),"unavail.")</f>
        <v>unavail.</v>
      </c>
      <c r="C51" s="27">
        <f>IF(AND(ISNUMBER(Inputs!C105),ISNUMBER(C48)),IF(Inputs!C105&gt;0,C48/Inputs!C105-1,"n.m."),"unavail.")</f>
        <v>0.1293103448275863</v>
      </c>
      <c r="D51" s="27">
        <f>IF(AND(ISNUMBER(Inputs!F105),ISNUMBER(D48)),IF(Inputs!F105&gt;0,D48/Inputs!F105-1,"n.m."),"unavail.")</f>
        <v>0.0958149779735682</v>
      </c>
      <c r="E51" s="27">
        <f>IF(AND(ISNUMBER(Inputs!D105),ISNUMBER(E48)),IF(Inputs!D105&gt;0,E48/Inputs!D105-1,"n.m."),"unavail.")</f>
        <v>0.22325581395348837</v>
      </c>
      <c r="F51" s="27">
        <f>IF(AND(ISNUMBER(Inputs!E105),ISNUMBER(F48)),IF(Inputs!E105&gt;0,F48/Inputs!E105-1,"n.m."),"unavail.")</f>
        <v>0.2586206896551724</v>
      </c>
      <c r="G51" s="40">
        <f>IF(AND(ISNUMBER(B48),ISNUMBER(G48)),IF(B48&gt;0,G48/B48-1,"n.m."),"unavail.")</f>
        <v>0.013832167832167785</v>
      </c>
      <c r="H51" s="1"/>
    </row>
    <row r="52">
      <c r="A52" s="32" t="s">
        <v>128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29">
        <v>0</v>
      </c>
      <c r="H52" s="23" t="s">
        <v>129</v>
      </c>
    </row>
    <row r="53">
      <c r="A53" s="32" t="s">
        <v>130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29">
        <v>0</v>
      </c>
      <c r="H53" s="23" t="s">
        <v>131</v>
      </c>
    </row>
    <row r="54">
      <c r="A54" s="32" t="s">
        <v>132</v>
      </c>
      <c r="B54" s="34" t="str">
        <f>IF(AND(ISNUMBER(B51),ISNUMBER(B52),ISNUMBER(B53)),(1+B51)/((1+B52)*(1+B53))-1,"unavail.")</f>
        <v>unavail.</v>
      </c>
      <c r="C54" s="34">
        <f>IF(AND(ISNUMBER(C51),ISNUMBER(C52),ISNUMBER(C53)),(1+C51)/((1+C52)*(1+C53))-1,"unavail.")</f>
        <v>0.1293103448275863</v>
      </c>
      <c r="D54" s="34">
        <f>IF(AND(ISNUMBER(D51),ISNUMBER(D52),ISNUMBER(D53)),(1+D51)/((1+D52)*(1+D53))-1,"unavail.")</f>
        <v>0.0958149779735682</v>
      </c>
      <c r="E54" s="34">
        <f>IF(AND(ISNUMBER(E51),ISNUMBER(E52),ISNUMBER(E53)),(1+E51)/((1+E52)*(1+E53))-1,"unavail.")</f>
        <v>0.22325581395348837</v>
      </c>
      <c r="F54" s="34">
        <f>IF(AND(ISNUMBER(F51),ISNUMBER(F52),ISNUMBER(F53)),(1+F51)/((1+F52)*(1+F53))-1,"unavail.")</f>
        <v>0.2586206896551724</v>
      </c>
      <c r="G54" s="40">
        <f>IF(AND(ISNUMBER(G51),ISNUMBER(G52),ISNUMBER(G53)),(1+G51)/((1+G52)*(1+G53))-1,"unavail.")</f>
        <v>0.013832167832167785</v>
      </c>
      <c r="H54" s="23" t="s">
        <v>133</v>
      </c>
    </row>
    <row r="55">
      <c r="A55" s="8" t="s">
        <v>320</v>
      </c>
      <c r="B55" s="30">
        <f>B42+B48</f>
        <v>734</v>
      </c>
      <c r="C55" s="30">
        <f>C42+C48</f>
        <v>712</v>
      </c>
      <c r="D55" s="30">
        <f>D42+D48</f>
        <v>2773</v>
      </c>
      <c r="E55" s="30">
        <f>E42+E48</f>
        <v>719</v>
      </c>
      <c r="F55" s="30">
        <f>F42+F48</f>
        <v>759</v>
      </c>
      <c r="G55" s="38">
        <f>G42+G48</f>
        <v>769.8591590136986</v>
      </c>
      <c r="H55" s="1"/>
    </row>
    <row r="56">
      <c r="A56" s="32" t="s">
        <v>125</v>
      </c>
      <c r="B56" s="27">
        <f>IF(AND(ISNUMBER(Inputs!E10),ISNUMBER(B55)),IF(Inputs!E10&gt;0,B55/Inputs!E10-1,"n.m."),"unavail.")</f>
        <v>0.0938897168405366</v>
      </c>
      <c r="C56" s="34">
        <f>IF(AND(ISNUMBER(B55),ISNUMBER(C55)),IF(B55&gt;0,C55/B55-1,"n.m."),"unavail.")</f>
        <v>-0.02997275204359673</v>
      </c>
      <c r="D56" s="1"/>
      <c r="E56" s="34">
        <f>IF(AND(ISNUMBER(C55),ISNUMBER(E55)),IF(C55&gt;0,E55/C55-1,"n.m."),"unavail.")</f>
        <v>0.00983146067415741</v>
      </c>
      <c r="F56" s="34">
        <f>IF(AND(ISNUMBER(E55),ISNUMBER(F55)),IF(E55&gt;0,F55/E55-1,"n.m."),"unavail.")</f>
        <v>0.0556328233657859</v>
      </c>
      <c r="G56" s="40">
        <f>IF(AND(ISNUMBER(F55),ISNUMBER(G55)),IF(F55&gt;0,G55/F55-1,"n.m."),"unavail.")</f>
        <v>0.014307192376414424</v>
      </c>
      <c r="H56" s="1"/>
    </row>
    <row r="57">
      <c r="A57" s="32" t="s">
        <v>127</v>
      </c>
      <c r="B57" s="27" t="str">
        <f>IF(AND(ISNUMBER(Inputs!B10),ISNUMBER(B55)),IF(Inputs!B10&gt;0,B55/Inputs!B10-1,"n.m."),"unavail.")</f>
        <v>unavail.</v>
      </c>
      <c r="C57" s="27">
        <f>IF(AND(ISNUMBER(Inputs!C10),ISNUMBER(C55)),IF(Inputs!C10&gt;0,C55/Inputs!C10-1,"n.m."),"unavail.")</f>
        <v>0.02298850574712641</v>
      </c>
      <c r="D57" s="27">
        <f>IF(AND(ISNUMBER(Inputs!F10),ISNUMBER(D55)),IF(Inputs!F10&gt;0,D55/Inputs!F10-1,"n.m."),"unavail.")</f>
        <v>-0.02974107767669698</v>
      </c>
      <c r="E57" s="27">
        <f>IF(AND(ISNUMBER(Inputs!D10),ISNUMBER(E55)),IF(Inputs!D10&gt;0,E55/Inputs!D10-1,"n.m."),"unavail.")</f>
        <v>0.09603658536585358</v>
      </c>
      <c r="F57" s="27">
        <f>IF(AND(ISNUMBER(Inputs!E10),ISNUMBER(F55)),IF(Inputs!E10&gt;0,F55/Inputs!E10-1,"n.m."),"unavail.")</f>
        <v>0.13114754098360648</v>
      </c>
      <c r="G57" s="40">
        <f>IF(AND(ISNUMBER(B55),ISNUMBER(G55)),IF(B55&gt;0,G55/B55-1,"n.m."),"unavail.")</f>
        <v>0.048854440073158756</v>
      </c>
      <c r="H57" s="1"/>
    </row>
    <row r="58">
      <c r="A58" s="32" t="s">
        <v>128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29">
        <v>0</v>
      </c>
      <c r="H58" s="23" t="s">
        <v>129</v>
      </c>
    </row>
    <row r="59">
      <c r="A59" s="32" t="s">
        <v>130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29">
        <v>0</v>
      </c>
      <c r="H59" s="23" t="s">
        <v>131</v>
      </c>
    </row>
    <row r="60">
      <c r="A60" s="32" t="s">
        <v>132</v>
      </c>
      <c r="B60" s="34" t="str">
        <f>IF(AND(ISNUMBER(B57),ISNUMBER(B58),ISNUMBER(B59)),(1+B57)/((1+B58)*(1+B59))-1,"unavail.")</f>
        <v>unavail.</v>
      </c>
      <c r="C60" s="34">
        <f>IF(AND(ISNUMBER(C57),ISNUMBER(C58),ISNUMBER(C59)),(1+C57)/((1+C58)*(1+C59))-1,"unavail.")</f>
        <v>0.02298850574712641</v>
      </c>
      <c r="D60" s="34">
        <f>IF(AND(ISNUMBER(D57),ISNUMBER(D58),ISNUMBER(D59)),(1+D57)/((1+D58)*(1+D59))-1,"unavail.")</f>
        <v>-0.02974107767669698</v>
      </c>
      <c r="E60" s="34">
        <f>IF(AND(ISNUMBER(E57),ISNUMBER(E58),ISNUMBER(E59)),(1+E57)/((1+E58)*(1+E59))-1,"unavail.")</f>
        <v>0.09603658536585358</v>
      </c>
      <c r="F60" s="34">
        <f>IF(AND(ISNUMBER(F57),ISNUMBER(F58),ISNUMBER(F59)),(1+F57)/((1+F58)*(1+F59))-1,"unavail.")</f>
        <v>0.13114754098360648</v>
      </c>
      <c r="G60" s="40">
        <f>IF(AND(ISNUMBER(G57),ISNUMBER(G58),ISNUMBER(G59)),(1+G57)/((1+G58)*(1+G59))-1,"unavail.")</f>
        <v>0.048854440073158756</v>
      </c>
      <c r="H60" s="23" t="s">
        <v>133</v>
      </c>
    </row>
    <row r="61">
      <c r="A61" s="32" t="s">
        <v>346</v>
      </c>
      <c r="B61" s="34">
        <f>B48/B55</f>
        <v>0.3896457765667575</v>
      </c>
      <c r="C61" s="34">
        <f>C48/C55</f>
        <v>0.36797752808988765</v>
      </c>
      <c r="D61" s="34">
        <f>D48/D55</f>
        <v>0.3588171655247025</v>
      </c>
      <c r="E61" s="34">
        <f>E48/E55</f>
        <v>0.3657858136300417</v>
      </c>
      <c r="F61" s="34">
        <f>F48/F55</f>
        <v>0.3847167325428195</v>
      </c>
      <c r="G61" s="40">
        <f>G48/G55</f>
        <v>0.3766351242368484</v>
      </c>
      <c r="H61" s="1"/>
    </row>
    <row r="62">
      <c r="A62" s="44" t="s">
        <v>204</v>
      </c>
      <c r="B62" s="24">
        <f>IFERROR((B61-(Inputs!E105/Inputs!E10))*10000,"unavail.")</f>
        <v>438.9316851906744</v>
      </c>
      <c r="C62" s="26">
        <f>IFERROR((C61-B61)*10000,"unavail.")</f>
        <v>-216.68248476869823</v>
      </c>
      <c r="D62" s="1"/>
      <c r="E62" s="26">
        <f>IFERROR((E61-C61)*10000,"unavail.")</f>
        <v>-21.917144598459505</v>
      </c>
      <c r="F62" s="26">
        <f>IFERROR((F61-E61)*10000,"unavail.")</f>
        <v>189.30918912777815</v>
      </c>
      <c r="G62" s="39">
        <f>IFERROR((G61-F61)*10000,"unavail.")</f>
        <v>-80.81608305971099</v>
      </c>
      <c r="H62" s="1"/>
    </row>
    <row r="63">
      <c r="A63" s="44" t="s">
        <v>173</v>
      </c>
      <c r="B63" s="26" t="str">
        <f>"unavail."</f>
        <v>unavail.</v>
      </c>
      <c r="C63" s="24">
        <f>IFERROR((C61-(Inputs!C105/Inputs!C10))*10000,"unavail.")</f>
        <v>346.4419475655434</v>
      </c>
      <c r="D63" s="24">
        <f>IFERROR((D61-(Inputs!F105/Inputs!F10))*10000,"unavail.")</f>
        <v>411.1247693128051</v>
      </c>
      <c r="E63" s="24">
        <f>IFERROR((E61-(Inputs!D105/Inputs!D10))*10000,"unavail.")</f>
        <v>380.41911191017294</v>
      </c>
      <c r="F63" s="24">
        <f>IFERROR((F61-(Inputs!E105/Inputs!E10))*10000,"unavail.")</f>
        <v>389.6412449512948</v>
      </c>
      <c r="G63" s="39">
        <f>IFERROR((G61-B61)*10000,"unavail.")</f>
        <v>-130.10652329909055</v>
      </c>
      <c r="H63" s="1"/>
    </row>
    <row r="64">
      <c r="A64" s="8" t="s">
        <v>373</v>
      </c>
      <c r="B64" s="1"/>
      <c r="C64" s="1"/>
      <c r="D64" s="1"/>
      <c r="E64" s="1"/>
      <c r="F64" s="1"/>
      <c r="G64" s="41"/>
      <c r="H64" s="1"/>
    </row>
    <row r="65">
      <c r="A65" s="1" t="s">
        <v>348</v>
      </c>
      <c r="B65" s="25">
        <v>333</v>
      </c>
      <c r="C65" s="25">
        <v>357</v>
      </c>
      <c r="D65" s="20">
        <f>Inputs!D106+Inputs!E106+B65+C65</f>
        <v>1334</v>
      </c>
      <c r="E65" s="25">
        <v>334</v>
      </c>
      <c r="F65" s="25">
        <v>326</v>
      </c>
      <c r="G65" s="31">
        <f>F65*(1+G66)</f>
        <v>329.912</v>
      </c>
      <c r="H65" s="1"/>
    </row>
    <row r="66">
      <c r="A66" s="32" t="s">
        <v>167</v>
      </c>
      <c r="B66" s="27">
        <f>IF(AND(ISNUMBER(Inputs!E106),ISNUMBER(B65)),IF(Inputs!E106&gt;0,B65/Inputs!E106-1,"n.m."),"unavail.")</f>
        <v>0.050473186119873725</v>
      </c>
      <c r="C66" s="34">
        <f>IF(AND(ISNUMBER(B65),ISNUMBER(C65)),IF(B65&gt;0,C65/B65-1,"n.m."),"unavail.")</f>
        <v>0.072072072072072</v>
      </c>
      <c r="D66" s="1"/>
      <c r="E66" s="34">
        <f>IF(AND(ISNUMBER(C65),ISNUMBER(E65)),IF(C65&gt;0,E65/C65-1,"n.m."),"unavail.")</f>
        <v>-0.06442577030812324</v>
      </c>
      <c r="F66" s="34">
        <f>IF(AND(ISNUMBER(E65),ISNUMBER(F65)),IF(E65&gt;0,F65/E65-1,"n.m."),"unavail.")</f>
        <v>-0.0239520958083832</v>
      </c>
      <c r="G66" s="29">
        <v>0.012</v>
      </c>
      <c r="H66" s="1"/>
    </row>
    <row r="67">
      <c r="A67" s="32" t="s">
        <v>168</v>
      </c>
      <c r="B67" s="27" t="str">
        <f>IF(AND(ISNUMBER(Inputs!B106),ISNUMBER(B65)),IF(Inputs!B106&gt;0,B65/Inputs!B106-1,"n.m."),"unavail.")</f>
        <v>unavail.</v>
      </c>
      <c r="C67" s="27">
        <f>IF(AND(ISNUMBER(Inputs!C106),ISNUMBER(C65)),IF(Inputs!C106&gt;0,C65/Inputs!C106-1,"n.m."),"unavail.")</f>
        <v>0.14057507987220452</v>
      </c>
      <c r="D67" s="27">
        <f>IF(AND(ISNUMBER(Inputs!F106),ISNUMBER(D65)),IF(Inputs!F106&gt;0,D65/Inputs!F106-1,"n.m."),"unavail.")</f>
        <v>0.07493956486704278</v>
      </c>
      <c r="E67" s="27">
        <f>IF(AND(ISNUMBER(Inputs!D106),ISNUMBER(E65)),IF(Inputs!D106&gt;0,E65/Inputs!D106-1,"n.m."),"unavail.")</f>
        <v>0.021406727828746197</v>
      </c>
      <c r="F67" s="27">
        <f>IF(AND(ISNUMBER(Inputs!E106),ISNUMBER(F65)),IF(Inputs!E106&gt;0,F65/Inputs!E106-1,"n.m."),"unavail.")</f>
        <v>0.028391167192429068</v>
      </c>
      <c r="G67" s="40">
        <f>IF(AND(ISNUMBER(B65),ISNUMBER(G65)),IF(B65&gt;0,G65/B65-1,"n.m."),"unavail.")</f>
        <v>-0.00927327327327332</v>
      </c>
      <c r="H67" s="1"/>
    </row>
    <row r="68">
      <c r="A68" s="37" t="s">
        <v>169</v>
      </c>
      <c r="B68" s="20">
        <f>B65-Inputs!E106</f>
        <v>16</v>
      </c>
      <c r="C68" s="14">
        <f>C65-B65</f>
        <v>24</v>
      </c>
      <c r="D68" s="1"/>
      <c r="E68" s="14">
        <f>E65-C65</f>
        <v>-23</v>
      </c>
      <c r="F68" s="14">
        <f>F65-E65</f>
        <v>-8</v>
      </c>
      <c r="G68" s="31">
        <f>G65-F65</f>
        <v>3.9119999999999777</v>
      </c>
      <c r="H68" s="1"/>
    </row>
    <row r="69">
      <c r="A69" s="3" t="s">
        <v>349</v>
      </c>
      <c r="B69" s="34">
        <f>B65/B55</f>
        <v>0.4536784741144414</v>
      </c>
      <c r="C69" s="34">
        <f>C65/C55</f>
        <v>0.5014044943820225</v>
      </c>
      <c r="D69" s="34">
        <f>D65/D55</f>
        <v>0.48106743598990265</v>
      </c>
      <c r="E69" s="34">
        <f>E65/E55</f>
        <v>0.46453407510431155</v>
      </c>
      <c r="F69" s="34">
        <f>F65/F55</f>
        <v>0.4295125164690382</v>
      </c>
      <c r="G69" s="40">
        <f>G65/G55</f>
        <v>0.42853552644962384</v>
      </c>
      <c r="H69" s="1"/>
    </row>
    <row r="70">
      <c r="A70" s="32" t="s">
        <v>204</v>
      </c>
      <c r="B70" s="24">
        <f>IFERROR((B69-(Inputs!E106/Inputs!E10))*10000,"unavail.")</f>
        <v>-187.5073601968674</v>
      </c>
      <c r="C70" s="26">
        <f>IFERROR((C69-B69)*10000,"unavail.")</f>
        <v>477.26020267581106</v>
      </c>
      <c r="D70" s="1"/>
      <c r="E70" s="26">
        <f>IFERROR((E69-C69)*10000,"unavail.")</f>
        <v>-368.70419277710954</v>
      </c>
      <c r="F70" s="26">
        <f>IFERROR((F69-E69)*10000,"unavail.")</f>
        <v>-350.2155863527334</v>
      </c>
      <c r="G70" s="39">
        <f>IFERROR((G69-F69)*10000,"unavail.")</f>
        <v>-9.769900194143698</v>
      </c>
      <c r="H70" s="1"/>
    </row>
    <row r="71">
      <c r="A71" s="32" t="s">
        <v>173</v>
      </c>
      <c r="B71" s="26" t="str">
        <f>"unavail."</f>
        <v>unavail.</v>
      </c>
      <c r="C71" s="24">
        <f>IFERROR((C69-(Inputs!C106/Inputs!C10))*10000,"unavail.")</f>
        <v>516.9185070386156</v>
      </c>
      <c r="D71" s="24">
        <f>IFERROR((D69-(Inputs!F106/Inputs!F10))*10000,"unavail.")</f>
        <v>468.477019101266</v>
      </c>
      <c r="E71" s="24">
        <f>IFERROR((E69-(Inputs!D106/Inputs!D10))*10000,"unavail.")</f>
        <v>-339.4153465178601</v>
      </c>
      <c r="F71" s="24">
        <f>IFERROR((F69-(Inputs!E106/Inputs!E10))*10000,"unavail.")</f>
        <v>-429.16693665089934</v>
      </c>
      <c r="G71" s="39">
        <f>IFERROR((G69-B69)*10000,"unavail.")</f>
        <v>-251.4294766481756</v>
      </c>
      <c r="H71" s="1"/>
    </row>
    <row r="72">
      <c r="A72" s="8" t="s">
        <v>350</v>
      </c>
      <c r="B72" s="30">
        <f>B55-B65</f>
        <v>401</v>
      </c>
      <c r="C72" s="30">
        <f>C55-C65</f>
        <v>355</v>
      </c>
      <c r="D72" s="30">
        <f>D55-D65</f>
        <v>1439</v>
      </c>
      <c r="E72" s="30">
        <f>E55-E65</f>
        <v>385</v>
      </c>
      <c r="F72" s="30">
        <f>F55-F65</f>
        <v>433</v>
      </c>
      <c r="G72" s="38">
        <f>G55-G65</f>
        <v>439.9471590136986</v>
      </c>
      <c r="H72" s="1"/>
    </row>
    <row r="73">
      <c r="A73" s="32" t="s">
        <v>351</v>
      </c>
      <c r="B73" s="34">
        <f>B72/B55</f>
        <v>0.5463215258855586</v>
      </c>
      <c r="C73" s="34">
        <f>C72/C55</f>
        <v>0.49859550561797755</v>
      </c>
      <c r="D73" s="34">
        <f>D72/D55</f>
        <v>0.5189325640100974</v>
      </c>
      <c r="E73" s="34">
        <f>E72/E55</f>
        <v>0.5354659248956884</v>
      </c>
      <c r="F73" s="34">
        <f>F72/F55</f>
        <v>0.5704874835309618</v>
      </c>
      <c r="G73" s="40">
        <f>G72/G55</f>
        <v>0.5714644735503762</v>
      </c>
      <c r="H73" s="1"/>
    </row>
    <row r="74">
      <c r="A74" s="44" t="s">
        <v>204</v>
      </c>
      <c r="B74" s="24">
        <f>IFERROR((B73-(1-Inputs!E106/Inputs!E10))*10000,"unavail.")</f>
        <v>187.50736019686687</v>
      </c>
      <c r="C74" s="26">
        <f>IFERROR((C73-B73)*10000,"unavail.")</f>
        <v>-477.2602026758105</v>
      </c>
      <c r="D74" s="1"/>
      <c r="E74" s="26">
        <f>IFERROR((E73-C73)*10000,"unavail.")</f>
        <v>368.704192777109</v>
      </c>
      <c r="F74" s="26">
        <f>IFERROR((F73-E73)*10000,"unavail.")</f>
        <v>350.2155863527334</v>
      </c>
      <c r="G74" s="39">
        <f>IFERROR((G73-F73)*10000,"unavail.")</f>
        <v>9.769900194144254</v>
      </c>
      <c r="H74" s="1"/>
    </row>
    <row r="75">
      <c r="A75" s="44" t="s">
        <v>173</v>
      </c>
      <c r="B75" s="26" t="str">
        <f>"unavail."</f>
        <v>unavail.</v>
      </c>
      <c r="C75" s="24">
        <f>IFERROR((C73-(1-Inputs!C106/Inputs!C10))*10000,"unavail.")</f>
        <v>-516.9185070386156</v>
      </c>
      <c r="D75" s="24">
        <f>IFERROR((D73-(1-Inputs!F106/Inputs!F10))*10000,"unavail.")</f>
        <v>-468.4770191012666</v>
      </c>
      <c r="E75" s="24">
        <f>IFERROR((E73-(1-Inputs!D106/Inputs!D10))*10000,"unavail.")</f>
        <v>339.41534651786066</v>
      </c>
      <c r="F75" s="24">
        <f>IFERROR((F73-(1-Inputs!E106/Inputs!E10))*10000,"unavail.")</f>
        <v>429.1669366508988</v>
      </c>
      <c r="G75" s="39">
        <f>IFERROR((G73-B73)*10000,"unavail.")</f>
        <v>251.42947664817618</v>
      </c>
      <c r="H75" s="1"/>
    </row>
    <row r="76">
      <c r="A76" s="3" t="s">
        <v>352</v>
      </c>
      <c r="B76" s="42">
        <f>B79/B13*365/B$6</f>
        <v>0.004919426464337182</v>
      </c>
      <c r="C76" s="42">
        <f>C79/C13*365/C$6</f>
        <v>0.004383442630600856</v>
      </c>
      <c r="D76" s="42">
        <f>D79/D13*365/D$6</f>
        <v>0.004909359558952034</v>
      </c>
      <c r="E76" s="42">
        <f>E79/E13*365/E$6</f>
        <v>0.004019505614574837</v>
      </c>
      <c r="F76" s="42">
        <f>F79/F13*365/F$6</f>
        <v>0.00380440384354809</v>
      </c>
      <c r="G76" s="59">
        <v>0.0037</v>
      </c>
      <c r="H76" s="1"/>
    </row>
    <row r="77">
      <c r="A77" s="32" t="s">
        <v>204</v>
      </c>
      <c r="B77" s="24">
        <f>IFERROR((B76-(Inputs!E107/Inputs!E100*365/Inputs!E$6))*10000,"unavail.")</f>
        <v>-4.23724604110047</v>
      </c>
      <c r="C77" s="26">
        <f>IFERROR((C76-B76)*10000,"unavail.")</f>
        <v>-5.359838337363259</v>
      </c>
      <c r="D77" s="1"/>
      <c r="E77" s="26">
        <f>IFERROR((E76-C76)*10000,"unavail.")</f>
        <v>-3.63937016026019</v>
      </c>
      <c r="F77" s="26">
        <f>IFERROR((F76-E76)*10000,"unavail.")</f>
        <v>-2.151017710267469</v>
      </c>
      <c r="G77" s="39">
        <f>IFERROR((G76-F76)*10000,"unavail.")</f>
        <v>-1.0440384354808976</v>
      </c>
      <c r="H77" s="1"/>
    </row>
    <row r="78">
      <c r="A78" s="32" t="s">
        <v>173</v>
      </c>
      <c r="B78" s="26" t="str">
        <f>"unavail."</f>
        <v>unavail.</v>
      </c>
      <c r="C78" s="24">
        <f>IFERROR((C76-(Inputs!C107/Inputs!C100*365/Inputs!C$6))*10000,"unavail.")</f>
        <v>-12.763515140894857</v>
      </c>
      <c r="D78" s="24">
        <f>IFERROR((D76-(Inputs!F107/Inputs!F100))*10000,"unavail.")</f>
        <v>-4.815171839199443</v>
      </c>
      <c r="E78" s="24">
        <f>IFERROR((E76-(Inputs!D107/Inputs!D100*365/Inputs!D$6))*10000,"unavail.")</f>
        <v>-9.81980327699421</v>
      </c>
      <c r="F78" s="24">
        <f>IFERROR((F76-(Inputs!E107/Inputs!E100*365/Inputs!E$6))*10000,"unavail.")</f>
        <v>-15.387472248991388</v>
      </c>
      <c r="G78" s="39">
        <f>IFERROR((G76-B76)*10000,"unavail.")</f>
        <v>-12.194264643371815</v>
      </c>
      <c r="H78" s="1"/>
    </row>
    <row r="79">
      <c r="A79" s="1" t="s">
        <v>353</v>
      </c>
      <c r="B79" s="25">
        <v>78</v>
      </c>
      <c r="C79" s="25">
        <v>70</v>
      </c>
      <c r="D79" s="20">
        <f>Inputs!D107+Inputs!E107+B79+C79</f>
        <v>309</v>
      </c>
      <c r="E79" s="25">
        <v>64</v>
      </c>
      <c r="F79" s="25">
        <v>63</v>
      </c>
      <c r="G79" s="31">
        <f>G13*G76*G$6/365</f>
        <v>63.18329470684932</v>
      </c>
      <c r="H79" s="88" t="s">
        <v>374</v>
      </c>
    </row>
    <row r="80">
      <c r="A80" s="32" t="s">
        <v>168</v>
      </c>
      <c r="B80" s="27" t="str">
        <f>IF(AND(ISNUMBER(Inputs!B107),ISNUMBER(B79)),IF(Inputs!B107&gt;0,B79/Inputs!B107-1,"n.m."),"unavail.")</f>
        <v>unavail.</v>
      </c>
      <c r="C80" s="27">
        <f>IF(AND(ISNUMBER(Inputs!C107),ISNUMBER(C79)),IF(Inputs!C107&gt;0,C79/Inputs!C107-1,"n.m."),"unavail.")</f>
        <v>-0.23076923076923073</v>
      </c>
      <c r="D80" s="27">
        <f>IF(AND(ISNUMBER(Inputs!F107),ISNUMBER(D79)),IF(Inputs!F107&gt;0,D79/Inputs!F107-1,"n.m."),"unavail.")</f>
        <v>-0.12464589235127477</v>
      </c>
      <c r="E80" s="27">
        <f>IF(AND(ISNUMBER(Inputs!D107),ISNUMBER(E79)),IF(Inputs!D107&gt;0,E79/Inputs!D107-1,"n.m."),"unavail.")</f>
        <v>-0.16883116883116878</v>
      </c>
      <c r="F80" s="27">
        <f>IF(AND(ISNUMBER(Inputs!E107),ISNUMBER(F79)),IF(Inputs!E107&gt;0,F79/Inputs!E107-1,"n.m."),"unavail.")</f>
        <v>-0.25</v>
      </c>
      <c r="G80" s="40">
        <f>IF(AND(ISNUMBER(B79),ISNUMBER(G79)),IF(B79&gt;0,G79/B79-1,"n.m."),"unavail.")</f>
        <v>-0.18995776016859856</v>
      </c>
      <c r="H80" s="1"/>
    </row>
    <row r="81">
      <c r="A81" s="8" t="s">
        <v>355</v>
      </c>
      <c r="B81" s="30">
        <f>B72-B79</f>
        <v>323</v>
      </c>
      <c r="C81" s="30">
        <f>C72-C79</f>
        <v>285</v>
      </c>
      <c r="D81" s="30">
        <f>D72-D79</f>
        <v>1130</v>
      </c>
      <c r="E81" s="30">
        <f>E72-E79</f>
        <v>321</v>
      </c>
      <c r="F81" s="30">
        <f>F72-F79</f>
        <v>370</v>
      </c>
      <c r="G81" s="38">
        <f>G72-G79</f>
        <v>376.76386430684926</v>
      </c>
      <c r="H81" s="1"/>
    </row>
    <row r="82">
      <c r="A82" s="32" t="s">
        <v>168</v>
      </c>
      <c r="B82" s="34" t="str">
        <f>"unavail."</f>
        <v>unavail.</v>
      </c>
      <c r="C82" s="27">
        <f>IF(AND(ISNUMBER((Inputs!C10-Inputs!C106-Inputs!C107)),ISNUMBER(C81)),IF((Inputs!C10-Inputs!C106-Inputs!C107)&gt;0,C81/(Inputs!C10-Inputs!C106-Inputs!C107)-1,"n.m."),"unavail.")</f>
        <v>-0.023972602739726012</v>
      </c>
      <c r="D82" s="27">
        <f>IF(AND(ISNUMBER((Inputs!F10-Inputs!F106-Inputs!F107)),ISNUMBER(D81)),IF((Inputs!F10-Inputs!F106-Inputs!F107)&gt;0,D81/(Inputs!F10-Inputs!F106-Inputs!F107)-1,"n.m."),"unavail.")</f>
        <v>-0.10601265822784811</v>
      </c>
      <c r="E82" s="27">
        <f>IF(AND(ISNUMBER((Inputs!D10-Inputs!D106-Inputs!D107)),ISNUMBER(E81)),IF((Inputs!D10-Inputs!D106-Inputs!D107)&gt;0,E81/(Inputs!D10-Inputs!D106-Inputs!D107)-1,"n.m."),"unavail.")</f>
        <v>0.2738095238095237</v>
      </c>
      <c r="F82" s="27">
        <f>IF(AND(ISNUMBER((Inputs!E10-Inputs!E106-Inputs!E107)),ISNUMBER(F81)),IF((Inputs!E10-Inputs!E106-Inputs!E107)&gt;0,F81/(Inputs!E10-Inputs!E106-Inputs!E107)-1,"n.m."),"unavail.")</f>
        <v>0.37037037037037046</v>
      </c>
      <c r="G82" s="40">
        <f>IF(AND(ISNUMBER(B81),ISNUMBER(G81)),IF(B81&gt;0,G81/B81-1,"n.m."),"unavail.")</f>
        <v>0.16645159228126705</v>
      </c>
      <c r="H82" s="1"/>
    </row>
    <row r="83">
      <c r="A83" s="3" t="s">
        <v>356</v>
      </c>
      <c r="B83" s="34">
        <f>B86/B81</f>
        <v>0.23219814241486067</v>
      </c>
      <c r="C83" s="34">
        <f>C86/C81</f>
        <v>0.24561403508771928</v>
      </c>
      <c r="D83" s="34">
        <f>D86/D81</f>
        <v>0.2345132743362832</v>
      </c>
      <c r="E83" s="34">
        <f>E86/E81</f>
        <v>0.24299065420560748</v>
      </c>
      <c r="F83" s="34">
        <f>F86/F81</f>
        <v>0.24324324324324326</v>
      </c>
      <c r="G83" s="29">
        <v>0.243</v>
      </c>
      <c r="H83" s="1"/>
    </row>
    <row r="84">
      <c r="A84" s="32" t="s">
        <v>204</v>
      </c>
      <c r="B84" s="24">
        <f>IFERROR((B83-(Inputs!E108/(Inputs!E10-Inputs!E106-Inputs!E107)))*10000,"unavail.")</f>
        <v>-48.38894622176376</v>
      </c>
      <c r="C84" s="26">
        <f>IFERROR((C83-B83)*10000,"unavail.")</f>
        <v>134.15892672858615</v>
      </c>
      <c r="D84" s="1"/>
      <c r="E84" s="26">
        <f>IFERROR((E83-C83)*10000,"unavail.")</f>
        <v>-26.23380882111809</v>
      </c>
      <c r="F84" s="26">
        <f>IFERROR((F83-E83)*10000,"unavail.")</f>
        <v>2.525890376357809</v>
      </c>
      <c r="G84" s="39">
        <f>IFERROR((G83-F83)*10000,"unavail.")</f>
        <v>-2.4324324324326296</v>
      </c>
      <c r="H84" s="1"/>
    </row>
    <row r="85">
      <c r="A85" s="32" t="s">
        <v>173</v>
      </c>
      <c r="B85" s="26" t="str">
        <f>"unavail."</f>
        <v>unavail.</v>
      </c>
      <c r="C85" s="24">
        <f>IFERROR((C83-(Inputs!C108/(Inputs!C10-Inputs!C106-Inputs!C107)))*10000,"unavail.")</f>
        <v>127.37322758952175</v>
      </c>
      <c r="D85" s="24">
        <f>IFERROR((D83-(Inputs!F108/(Inputs!F10-Inputs!F106-Inputs!F107)))*10000,"unavail.")</f>
        <v>42.91755348941412</v>
      </c>
      <c r="E85" s="24">
        <f>IFERROR((E83-(Inputs!D108/(Inputs!D10-Inputs!D106-Inputs!D107)))*10000,"unavail.")</f>
        <v>207.68431983385267</v>
      </c>
      <c r="F85" s="24">
        <f>IFERROR((F83-(Inputs!E108/(Inputs!E10-Inputs!E106-Inputs!E107)))*10000,"unavail.")</f>
        <v>62.062062062062104</v>
      </c>
      <c r="G85" s="39">
        <f>IFERROR((G83-B83)*10000,"unavail.")</f>
        <v>108.01857585139324</v>
      </c>
      <c r="H85" s="1"/>
    </row>
    <row r="86">
      <c r="A86" s="1" t="s">
        <v>357</v>
      </c>
      <c r="B86" s="25">
        <v>75</v>
      </c>
      <c r="C86" s="25">
        <v>70</v>
      </c>
      <c r="D86" s="20">
        <f>Inputs!D108+Inputs!E108+B86+C86</f>
        <v>265</v>
      </c>
      <c r="E86" s="25">
        <v>78</v>
      </c>
      <c r="F86" s="25">
        <v>90</v>
      </c>
      <c r="G86" s="31">
        <f>G81*G83</f>
        <v>91.55361902656436</v>
      </c>
      <c r="H86" s="1"/>
    </row>
    <row r="87">
      <c r="A87" s="8" t="s">
        <v>358</v>
      </c>
      <c r="B87" s="30">
        <f>B81-B86</f>
        <v>248</v>
      </c>
      <c r="C87" s="30">
        <f>C81-C86</f>
        <v>215</v>
      </c>
      <c r="D87" s="30">
        <f>D81-D86</f>
        <v>865</v>
      </c>
      <c r="E87" s="30">
        <f>E81-E86</f>
        <v>243</v>
      </c>
      <c r="F87" s="30">
        <f>F81-F86</f>
        <v>280</v>
      </c>
      <c r="G87" s="38">
        <f>G81-G86</f>
        <v>285.2102452802849</v>
      </c>
      <c r="H87" s="1"/>
    </row>
    <row r="88">
      <c r="A88" s="32" t="s">
        <v>168</v>
      </c>
      <c r="B88" s="27" t="str">
        <f>IF(AND(ISNUMBER(Inputs!B109),ISNUMBER(B87)),IF(Inputs!B109&gt;0,B87/Inputs!B109-1,"n.m."),"unavail.")</f>
        <v>unavail.</v>
      </c>
      <c r="C88" s="27">
        <f>IF(AND(ISNUMBER(Inputs!C109),ISNUMBER(C87)),IF(Inputs!C109&gt;0,C87/Inputs!C109-1,"n.m."),"unavail.")</f>
        <v>-0.0401785714285714</v>
      </c>
      <c r="D88" s="27">
        <f>IF(AND(ISNUMBER(Inputs!F109),ISNUMBER(D87)),IF(Inputs!F109&gt;0,D87/Inputs!F109-1,"n.m."),"unavail.")</f>
        <v>-0.11099691675231249</v>
      </c>
      <c r="E88" s="27">
        <f>IF(AND(ISNUMBER(Inputs!D109),ISNUMBER(E87)),IF(Inputs!D109&gt;0,E87/Inputs!D109-1,"n.m."),"unavail.")</f>
        <v>0.23979591836734704</v>
      </c>
      <c r="F88" s="27">
        <f>IF(AND(ISNUMBER(Inputs!E109),ISNUMBER(F87)),IF(Inputs!E109&gt;0,F87/Inputs!E109-1,"n.m."),"unavail.")</f>
        <v>0.35922330097087385</v>
      </c>
      <c r="G88" s="40">
        <f>IF(AND(ISNUMBER(B87),ISNUMBER(G87)),IF(B87&gt;0,G87/B87-1,"n.m."),"unavail.")</f>
        <v>0.150041311614052</v>
      </c>
      <c r="H88" s="1"/>
    </row>
    <row r="89">
      <c r="A89" s="37" t="s">
        <v>359</v>
      </c>
      <c r="B89" s="25">
        <v>248</v>
      </c>
      <c r="C89" s="25">
        <v>215</v>
      </c>
      <c r="D89" s="1"/>
      <c r="E89" s="25">
        <v>243</v>
      </c>
      <c r="F89" s="25">
        <v>280</v>
      </c>
      <c r="G89" s="41"/>
      <c r="H89" s="23" t="s">
        <v>360</v>
      </c>
    </row>
    <row r="90">
      <c r="A90" s="32" t="s">
        <v>216</v>
      </c>
      <c r="B90" s="35">
        <f>ROUND(B87-B89,6)</f>
        <v>0</v>
      </c>
      <c r="C90" s="35">
        <f>ROUND(C87-C89,6)</f>
        <v>0</v>
      </c>
      <c r="D90" s="1"/>
      <c r="E90" s="35">
        <f>ROUND(E87-E89,6)</f>
        <v>0</v>
      </c>
      <c r="F90" s="35">
        <f>ROUND(F87-F89,6)</f>
        <v>0</v>
      </c>
      <c r="G90" s="41"/>
      <c r="H90" s="1"/>
    </row>
    <row r="91">
      <c r="A91" s="3" t="s">
        <v>361</v>
      </c>
      <c r="B91" s="34">
        <f>B87/B21*365/B$6</f>
        <v>0.014877567415826366</v>
      </c>
      <c r="C91" s="34">
        <f>C87/C21*365/C$6</f>
        <v>0.012778863377300114</v>
      </c>
      <c r="D91" s="34">
        <f>D87/D21*365/D$6</f>
        <v>0.01307891195548634</v>
      </c>
      <c r="E91" s="34">
        <f>E87/E21*365/E$6</f>
        <v>0.014548917135391292</v>
      </c>
      <c r="F91" s="34">
        <f>F87/F21*365/F$6</f>
        <v>0.016132917560791264</v>
      </c>
      <c r="G91" s="40">
        <f>G87/G21*365/G$6</f>
        <v>0.01593578268057294</v>
      </c>
      <c r="H91" s="1"/>
    </row>
    <row r="92">
      <c r="A92" s="32" t="s">
        <v>204</v>
      </c>
      <c r="B92" s="24">
        <f>IFERROR((B91-(Inputs!E109/Inputs!E102*365/Inputs!E$6))*10000,"unavail.")</f>
        <v>24.120593556046494</v>
      </c>
      <c r="C92" s="26">
        <f>IFERROR((C91-B91)*10000,"unavail.")</f>
        <v>-20.987040385262514</v>
      </c>
      <c r="D92" s="1"/>
      <c r="E92" s="26">
        <f>IFERROR((E91-C91)*10000,"unavail.")</f>
        <v>17.70053758091177</v>
      </c>
      <c r="F92" s="26">
        <f>IFERROR((F91-E91)*10000,"unavail.")</f>
        <v>15.840004253999725</v>
      </c>
      <c r="G92" s="39">
        <f>IFERROR((G91-F91)*10000,"unavail.")</f>
        <v>-1.9713488021832344</v>
      </c>
      <c r="H92" s="1"/>
    </row>
    <row r="93">
      <c r="A93" s="32" t="s">
        <v>173</v>
      </c>
      <c r="B93" s="26" t="str">
        <f>"unavail."</f>
        <v>unavail.</v>
      </c>
      <c r="C93" s="24">
        <f>IFERROR((C91-(Inputs!C109/Inputs!C102*365/Inputs!C$6))*10000,"unavail.")</f>
        <v>-5.275533231642437</v>
      </c>
      <c r="D93" s="24">
        <f>IFERROR((D91-(Inputs!F109/Inputs!F102))*10000,"unavail.")</f>
        <v>-11.300310627092857</v>
      </c>
      <c r="E93" s="24">
        <f>IFERROR((E91-(Inputs!D109/Inputs!D102*365/Inputs!D$6))*10000,"unavail.")</f>
        <v>23.883307619113666</v>
      </c>
      <c r="F93" s="24">
        <f>IFERROR((F91-(Inputs!E109/Inputs!E102*365/Inputs!E$6))*10000,"unavail.")</f>
        <v>36.67409500569548</v>
      </c>
      <c r="G93" s="39">
        <f>IFERROR((G91-B91)*10000,"unavail.")</f>
        <v>10.58215264746575</v>
      </c>
      <c r="H93" s="1"/>
    </row>
    <row r="94">
      <c r="A94" s="1"/>
      <c r="B94" s="1"/>
      <c r="C94" s="1"/>
      <c r="D94" s="1"/>
      <c r="E94" s="1"/>
      <c r="F94" s="1"/>
      <c r="G94" s="1"/>
      <c r="H94" s="1"/>
    </row>
    <row r="95">
      <c r="A95" s="1"/>
      <c r="B95" s="1"/>
      <c r="C95" s="1"/>
      <c r="D95" s="1"/>
      <c r="E95" s="1"/>
      <c r="F95" s="1"/>
      <c r="G95" s="1"/>
      <c r="H95" s="1"/>
    </row>
    <row r="96">
      <c r="A96" s="1"/>
      <c r="B96" s="1"/>
      <c r="C96" s="1"/>
      <c r="D96" s="1"/>
      <c r="E96" s="1"/>
      <c r="F96" s="1"/>
      <c r="G96" s="1"/>
      <c r="H96" s="1"/>
    </row>
    <row r="97">
      <c r="A97" s="1"/>
      <c r="B97" s="1"/>
      <c r="C97" s="1"/>
      <c r="D97" s="1"/>
      <c r="E97" s="1"/>
      <c r="F97" s="1"/>
      <c r="G97" s="1"/>
      <c r="H97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H126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375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376</v>
      </c>
      <c r="B8" s="1"/>
      <c r="C8" s="1"/>
      <c r="D8" s="1"/>
      <c r="E8" s="1"/>
      <c r="F8" s="1"/>
      <c r="G8" s="41"/>
      <c r="H8" s="1"/>
    </row>
    <row r="9">
      <c r="A9" s="37" t="s">
        <v>377</v>
      </c>
      <c r="B9" s="20">
        <f>'Revenue summary'!B157</f>
        <v>1897</v>
      </c>
      <c r="C9" s="20">
        <f>'Revenue summary'!C157</f>
        <v>1901</v>
      </c>
      <c r="D9" s="20">
        <f>'Revenue summary'!D157</f>
        <v>7478</v>
      </c>
      <c r="E9" s="20">
        <f>'Revenue summary'!E157</f>
        <v>1884</v>
      </c>
      <c r="F9" s="20">
        <f>'Revenue summary'!F157</f>
        <v>1968</v>
      </c>
      <c r="G9" s="53">
        <f>'Revenue summary'!G157</f>
        <v>2048.938134457932</v>
      </c>
      <c r="H9" s="1"/>
    </row>
    <row r="10">
      <c r="A10" s="37" t="s">
        <v>378</v>
      </c>
      <c r="B10" s="20">
        <f>'Revenue summary'!B133</f>
        <v>31</v>
      </c>
      <c r="C10" s="20">
        <f>'Revenue summary'!C133</f>
        <v>22</v>
      </c>
      <c r="D10" s="20">
        <f>'Revenue summary'!D133</f>
        <v>105</v>
      </c>
      <c r="E10" s="20">
        <f>'Revenue summary'!E133</f>
        <v>21</v>
      </c>
      <c r="F10" s="20">
        <f>'Revenue summary'!F133</f>
        <v>26</v>
      </c>
      <c r="G10" s="53">
        <f>'Revenue summary'!G133</f>
        <v>22.848704109589047</v>
      </c>
      <c r="H10" s="1"/>
    </row>
    <row r="11">
      <c r="A11" s="37" t="s">
        <v>379</v>
      </c>
      <c r="B11" s="20">
        <f>'Revenue summary'!B69</f>
        <v>433</v>
      </c>
      <c r="C11" s="20">
        <f>'Revenue summary'!C69</f>
        <v>434</v>
      </c>
      <c r="D11" s="20">
        <f>'Revenue summary'!D69</f>
        <v>1713</v>
      </c>
      <c r="E11" s="20">
        <f>'Revenue summary'!E69</f>
        <v>424</v>
      </c>
      <c r="F11" s="20">
        <f>'Revenue summary'!F69</f>
        <v>446</v>
      </c>
      <c r="G11" s="53">
        <f>'Revenue summary'!G69</f>
        <v>462.75532133120583</v>
      </c>
      <c r="H11" s="1"/>
    </row>
    <row r="12">
      <c r="A12" s="37" t="s">
        <v>380</v>
      </c>
      <c r="B12" s="20">
        <f>'Revenue summary'!B61</f>
        <v>97</v>
      </c>
      <c r="C12" s="20">
        <f>'Revenue summary'!C61</f>
        <v>89</v>
      </c>
      <c r="D12" s="20">
        <f>'Revenue summary'!D61</f>
        <v>367</v>
      </c>
      <c r="E12" s="20">
        <f>'Revenue summary'!E61</f>
        <v>91</v>
      </c>
      <c r="F12" s="20">
        <f>'Revenue summary'!F61</f>
        <v>103</v>
      </c>
      <c r="G12" s="53">
        <f>'Revenue summary'!G61</f>
        <v>106.77183796573838</v>
      </c>
      <c r="H12" s="1"/>
    </row>
    <row r="13">
      <c r="A13" s="8" t="s">
        <v>262</v>
      </c>
      <c r="B13" s="30">
        <f>B9+B10+B11+B12</f>
        <v>2458</v>
      </c>
      <c r="C13" s="30">
        <f>C9+C10+C11+C12</f>
        <v>2446</v>
      </c>
      <c r="D13" s="30">
        <f>D9+D10+D11+D12</f>
        <v>9663</v>
      </c>
      <c r="E13" s="30">
        <f>E9+E10+E11+E12</f>
        <v>2420</v>
      </c>
      <c r="F13" s="30">
        <f>F9+F10+F11+F12</f>
        <v>2543</v>
      </c>
      <c r="G13" s="38">
        <f>G9+G10+G11+G12</f>
        <v>2641.3139978644654</v>
      </c>
      <c r="H13" s="1"/>
    </row>
    <row r="14">
      <c r="A14" s="37" t="s">
        <v>381</v>
      </c>
      <c r="B14" s="20">
        <f>'Revenue summary'!B240</f>
        <v>816</v>
      </c>
      <c r="C14" s="20">
        <f>'Revenue summary'!C240</f>
        <v>781</v>
      </c>
      <c r="D14" s="20">
        <f>'Revenue summary'!D240</f>
        <v>3194</v>
      </c>
      <c r="E14" s="20">
        <f>'Revenue summary'!E240</f>
        <v>715</v>
      </c>
      <c r="F14" s="20">
        <f>'Revenue summary'!F240</f>
        <v>747</v>
      </c>
      <c r="G14" s="53">
        <f>'Revenue summary'!G240</f>
        <v>773.0125402962277</v>
      </c>
      <c r="H14" s="1"/>
    </row>
    <row r="15">
      <c r="A15" s="37" t="s">
        <v>382</v>
      </c>
      <c r="B15" s="20">
        <f>'Revenue summary'!B208</f>
        <v>5</v>
      </c>
      <c r="C15" s="20">
        <f>'Revenue summary'!C208</f>
        <v>0</v>
      </c>
      <c r="D15" s="20">
        <f>'Revenue summary'!D208</f>
        <v>22</v>
      </c>
      <c r="E15" s="20">
        <f>'Revenue summary'!E208</f>
        <v>4</v>
      </c>
      <c r="F15" s="20">
        <f>'Revenue summary'!F208</f>
        <v>9</v>
      </c>
      <c r="G15" s="53">
        <f>'Revenue summary'!G208</f>
        <v>9.829049750715036</v>
      </c>
      <c r="H15" s="1"/>
    </row>
    <row r="16">
      <c r="A16" s="37" t="s">
        <v>383</v>
      </c>
      <c r="B16" s="20">
        <f>'Revenue summary'!B248</f>
        <v>149</v>
      </c>
      <c r="C16" s="20">
        <f>'Revenue summary'!C248</f>
        <v>128</v>
      </c>
      <c r="D16" s="20">
        <f>'Revenue summary'!D248</f>
        <v>594</v>
      </c>
      <c r="E16" s="20">
        <f>'Revenue summary'!E248</f>
        <v>139</v>
      </c>
      <c r="F16" s="20">
        <f>'Revenue summary'!F248</f>
        <v>156</v>
      </c>
      <c r="G16" s="53">
        <f>'Revenue summary'!G248</f>
        <v>174.79898901098903</v>
      </c>
      <c r="H16" s="1"/>
    </row>
    <row r="17">
      <c r="A17" s="8" t="s">
        <v>263</v>
      </c>
      <c r="B17" s="30">
        <f>B14+B15+B16</f>
        <v>970</v>
      </c>
      <c r="C17" s="30">
        <f>C14+C15+C16</f>
        <v>909</v>
      </c>
      <c r="D17" s="30">
        <f>D14+D15+D16</f>
        <v>3810</v>
      </c>
      <c r="E17" s="30">
        <f>E14+E15+E16</f>
        <v>858</v>
      </c>
      <c r="F17" s="30">
        <f>F14+F15+F16</f>
        <v>912</v>
      </c>
      <c r="G17" s="38">
        <f>G14+G15+G16</f>
        <v>957.6405790579317</v>
      </c>
      <c r="H17" s="1"/>
    </row>
    <row r="18">
      <c r="A18" s="8" t="s">
        <v>264</v>
      </c>
      <c r="B18" s="30">
        <f>B13-B17</f>
        <v>1488</v>
      </c>
      <c r="C18" s="30">
        <f>C13-C17</f>
        <v>1537</v>
      </c>
      <c r="D18" s="30">
        <f>D13-D17</f>
        <v>5853</v>
      </c>
      <c r="E18" s="30">
        <f>E13-E17</f>
        <v>1562</v>
      </c>
      <c r="F18" s="30">
        <f>F13-F17</f>
        <v>1631</v>
      </c>
      <c r="G18" s="38">
        <f>G13-G17</f>
        <v>1683.6734188065336</v>
      </c>
      <c r="H18" s="1"/>
    </row>
    <row r="19">
      <c r="A19" s="32" t="s">
        <v>168</v>
      </c>
      <c r="B19" s="27">
        <f>IF(AND(ISNUMBER(Inputs!B65),ISNUMBER(B18)),IF(Inputs!B65&gt;0,B18/Inputs!B65-1,"n.m."),"unavail.")</f>
        <v>0.08692476260043835</v>
      </c>
      <c r="C19" s="27">
        <f>IF(AND(ISNUMBER(Inputs!C65),ISNUMBER(C18)),IF(Inputs!C65&gt;0,C18/Inputs!C65-1,"n.m."),"unavail.")</f>
        <v>0.08852691218130304</v>
      </c>
      <c r="D19" s="27">
        <f>IF(AND(ISNUMBER(Inputs!F65),ISNUMBER(D18)),IF(Inputs!F65&gt;0,D18/Inputs!F65-1,"n.m."),"unavail.")</f>
        <v>0.03905556541807198</v>
      </c>
      <c r="E19" s="27">
        <f>IF(AND(ISNUMBER(Inputs!D65),ISNUMBER(E18)),IF(Inputs!D65&gt;0,E18/Inputs!D65-1,"n.m."),"unavail.")</f>
        <v>0.12293314162473035</v>
      </c>
      <c r="F19" s="27">
        <f>IF(AND(ISNUMBER(Inputs!E65),ISNUMBER(F18)),IF(Inputs!E65&gt;0,F18/Inputs!E65-1,"n.m."),"unavail.")</f>
        <v>0.13500347947112035</v>
      </c>
      <c r="G19" s="40">
        <f>IF(AND(ISNUMBER(B18),ISNUMBER(G18)),IF(B18&gt;0,G18/B18-1,"n.m."),"unavail.")</f>
        <v>0.13150095349901458</v>
      </c>
      <c r="H19" s="1"/>
    </row>
    <row r="20">
      <c r="A20" s="32" t="s">
        <v>125</v>
      </c>
      <c r="B20" s="27">
        <f>IF(AND(ISNUMBER(Inputs!E65),ISNUMBER(B18)),IF(Inputs!E65&gt;0,B18/Inputs!E65-1,"n.m."),"unavail.")</f>
        <v>0.035490605427974886</v>
      </c>
      <c r="C20" s="34">
        <f>IF(AND(ISNUMBER(B18),ISNUMBER(C18)),IF(B18&gt;0,C18/B18-1,"n.m."),"unavail.")</f>
        <v>0.03293010752688175</v>
      </c>
      <c r="D20" s="1"/>
      <c r="E20" s="34">
        <f>IF(AND(ISNUMBER(C18),ISNUMBER(E18)),IF(C18&gt;0,E18/C18-1,"n.m."),"unavail.")</f>
        <v>0.01626545217957065</v>
      </c>
      <c r="F20" s="34">
        <f>IF(AND(ISNUMBER(E18),ISNUMBER(F18)),IF(E18&gt;0,F18/E18-1,"n.m."),"unavail.")</f>
        <v>0.04417413572343154</v>
      </c>
      <c r="G20" s="40">
        <f>IF(AND(ISNUMBER(F18),ISNUMBER(G18)),IF(F18&gt;0,G18/F18-1,"n.m."),"unavail.")</f>
        <v>0.03229516787647668</v>
      </c>
      <c r="H20" s="1"/>
    </row>
    <row r="21">
      <c r="A21" s="8" t="s">
        <v>384</v>
      </c>
      <c r="B21" s="1"/>
      <c r="C21" s="1"/>
      <c r="D21" s="1"/>
      <c r="E21" s="1"/>
      <c r="F21" s="1"/>
      <c r="G21" s="41"/>
      <c r="H21" s="1"/>
    </row>
    <row r="22">
      <c r="A22" s="37" t="s">
        <v>299</v>
      </c>
      <c r="B22" s="20">
        <f>'Revenue summary'!B350</f>
        <v>112</v>
      </c>
      <c r="C22" s="20">
        <f>'Revenue summary'!C350</f>
        <v>112</v>
      </c>
      <c r="D22" s="20">
        <f>'Revenue summary'!D350</f>
        <v>444</v>
      </c>
      <c r="E22" s="20">
        <f>'Revenue summary'!E350</f>
        <v>112</v>
      </c>
      <c r="F22" s="20">
        <f>'Revenue summary'!F350</f>
        <v>117</v>
      </c>
      <c r="G22" s="53">
        <f>'Revenue summary'!G350</f>
        <v>118</v>
      </c>
      <c r="H22" s="1"/>
    </row>
    <row r="23">
      <c r="A23" s="37" t="s">
        <v>301</v>
      </c>
      <c r="B23" s="20">
        <f>'Revenue summary'!B357</f>
        <v>166</v>
      </c>
      <c r="C23" s="20">
        <f>'Revenue summary'!C357</f>
        <v>140</v>
      </c>
      <c r="D23" s="20">
        <f>'Revenue summary'!D357</f>
        <v>511</v>
      </c>
      <c r="E23" s="20">
        <f>'Revenue summary'!E357</f>
        <v>134</v>
      </c>
      <c r="F23" s="20">
        <f>'Revenue summary'!F357</f>
        <v>153</v>
      </c>
      <c r="G23" s="53">
        <f>'Revenue summary'!G357</f>
        <v>150</v>
      </c>
      <c r="H23" s="1"/>
    </row>
    <row r="24">
      <c r="A24" s="37" t="s">
        <v>303</v>
      </c>
      <c r="B24" s="20">
        <f>'Revenue summary'!B364</f>
        <v>93</v>
      </c>
      <c r="C24" s="20">
        <f>'Revenue summary'!C364</f>
        <v>98</v>
      </c>
      <c r="D24" s="20">
        <f>'Revenue summary'!D364</f>
        <v>360</v>
      </c>
      <c r="E24" s="20">
        <f>'Revenue summary'!E364</f>
        <v>100</v>
      </c>
      <c r="F24" s="20">
        <f>'Revenue summary'!F364</f>
        <v>102</v>
      </c>
      <c r="G24" s="53">
        <f>'Revenue summary'!G364</f>
        <v>105</v>
      </c>
      <c r="H24" s="1"/>
    </row>
    <row r="25">
      <c r="A25" s="37" t="s">
        <v>305</v>
      </c>
      <c r="B25" s="20">
        <f>'Revenue summary'!B371</f>
        <v>87</v>
      </c>
      <c r="C25" s="20">
        <f>'Revenue summary'!C371</f>
        <v>86</v>
      </c>
      <c r="D25" s="20">
        <f>'Revenue summary'!D371</f>
        <v>346</v>
      </c>
      <c r="E25" s="20">
        <f>'Revenue summary'!E371</f>
        <v>83</v>
      </c>
      <c r="F25" s="20">
        <f>'Revenue summary'!F371</f>
        <v>89</v>
      </c>
      <c r="G25" s="53">
        <f>'Revenue summary'!G371</f>
        <v>90</v>
      </c>
      <c r="H25" s="1"/>
    </row>
    <row r="26">
      <c r="A26" s="37" t="s">
        <v>307</v>
      </c>
      <c r="B26" s="20">
        <f>'Revenue summary'!B378</f>
        <v>49</v>
      </c>
      <c r="C26" s="20">
        <f>'Revenue summary'!C378</f>
        <v>52</v>
      </c>
      <c r="D26" s="20">
        <f>'Revenue summary'!D378</f>
        <v>233</v>
      </c>
      <c r="E26" s="20">
        <f>'Revenue summary'!E378</f>
        <v>42</v>
      </c>
      <c r="F26" s="20">
        <f>'Revenue summary'!F378</f>
        <v>42</v>
      </c>
      <c r="G26" s="53">
        <f>'Revenue summary'!G378</f>
        <v>46.369868215312366</v>
      </c>
      <c r="H26" s="1"/>
    </row>
    <row r="27">
      <c r="A27" s="37" t="s">
        <v>309</v>
      </c>
      <c r="B27" s="20">
        <f>'Revenue summary'!B385</f>
        <v>42</v>
      </c>
      <c r="C27" s="20">
        <f>'Revenue summary'!C385</f>
        <v>34</v>
      </c>
      <c r="D27" s="20">
        <f>'Revenue summary'!D385</f>
        <v>156</v>
      </c>
      <c r="E27" s="20">
        <f>'Revenue summary'!E385</f>
        <v>44</v>
      </c>
      <c r="F27" s="20">
        <f>'Revenue summary'!F385</f>
        <v>47</v>
      </c>
      <c r="G27" s="53">
        <f>'Revenue summary'!G385</f>
        <v>48</v>
      </c>
      <c r="H27" s="1"/>
    </row>
    <row r="28">
      <c r="A28" s="37" t="s">
        <v>311</v>
      </c>
      <c r="B28" s="20">
        <f>'Revenue summary'!B392</f>
        <v>48</v>
      </c>
      <c r="C28" s="20">
        <f>'Revenue summary'!C392</f>
        <v>49</v>
      </c>
      <c r="D28" s="20">
        <f>'Revenue summary'!D392</f>
        <v>186</v>
      </c>
      <c r="E28" s="20">
        <f>'Revenue summary'!E392</f>
        <v>50</v>
      </c>
      <c r="F28" s="20">
        <f>'Revenue summary'!F392</f>
        <v>52</v>
      </c>
      <c r="G28" s="53">
        <f>'Revenue summary'!G392</f>
        <v>53</v>
      </c>
      <c r="H28" s="1"/>
    </row>
    <row r="29">
      <c r="A29" s="37" t="s">
        <v>313</v>
      </c>
      <c r="B29" s="20">
        <f>'Revenue summary'!B399</f>
        <v>2</v>
      </c>
      <c r="C29" s="20">
        <f>'Revenue summary'!C399</f>
        <v>7</v>
      </c>
      <c r="D29" s="20">
        <f>'Revenue summary'!D399</f>
        <v>21</v>
      </c>
      <c r="E29" s="20">
        <f>'Revenue summary'!E399</f>
        <v>7</v>
      </c>
      <c r="F29" s="20">
        <f>'Revenue summary'!F399</f>
        <v>6</v>
      </c>
      <c r="G29" s="53">
        <f>'Revenue summary'!G399</f>
        <v>5</v>
      </c>
      <c r="H29" s="1"/>
    </row>
    <row r="30">
      <c r="A30" s="37" t="s">
        <v>315</v>
      </c>
      <c r="B30" s="20">
        <f>'Revenue summary'!B406</f>
        <v>31</v>
      </c>
      <c r="C30" s="20">
        <f>'Revenue summary'!C406</f>
        <v>42</v>
      </c>
      <c r="D30" s="20">
        <f>'Revenue summary'!D406</f>
        <v>137</v>
      </c>
      <c r="E30" s="20">
        <f>'Revenue summary'!E406</f>
        <v>34</v>
      </c>
      <c r="F30" s="20">
        <f>'Revenue summary'!F406</f>
        <v>44</v>
      </c>
      <c r="G30" s="53">
        <f>'Revenue summary'!G406</f>
        <v>42</v>
      </c>
      <c r="H30" s="1"/>
    </row>
    <row r="31">
      <c r="A31" s="8" t="s">
        <v>317</v>
      </c>
      <c r="B31" s="30">
        <f>B22+B23+B24+B25+B26+B27+B28+B29+B30</f>
        <v>630</v>
      </c>
      <c r="C31" s="30">
        <f>C22+C23+C24+C25+C26+C27+C28+C29+C30</f>
        <v>620</v>
      </c>
      <c r="D31" s="30">
        <f>D22+D23+D24+D25+D26+D27+D28+D29+D30</f>
        <v>2394</v>
      </c>
      <c r="E31" s="30">
        <f>E22+E23+E24+E25+E26+E27+E28+E29+E30</f>
        <v>606</v>
      </c>
      <c r="F31" s="30">
        <f>F22+F23+F24+F25+F26+F27+F28+F29+F30</f>
        <v>652</v>
      </c>
      <c r="G31" s="38">
        <f>G22+G23+G24+G25+G26+G27+G28+G29+G30</f>
        <v>657.3698682153124</v>
      </c>
      <c r="H31" s="1"/>
    </row>
    <row r="32">
      <c r="A32" s="32" t="s">
        <v>168</v>
      </c>
      <c r="B32" s="27">
        <f>IF(AND(ISNUMBER(Inputs!B86),ISNUMBER(B31)),IF(Inputs!B86&gt;0,B31/Inputs!B86-1,"n.m."),"unavail.")</f>
        <v>0.18421052631578938</v>
      </c>
      <c r="C32" s="27">
        <f>IF(AND(ISNUMBER(Inputs!C86),ISNUMBER(C31)),IF(Inputs!C86&gt;0,C31/Inputs!C86-1,"n.m."),"unavail.")</f>
        <v>0.08013937282229966</v>
      </c>
      <c r="D32" s="27">
        <f>IF(AND(ISNUMBER(Inputs!F86),ISNUMBER(D31)),IF(Inputs!F86&gt;0,D31/Inputs!F86-1,"n.m."),"unavail.")</f>
        <v>0.10018382352941169</v>
      </c>
      <c r="E32" s="27">
        <f>IF(AND(ISNUMBER(Inputs!D86),ISNUMBER(E31)),IF(Inputs!D86&gt;0,E31/Inputs!D86-1,"n.m."),"unavail.")</f>
        <v>0.11397058823529416</v>
      </c>
      <c r="F32" s="27">
        <f>IF(AND(ISNUMBER(Inputs!E86),ISNUMBER(F31)),IF(Inputs!E86&gt;0,F31/Inputs!E86-1,"n.m."),"unavail.")</f>
        <v>0.08666666666666667</v>
      </c>
      <c r="G32" s="40">
        <f>IF(AND(ISNUMBER(B31),ISNUMBER(G31)),IF(B31&gt;0,G31/B31-1,"n.m."),"unavail.")</f>
        <v>0.04344423526240071</v>
      </c>
      <c r="H32" s="1"/>
    </row>
    <row r="33">
      <c r="A33" s="8" t="s">
        <v>320</v>
      </c>
      <c r="B33" s="30">
        <f>B18+B31</f>
        <v>2118</v>
      </c>
      <c r="C33" s="30">
        <f>C18+C31</f>
        <v>2157</v>
      </c>
      <c r="D33" s="30">
        <f>D18+D31</f>
        <v>8247</v>
      </c>
      <c r="E33" s="30">
        <f>E18+E31</f>
        <v>2168</v>
      </c>
      <c r="F33" s="30">
        <f>F18+F31</f>
        <v>2283</v>
      </c>
      <c r="G33" s="38">
        <f>G18+G31</f>
        <v>2341.043287021846</v>
      </c>
      <c r="H33" s="1"/>
    </row>
    <row r="34">
      <c r="A34" s="32" t="s">
        <v>168</v>
      </c>
      <c r="B34" s="27">
        <f>IF(AND(ISNUMBER(Inputs!B87),ISNUMBER(B33)),IF(Inputs!B87&gt;0,B33/Inputs!B87-1,"n.m."),"unavail.")</f>
        <v>0.11415044713308786</v>
      </c>
      <c r="C34" s="27">
        <f>IF(AND(ISNUMBER(Inputs!C87),ISNUMBER(C33)),IF(Inputs!C87&gt;0,C33/Inputs!C87-1,"n.m."),"unavail.")</f>
        <v>0.08610271903323263</v>
      </c>
      <c r="D34" s="27">
        <f>IF(AND(ISNUMBER(Inputs!F87),ISNUMBER(D33)),IF(Inputs!F87&gt;0,D33/Inputs!F87-1,"n.m."),"unavail.")</f>
        <v>0.05608912792931231</v>
      </c>
      <c r="E34" s="27">
        <f>IF(AND(ISNUMBER(Inputs!D87),ISNUMBER(E33)),IF(Inputs!D87&gt;0,E33/Inputs!D87-1,"n.m."),"unavail.")</f>
        <v>0.12041343669250648</v>
      </c>
      <c r="F34" s="27">
        <f>IF(AND(ISNUMBER(Inputs!E87),ISNUMBER(F33)),IF(Inputs!E87&gt;0,F33/Inputs!E87-1,"n.m."),"unavail.")</f>
        <v>0.1207658321060383</v>
      </c>
      <c r="G34" s="40">
        <f>IF(AND(ISNUMBER(B33),ISNUMBER(G33)),IF(B33&gt;0,G33/B33-1,"n.m."),"unavail.")</f>
        <v>0.10530844524166483</v>
      </c>
      <c r="H34" s="1"/>
    </row>
    <row r="35">
      <c r="A35" s="32" t="s">
        <v>125</v>
      </c>
      <c r="B35" s="27">
        <f>IF(AND(ISNUMBER(Inputs!E87),ISNUMBER(B33)),IF(Inputs!E87&gt;0,B33/Inputs!E87-1,"n.m."),"unavail.")</f>
        <v>0.0397643593519883</v>
      </c>
      <c r="C35" s="34">
        <f>IF(AND(ISNUMBER(B33),ISNUMBER(C33)),IF(B33&gt;0,C33/B33-1,"n.m."),"unavail.")</f>
        <v>0.018413597733710985</v>
      </c>
      <c r="D35" s="1"/>
      <c r="E35" s="34">
        <f>IF(AND(ISNUMBER(C33),ISNUMBER(E33)),IF(C33&gt;0,E33/C33-1,"n.m."),"unavail.")</f>
        <v>0.005099675475197074</v>
      </c>
      <c r="F35" s="34">
        <f>IF(AND(ISNUMBER(E33),ISNUMBER(F33)),IF(E33&gt;0,F33/E33-1,"n.m."),"unavail.")</f>
        <v>0.0530442804428044</v>
      </c>
      <c r="G35" s="40">
        <f>IF(AND(ISNUMBER(F33),ISNUMBER(G33)),IF(F33&gt;0,G33/F33-1,"n.m."),"unavail.")</f>
        <v>0.025424129225512848</v>
      </c>
      <c r="H35" s="1"/>
    </row>
    <row r="36">
      <c r="A36" s="32" t="s">
        <v>385</v>
      </c>
      <c r="B36" s="43">
        <f>ROUND(B33-'Revenue summary'!B423,6)</f>
        <v>0</v>
      </c>
      <c r="C36" s="43">
        <f>ROUND(C33-'Revenue summary'!C423,6)</f>
        <v>0</v>
      </c>
      <c r="D36" s="43">
        <f>ROUND(D33-'Revenue summary'!D423,6)</f>
        <v>0</v>
      </c>
      <c r="E36" s="43">
        <f>ROUND(E33-'Revenue summary'!E423,6)</f>
        <v>0</v>
      </c>
      <c r="F36" s="43">
        <f>ROUND(F33-'Revenue summary'!F423,6)</f>
        <v>0</v>
      </c>
      <c r="G36" s="74">
        <f>ROUND(G33-'Revenue summary'!G423,6)</f>
        <v>0</v>
      </c>
      <c r="H36" s="1"/>
    </row>
    <row r="37">
      <c r="A37" s="1" t="s">
        <v>386</v>
      </c>
      <c r="B37" s="25">
        <v>154</v>
      </c>
      <c r="C37" s="25">
        <v>137</v>
      </c>
      <c r="D37" s="20">
        <f>Inputs!D110+Inputs!E110+B37+C37</f>
        <v>608</v>
      </c>
      <c r="E37" s="25">
        <v>140</v>
      </c>
      <c r="F37" s="25">
        <v>134</v>
      </c>
      <c r="G37" s="31">
        <f>G119</f>
        <v>140.17316133534266</v>
      </c>
      <c r="H37" s="23" t="s">
        <v>387</v>
      </c>
    </row>
    <row r="38">
      <c r="A38" s="32" t="s">
        <v>168</v>
      </c>
      <c r="B38" s="27">
        <f>IF(AND(ISNUMBER(Inputs!B110),ISNUMBER(B37)),IF(Inputs!B110&gt;0,B37/Inputs!B110-1,"n.m."),"unavail.")</f>
        <v>-0.10465116279069764</v>
      </c>
      <c r="C38" s="27">
        <f>IF(AND(ISNUMBER(Inputs!C110),ISNUMBER(C37)),IF(Inputs!C110&gt;0,C37/Inputs!C110-1,"n.m."),"unavail.")</f>
        <v>-0.154320987654321</v>
      </c>
      <c r="D38" s="27">
        <f>IF(AND(ISNUMBER(Inputs!F110),ISNUMBER(D37)),IF(Inputs!F110&gt;0,D37/Inputs!F110-1,"n.m."),"unavail.")</f>
        <v>-0.11499272197962151</v>
      </c>
      <c r="E38" s="27">
        <f>IF(AND(ISNUMBER(Inputs!D110),ISNUMBER(E37)),IF(Inputs!D110&gt;0,E37/Inputs!D110-1,"n.m."),"unavail.")</f>
        <v>-0.08496732026143794</v>
      </c>
      <c r="F38" s="27">
        <f>IF(AND(ISNUMBER(Inputs!E110),ISNUMBER(F37)),IF(Inputs!E110&gt;0,F37/Inputs!E110-1,"n.m."),"unavail.")</f>
        <v>-0.18292682926829273</v>
      </c>
      <c r="G38" s="40">
        <f>IF(AND(ISNUMBER(B37),ISNUMBER(G37)),IF(B37&gt;0,G37/B37-1,"n.m."),"unavail.")</f>
        <v>-0.08978466665361917</v>
      </c>
      <c r="H38" s="1"/>
    </row>
    <row r="39">
      <c r="A39" s="8" t="s">
        <v>348</v>
      </c>
      <c r="B39" s="1"/>
      <c r="C39" s="1"/>
      <c r="D39" s="1"/>
      <c r="E39" s="1"/>
      <c r="F39" s="1"/>
      <c r="G39" s="41"/>
      <c r="H39" s="1"/>
    </row>
    <row r="40">
      <c r="A40" s="37" t="s">
        <v>388</v>
      </c>
      <c r="B40" s="25">
        <v>705</v>
      </c>
      <c r="C40" s="25">
        <v>716</v>
      </c>
      <c r="D40" s="20">
        <f>Inputs!D111+Inputs!E111+B40+C40</f>
        <v>2798</v>
      </c>
      <c r="E40" s="25">
        <v>758</v>
      </c>
      <c r="F40" s="25">
        <v>745</v>
      </c>
      <c r="G40" s="31">
        <f>F40*(1+G41)</f>
        <v>747.98</v>
      </c>
      <c r="H40" s="23" t="s">
        <v>389</v>
      </c>
    </row>
    <row r="41">
      <c r="A41" s="44" t="s">
        <v>167</v>
      </c>
      <c r="B41" s="27">
        <f>IF(AND(ISNUMBER(Inputs!E111),ISNUMBER(B40)),IF(Inputs!E111&gt;0,B40/Inputs!E111-1,"n.m."),"unavail.")</f>
        <v>0.03524229074889873</v>
      </c>
      <c r="C41" s="34">
        <f>IF(AND(ISNUMBER(B40),ISNUMBER(C40)),IF(B40&gt;0,C40/B40-1,"n.m."),"unavail.")</f>
        <v>0.015602836879432536</v>
      </c>
      <c r="D41" s="1"/>
      <c r="E41" s="34">
        <f>IF(AND(ISNUMBER(C40),ISNUMBER(E40)),IF(C40&gt;0,E40/C40-1,"n.m."),"unavail.")</f>
        <v>0.05865921787709505</v>
      </c>
      <c r="F41" s="34">
        <f>IF(AND(ISNUMBER(E40),ISNUMBER(F40)),IF(E40&gt;0,F40/E40-1,"n.m."),"unavail.")</f>
        <v>-0.01715039577836408</v>
      </c>
      <c r="G41" s="29">
        <v>0.004</v>
      </c>
      <c r="H41" s="1"/>
    </row>
    <row r="42">
      <c r="A42" s="44" t="s">
        <v>168</v>
      </c>
      <c r="B42" s="27">
        <f>IF(AND(ISNUMBER(Inputs!B111),ISNUMBER(B40)),IF(Inputs!B111&gt;0,B40/Inputs!B111-1,"n.m."),"unavail.")</f>
        <v>0.08964451313755806</v>
      </c>
      <c r="C42" s="27">
        <f>IF(AND(ISNUMBER(Inputs!C111),ISNUMBER(C40)),IF(Inputs!C111&gt;0,C40/Inputs!C111-1,"n.m."),"unavail.")</f>
        <v>0.06231454005934722</v>
      </c>
      <c r="D42" s="27">
        <f>IF(AND(ISNUMBER(Inputs!F111),ISNUMBER(D40)),IF(Inputs!F111&gt;0,D40/Inputs!F111-1,"n.m."),"unavail.")</f>
        <v>0.053067369213398496</v>
      </c>
      <c r="E42" s="27">
        <f>IF(AND(ISNUMBER(Inputs!D111),ISNUMBER(E40)),IF(Inputs!D111&gt;0,E40/Inputs!D111-1,"n.m."),"unavail.")</f>
        <v>0.08908045977011492</v>
      </c>
      <c r="F42" s="27">
        <f>IF(AND(ISNUMBER(Inputs!E111),ISNUMBER(F40)),IF(Inputs!E111&gt;0,F40/Inputs!E111-1,"n.m."),"unavail.")</f>
        <v>0.0939794419970632</v>
      </c>
      <c r="G42" s="40">
        <f>IF(AND(ISNUMBER(B40),ISNUMBER(G40)),IF(B40&gt;0,G40/B40-1,"n.m."),"unavail.")</f>
        <v>0.06096453900709231</v>
      </c>
      <c r="H42" s="1"/>
    </row>
    <row r="43">
      <c r="A43" s="70" t="s">
        <v>169</v>
      </c>
      <c r="B43" s="20">
        <f>B40-Inputs!E111</f>
        <v>24</v>
      </c>
      <c r="C43" s="14">
        <f>C40-B40</f>
        <v>11</v>
      </c>
      <c r="D43" s="1"/>
      <c r="E43" s="14">
        <f>E40-C40</f>
        <v>42</v>
      </c>
      <c r="F43" s="14">
        <f>F40-E40</f>
        <v>-13</v>
      </c>
      <c r="G43" s="31">
        <f>G40-F40</f>
        <v>2.980000000000018</v>
      </c>
      <c r="H43" s="1"/>
    </row>
    <row r="44">
      <c r="A44" s="37" t="s">
        <v>390</v>
      </c>
      <c r="B44" s="25">
        <v>197</v>
      </c>
      <c r="C44" s="25">
        <v>199</v>
      </c>
      <c r="D44" s="20">
        <f>Inputs!D112+Inputs!E112+B44+C44</f>
        <v>783</v>
      </c>
      <c r="E44" s="25">
        <v>197</v>
      </c>
      <c r="F44" s="25">
        <v>195</v>
      </c>
      <c r="G44" s="31">
        <f>F44*(1+G45)</f>
        <v>197.0085</v>
      </c>
      <c r="H44" s="1"/>
    </row>
    <row r="45">
      <c r="A45" s="44" t="s">
        <v>167</v>
      </c>
      <c r="B45" s="27">
        <f>IF(AND(ISNUMBER(Inputs!E112),ISNUMBER(B44)),IF(Inputs!E112&gt;0,B44/Inputs!E112-1,"n.m."),"unavail.")</f>
        <v>0.020725388601036343</v>
      </c>
      <c r="C45" s="34">
        <f>IF(AND(ISNUMBER(B44),ISNUMBER(C44)),IF(B44&gt;0,C44/B44-1,"n.m."),"unavail.")</f>
        <v>0.010152284263959421</v>
      </c>
      <c r="D45" s="1"/>
      <c r="E45" s="34">
        <f>IF(AND(ISNUMBER(C44),ISNUMBER(E44)),IF(C44&gt;0,E44/C44-1,"n.m."),"unavail.")</f>
        <v>-0.01005025125628145</v>
      </c>
      <c r="F45" s="34">
        <f>IF(AND(ISNUMBER(E44),ISNUMBER(F44)),IF(E44&gt;0,F44/E44-1,"n.m."),"unavail.")</f>
        <v>-0.010152284263959421</v>
      </c>
      <c r="G45" s="29">
        <v>0.0103</v>
      </c>
      <c r="H45" s="1"/>
    </row>
    <row r="46">
      <c r="A46" s="44" t="s">
        <v>168</v>
      </c>
      <c r="B46" s="27">
        <f>IF(AND(ISNUMBER(Inputs!B112),ISNUMBER(B44)),IF(Inputs!B112&gt;0,B44/Inputs!B112-1,"n.m."),"unavail.")</f>
        <v>0.015463917525773141</v>
      </c>
      <c r="C46" s="27">
        <f>IF(AND(ISNUMBER(Inputs!C112),ISNUMBER(C44)),IF(Inputs!C112&gt;0,C44/Inputs!C112-1,"n.m."),"unavail.")</f>
        <v>0.031088082901554515</v>
      </c>
      <c r="D46" s="27">
        <f>IF(AND(ISNUMBER(Inputs!F112),ISNUMBER(D44)),IF(Inputs!F112&gt;0,D44/Inputs!F112-1,"n.m."),"unavail.")</f>
        <v>0.01820546163849146</v>
      </c>
      <c r="E46" s="27">
        <f>IF(AND(ISNUMBER(Inputs!D112),ISNUMBER(E44)),IF(Inputs!D112&gt;0,E44/Inputs!D112-1,"n.m."),"unavail.")</f>
        <v>0.015463917525773141</v>
      </c>
      <c r="F46" s="27">
        <f>IF(AND(ISNUMBER(Inputs!E112),ISNUMBER(F44)),IF(Inputs!E112&gt;0,F44/Inputs!E112-1,"n.m."),"unavail.")</f>
        <v>0.010362694300518172</v>
      </c>
      <c r="G46" s="40">
        <f>IF(AND(ISNUMBER(B44),ISNUMBER(G44)),IF(B44&gt;0,G44/B44-1,"n.m."),"unavail.")</f>
        <v>0.00004314720812170769</v>
      </c>
      <c r="H46" s="1"/>
    </row>
    <row r="47">
      <c r="A47" s="70" t="s">
        <v>169</v>
      </c>
      <c r="B47" s="20">
        <f>B44-Inputs!E112</f>
        <v>4</v>
      </c>
      <c r="C47" s="14">
        <f>C44-B44</f>
        <v>2</v>
      </c>
      <c r="D47" s="1"/>
      <c r="E47" s="14">
        <f>E44-C44</f>
        <v>-2</v>
      </c>
      <c r="F47" s="14">
        <f>F44-E44</f>
        <v>-2</v>
      </c>
      <c r="G47" s="31">
        <f>G44-F44</f>
        <v>2.008499999999998</v>
      </c>
      <c r="H47" s="1"/>
    </row>
    <row r="48">
      <c r="A48" s="37" t="s">
        <v>391</v>
      </c>
      <c r="B48" s="25">
        <v>161</v>
      </c>
      <c r="C48" s="25">
        <v>148</v>
      </c>
      <c r="D48" s="20">
        <f>Inputs!D113+Inputs!E113+B48+C48</f>
        <v>633</v>
      </c>
      <c r="E48" s="25">
        <v>162</v>
      </c>
      <c r="F48" s="25">
        <v>174</v>
      </c>
      <c r="G48" s="31">
        <f>F48*(1+G49)</f>
        <v>171.999</v>
      </c>
      <c r="H48" s="23" t="s">
        <v>392</v>
      </c>
    </row>
    <row r="49">
      <c r="A49" s="44" t="s">
        <v>167</v>
      </c>
      <c r="B49" s="27">
        <f>IF(AND(ISNUMBER(Inputs!E113),ISNUMBER(B48)),IF(Inputs!E113&gt;0,B48/Inputs!E113-1,"n.m."),"unavail.")</f>
        <v>-0.047337278106508895</v>
      </c>
      <c r="C49" s="34">
        <f>IF(AND(ISNUMBER(B48),ISNUMBER(C48)),IF(B48&gt;0,C48/B48-1,"n.m."),"unavail.")</f>
        <v>-0.08074534161490687</v>
      </c>
      <c r="D49" s="1"/>
      <c r="E49" s="34">
        <f>IF(AND(ISNUMBER(C48),ISNUMBER(E48)),IF(C48&gt;0,E48/C48-1,"n.m."),"unavail.")</f>
        <v>0.09459459459459452</v>
      </c>
      <c r="F49" s="34">
        <f>IF(AND(ISNUMBER(E48),ISNUMBER(F48)),IF(E48&gt;0,F48/E48-1,"n.m."),"unavail.")</f>
        <v>0.07407407407407418</v>
      </c>
      <c r="G49" s="29">
        <v>-0.0115</v>
      </c>
      <c r="H49" s="1"/>
    </row>
    <row r="50">
      <c r="A50" s="44" t="s">
        <v>168</v>
      </c>
      <c r="B50" s="27">
        <f>IF(AND(ISNUMBER(Inputs!B113),ISNUMBER(B48)),IF(Inputs!B113&gt;0,B48/Inputs!B113-1,"n.m."),"unavail.")</f>
        <v>0.10273972602739723</v>
      </c>
      <c r="C50" s="27">
        <f>IF(AND(ISNUMBER(Inputs!C113),ISNUMBER(C48)),IF(Inputs!C113&gt;0,C48/Inputs!C113-1,"n.m."),"unavail.")</f>
        <v>-0.12941176470588234</v>
      </c>
      <c r="D50" s="27">
        <f>IF(AND(ISNUMBER(Inputs!F113),ISNUMBER(D48)),IF(Inputs!F113&gt;0,D48/Inputs!F113-1,"n.m."),"unavail.")</f>
        <v>-0.009389671361502372</v>
      </c>
      <c r="E50" s="27">
        <f>IF(AND(ISNUMBER(Inputs!D113),ISNUMBER(E48)),IF(Inputs!D113&gt;0,E48/Inputs!D113-1,"n.m."),"unavail.")</f>
        <v>0.04516129032258065</v>
      </c>
      <c r="F50" s="27">
        <f>IF(AND(ISNUMBER(Inputs!E113),ISNUMBER(F48)),IF(Inputs!E113&gt;0,F48/Inputs!E113-1,"n.m."),"unavail.")</f>
        <v>0.029585798816567976</v>
      </c>
      <c r="G50" s="40">
        <f>IF(AND(ISNUMBER(B48),ISNUMBER(G48)),IF(B48&gt;0,G48/B48-1,"n.m."),"unavail.")</f>
        <v>0.06831677018633542</v>
      </c>
      <c r="H50" s="1"/>
    </row>
    <row r="51">
      <c r="A51" s="70" t="s">
        <v>169</v>
      </c>
      <c r="B51" s="20">
        <f>B48-Inputs!E113</f>
        <v>-8</v>
      </c>
      <c r="C51" s="14">
        <f>C48-B48</f>
        <v>-13</v>
      </c>
      <c r="D51" s="1"/>
      <c r="E51" s="14">
        <f>E48-C48</f>
        <v>14</v>
      </c>
      <c r="F51" s="14">
        <f>F48-E48</f>
        <v>12</v>
      </c>
      <c r="G51" s="31">
        <f>G48-F48</f>
        <v>-2.0010000000000048</v>
      </c>
      <c r="H51" s="1"/>
    </row>
    <row r="52">
      <c r="A52" s="37" t="s">
        <v>393</v>
      </c>
      <c r="B52" s="25">
        <v>106</v>
      </c>
      <c r="C52" s="25">
        <v>109</v>
      </c>
      <c r="D52" s="20">
        <f>Inputs!D114+Inputs!E114+B52+C52</f>
        <v>435</v>
      </c>
      <c r="E52" s="25">
        <v>114</v>
      </c>
      <c r="F52" s="25">
        <v>108</v>
      </c>
      <c r="G52" s="31">
        <f>F52*(1+G53)</f>
        <v>108</v>
      </c>
      <c r="H52" s="1"/>
    </row>
    <row r="53">
      <c r="A53" s="44" t="s">
        <v>167</v>
      </c>
      <c r="B53" s="27">
        <f>IF(AND(ISNUMBER(Inputs!E114),ISNUMBER(B52)),IF(Inputs!E114&gt;0,B52/Inputs!E114-1,"n.m."),"unavail.")</f>
        <v>-0.01851851851851849</v>
      </c>
      <c r="C53" s="34">
        <f>IF(AND(ISNUMBER(B52),ISNUMBER(C52)),IF(B52&gt;0,C52/B52-1,"n.m."),"unavail.")</f>
        <v>0.028301886792452935</v>
      </c>
      <c r="D53" s="1"/>
      <c r="E53" s="34">
        <f>IF(AND(ISNUMBER(C52),ISNUMBER(E52)),IF(C52&gt;0,E52/C52-1,"n.m."),"unavail.")</f>
        <v>0.04587155963302747</v>
      </c>
      <c r="F53" s="34">
        <f>IF(AND(ISNUMBER(E52),ISNUMBER(F52)),IF(E52&gt;0,F52/E52-1,"n.m."),"unavail.")</f>
        <v>-0.052631578947368474</v>
      </c>
      <c r="G53" s="29">
        <v>0</v>
      </c>
      <c r="H53" s="1"/>
    </row>
    <row r="54">
      <c r="A54" s="44" t="s">
        <v>168</v>
      </c>
      <c r="B54" s="27">
        <f>IF(AND(ISNUMBER(Inputs!B114),ISNUMBER(B52)),IF(Inputs!B114&gt;0,B52/Inputs!B114-1,"n.m."),"unavail.")</f>
        <v>-0.01851851851851849</v>
      </c>
      <c r="C54" s="27">
        <f>IF(AND(ISNUMBER(Inputs!C114),ISNUMBER(C52)),IF(Inputs!C114&gt;0,C52/Inputs!C114-1,"n.m."),"unavail.")</f>
        <v>-0.0267857142857143</v>
      </c>
      <c r="D54" s="27">
        <f>IF(AND(ISNUMBER(Inputs!F114),ISNUMBER(D52)),IF(Inputs!F114&gt;0,D52/Inputs!F114-1,"n.m."),"unavail.")</f>
        <v>-0.02684563758389258</v>
      </c>
      <c r="E54" s="27">
        <f>IF(AND(ISNUMBER(Inputs!D114),ISNUMBER(E52)),IF(Inputs!D114&gt;0,E52/Inputs!D114-1,"n.m."),"unavail.")</f>
        <v>0.017857142857142794</v>
      </c>
      <c r="F54" s="27">
        <f>IF(AND(ISNUMBER(Inputs!E114),ISNUMBER(F52)),IF(Inputs!E114&gt;0,F52/Inputs!E114-1,"n.m."),"unavail.")</f>
        <v>0</v>
      </c>
      <c r="G54" s="40">
        <f>IF(AND(ISNUMBER(B52),ISNUMBER(G52)),IF(B52&gt;0,G52/B52-1,"n.m."),"unavail.")</f>
        <v>0.018867924528301883</v>
      </c>
      <c r="H54" s="1"/>
    </row>
    <row r="55">
      <c r="A55" s="70" t="s">
        <v>169</v>
      </c>
      <c r="B55" s="20">
        <f>B52-Inputs!E114</f>
        <v>-2</v>
      </c>
      <c r="C55" s="14">
        <f>C52-B52</f>
        <v>3</v>
      </c>
      <c r="D55" s="1"/>
      <c r="E55" s="14">
        <f>E52-C52</f>
        <v>5</v>
      </c>
      <c r="F55" s="14">
        <f>F52-E52</f>
        <v>-6</v>
      </c>
      <c r="G55" s="31">
        <f>G52-F52</f>
        <v>0</v>
      </c>
      <c r="H55" s="1"/>
    </row>
    <row r="56">
      <c r="A56" s="37" t="s">
        <v>394</v>
      </c>
      <c r="B56" s="25">
        <v>166</v>
      </c>
      <c r="C56" s="25">
        <v>171</v>
      </c>
      <c r="D56" s="20">
        <f>Inputs!D115+Inputs!E115+B56+C56</f>
        <v>662</v>
      </c>
      <c r="E56" s="25">
        <v>147</v>
      </c>
      <c r="F56" s="25">
        <v>172</v>
      </c>
      <c r="G56" s="31">
        <f>F56*(1+G57)</f>
        <v>174.99280000000002</v>
      </c>
      <c r="H56" s="23" t="s">
        <v>395</v>
      </c>
    </row>
    <row r="57">
      <c r="A57" s="44" t="s">
        <v>167</v>
      </c>
      <c r="B57" s="27">
        <f>IF(AND(ISNUMBER(Inputs!E115),ISNUMBER(B56)),IF(Inputs!E115&gt;0,B56/Inputs!E115-1,"n.m."),"unavail.")</f>
        <v>-0.011904761904761862</v>
      </c>
      <c r="C57" s="34">
        <f>IF(AND(ISNUMBER(B56),ISNUMBER(C56)),IF(B56&gt;0,C56/B56-1,"n.m."),"unavail.")</f>
        <v>0.030120481927710774</v>
      </c>
      <c r="D57" s="1"/>
      <c r="E57" s="34">
        <f>IF(AND(ISNUMBER(C56),ISNUMBER(E56)),IF(C56&gt;0,E56/C56-1,"n.m."),"unavail.")</f>
        <v>-0.14035087719298245</v>
      </c>
      <c r="F57" s="34">
        <f>IF(AND(ISNUMBER(E56),ISNUMBER(F56)),IF(E56&gt;0,F56/E56-1,"n.m."),"unavail.")</f>
        <v>0.17006802721088432</v>
      </c>
      <c r="G57" s="29">
        <v>0.0174</v>
      </c>
      <c r="H57" s="1"/>
    </row>
    <row r="58">
      <c r="A58" s="44" t="s">
        <v>168</v>
      </c>
      <c r="B58" s="27">
        <f>IF(AND(ISNUMBER(Inputs!B115),ISNUMBER(B56)),IF(Inputs!B115&gt;0,B56/Inputs!B115-1,"n.m."),"unavail.")</f>
        <v>0.012195121951219523</v>
      </c>
      <c r="C58" s="27">
        <f>IF(AND(ISNUMBER(Inputs!C115),ISNUMBER(C56)),IF(Inputs!C115&gt;0,C56/Inputs!C115-1,"n.m."),"unavail.")</f>
        <v>0.0239520958083832</v>
      </c>
      <c r="D58" s="27">
        <f>IF(AND(ISNUMBER(Inputs!F115),ISNUMBER(D56)),IF(Inputs!F115&gt;0,D56/Inputs!F115-1,"n.m."),"unavail.")</f>
        <v>-0.08310249307479223</v>
      </c>
      <c r="E58" s="27">
        <f>IF(AND(ISNUMBER(Inputs!D115),ISNUMBER(E56)),IF(Inputs!D115&gt;0,E56/Inputs!D115-1,"n.m."),"unavail.")</f>
        <v>-0.06369426751592355</v>
      </c>
      <c r="F58" s="27">
        <f>IF(AND(ISNUMBER(Inputs!E115),ISNUMBER(F56)),IF(Inputs!E115&gt;0,F56/Inputs!E115-1,"n.m."),"unavail.")</f>
        <v>0.023809523809523725</v>
      </c>
      <c r="G58" s="40">
        <f>IF(AND(ISNUMBER(B56),ISNUMBER(G56)),IF(B56&gt;0,G56/B56-1,"n.m."),"unavail.")</f>
        <v>0.054173493975903764</v>
      </c>
      <c r="H58" s="1"/>
    </row>
    <row r="59">
      <c r="A59" s="70" t="s">
        <v>169</v>
      </c>
      <c r="B59" s="20">
        <f>B56-Inputs!E115</f>
        <v>-2</v>
      </c>
      <c r="C59" s="14">
        <f>C56-B56</f>
        <v>5</v>
      </c>
      <c r="D59" s="1"/>
      <c r="E59" s="14">
        <f>E56-C56</f>
        <v>-24</v>
      </c>
      <c r="F59" s="14">
        <f>F56-E56</f>
        <v>25</v>
      </c>
      <c r="G59" s="31">
        <f>G56-F56</f>
        <v>2.992800000000017</v>
      </c>
      <c r="H59" s="1"/>
    </row>
    <row r="60">
      <c r="A60" s="8" t="s">
        <v>396</v>
      </c>
      <c r="B60" s="30">
        <f>B40+B44+B48+B52+B56</f>
        <v>1335</v>
      </c>
      <c r="C60" s="30">
        <f>C40+C44+C48+C52+C56</f>
        <v>1343</v>
      </c>
      <c r="D60" s="30">
        <f>D40+D44+D48+D52+D56</f>
        <v>5311</v>
      </c>
      <c r="E60" s="30">
        <f>E40+E44+E48+E52+E56</f>
        <v>1378</v>
      </c>
      <c r="F60" s="30">
        <f>F40+F44+F48+F52+F56</f>
        <v>1394</v>
      </c>
      <c r="G60" s="38">
        <f>G40+G44+G48+G52+G56</f>
        <v>1399.9803</v>
      </c>
      <c r="H60" s="23" t="s">
        <v>397</v>
      </c>
    </row>
    <row r="61">
      <c r="A61" s="32" t="s">
        <v>168</v>
      </c>
      <c r="B61" s="27">
        <f>IF(AND(ISNUMBER(Inputs!B116),ISNUMBER(B60)),IF(Inputs!B116&gt;0,B60/Inputs!B116-1,"n.m."),"unavail.")</f>
        <v>0.060365369340746655</v>
      </c>
      <c r="C61" s="27">
        <f>IF(AND(ISNUMBER(Inputs!C116),ISNUMBER(C60)),IF(Inputs!C116&gt;0,C60/Inputs!C116-1,"n.m."),"unavail.")</f>
        <v>0.020516717325227862</v>
      </c>
      <c r="D61" s="27">
        <f>IF(AND(ISNUMBER(Inputs!F116),ISNUMBER(D60)),IF(Inputs!F116&gt;0,D60/Inputs!F116-1,"n.m."),"unavail.")</f>
        <v>0.014711501719526066</v>
      </c>
      <c r="E61" s="27">
        <f>IF(AND(ISNUMBER(Inputs!D116),ISNUMBER(E60)),IF(Inputs!D116&gt;0,E60/Inputs!D116-1,"n.m."),"unavail.")</f>
        <v>0.0487062404870624</v>
      </c>
      <c r="F61" s="27">
        <f>IF(AND(ISNUMBER(Inputs!E116),ISNUMBER(F60)),IF(Inputs!E116&gt;0,F60/Inputs!E116-1,"n.m."),"unavail.")</f>
        <v>0.056861258529188774</v>
      </c>
      <c r="G61" s="40">
        <f>IF(AND(ISNUMBER(B60),ISNUMBER(G60)),IF(B60&gt;0,G60/B60-1,"n.m."),"unavail.")</f>
        <v>0.04867438202247176</v>
      </c>
      <c r="H61" s="1"/>
    </row>
    <row r="62">
      <c r="A62" s="32" t="s">
        <v>125</v>
      </c>
      <c r="B62" s="27">
        <f>IF(AND(ISNUMBER(Inputs!E116),ISNUMBER(B60)),IF(Inputs!E116&gt;0,B60/Inputs!E116-1,"n.m."),"unavail.")</f>
        <v>0.012130401819560266</v>
      </c>
      <c r="C62" s="34">
        <f>IF(AND(ISNUMBER(B60),ISNUMBER(C60)),IF(B60&gt;0,C60/B60-1,"n.m."),"unavail.")</f>
        <v>0.005992509363295984</v>
      </c>
      <c r="D62" s="1"/>
      <c r="E62" s="34">
        <f>IF(AND(ISNUMBER(C60),ISNUMBER(E60)),IF(C60&gt;0,E60/C60-1,"n.m."),"unavail.")</f>
        <v>0.026061057334326065</v>
      </c>
      <c r="F62" s="34">
        <f>IF(AND(ISNUMBER(E60),ISNUMBER(F60)),IF(E60&gt;0,F60/E60-1,"n.m."),"unavail.")</f>
        <v>0.011611030478954953</v>
      </c>
      <c r="G62" s="40">
        <f>IF(AND(ISNUMBER(F60),ISNUMBER(G60)),IF(F60&gt;0,G60/F60-1,"n.m."),"unavail.")</f>
        <v>0.004290028694404535</v>
      </c>
      <c r="H62" s="1"/>
    </row>
    <row r="63">
      <c r="A63" s="3" t="s">
        <v>349</v>
      </c>
      <c r="B63" s="34">
        <f>B60/B33</f>
        <v>0.6303116147308782</v>
      </c>
      <c r="C63" s="34">
        <f>C60/C33</f>
        <v>0.6226240148354195</v>
      </c>
      <c r="D63" s="34">
        <f>D60/D33</f>
        <v>0.6439917545774221</v>
      </c>
      <c r="E63" s="34">
        <f>E60/E33</f>
        <v>0.6356088560885609</v>
      </c>
      <c r="F63" s="34">
        <f>F60/F33</f>
        <v>0.6106000876040298</v>
      </c>
      <c r="G63" s="40">
        <f>G60/G33</f>
        <v>0.5980155547576321</v>
      </c>
      <c r="H63" s="1"/>
    </row>
    <row r="64">
      <c r="A64" s="32" t="s">
        <v>204</v>
      </c>
      <c r="B64" s="24">
        <f>IFERROR((B63-(Inputs!E116/Inputs!E87))*10000,"unavail.")</f>
        <v>-172.09249284831253</v>
      </c>
      <c r="C64" s="26">
        <f>IFERROR((C63-B63)*10000,"unavail.")</f>
        <v>-76.87599895458641</v>
      </c>
      <c r="D64" s="1"/>
      <c r="E64" s="26">
        <f>IFERROR((E63-C63)*10000,"unavail.")</f>
        <v>129.84841253141366</v>
      </c>
      <c r="F64" s="26">
        <f>IFERROR((F63-E63)*10000,"unavail.")</f>
        <v>-250.0876848453104</v>
      </c>
      <c r="G64" s="39">
        <f>IFERROR((G63-F63)*10000,"unavail.")</f>
        <v>-125.84532846397711</v>
      </c>
      <c r="H64" s="1"/>
    </row>
    <row r="65">
      <c r="A65" s="32" t="s">
        <v>173</v>
      </c>
      <c r="B65" s="24">
        <f>IFERROR((B63-(Inputs!B116/Inputs!B87))*10000,"unavail.")</f>
        <v>-319.7139421178363</v>
      </c>
      <c r="C65" s="24">
        <f>IFERROR((C63-(Inputs!C116/Inputs!C87))*10000,"unavail.")</f>
        <v>-400.1445444957541</v>
      </c>
      <c r="D65" s="24">
        <f>IFERROR((D63-(Inputs!F116/Inputs!F87))*10000,"unavail.")</f>
        <v>-262.60518440890166</v>
      </c>
      <c r="E65" s="24">
        <f>IFERROR((E63-(Inputs!D116/Inputs!D87))*10000,"unavail.")</f>
        <v>-434.6091135329955</v>
      </c>
      <c r="F65" s="24">
        <f>IFERROR((F63-(Inputs!E116/Inputs!E87))*10000,"unavail.")</f>
        <v>-369.20776411679566</v>
      </c>
      <c r="G65" s="39">
        <f>IFERROR((G63-B63)*10000,"unavail.")</f>
        <v>-322.96059973246025</v>
      </c>
      <c r="H65" s="1"/>
    </row>
    <row r="66">
      <c r="A66" s="8" t="s">
        <v>398</v>
      </c>
      <c r="B66" s="30">
        <f>B33-B60</f>
        <v>783</v>
      </c>
      <c r="C66" s="30">
        <f>C33-C60</f>
        <v>814</v>
      </c>
      <c r="D66" s="30">
        <f>D33-D60</f>
        <v>2936</v>
      </c>
      <c r="E66" s="30">
        <f>E33-E60</f>
        <v>790</v>
      </c>
      <c r="F66" s="30">
        <f>F33-F60</f>
        <v>889</v>
      </c>
      <c r="G66" s="38">
        <f>G33-G60</f>
        <v>941.0629870218461</v>
      </c>
      <c r="H66" s="1"/>
    </row>
    <row r="67">
      <c r="A67" s="32" t="s">
        <v>168</v>
      </c>
      <c r="B67" s="27">
        <f>IF(AND(ISNUMBER((Inputs!B87-Inputs!B116)),ISNUMBER(B66)),IF((Inputs!B87-Inputs!B116)&gt;0,B66/(Inputs!B87-Inputs!B116)-1,"n.m."),"unavail.")</f>
        <v>0.21962616822429903</v>
      </c>
      <c r="C67" s="27">
        <f>IF(AND(ISNUMBER((Inputs!C87-Inputs!C116)),ISNUMBER(C66)),IF((Inputs!C87-Inputs!C116)&gt;0,C66/(Inputs!C87-Inputs!C116)-1,"n.m."),"unavail.")</f>
        <v>0.21492537313432836</v>
      </c>
      <c r="D67" s="27">
        <f>IF(AND(ISNUMBER((Inputs!F87-Inputs!F116)),ISNUMBER(D66)),IF((Inputs!F87-Inputs!F116)&gt;0,D66/(Inputs!F87-Inputs!F116)-1,"n.m."),"unavail.")</f>
        <v>0.14019417475728146</v>
      </c>
      <c r="E67" s="27">
        <f>IF(AND(ISNUMBER((Inputs!D87-Inputs!D116)),ISNUMBER(E66)),IF((Inputs!D87-Inputs!D116)&gt;0,E66/(Inputs!D87-Inputs!D116)-1,"n.m."),"unavail.")</f>
        <v>0.2721417069243157</v>
      </c>
      <c r="F67" s="27">
        <f>IF(AND(ISNUMBER((Inputs!E87-Inputs!E116)),ISNUMBER(F66)),IF((Inputs!E87-Inputs!E116)&gt;0,F66/(Inputs!E87-Inputs!E116)-1,"n.m."),"unavail.")</f>
        <v>0.23816155988857934</v>
      </c>
      <c r="G67" s="40">
        <f>IF(AND(ISNUMBER(B66),ISNUMBER(G66)),IF(B66&gt;0,G66/B66-1,"n.m."),"unavail.")</f>
        <v>0.2018684380866489</v>
      </c>
      <c r="H67" s="1"/>
    </row>
    <row r="68">
      <c r="A68" s="8" t="s">
        <v>399</v>
      </c>
      <c r="B68" s="30">
        <f>B33-B37-B60</f>
        <v>629</v>
      </c>
      <c r="C68" s="30">
        <f>C33-C37-C60</f>
        <v>677</v>
      </c>
      <c r="D68" s="30">
        <f>D33-D37-D60</f>
        <v>2328</v>
      </c>
      <c r="E68" s="30">
        <f>E33-E37-E60</f>
        <v>650</v>
      </c>
      <c r="F68" s="30">
        <f>F33-F37-F60</f>
        <v>755</v>
      </c>
      <c r="G68" s="38">
        <f>G33-G37-G60</f>
        <v>800.8898256865034</v>
      </c>
      <c r="H68" s="1"/>
    </row>
    <row r="69">
      <c r="A69" s="32" t="s">
        <v>168</v>
      </c>
      <c r="B69" s="27">
        <f>IF(AND(ISNUMBER(Inputs!B117),ISNUMBER(B68)),IF(Inputs!B117&gt;0,B68/Inputs!B117-1,"n.m."),"unavail.")</f>
        <v>0.3382978723404255</v>
      </c>
      <c r="C69" s="27">
        <f>IF(AND(ISNUMBER(Inputs!C117),ISNUMBER(C68)),IF(Inputs!C117&gt;0,C68/Inputs!C117-1,"n.m."),"unavail.")</f>
        <v>0.3326771653543308</v>
      </c>
      <c r="D69" s="27">
        <f>IF(AND(ISNUMBER(Inputs!F117),ISNUMBER(D68)),IF(Inputs!F117&gt;0,D68/Inputs!F117-1,"n.m."),"unavail.")</f>
        <v>0.23305084745762716</v>
      </c>
      <c r="E69" s="27">
        <f>IF(AND(ISNUMBER(Inputs!D117),ISNUMBER(E68)),IF(Inputs!D117&gt;0,E68/Inputs!D117-1,"n.m."),"unavail.")</f>
        <v>0.38888888888888884</v>
      </c>
      <c r="F69" s="27">
        <f>IF(AND(ISNUMBER(Inputs!E117),ISNUMBER(F68)),IF(Inputs!E117&gt;0,F68/Inputs!E117-1,"n.m."),"unavail.")</f>
        <v>0.36281588447653434</v>
      </c>
      <c r="G69" s="40">
        <f>IF(AND(ISNUMBER(B68),ISNUMBER(G68)),IF(B68&gt;0,G68/B68-1,"n.m."),"unavail.")</f>
        <v>0.2732747626176524</v>
      </c>
      <c r="H69" s="1"/>
    </row>
    <row r="70">
      <c r="A70" s="3" t="s">
        <v>400</v>
      </c>
      <c r="B70" s="34">
        <f>B68/B33</f>
        <v>0.29697828139754484</v>
      </c>
      <c r="C70" s="34">
        <f>C68/C33</f>
        <v>0.3138618451553083</v>
      </c>
      <c r="D70" s="34">
        <f>D68/D33</f>
        <v>0.2822844670789378</v>
      </c>
      <c r="E70" s="34">
        <f>E68/E33</f>
        <v>0.29981549815498154</v>
      </c>
      <c r="F70" s="34">
        <f>F68/F33</f>
        <v>0.33070521243977224</v>
      </c>
      <c r="G70" s="40">
        <f>G68/G33</f>
        <v>0.3421080806691763</v>
      </c>
      <c r="H70" s="1"/>
    </row>
    <row r="71">
      <c r="A71" s="32" t="s">
        <v>204</v>
      </c>
      <c r="B71" s="24">
        <f>IFERROR((B70-(Inputs!E117/Inputs!E87))*10000,"unavail.")</f>
        <v>250.09700150613102</v>
      </c>
      <c r="C71" s="26">
        <f>IFERROR((C70-B70)*10000,"unavail.")</f>
        <v>168.83563757763454</v>
      </c>
      <c r="D71" s="1"/>
      <c r="E71" s="26">
        <f>IFERROR((E70-C70)*10000,"unavail.")</f>
        <v>-140.46347000326753</v>
      </c>
      <c r="F71" s="26">
        <f>IFERROR((F70-E70)*10000,"unavail.")</f>
        <v>308.89714284790705</v>
      </c>
      <c r="G71" s="39">
        <f>IFERROR((G70-F70)*10000,"unavail.")</f>
        <v>114.02868229404062</v>
      </c>
      <c r="H71" s="1"/>
    </row>
    <row r="72">
      <c r="A72" s="32" t="s">
        <v>173</v>
      </c>
      <c r="B72" s="24">
        <f>IFERROR((B70-(Inputs!B117/Inputs!B87))*10000,"unavail.")</f>
        <v>497.3998576366792</v>
      </c>
      <c r="C72" s="24">
        <f>IFERROR((C70-(Inputs!C117/Inputs!C87))*10000,"unavail.")</f>
        <v>580.7131141915522</v>
      </c>
      <c r="D72" s="24">
        <f>IFERROR((D70-(Inputs!F117/Inputs!F87))*10000,"unavail.")</f>
        <v>405.1215308226727</v>
      </c>
      <c r="E72" s="24">
        <f>IFERROR((E70-(Inputs!D117/Inputs!D87))*10000,"unavail.")</f>
        <v>579.5503303870247</v>
      </c>
      <c r="F72" s="24">
        <f>IFERROR((F70-(Inputs!E117/Inputs!E87))*10000,"unavail.")</f>
        <v>587.366311928405</v>
      </c>
      <c r="G72" s="39">
        <f>IFERROR((G70-B70)*10000,"unavail.")</f>
        <v>451.29799271631464</v>
      </c>
      <c r="H72" s="1"/>
    </row>
    <row r="73">
      <c r="A73" s="3" t="s">
        <v>356</v>
      </c>
      <c r="B73" s="34">
        <f>B76/B68</f>
        <v>0.21462639109697934</v>
      </c>
      <c r="C73" s="34">
        <f>C76/C68</f>
        <v>0.22008862629246675</v>
      </c>
      <c r="D73" s="34">
        <f>D76/D68</f>
        <v>0.21348797250859106</v>
      </c>
      <c r="E73" s="34">
        <f>E76/E68</f>
        <v>0.20461538461538462</v>
      </c>
      <c r="F73" s="34">
        <f>F76/F68</f>
        <v>0.22251655629139072</v>
      </c>
      <c r="G73" s="29">
        <v>0.22</v>
      </c>
      <c r="H73" s="23" t="s">
        <v>401</v>
      </c>
    </row>
    <row r="74">
      <c r="A74" s="32" t="s">
        <v>204</v>
      </c>
      <c r="B74" s="24">
        <f>IFERROR((B73-(Inputs!E118/Inputs!E117))*10000,"unavail.")</f>
        <v>16.300012052825885</v>
      </c>
      <c r="C74" s="26">
        <f>IFERROR((C73-B73)*10000,"unavail.")</f>
        <v>54.62235195487414</v>
      </c>
      <c r="D74" s="1"/>
      <c r="E74" s="26">
        <f>IFERROR((E73-C73)*10000,"unavail.")</f>
        <v>-154.7324167708214</v>
      </c>
      <c r="F74" s="26">
        <f>IFERROR((F73-E73)*10000,"unavail.")</f>
        <v>179.01171676006106</v>
      </c>
      <c r="G74" s="39">
        <f>IFERROR((G73-F73)*10000,"unavail.")</f>
        <v>-25.165562913907202</v>
      </c>
      <c r="H74" s="1"/>
    </row>
    <row r="75">
      <c r="A75" s="32" t="s">
        <v>173</v>
      </c>
      <c r="B75" s="24">
        <f>IFERROR((B73-(Inputs!B118/Inputs!B117))*10000,"unavail.")</f>
        <v>273.9234854378786</v>
      </c>
      <c r="C75" s="24">
        <f>IFERROR((C73-(Inputs!C118/Inputs!C117))*10000,"unavail.")</f>
        <v>94.58705032624249</v>
      </c>
      <c r="D75" s="24">
        <f>IFERROR((D73-(Inputs!F118/Inputs!F117))*10000,"unavail.")</f>
        <v>127.4644708486225</v>
      </c>
      <c r="E75" s="24">
        <f>IFERROR((E73-(Inputs!D118/Inputs!D117))*10000,"unavail.")</f>
        <v>16.23931623931624</v>
      </c>
      <c r="F75" s="24">
        <f>IFERROR((F73-(Inputs!E118/Inputs!E117))*10000,"unavail.")</f>
        <v>95.20166399693969</v>
      </c>
      <c r="G75" s="39">
        <f>IFERROR((G73-B73)*10000,"unavail.")</f>
        <v>53.7360890302066</v>
      </c>
      <c r="H75" s="1"/>
    </row>
    <row r="76">
      <c r="A76" s="37" t="s">
        <v>357</v>
      </c>
      <c r="B76" s="25">
        <v>135</v>
      </c>
      <c r="C76" s="25">
        <v>149</v>
      </c>
      <c r="D76" s="20">
        <f>Inputs!D118+Inputs!E118+B76+C76</f>
        <v>497</v>
      </c>
      <c r="E76" s="25">
        <v>133</v>
      </c>
      <c r="F76" s="25">
        <v>168</v>
      </c>
      <c r="G76" s="31">
        <f>G68*G73</f>
        <v>176.19576165103075</v>
      </c>
      <c r="H76" s="1"/>
    </row>
    <row r="77">
      <c r="A77" s="8" t="s">
        <v>358</v>
      </c>
      <c r="B77" s="30">
        <f>B68-B76</f>
        <v>494</v>
      </c>
      <c r="C77" s="30">
        <f>C68-C76</f>
        <v>528</v>
      </c>
      <c r="D77" s="30">
        <f>D68-D76</f>
        <v>1831</v>
      </c>
      <c r="E77" s="30">
        <f>E68-E76</f>
        <v>517</v>
      </c>
      <c r="F77" s="30">
        <f>F68-F76</f>
        <v>587</v>
      </c>
      <c r="G77" s="38">
        <f>G68-G76</f>
        <v>624.6940640354726</v>
      </c>
      <c r="H77" s="1"/>
    </row>
    <row r="78">
      <c r="A78" s="32" t="s">
        <v>168</v>
      </c>
      <c r="B78" s="27">
        <f>IF(AND(ISNUMBER(Inputs!B119),ISNUMBER(B77)),IF(Inputs!B119&gt;0,B77/Inputs!B119-1,"n.m."),"unavail.")</f>
        <v>0.293193717277487</v>
      </c>
      <c r="C78" s="27">
        <f>IF(AND(ISNUMBER(Inputs!C119),ISNUMBER(C77)),IF(Inputs!C119&gt;0,C77/Inputs!C119-1,"n.m."),"unavail.")</f>
        <v>0.31670822942643384</v>
      </c>
      <c r="D78" s="27">
        <f>IF(AND(ISNUMBER(Inputs!F119),ISNUMBER(D77)),IF(Inputs!F119&gt;0,D77/Inputs!F119-1,"n.m."),"unavail.")</f>
        <v>0.21338634857521543</v>
      </c>
      <c r="E78" s="27">
        <f>IF(AND(ISNUMBER(Inputs!D119),ISNUMBER(E77)),IF(Inputs!D119&gt;0,E77/Inputs!D119-1,"n.m."),"unavail.")</f>
        <v>0.386058981233244</v>
      </c>
      <c r="F78" s="27">
        <f>IF(AND(ISNUMBER(Inputs!E119),ISNUMBER(F77)),IF(Inputs!E119&gt;0,F77/Inputs!E119-1,"n.m."),"unavail.")</f>
        <v>0.3463302752293578</v>
      </c>
      <c r="G78" s="40">
        <f>IF(AND(ISNUMBER(B77),ISNUMBER(G77)),IF(B77&gt;0,G77/B77-1,"n.m."),"unavail.")</f>
        <v>0.26456288266290007</v>
      </c>
      <c r="H78" s="1"/>
    </row>
    <row r="79">
      <c r="A79" s="3" t="s">
        <v>402</v>
      </c>
      <c r="B79" s="34">
        <f>B77/B33</f>
        <v>0.2332389046270066</v>
      </c>
      <c r="C79" s="34">
        <f>C77/C33</f>
        <v>0.24478442280945759</v>
      </c>
      <c r="D79" s="34">
        <f>D77/D33</f>
        <v>0.22202012853158726</v>
      </c>
      <c r="E79" s="34">
        <f>E77/E33</f>
        <v>0.23846863468634685</v>
      </c>
      <c r="F79" s="34">
        <f>F77/F33</f>
        <v>0.25711782742006134</v>
      </c>
      <c r="G79" s="40">
        <f>G77/G33</f>
        <v>0.2668443029219575</v>
      </c>
      <c r="H79" s="1"/>
    </row>
    <row r="80">
      <c r="A80" s="32" t="s">
        <v>204</v>
      </c>
      <c r="B80" s="24">
        <f>IFERROR((B79-(Inputs!E119/Inputs!E87))*10000,"unavail.")</f>
        <v>191.9864934963794</v>
      </c>
      <c r="C80" s="26">
        <f>IFERROR((C79-B79)*10000,"unavail.")</f>
        <v>115.45518182450975</v>
      </c>
      <c r="D80" s="1"/>
      <c r="E80" s="26">
        <f>IFERROR((E79-C79)*10000,"unavail.")</f>
        <v>-63.157881231107325</v>
      </c>
      <c r="F80" s="26">
        <f>IFERROR((F79-E79)*10000,"unavail.")</f>
        <v>186.49192733714486</v>
      </c>
      <c r="G80" s="39">
        <f>IFERROR((G79-F79)*10000,"unavail.")</f>
        <v>97.26475501896148</v>
      </c>
      <c r="H80" s="1"/>
    </row>
    <row r="81">
      <c r="A81" s="32" t="s">
        <v>173</v>
      </c>
      <c r="B81" s="24">
        <f>IFERROR((B79-(Inputs!B119/Inputs!B87))*10000,"unavail.")</f>
        <v>322.9203455862156</v>
      </c>
      <c r="C81" s="24">
        <f>IFERROR((C79-(Inputs!C119/Inputs!C87))*10000,"unavail.")</f>
        <v>428.71029053163534</v>
      </c>
      <c r="D81" s="24">
        <f>IFERROR((D79-(Inputs!F119/Inputs!F87))*10000,"unavail.")</f>
        <v>287.8155765183313</v>
      </c>
      <c r="E81" s="24">
        <f>IFERROR((E79-(Inputs!D119/Inputs!D87))*10000,"unavail.")</f>
        <v>457.037768052099</v>
      </c>
      <c r="F81" s="24">
        <f>IFERROR((F79-(Inputs!E119/Inputs!E87))*10000,"unavail.")</f>
        <v>430.77572142692674</v>
      </c>
      <c r="G81" s="39">
        <f>IFERROR((G79-B79)*10000,"unavail.")</f>
        <v>336.0539829495088</v>
      </c>
      <c r="H81" s="1"/>
    </row>
    <row r="82">
      <c r="A82" s="37" t="s">
        <v>403</v>
      </c>
      <c r="B82" s="14">
        <f>B77-B85</f>
        <v>37</v>
      </c>
      <c r="C82" s="14">
        <f>C77-C85</f>
        <v>39</v>
      </c>
      <c r="D82" s="14">
        <f>D77-D85</f>
        <v>143</v>
      </c>
      <c r="E82" s="14">
        <f>E77-E85</f>
        <v>33</v>
      </c>
      <c r="F82" s="14">
        <f>F77-F85</f>
        <v>33</v>
      </c>
      <c r="G82" s="144">
        <f>G123+G126</f>
        <v>37</v>
      </c>
      <c r="H82" s="23" t="s">
        <v>404</v>
      </c>
    </row>
    <row r="83">
      <c r="A83" s="44" t="s">
        <v>168</v>
      </c>
      <c r="B83" s="27">
        <f>IF(AND(ISNUMBER((Inputs!B119-Inputs!B120)),ISNUMBER(B82)),IF((Inputs!B119-Inputs!B120)&gt;0,B82/(Inputs!B119-Inputs!B120)-1,"n.m."),"unavail.")</f>
        <v>-0.02631578947368418</v>
      </c>
      <c r="C83" s="27">
        <f>IF(AND(ISNUMBER((Inputs!C119-Inputs!C120)),ISNUMBER(C82)),IF((Inputs!C119-Inputs!C120)&gt;0,C82/(Inputs!C119-Inputs!C120)-1,"n.m."),"unavail.")</f>
        <v>0.1470588235294117</v>
      </c>
      <c r="D83" s="27">
        <f>IF(AND(ISNUMBER((Inputs!F119-Inputs!F120)),ISNUMBER(D82)),IF((Inputs!F119-Inputs!F120)&gt;0,D82/(Inputs!F119-Inputs!F120)-1,"n.m."),"unavail.")</f>
        <v>0.04379562043795615</v>
      </c>
      <c r="E83" s="27">
        <f>IF(AND(ISNUMBER((Inputs!D119-Inputs!D120)),ISNUMBER(E82)),IF((Inputs!D119-Inputs!D120)&gt;0,E82/(Inputs!D119-Inputs!D120)-1,"n.m."),"unavail.")</f>
        <v>0</v>
      </c>
      <c r="F83" s="27">
        <f>IF(AND(ISNUMBER((Inputs!E119-Inputs!E120)),ISNUMBER(F82)),IF((Inputs!E119-Inputs!E120)&gt;0,F82/(Inputs!E119-Inputs!E120)-1,"n.m."),"unavail.")</f>
        <v>-0.02941176470588236</v>
      </c>
      <c r="G83" s="40">
        <f>IF(AND(ISNUMBER(B82),ISNUMBER(G82)),IF(B82&gt;0,G82/B82-1,"n.m."),"unavail.")</f>
        <v>0</v>
      </c>
      <c r="H83" s="1"/>
    </row>
    <row r="84">
      <c r="A84" s="70" t="s">
        <v>169</v>
      </c>
      <c r="B84" s="20">
        <f>B82-(Inputs!E119-Inputs!E120)</f>
        <v>3</v>
      </c>
      <c r="C84" s="14">
        <f>C82-B82</f>
        <v>2</v>
      </c>
      <c r="D84" s="1"/>
      <c r="E84" s="14">
        <f>E82-C82</f>
        <v>-6</v>
      </c>
      <c r="F84" s="14">
        <f>F82-E82</f>
        <v>0</v>
      </c>
      <c r="G84" s="31">
        <f>G82-F82</f>
        <v>4</v>
      </c>
      <c r="H84" s="1"/>
    </row>
    <row r="85">
      <c r="A85" s="8" t="s">
        <v>405</v>
      </c>
      <c r="B85" s="57">
        <v>457</v>
      </c>
      <c r="C85" s="57">
        <v>489</v>
      </c>
      <c r="D85" s="71">
        <f>Inputs!D120+Inputs!E120+B85+C85</f>
        <v>1688</v>
      </c>
      <c r="E85" s="57">
        <v>484</v>
      </c>
      <c r="F85" s="57">
        <v>554</v>
      </c>
      <c r="G85" s="38">
        <f>G77-G82</f>
        <v>587.6940640354726</v>
      </c>
      <c r="H85" s="1"/>
    </row>
    <row r="86">
      <c r="A86" s="32" t="s">
        <v>168</v>
      </c>
      <c r="B86" s="27">
        <f>IF(AND(ISNUMBER(Inputs!B120),ISNUMBER(B85)),IF(Inputs!B120&gt;0,B85/Inputs!B120-1,"n.m."),"unavail.")</f>
        <v>0.3284883720930232</v>
      </c>
      <c r="C86" s="27">
        <f>IF(AND(ISNUMBER(Inputs!C120),ISNUMBER(C85)),IF(Inputs!C120&gt;0,C85/Inputs!C120-1,"n.m."),"unavail.")</f>
        <v>0.33242506811989103</v>
      </c>
      <c r="D86" s="27">
        <f>IF(AND(ISNUMBER(Inputs!F120),ISNUMBER(D85)),IF(Inputs!F120&gt;0,D85/Inputs!F120-1,"n.m."),"unavail.")</f>
        <v>0.2303206997084548</v>
      </c>
      <c r="E86" s="27">
        <f>IF(AND(ISNUMBER(Inputs!D120),ISNUMBER(E85)),IF(Inputs!D120&gt;0,E85/Inputs!D120-1,"n.m."),"unavail.")</f>
        <v>0.42352941176470593</v>
      </c>
      <c r="F86" s="27">
        <f>IF(AND(ISNUMBER(Inputs!E120),ISNUMBER(F85)),IF(Inputs!E120&gt;0,F85/Inputs!E120-1,"n.m."),"unavail.")</f>
        <v>0.37810945273631846</v>
      </c>
      <c r="G86" s="40">
        <f>IF(AND(ISNUMBER(B85),ISNUMBER(G85)),IF(B85&gt;0,G85/B85-1,"n.m."),"unavail.")</f>
        <v>0.28598263465092466</v>
      </c>
      <c r="H86" s="1"/>
    </row>
    <row r="87">
      <c r="A87" s="1" t="s">
        <v>406</v>
      </c>
      <c r="B87" s="20">
        <f>'Share Count'!B17</f>
        <v>431.365552</v>
      </c>
      <c r="C87" s="20">
        <f>'Share Count'!C17</f>
        <v>429.48311</v>
      </c>
      <c r="D87" s="20">
        <f>'Share Count'!D17</f>
        <v>433.173162</v>
      </c>
      <c r="E87" s="20">
        <f>'Share Count'!E17</f>
        <v>425.344491</v>
      </c>
      <c r="F87" s="20">
        <f>'Share Count'!F17</f>
        <v>422.871137</v>
      </c>
      <c r="G87" s="53">
        <f>'Share Count'!G17</f>
        <v>421.9085423529412</v>
      </c>
      <c r="H87" s="1"/>
    </row>
    <row r="88">
      <c r="A88" s="1" t="s">
        <v>407</v>
      </c>
      <c r="B88" s="20">
        <f>'Share Count'!B21</f>
        <v>435.47235</v>
      </c>
      <c r="C88" s="20">
        <f>'Share Count'!C21</f>
        <v>434.07796</v>
      </c>
      <c r="D88" s="20">
        <f>'Share Count'!D21</f>
        <v>436.890731</v>
      </c>
      <c r="E88" s="20">
        <f>'Share Count'!E21</f>
        <v>429.894837</v>
      </c>
      <c r="F88" s="20">
        <f>'Share Count'!F21</f>
        <v>426.681848</v>
      </c>
      <c r="G88" s="53">
        <f>'Share Count'!G21</f>
        <v>425.7192533529412</v>
      </c>
      <c r="H88" s="1"/>
    </row>
    <row r="89">
      <c r="A89" s="1" t="s">
        <v>408</v>
      </c>
      <c r="B89" s="36">
        <f>B85/B87</f>
        <v>1.0594262751885204</v>
      </c>
      <c r="C89" s="36">
        <f>C85/C87</f>
        <v>1.1385779524601096</v>
      </c>
      <c r="D89" s="36">
        <f>D85/D87</f>
        <v>3.896824983815595</v>
      </c>
      <c r="E89" s="36">
        <f>E85/E87</f>
        <v>1.1379011841956594</v>
      </c>
      <c r="F89" s="36">
        <f>F85/F87</f>
        <v>1.3100917786214386</v>
      </c>
      <c r="G89" s="60">
        <f>G85/G87</f>
        <v>1.3929418464910959</v>
      </c>
      <c r="H89" s="1"/>
    </row>
    <row r="90">
      <c r="A90" s="8" t="s">
        <v>409</v>
      </c>
      <c r="B90" s="65">
        <f>B85/B88</f>
        <v>1.0494351707978704</v>
      </c>
      <c r="C90" s="65">
        <f>C85/C88</f>
        <v>1.126525751272882</v>
      </c>
      <c r="D90" s="65">
        <f>D85/D88</f>
        <v>3.863666313396793</v>
      </c>
      <c r="E90" s="65">
        <f>E85/E88</f>
        <v>1.1258567406335238</v>
      </c>
      <c r="F90" s="65">
        <f>F85/F88</f>
        <v>1.2983913016144994</v>
      </c>
      <c r="G90" s="72">
        <f>G85/G88</f>
        <v>1.3804733034900976</v>
      </c>
      <c r="H90" s="1"/>
    </row>
    <row r="91">
      <c r="A91" s="32" t="s">
        <v>168</v>
      </c>
      <c r="B91" s="27">
        <f>IF(AND(ISNUMBER(Inputs!B121),ISNUMBER(B90)),IF(Inputs!B121&gt;0,B90/Inputs!B121-1,"n.m."),"unavail.")</f>
        <v>0.3629028192180135</v>
      </c>
      <c r="C91" s="27">
        <f>IF(AND(ISNUMBER(Inputs!C121),ISNUMBER(C90)),IF(Inputs!C121&gt;0,C90/Inputs!C121-1,"n.m."),"unavail.")</f>
        <v>0.35725994129262895</v>
      </c>
      <c r="D91" s="27">
        <f>IF(AND(ISNUMBER(Inputs!F121),ISNUMBER(D90)),IF(Inputs!F121&gt;0,D90/Inputs!F121-1,"n.m."),"unavail.")</f>
        <v>0.27513739716065766</v>
      </c>
      <c r="E91" s="27">
        <f>IF(AND(ISNUMBER(Inputs!D121),ISNUMBER(E90)),IF(Inputs!D121&gt;0,E90/Inputs!D121-1,"n.m."),"unavail.")</f>
        <v>0.4621516112123685</v>
      </c>
      <c r="F91" s="27">
        <f>IF(AND(ISNUMBER(Inputs!E121),ISNUMBER(F90)),IF(Inputs!E121&gt;0,F90/Inputs!E121-1,"n.m."),"unavail.")</f>
        <v>0.4112948930592384</v>
      </c>
      <c r="G91" s="40">
        <f>IF(AND(ISNUMBER(B90),ISNUMBER(G90)),IF(B90&gt;0,G90/B90-1,"n.m."),"unavail.")</f>
        <v>0.3154440997441925</v>
      </c>
      <c r="H91" s="1"/>
    </row>
    <row r="92">
      <c r="A92" s="37" t="s">
        <v>410</v>
      </c>
      <c r="B92" s="58">
        <v>1.05</v>
      </c>
      <c r="C92" s="58">
        <v>1.13</v>
      </c>
      <c r="D92" s="58">
        <v>3.86</v>
      </c>
      <c r="E92" s="58">
        <v>1.13</v>
      </c>
      <c r="F92" s="58">
        <v>1.3</v>
      </c>
      <c r="G92" s="41"/>
      <c r="H92" s="23" t="s">
        <v>411</v>
      </c>
    </row>
    <row r="93">
      <c r="A93" s="32" t="s">
        <v>412</v>
      </c>
      <c r="B93" s="64">
        <f>ROUND(B90,2)-B92</f>
        <v>0</v>
      </c>
      <c r="C93" s="64">
        <f>ROUND(C90,2)-C92</f>
        <v>0</v>
      </c>
      <c r="D93" s="64">
        <f>ROUND(D90,2)-D92</f>
        <v>0</v>
      </c>
      <c r="E93" s="64">
        <f>ROUND(E90,2)-E92</f>
        <v>0</v>
      </c>
      <c r="F93" s="64">
        <f>ROUND(F90,2)-F92</f>
        <v>0</v>
      </c>
      <c r="G93" s="41"/>
      <c r="H93" s="1"/>
    </row>
    <row r="94">
      <c r="A94" s="8" t="s">
        <v>413</v>
      </c>
      <c r="B94" s="1"/>
      <c r="C94" s="1"/>
      <c r="D94" s="1"/>
      <c r="E94" s="1"/>
      <c r="F94" s="1"/>
      <c r="G94" s="41"/>
      <c r="H94" s="1"/>
    </row>
    <row r="95">
      <c r="A95" s="1" t="s">
        <v>414</v>
      </c>
      <c r="B95" s="14">
        <f>B85</f>
        <v>457</v>
      </c>
      <c r="C95" s="14">
        <f>C85</f>
        <v>489</v>
      </c>
      <c r="D95" s="14">
        <f>D85</f>
        <v>1688</v>
      </c>
      <c r="E95" s="14">
        <f>E85</f>
        <v>484</v>
      </c>
      <c r="F95" s="14">
        <f>F85</f>
        <v>554</v>
      </c>
      <c r="G95" s="31">
        <f>G85</f>
        <v>587.6940640354726</v>
      </c>
      <c r="H95" s="1"/>
    </row>
    <row r="96">
      <c r="A96" s="37" t="s">
        <v>415</v>
      </c>
      <c r="B96" s="25">
        <v>0</v>
      </c>
      <c r="C96" s="25">
        <v>0</v>
      </c>
      <c r="D96" s="25">
        <v>0</v>
      </c>
      <c r="E96" s="25">
        <v>0</v>
      </c>
      <c r="F96" s="25">
        <v>0</v>
      </c>
      <c r="G96" s="51">
        <v>0</v>
      </c>
      <c r="H96" s="23" t="s">
        <v>416</v>
      </c>
    </row>
    <row r="97">
      <c r="A97" s="37" t="s">
        <v>417</v>
      </c>
      <c r="B97" s="14">
        <f>-B96*B73</f>
        <v>0</v>
      </c>
      <c r="C97" s="14">
        <f>-C96*C73</f>
        <v>0</v>
      </c>
      <c r="D97" s="14">
        <f>-D96*D73</f>
        <v>0</v>
      </c>
      <c r="E97" s="14">
        <f>-E96*E73</f>
        <v>0</v>
      </c>
      <c r="F97" s="14">
        <f>-F96*F73</f>
        <v>0</v>
      </c>
      <c r="G97" s="31">
        <f>-G96*G73</f>
        <v>0</v>
      </c>
      <c r="H97" s="1"/>
    </row>
    <row r="98">
      <c r="A98" s="37" t="s">
        <v>418</v>
      </c>
      <c r="B98" s="25">
        <v>0</v>
      </c>
      <c r="C98" s="25">
        <v>0</v>
      </c>
      <c r="D98" s="25">
        <v>0</v>
      </c>
      <c r="E98" s="25">
        <v>0</v>
      </c>
      <c r="F98" s="25">
        <v>0</v>
      </c>
      <c r="G98" s="51">
        <v>0</v>
      </c>
      <c r="H98" s="23" t="s">
        <v>419</v>
      </c>
    </row>
    <row r="99">
      <c r="A99" s="8" t="s">
        <v>420</v>
      </c>
      <c r="B99" s="30">
        <f>B95+B96+B97+B98</f>
        <v>457</v>
      </c>
      <c r="C99" s="30">
        <f>C95+C96+C97+C98</f>
        <v>489</v>
      </c>
      <c r="D99" s="30">
        <f>D95+D96+D97+D98</f>
        <v>1688</v>
      </c>
      <c r="E99" s="30">
        <f>E95+E96+E97+E98</f>
        <v>484</v>
      </c>
      <c r="F99" s="30">
        <f>F95+F96+F97+F98</f>
        <v>554</v>
      </c>
      <c r="G99" s="38">
        <f>G95+G96+G97+G98</f>
        <v>587.6940640354726</v>
      </c>
      <c r="H99" s="1"/>
    </row>
    <row r="100">
      <c r="A100" s="8" t="s">
        <v>421</v>
      </c>
      <c r="B100" s="65">
        <f>B99/B88</f>
        <v>1.0494351707978704</v>
      </c>
      <c r="C100" s="65">
        <f>C99/C88</f>
        <v>1.126525751272882</v>
      </c>
      <c r="D100" s="65">
        <f>D99/D88</f>
        <v>3.863666313396793</v>
      </c>
      <c r="E100" s="65">
        <f>E99/E88</f>
        <v>1.1258567406335238</v>
      </c>
      <c r="F100" s="65">
        <f>F99/F88</f>
        <v>1.2983913016144994</v>
      </c>
      <c r="G100" s="72">
        <f>G99/G88</f>
        <v>1.3804733034900976</v>
      </c>
      <c r="H100" s="1"/>
    </row>
    <row r="101">
      <c r="A101" s="37" t="s">
        <v>422</v>
      </c>
      <c r="B101" s="18">
        <f>Inputs!D265</f>
        <v>1.05</v>
      </c>
      <c r="C101" s="18">
        <f>Inputs!D266</f>
        <v>1.13</v>
      </c>
      <c r="D101" s="1"/>
      <c r="E101" s="18">
        <f>Inputs!D267</f>
        <v>1.13</v>
      </c>
      <c r="F101" s="18">
        <f>Inputs!D268</f>
        <v>1.3</v>
      </c>
      <c r="G101" s="41"/>
      <c r="H101" s="23" t="s">
        <v>423</v>
      </c>
    </row>
    <row r="102">
      <c r="A102" s="32" t="s">
        <v>424</v>
      </c>
      <c r="B102" s="64">
        <f>ROUND(B100,2)-B101</f>
        <v>0</v>
      </c>
      <c r="C102" s="64">
        <f>ROUND(C100,2)-C101</f>
        <v>0</v>
      </c>
      <c r="D102" s="1"/>
      <c r="E102" s="64">
        <f>ROUND(E100,2)-E101</f>
        <v>0</v>
      </c>
      <c r="F102" s="64">
        <f>ROUND(F100,2)-F101</f>
        <v>0</v>
      </c>
      <c r="G102" s="41"/>
      <c r="H102" s="1"/>
    </row>
    <row r="103">
      <c r="A103" s="37" t="s">
        <v>425</v>
      </c>
      <c r="B103" s="18">
        <f>Inputs!F265</f>
        <v>1.05</v>
      </c>
      <c r="C103" s="18">
        <f>Inputs!F266</f>
        <v>1.13</v>
      </c>
      <c r="D103" s="1"/>
      <c r="E103" s="18">
        <f>Inputs!F267</f>
        <v>1.13</v>
      </c>
      <c r="F103" s="18">
        <f>Inputs!F268</f>
        <v>1.3</v>
      </c>
      <c r="G103" s="41"/>
      <c r="H103" s="23" t="s">
        <v>423</v>
      </c>
    </row>
    <row r="104">
      <c r="A104" s="8" t="s">
        <v>426</v>
      </c>
      <c r="B104" s="1"/>
      <c r="C104" s="1"/>
      <c r="D104" s="1"/>
      <c r="E104" s="1"/>
      <c r="F104" s="1"/>
      <c r="G104" s="41"/>
      <c r="H104" s="1"/>
    </row>
    <row r="105">
      <c r="A105" s="1" t="s">
        <v>427</v>
      </c>
      <c r="B105" s="20">
        <f>'Revenue summary'!B153</f>
        <v>140011</v>
      </c>
      <c r="C105" s="20">
        <f>'Revenue summary'!C153</f>
        <v>141757</v>
      </c>
      <c r="D105" s="20">
        <f>'Revenue summary'!D153</f>
        <v>140077</v>
      </c>
      <c r="E105" s="20">
        <f>'Revenue summary'!E153</f>
        <v>143410</v>
      </c>
      <c r="F105" s="20">
        <f>'Revenue summary'!F153</f>
        <v>146128</v>
      </c>
      <c r="G105" s="53">
        <f>'Revenue summary'!G153</f>
        <v>148087.602</v>
      </c>
      <c r="H105" s="1"/>
    </row>
    <row r="106">
      <c r="A106" s="3" t="s">
        <v>352</v>
      </c>
      <c r="B106" s="42">
        <f>B109/B105*365/B$6</f>
        <v>0.004590477828915926</v>
      </c>
      <c r="C106" s="42">
        <f>C109/C105*365/C$6</f>
        <v>0.004338026708902651</v>
      </c>
      <c r="D106" s="42">
        <f>D109/D105*365/D$6</f>
        <v>0.0048830286199733</v>
      </c>
      <c r="E106" s="42">
        <f>E109/E105*365/E$6</f>
        <v>0.0039025637449736188</v>
      </c>
      <c r="F106" s="42">
        <f>F109/F105*365/F$6</f>
        <v>0.0037055425139844284</v>
      </c>
      <c r="G106" s="59">
        <v>0.0036</v>
      </c>
      <c r="H106" s="23" t="s">
        <v>428</v>
      </c>
    </row>
    <row r="107">
      <c r="A107" s="32" t="s">
        <v>204</v>
      </c>
      <c r="B107" s="24">
        <f>IFERROR((B106-(Inputs!E122/Inputs!E38*365/Inputs!E$6))*10000,"unavail.")</f>
        <v>-2.3511103661271253</v>
      </c>
      <c r="C107" s="26">
        <f>IFERROR((C106-B106)*10000,"unavail.")</f>
        <v>-2.5245112001327525</v>
      </c>
      <c r="D107" s="1"/>
      <c r="E107" s="26">
        <f>IFERROR((E106-C106)*10000,"unavail.")</f>
        <v>-4.354629639290323</v>
      </c>
      <c r="F107" s="26">
        <f>IFERROR((F106-E106)*10000,"unavail.")</f>
        <v>-1.9702123098919035</v>
      </c>
      <c r="G107" s="39">
        <f>IFERROR((G106-F106)*10000,"unavail.")</f>
        <v>-1.055425139844285</v>
      </c>
      <c r="H107" s="1"/>
    </row>
    <row r="108">
      <c r="A108" s="32" t="s">
        <v>173</v>
      </c>
      <c r="B108" s="24">
        <f>IFERROR((B106-(Inputs!B122/Inputs!B38*365/Inputs!B$6))*10000,"unavail.")</f>
        <v>-7.737689154118871</v>
      </c>
      <c r="C108" s="24">
        <f>IFERROR((C106-(Inputs!C122/Inputs!C38*365/Inputs!C$6))*10000,"unavail.")</f>
        <v>-9.819656039648741</v>
      </c>
      <c r="D108" s="24">
        <f>IFERROR((D106-(Inputs!F122/Inputs!F38))*10000,"unavail.")</f>
        <v>-3.445753715055648</v>
      </c>
      <c r="E108" s="24">
        <f>IFERROR((E106-(Inputs!D122/Inputs!D38*365/Inputs!D$6))*10000,"unavail.")</f>
        <v>-19.031130935569884</v>
      </c>
      <c r="F108" s="24">
        <f>IFERROR((F106-(Inputs!E122/Inputs!E38*365/Inputs!E$6))*10000,"unavail.")</f>
        <v>-11.200463515442104</v>
      </c>
      <c r="G108" s="39">
        <f>IFERROR((G106-B106)*10000,"unavail.")</f>
        <v>-9.904778289159264</v>
      </c>
      <c r="H108" s="1"/>
    </row>
    <row r="109">
      <c r="A109" s="37" t="s">
        <v>353</v>
      </c>
      <c r="B109" s="25">
        <v>162</v>
      </c>
      <c r="C109" s="25">
        <v>155</v>
      </c>
      <c r="D109" s="20">
        <f>Inputs!D122+Inputs!E122+B109+C109</f>
        <v>684</v>
      </c>
      <c r="E109" s="25">
        <v>138</v>
      </c>
      <c r="F109" s="25">
        <v>135</v>
      </c>
      <c r="G109" s="31">
        <f>G105*G106*G$6/365</f>
        <v>134.37428433534248</v>
      </c>
      <c r="H109" s="1"/>
    </row>
    <row r="110">
      <c r="A110" s="44" t="s">
        <v>168</v>
      </c>
      <c r="B110" s="27">
        <f>IF(AND(ISNUMBER(Inputs!B122),ISNUMBER(B109)),IF(Inputs!B122&gt;0,B109/Inputs!B122-1,"n.m."),"unavail.")</f>
        <v>-0.15625</v>
      </c>
      <c r="C110" s="27">
        <f>IF(AND(ISNUMBER(Inputs!C122),ISNUMBER(C109)),IF(Inputs!C122&gt;0,C109/Inputs!C122-1,"n.m."),"unavail.")</f>
        <v>-0.17989417989417988</v>
      </c>
      <c r="D110" s="27">
        <f>IF(AND(ISNUMBER(Inputs!F122),ISNUMBER(D109)),IF(Inputs!F122&gt;0,D109/Inputs!F122-1,"n.m."),"unavail.")</f>
        <v>-0.08310991957104563</v>
      </c>
      <c r="E110" s="27">
        <f>IF(AND(ISNUMBER(Inputs!D122),ISNUMBER(E109)),IF(Inputs!D122&gt;0,E109/Inputs!D122-1,"n.m."),"unavail.")</f>
        <v>-0.31000000000000005</v>
      </c>
      <c r="F110" s="27">
        <f>IF(AND(ISNUMBER(Inputs!E122),ISNUMBER(F109)),IF(Inputs!E122&gt;0,F109/Inputs!E122-1,"n.m."),"unavail.")</f>
        <v>-0.19161676646706582</v>
      </c>
      <c r="G110" s="40">
        <f>IF(AND(ISNUMBER(B109),ISNUMBER(G109)),IF(B109&gt;0,G109/B109-1,"n.m."),"unavail.")</f>
        <v>-0.17052910904109575</v>
      </c>
      <c r="H110" s="1"/>
    </row>
    <row r="111">
      <c r="A111" s="1" t="s">
        <v>429</v>
      </c>
      <c r="B111" s="20">
        <f>'Balance Sheet'!B15</f>
        <v>140870</v>
      </c>
      <c r="C111" s="20">
        <f>'Balance Sheet'!C15</f>
        <v>142692</v>
      </c>
      <c r="D111" s="20">
        <f>'Balance Sheet'!D15</f>
        <v>142692</v>
      </c>
      <c r="E111" s="20">
        <f>'Balance Sheet'!E15</f>
        <v>143667</v>
      </c>
      <c r="F111" s="20">
        <f>'Balance Sheet'!F15</f>
        <v>147491</v>
      </c>
      <c r="G111" s="53">
        <f>'Balance Sheet'!G15</f>
        <v>148965.91</v>
      </c>
      <c r="H111" s="1"/>
    </row>
    <row r="112">
      <c r="A112" s="1" t="s">
        <v>430</v>
      </c>
      <c r="B112" s="25">
        <v>2201</v>
      </c>
      <c r="C112" s="25">
        <v>2183</v>
      </c>
      <c r="D112" s="14">
        <f>C112</f>
        <v>2183</v>
      </c>
      <c r="E112" s="25">
        <v>2185</v>
      </c>
      <c r="F112" s="25">
        <v>2184</v>
      </c>
      <c r="G112" s="31">
        <f>G115*G111</f>
        <v>2189.798877</v>
      </c>
      <c r="H112" s="23" t="s">
        <v>431</v>
      </c>
    </row>
    <row r="113">
      <c r="A113" s="32" t="s">
        <v>168</v>
      </c>
      <c r="B113" s="27">
        <f>IF(AND(ISNUMBER(Inputs!B123),ISNUMBER(B112)),IF(Inputs!B123&gt;0,B112/Inputs!B123-1,"n.m."),"unavail.")</f>
        <v>-0.03718285214348205</v>
      </c>
      <c r="C113" s="27">
        <f>IF(AND(ISNUMBER(Inputs!C123),ISNUMBER(C112)),IF(Inputs!C123&gt;0,C112/Inputs!C123-1,"n.m."),"unavail.")</f>
        <v>-0.03364320495794604</v>
      </c>
      <c r="D113" s="27">
        <f>IF(AND(ISNUMBER(Inputs!C123),ISNUMBER(D112)),IF(Inputs!C123&gt;0,D112/Inputs!C123-1,"n.m."),"unavail.")</f>
        <v>-0.03364320495794604</v>
      </c>
      <c r="E113" s="27">
        <f>IF(AND(ISNUMBER(Inputs!D123),ISNUMBER(E112)),IF(Inputs!D123&gt;0,E112/Inputs!D123-1,"n.m."),"unavail.")</f>
        <v>-0.01220614828209765</v>
      </c>
      <c r="F113" s="27">
        <f>IF(AND(ISNUMBER(Inputs!E123),ISNUMBER(F112)),IF(Inputs!E123&gt;0,F112/Inputs!E123-1,"n.m."),"unavail.")</f>
        <v>-0.011317338162064261</v>
      </c>
      <c r="G113" s="40">
        <f>IF(AND(ISNUMBER(B112),ISNUMBER(G112)),IF(B112&gt;0,G112/B112-1,"n.m."),"unavail.")</f>
        <v>-0.0050891063153111205</v>
      </c>
      <c r="H113" s="1"/>
    </row>
    <row r="114">
      <c r="A114" s="37" t="s">
        <v>169</v>
      </c>
      <c r="B114" s="20">
        <f>B112-Inputs!E123</f>
        <v>-8</v>
      </c>
      <c r="C114" s="14">
        <f>C112-B112</f>
        <v>-18</v>
      </c>
      <c r="D114" s="1"/>
      <c r="E114" s="14">
        <f>E112-C112</f>
        <v>2</v>
      </c>
      <c r="F114" s="14">
        <f>F112-E112</f>
        <v>-1</v>
      </c>
      <c r="G114" s="31">
        <f>G112-F112</f>
        <v>5.798877000000175</v>
      </c>
      <c r="H114" s="1"/>
    </row>
    <row r="115">
      <c r="A115" s="3" t="s">
        <v>432</v>
      </c>
      <c r="B115" s="42">
        <f>B112/B111</f>
        <v>0.015624334492794776</v>
      </c>
      <c r="C115" s="42">
        <f>C112/C111</f>
        <v>0.015298685280183893</v>
      </c>
      <c r="D115" s="42">
        <f>D112/D111</f>
        <v>0.015298685280183893</v>
      </c>
      <c r="E115" s="42">
        <f>E112/E111</f>
        <v>0.015208781418140561</v>
      </c>
      <c r="F115" s="42">
        <f>F112/F111</f>
        <v>0.01480768318066865</v>
      </c>
      <c r="G115" s="59">
        <v>0.0147</v>
      </c>
      <c r="H115" s="23" t="s">
        <v>433</v>
      </c>
    </row>
    <row r="116">
      <c r="A116" s="32" t="s">
        <v>204</v>
      </c>
      <c r="B116" s="24">
        <f>IFERROR((B115-(Inputs!E123/Inputs!E124))*10000,"unavail.")</f>
        <v>-2.3307089398521588</v>
      </c>
      <c r="C116" s="26">
        <f>IFERROR((C115-B115)*10000,"unavail.")</f>
        <v>-3.256492126108828</v>
      </c>
      <c r="D116" s="1"/>
      <c r="E116" s="26">
        <f>IFERROR((E115-C115)*10000,"unavail.")</f>
        <v>-0.8990386204333136</v>
      </c>
      <c r="F116" s="26">
        <f>IFERROR((F115-E115)*10000,"unavail.")</f>
        <v>-4.010982374719109</v>
      </c>
      <c r="G116" s="39">
        <f>IFERROR((G115-F115)*10000,"unavail.")</f>
        <v>-1.0768318066865095</v>
      </c>
      <c r="H116" s="1"/>
    </row>
    <row r="117">
      <c r="A117" s="32" t="s">
        <v>173</v>
      </c>
      <c r="B117" s="24">
        <f>IFERROR((B115-(Inputs!B123/Inputs!B124))*10000,"unavail.")</f>
        <v>-5.160857512178773</v>
      </c>
      <c r="C117" s="24">
        <f>IFERROR((C115-(Inputs!C123/Inputs!C124))*10000,"unavail.")</f>
        <v>-9.294132521753227</v>
      </c>
      <c r="D117" s="24">
        <f>IFERROR((D115-(Inputs!C123/Inputs!C124))*10000,"unavail.")</f>
        <v>-9.294132521753227</v>
      </c>
      <c r="E117" s="24">
        <f>IFERROR((E115-(Inputs!D123/Inputs!D124))*10000,"unavail.")</f>
        <v>-8.627120246610525</v>
      </c>
      <c r="F117" s="24">
        <f>IFERROR((F115-(Inputs!E123/Inputs!E124))*10000,"unavail.")</f>
        <v>-10.49722206111341</v>
      </c>
      <c r="G117" s="39">
        <f>IFERROR((G115-B115)*10000,"unavail.")</f>
        <v>-9.24334492794776</v>
      </c>
      <c r="H117" s="1"/>
    </row>
    <row r="118">
      <c r="A118" s="37" t="s">
        <v>434</v>
      </c>
      <c r="B118" s="20">
        <f>B112-Inputs!E123</f>
        <v>-8</v>
      </c>
      <c r="C118" s="14">
        <f>C112-B112</f>
        <v>-18</v>
      </c>
      <c r="D118" s="107">
        <f>D112-Inputs!C123</f>
        <v>-76</v>
      </c>
      <c r="E118" s="14">
        <f>E112-C112</f>
        <v>2</v>
      </c>
      <c r="F118" s="14">
        <f>F112-E112</f>
        <v>-1</v>
      </c>
      <c r="G118" s="31">
        <f>G112-F112</f>
        <v>5.798877000000175</v>
      </c>
      <c r="H118" s="1"/>
    </row>
    <row r="119">
      <c r="A119" s="8" t="s">
        <v>435</v>
      </c>
      <c r="B119" s="30">
        <f>B109+B118</f>
        <v>154</v>
      </c>
      <c r="C119" s="30">
        <f>C109+C118</f>
        <v>137</v>
      </c>
      <c r="D119" s="106">
        <f>D109+D118</f>
        <v>608</v>
      </c>
      <c r="E119" s="30">
        <f>E109+E118</f>
        <v>140</v>
      </c>
      <c r="F119" s="30">
        <f>F109+F118</f>
        <v>134</v>
      </c>
      <c r="G119" s="38">
        <f>G109+G118</f>
        <v>140.17316133534266</v>
      </c>
      <c r="H119" s="1"/>
    </row>
    <row r="120">
      <c r="A120" s="32" t="s">
        <v>436</v>
      </c>
      <c r="B120" s="35">
        <f>ROUND(B119-B37,6)</f>
        <v>0</v>
      </c>
      <c r="C120" s="35">
        <f>ROUND(C119-C37,6)</f>
        <v>0</v>
      </c>
      <c r="D120" s="105">
        <f>ROUND(D119-D37,6)</f>
        <v>0</v>
      </c>
      <c r="E120" s="35">
        <f>ROUND(E119-E37,6)</f>
        <v>0</v>
      </c>
      <c r="F120" s="35">
        <f>ROUND(F119-F37,6)</f>
        <v>0</v>
      </c>
      <c r="G120" s="68">
        <f>ROUND(G119-G37,6)</f>
        <v>0</v>
      </c>
      <c r="H120" s="88" t="s">
        <v>437</v>
      </c>
    </row>
    <row r="121">
      <c r="A121" s="1"/>
      <c r="B121" s="1"/>
      <c r="C121" s="1"/>
      <c r="D121" s="1"/>
      <c r="E121" s="1"/>
      <c r="F121" s="1"/>
      <c r="G121" s="1"/>
      <c r="H121" s="1"/>
    </row>
    <row r="122">
      <c r="A122" s="142" t="s">
        <v>438</v>
      </c>
      <c r="B122" s="141"/>
      <c r="C122" s="141"/>
      <c r="D122" s="141"/>
      <c r="E122" s="141"/>
      <c r="F122" s="141"/>
      <c r="G122" s="144"/>
      <c r="H122" s="141"/>
    </row>
    <row r="123">
      <c r="A123" s="141" t="s">
        <v>439</v>
      </c>
      <c r="B123" s="141"/>
      <c r="C123" s="141"/>
      <c r="D123" s="141"/>
      <c r="E123" s="141"/>
      <c r="F123" s="141"/>
      <c r="G123" s="145">
        <v>33</v>
      </c>
      <c r="H123" s="136" t="s">
        <v>440</v>
      </c>
    </row>
    <row r="124">
      <c r="A124" s="141" t="s">
        <v>441</v>
      </c>
      <c r="B124" s="141"/>
      <c r="C124" s="141"/>
      <c r="D124" s="141"/>
      <c r="E124" s="141"/>
      <c r="F124" s="141"/>
      <c r="G124" s="145">
        <v>300</v>
      </c>
      <c r="H124" s="136" t="s">
        <v>442</v>
      </c>
    </row>
    <row r="125">
      <c r="A125" s="140" t="s">
        <v>443</v>
      </c>
      <c r="B125" s="140"/>
      <c r="C125" s="140"/>
      <c r="D125" s="140"/>
      <c r="E125" s="140"/>
      <c r="F125" s="140"/>
      <c r="G125" s="139">
        <v>296</v>
      </c>
      <c r="H125" s="146" t="s">
        <v>444</v>
      </c>
    </row>
    <row r="126">
      <c r="A126" s="140" t="s">
        <v>445</v>
      </c>
      <c r="B126" s="140"/>
      <c r="C126" s="140"/>
      <c r="D126" s="140"/>
      <c r="E126" s="140"/>
      <c r="F126" s="140"/>
      <c r="G126" s="143">
        <f>G124-G125</f>
        <v>4</v>
      </c>
      <c r="H126" s="146" t="s">
        <v>446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447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448</v>
      </c>
      <c r="B8" s="1"/>
      <c r="C8" s="1"/>
      <c r="D8" s="1"/>
      <c r="E8" s="1"/>
      <c r="F8" s="1"/>
      <c r="G8" s="41"/>
      <c r="H8" s="1"/>
    </row>
    <row r="9">
      <c r="A9" s="37" t="s">
        <v>449</v>
      </c>
      <c r="B9" s="25">
        <v>1254</v>
      </c>
      <c r="C9" s="25">
        <v>1464</v>
      </c>
      <c r="D9" s="14">
        <f>C9</f>
        <v>1464</v>
      </c>
      <c r="E9" s="25">
        <v>1084</v>
      </c>
      <c r="F9" s="25">
        <v>1219</v>
      </c>
      <c r="G9" s="31">
        <f>F9</f>
        <v>1219</v>
      </c>
      <c r="H9" s="23" t="s">
        <v>450</v>
      </c>
    </row>
    <row r="10">
      <c r="A10" s="37" t="s">
        <v>451</v>
      </c>
      <c r="B10" s="25">
        <v>10396</v>
      </c>
      <c r="C10" s="25">
        <v>11263</v>
      </c>
      <c r="D10" s="14">
        <f>C10</f>
        <v>11263</v>
      </c>
      <c r="E10" s="25">
        <v>11246</v>
      </c>
      <c r="F10" s="25">
        <v>11541</v>
      </c>
      <c r="G10" s="31">
        <f>G45-(G9+G11+G12+G13+G14+G17+G18+G19+G20+G21+G22)</f>
        <v>11650.705011553131</v>
      </c>
      <c r="H10" s="23" t="s">
        <v>452</v>
      </c>
    </row>
    <row r="11">
      <c r="A11" s="37" t="s">
        <v>380</v>
      </c>
      <c r="B11" s="25">
        <v>694</v>
      </c>
      <c r="C11" s="25">
        <v>961</v>
      </c>
      <c r="D11" s="14">
        <f>C11</f>
        <v>961</v>
      </c>
      <c r="E11" s="25">
        <v>830</v>
      </c>
      <c r="F11" s="25">
        <v>1107</v>
      </c>
      <c r="G11" s="31">
        <f>F11</f>
        <v>1107</v>
      </c>
      <c r="H11" s="1"/>
    </row>
    <row r="12">
      <c r="A12" s="37" t="s">
        <v>453</v>
      </c>
      <c r="B12" s="25">
        <v>35419</v>
      </c>
      <c r="C12" s="25">
        <v>35697</v>
      </c>
      <c r="D12" s="14">
        <f>C12</f>
        <v>35697</v>
      </c>
      <c r="E12" s="25">
        <v>36361</v>
      </c>
      <c r="F12" s="25">
        <v>37448</v>
      </c>
      <c r="G12" s="31">
        <f>F12+G56+G61</f>
        <v>37948</v>
      </c>
      <c r="H12" s="1"/>
    </row>
    <row r="13">
      <c r="A13" s="37" t="s">
        <v>454</v>
      </c>
      <c r="B13" s="25">
        <v>8124</v>
      </c>
      <c r="C13" s="25">
        <v>7933</v>
      </c>
      <c r="D13" s="14">
        <f>C13</f>
        <v>7933</v>
      </c>
      <c r="E13" s="25">
        <v>7800</v>
      </c>
      <c r="F13" s="25">
        <v>7638</v>
      </c>
      <c r="G13" s="31">
        <f>F13+G57</f>
        <v>7478</v>
      </c>
      <c r="H13" s="1"/>
    </row>
    <row r="14">
      <c r="A14" s="37" t="s">
        <v>378</v>
      </c>
      <c r="B14" s="25">
        <v>1334</v>
      </c>
      <c r="C14" s="25">
        <v>1198</v>
      </c>
      <c r="D14" s="14">
        <f>C14</f>
        <v>1198</v>
      </c>
      <c r="E14" s="25">
        <v>1537</v>
      </c>
      <c r="F14" s="25">
        <v>1458</v>
      </c>
      <c r="G14" s="31">
        <f>F14</f>
        <v>1458</v>
      </c>
      <c r="H14" s="1"/>
    </row>
    <row r="15">
      <c r="A15" s="61" t="s">
        <v>377</v>
      </c>
      <c r="B15" s="57">
        <v>140870</v>
      </c>
      <c r="C15" s="57">
        <v>142692</v>
      </c>
      <c r="D15" s="30">
        <f>C15</f>
        <v>142692</v>
      </c>
      <c r="E15" s="57">
        <v>143667</v>
      </c>
      <c r="F15" s="57">
        <v>147491</v>
      </c>
      <c r="G15" s="38">
        <f>F15*(1+G55)</f>
        <v>148965.91</v>
      </c>
      <c r="H15" s="1"/>
    </row>
    <row r="16">
      <c r="A16" s="37" t="s">
        <v>455</v>
      </c>
      <c r="B16" s="25">
        <v>-1972</v>
      </c>
      <c r="C16" s="25">
        <v>-1943</v>
      </c>
      <c r="D16" s="14">
        <f>C16</f>
        <v>-1943</v>
      </c>
      <c r="E16" s="25">
        <v>-1958</v>
      </c>
      <c r="F16" s="25">
        <v>-1969</v>
      </c>
      <c r="G16" s="53">
        <f>-('Income Statement'!G112-G48)</f>
        <v>-1974.7988770000002</v>
      </c>
      <c r="H16" s="1"/>
    </row>
    <row r="17">
      <c r="A17" s="8" t="s">
        <v>456</v>
      </c>
      <c r="B17" s="30">
        <f>B15+B16</f>
        <v>138898</v>
      </c>
      <c r="C17" s="30">
        <f>C15+C16</f>
        <v>140749</v>
      </c>
      <c r="D17" s="30">
        <f>D15+D16</f>
        <v>140749</v>
      </c>
      <c r="E17" s="30">
        <f>E15+E16</f>
        <v>141709</v>
      </c>
      <c r="F17" s="30">
        <f>F15+F16</f>
        <v>145522</v>
      </c>
      <c r="G17" s="38">
        <f>G15+G16</f>
        <v>146991.111123</v>
      </c>
      <c r="H17" s="1"/>
    </row>
    <row r="18">
      <c r="A18" s="37" t="s">
        <v>457</v>
      </c>
      <c r="B18" s="25">
        <v>857</v>
      </c>
      <c r="C18" s="25">
        <v>915</v>
      </c>
      <c r="D18" s="14">
        <f>C18</f>
        <v>915</v>
      </c>
      <c r="E18" s="25">
        <v>874</v>
      </c>
      <c r="F18" s="25">
        <v>873</v>
      </c>
      <c r="G18" s="31">
        <f>F18</f>
        <v>873</v>
      </c>
      <c r="H18" s="1"/>
    </row>
    <row r="19">
      <c r="A19" s="37" t="s">
        <v>458</v>
      </c>
      <c r="B19" s="25">
        <v>3422</v>
      </c>
      <c r="C19" s="25">
        <v>3441</v>
      </c>
      <c r="D19" s="14">
        <f>C19</f>
        <v>3441</v>
      </c>
      <c r="E19" s="25">
        <v>3464</v>
      </c>
      <c r="F19" s="25">
        <v>3470</v>
      </c>
      <c r="G19" s="31">
        <f>F19</f>
        <v>3470</v>
      </c>
      <c r="H19" s="1"/>
    </row>
    <row r="20">
      <c r="A20" s="37" t="s">
        <v>459</v>
      </c>
      <c r="B20" s="25">
        <v>8187</v>
      </c>
      <c r="C20" s="25">
        <v>8187</v>
      </c>
      <c r="D20" s="14">
        <f>C20</f>
        <v>8187</v>
      </c>
      <c r="E20" s="25">
        <v>8221</v>
      </c>
      <c r="F20" s="25">
        <v>8220</v>
      </c>
      <c r="G20" s="31">
        <f>F20</f>
        <v>8220</v>
      </c>
      <c r="H20" s="1"/>
    </row>
    <row r="21">
      <c r="A21" s="37" t="s">
        <v>460</v>
      </c>
      <c r="B21" s="25">
        <v>123</v>
      </c>
      <c r="C21" s="25">
        <v>115</v>
      </c>
      <c r="D21" s="14">
        <f>C21</f>
        <v>115</v>
      </c>
      <c r="E21" s="25">
        <v>112</v>
      </c>
      <c r="F21" s="25">
        <v>105</v>
      </c>
      <c r="G21" s="31">
        <f>F21</f>
        <v>105</v>
      </c>
      <c r="H21" s="1"/>
    </row>
    <row r="22">
      <c r="A22" s="37" t="s">
        <v>461</v>
      </c>
      <c r="B22" s="25">
        <v>14039</v>
      </c>
      <c r="C22" s="25">
        <v>14428</v>
      </c>
      <c r="D22" s="14">
        <f>C22</f>
        <v>14428</v>
      </c>
      <c r="E22" s="25">
        <v>14680</v>
      </c>
      <c r="F22" s="25">
        <v>15235</v>
      </c>
      <c r="G22" s="31">
        <f>F22</f>
        <v>15235</v>
      </c>
      <c r="H22" s="1"/>
    </row>
    <row r="23">
      <c r="A23" s="8" t="s">
        <v>462</v>
      </c>
      <c r="B23" s="30">
        <f>B9+B10+B11+B12+B13+B14+B17+B18+B19+B20+B21+B22</f>
        <v>222747</v>
      </c>
      <c r="C23" s="30">
        <f>C9+C10+C11+C12+C13+C14+C17+C18+C19+C20+C21+C22</f>
        <v>226351</v>
      </c>
      <c r="D23" s="30">
        <f>D9+D10+D11+D12+D13+D14+D17+D18+D19+D20+D21+D22</f>
        <v>226351</v>
      </c>
      <c r="E23" s="30">
        <f>E9+E10+E11+E12+E13+E14+E17+E18+E19+E20+E21+E22</f>
        <v>227918</v>
      </c>
      <c r="F23" s="30">
        <f>F9+F10+F11+F12+F13+F14+F17+F18+F19+F20+F21+F22</f>
        <v>233836</v>
      </c>
      <c r="G23" s="38">
        <f>G9+G10+G11+G12+G13+G14+G17+G18+G19+G20+G21+G22</f>
        <v>235754.81613455314</v>
      </c>
      <c r="H23" s="1"/>
    </row>
    <row r="24">
      <c r="A24" s="37" t="s">
        <v>463</v>
      </c>
      <c r="B24" s="25">
        <v>222747</v>
      </c>
      <c r="C24" s="25">
        <v>226351</v>
      </c>
      <c r="D24" s="1"/>
      <c r="E24" s="25">
        <v>227918</v>
      </c>
      <c r="F24" s="25">
        <v>233836</v>
      </c>
      <c r="G24" s="41"/>
      <c r="H24" s="1"/>
    </row>
    <row r="25">
      <c r="A25" s="32" t="s">
        <v>216</v>
      </c>
      <c r="B25" s="35">
        <f>ROUND(B23-B24,6)</f>
        <v>0</v>
      </c>
      <c r="C25" s="35">
        <f>ROUND(C23-C24,6)</f>
        <v>0</v>
      </c>
      <c r="D25" s="1"/>
      <c r="E25" s="35">
        <f>ROUND(E23-E24,6)</f>
        <v>0</v>
      </c>
      <c r="F25" s="35">
        <f>ROUND(F23-F24,6)</f>
        <v>0</v>
      </c>
      <c r="G25" s="41"/>
      <c r="H25" s="1"/>
    </row>
    <row r="26">
      <c r="A26" s="8" t="s">
        <v>464</v>
      </c>
      <c r="B26" s="1"/>
      <c r="C26" s="1"/>
      <c r="D26" s="1"/>
      <c r="E26" s="1"/>
      <c r="F26" s="1"/>
      <c r="G26" s="41"/>
      <c r="H26" s="1"/>
    </row>
    <row r="27">
      <c r="A27" s="37" t="s">
        <v>465</v>
      </c>
      <c r="B27" s="25">
        <v>39472</v>
      </c>
      <c r="C27" s="25">
        <v>40417</v>
      </c>
      <c r="D27" s="14">
        <f>C27</f>
        <v>40417</v>
      </c>
      <c r="E27" s="25">
        <v>41672</v>
      </c>
      <c r="F27" s="25">
        <v>40939</v>
      </c>
      <c r="G27" s="31">
        <f>F27*(1+G62)</f>
        <v>41348.39</v>
      </c>
      <c r="H27" s="1"/>
    </row>
    <row r="28">
      <c r="A28" s="37" t="s">
        <v>466</v>
      </c>
      <c r="B28" s="25">
        <v>140539</v>
      </c>
      <c r="C28" s="25">
        <v>142896</v>
      </c>
      <c r="D28" s="14">
        <f>C28</f>
        <v>142896</v>
      </c>
      <c r="E28" s="25">
        <v>142363</v>
      </c>
      <c r="F28" s="25">
        <v>144681</v>
      </c>
      <c r="G28" s="31">
        <f>F28*(1+G62)</f>
        <v>146127.81</v>
      </c>
      <c r="H28" s="1"/>
    </row>
    <row r="29">
      <c r="A29" s="8" t="s">
        <v>467</v>
      </c>
      <c r="B29" s="30">
        <f>B27+B28</f>
        <v>180011</v>
      </c>
      <c r="C29" s="30">
        <f>C27+C28</f>
        <v>183313</v>
      </c>
      <c r="D29" s="30">
        <f>D27+D28</f>
        <v>183313</v>
      </c>
      <c r="E29" s="30">
        <f>E27+E28</f>
        <v>184035</v>
      </c>
      <c r="F29" s="30">
        <f>F27+F28</f>
        <v>185620</v>
      </c>
      <c r="G29" s="38">
        <f>G27+G28</f>
        <v>187476.2</v>
      </c>
      <c r="H29" s="1"/>
    </row>
    <row r="30">
      <c r="A30" s="37" t="s">
        <v>382</v>
      </c>
      <c r="B30" s="25">
        <v>214</v>
      </c>
      <c r="C30" s="25">
        <v>58</v>
      </c>
      <c r="D30" s="14">
        <f>C30</f>
        <v>58</v>
      </c>
      <c r="E30" s="25">
        <v>54</v>
      </c>
      <c r="F30" s="25">
        <v>1159</v>
      </c>
      <c r="G30" s="31">
        <f>F30</f>
        <v>1159</v>
      </c>
      <c r="H30" s="1"/>
    </row>
    <row r="31">
      <c r="A31" s="37" t="s">
        <v>468</v>
      </c>
      <c r="B31" s="25">
        <v>14</v>
      </c>
      <c r="C31" s="25">
        <v>2014</v>
      </c>
      <c r="D31" s="14">
        <f>C31</f>
        <v>2014</v>
      </c>
      <c r="E31" s="25">
        <v>2513</v>
      </c>
      <c r="F31" s="25">
        <v>5763</v>
      </c>
      <c r="G31" s="31">
        <f>F31+G58</f>
        <v>5763</v>
      </c>
      <c r="H31" s="1"/>
    </row>
    <row r="32">
      <c r="A32" s="37" t="s">
        <v>469</v>
      </c>
      <c r="B32" s="25">
        <v>6825</v>
      </c>
      <c r="C32" s="25">
        <v>6328</v>
      </c>
      <c r="D32" s="14">
        <f>C32</f>
        <v>6328</v>
      </c>
      <c r="E32" s="25">
        <v>7076</v>
      </c>
      <c r="F32" s="25">
        <v>7078</v>
      </c>
      <c r="G32" s="31">
        <f>F32</f>
        <v>7078</v>
      </c>
      <c r="H32" s="1"/>
    </row>
    <row r="33">
      <c r="A33" s="37" t="s">
        <v>470</v>
      </c>
      <c r="B33" s="25">
        <v>3602</v>
      </c>
      <c r="C33" s="25">
        <v>2882</v>
      </c>
      <c r="D33" s="14">
        <f>C33</f>
        <v>2882</v>
      </c>
      <c r="E33" s="25">
        <v>2671</v>
      </c>
      <c r="F33" s="25">
        <v>2349</v>
      </c>
      <c r="G33" s="31">
        <f>F33+G59</f>
        <v>2099</v>
      </c>
      <c r="H33" s="1"/>
    </row>
    <row r="34">
      <c r="A34" s="8" t="s">
        <v>471</v>
      </c>
      <c r="B34" s="30">
        <f>B31+B32+B33</f>
        <v>10441</v>
      </c>
      <c r="C34" s="30">
        <f>C31+C32+C33</f>
        <v>11224</v>
      </c>
      <c r="D34" s="30">
        <f>D31+D32+D33</f>
        <v>11224</v>
      </c>
      <c r="E34" s="30">
        <f>E31+E32+E33</f>
        <v>12260</v>
      </c>
      <c r="F34" s="30">
        <f>F31+F32+F33</f>
        <v>15190</v>
      </c>
      <c r="G34" s="38">
        <f>G31+G32+G33</f>
        <v>14940</v>
      </c>
      <c r="H34" s="1"/>
    </row>
    <row r="35">
      <c r="A35" s="37" t="s">
        <v>472</v>
      </c>
      <c r="B35" s="25">
        <v>6252</v>
      </c>
      <c r="C35" s="25">
        <v>5439</v>
      </c>
      <c r="D35" s="14">
        <f>C35</f>
        <v>5439</v>
      </c>
      <c r="E35" s="25">
        <v>5397</v>
      </c>
      <c r="F35" s="25">
        <v>5684</v>
      </c>
      <c r="G35" s="31">
        <f>F35</f>
        <v>5684</v>
      </c>
      <c r="H35" s="1"/>
    </row>
    <row r="36">
      <c r="A36" s="8" t="s">
        <v>473</v>
      </c>
      <c r="B36" s="30">
        <f>B29+B30+B34+B35</f>
        <v>196918</v>
      </c>
      <c r="C36" s="30">
        <f>C29+C30+C34+C35</f>
        <v>200034</v>
      </c>
      <c r="D36" s="30">
        <f>D29+D30+D34+D35</f>
        <v>200034</v>
      </c>
      <c r="E36" s="30">
        <f>E29+E30+E34+E35</f>
        <v>201746</v>
      </c>
      <c r="F36" s="30">
        <f>F29+F30+F34+F35</f>
        <v>207653</v>
      </c>
      <c r="G36" s="38">
        <f>G29+G30+G34+G35</f>
        <v>209259.2</v>
      </c>
      <c r="H36" s="1"/>
    </row>
    <row r="37">
      <c r="A37" s="8" t="s">
        <v>474</v>
      </c>
      <c r="B37" s="1"/>
      <c r="C37" s="1"/>
      <c r="D37" s="1"/>
      <c r="E37" s="1"/>
      <c r="F37" s="1"/>
      <c r="G37" s="41"/>
      <c r="H37" s="1"/>
    </row>
    <row r="38">
      <c r="A38" s="37" t="s">
        <v>475</v>
      </c>
      <c r="B38" s="25">
        <v>2111</v>
      </c>
      <c r="C38" s="25">
        <v>2111</v>
      </c>
      <c r="D38" s="14">
        <f>C38</f>
        <v>2111</v>
      </c>
      <c r="E38" s="25">
        <v>2111</v>
      </c>
      <c r="F38" s="25">
        <v>2111</v>
      </c>
      <c r="G38" s="138">
        <f>F38+'Income Statement'!G126</f>
        <v>2115</v>
      </c>
      <c r="H38" s="23" t="s">
        <v>476</v>
      </c>
    </row>
    <row r="39">
      <c r="A39" s="37" t="s">
        <v>477</v>
      </c>
      <c r="B39" s="25">
        <v>7</v>
      </c>
      <c r="C39" s="25">
        <v>7</v>
      </c>
      <c r="D39" s="14">
        <f>C39</f>
        <v>7</v>
      </c>
      <c r="E39" s="25">
        <v>7</v>
      </c>
      <c r="F39" s="25">
        <v>7</v>
      </c>
      <c r="G39" s="31">
        <f>F39</f>
        <v>7</v>
      </c>
      <c r="H39" s="1"/>
    </row>
    <row r="40">
      <c r="A40" s="37" t="s">
        <v>478</v>
      </c>
      <c r="B40" s="25">
        <v>22448</v>
      </c>
      <c r="C40" s="25">
        <v>22476</v>
      </c>
      <c r="D40" s="14">
        <f>C40</f>
        <v>22476</v>
      </c>
      <c r="E40" s="25">
        <v>22466</v>
      </c>
      <c r="F40" s="25">
        <v>22521</v>
      </c>
      <c r="G40" s="31">
        <f>F40+G60</f>
        <v>22561</v>
      </c>
      <c r="H40" s="1"/>
    </row>
    <row r="41">
      <c r="A41" s="37" t="s">
        <v>479</v>
      </c>
      <c r="B41" s="25">
        <v>11056</v>
      </c>
      <c r="C41" s="25">
        <v>11345</v>
      </c>
      <c r="D41" s="14">
        <f>C41</f>
        <v>11345</v>
      </c>
      <c r="E41" s="25">
        <v>11631</v>
      </c>
      <c r="F41" s="25">
        <v>11987</v>
      </c>
      <c r="G41" s="53">
        <f>F41+'Income Statement'!G77-'Income Statement'!G82-'Share Count'!G28</f>
        <v>12380.61613455312</v>
      </c>
      <c r="H41" s="1"/>
    </row>
    <row r="42">
      <c r="A42" s="37" t="s">
        <v>480</v>
      </c>
      <c r="B42" s="25">
        <v>-7526</v>
      </c>
      <c r="C42" s="25">
        <v>-7652</v>
      </c>
      <c r="D42" s="14">
        <f>C42</f>
        <v>-7652</v>
      </c>
      <c r="E42" s="25">
        <v>-7955</v>
      </c>
      <c r="F42" s="25">
        <v>-8182</v>
      </c>
      <c r="G42" s="53">
        <f>F42-'Share Count'!G11</f>
        <v>-8307</v>
      </c>
      <c r="H42" s="1"/>
    </row>
    <row r="43">
      <c r="A43" s="37" t="s">
        <v>481</v>
      </c>
      <c r="B43" s="25">
        <v>-2267</v>
      </c>
      <c r="C43" s="25">
        <v>-1970</v>
      </c>
      <c r="D43" s="14">
        <f>C43</f>
        <v>-1970</v>
      </c>
      <c r="E43" s="25">
        <v>-2088</v>
      </c>
      <c r="F43" s="25">
        <v>-2261</v>
      </c>
      <c r="G43" s="31">
        <f>F43+G61</f>
        <v>-2261</v>
      </c>
      <c r="H43" s="1"/>
    </row>
    <row r="44">
      <c r="A44" s="8" t="s">
        <v>482</v>
      </c>
      <c r="B44" s="30">
        <f>B38+B39+B40+B41+B42+B43</f>
        <v>25829</v>
      </c>
      <c r="C44" s="30">
        <f>C38+C39+C40+C41+C42+C43</f>
        <v>26317</v>
      </c>
      <c r="D44" s="30">
        <f>D38+D39+D40+D41+D42+D43</f>
        <v>26317</v>
      </c>
      <c r="E44" s="30">
        <f>E38+E39+E40+E41+E42+E43</f>
        <v>26172</v>
      </c>
      <c r="F44" s="30">
        <f>F38+F39+F40+F41+F42+F43</f>
        <v>26183</v>
      </c>
      <c r="G44" s="38">
        <f>G38+G39+G40+G41+G42+G43</f>
        <v>26495.61613455312</v>
      </c>
      <c r="H44" s="1"/>
    </row>
    <row r="45">
      <c r="A45" s="8" t="s">
        <v>483</v>
      </c>
      <c r="B45" s="30">
        <f>B36+B44</f>
        <v>222747</v>
      </c>
      <c r="C45" s="30">
        <f>C36+C44</f>
        <v>226351</v>
      </c>
      <c r="D45" s="30">
        <f>D36+D44</f>
        <v>226351</v>
      </c>
      <c r="E45" s="30">
        <f>E36+E44</f>
        <v>227918</v>
      </c>
      <c r="F45" s="30">
        <f>F36+F44</f>
        <v>233836</v>
      </c>
      <c r="G45" s="38">
        <f>G36+G44</f>
        <v>235754.81613455314</v>
      </c>
      <c r="H45" s="1"/>
    </row>
    <row r="46">
      <c r="A46" s="8" t="s">
        <v>484</v>
      </c>
      <c r="B46" s="30">
        <f>ROUND(B23-B36-B44,6)</f>
        <v>0</v>
      </c>
      <c r="C46" s="30">
        <f>ROUND(C23-C36-C44,6)</f>
        <v>0</v>
      </c>
      <c r="D46" s="30">
        <f>ROUND(D23-D36-D44,6)</f>
        <v>0</v>
      </c>
      <c r="E46" s="30">
        <f>ROUND(E23-E36-E44,6)</f>
        <v>0</v>
      </c>
      <c r="F46" s="30">
        <f>ROUND(F23-F36-F44,6)</f>
        <v>0</v>
      </c>
      <c r="G46" s="38">
        <f>ROUND(G23-G36-G44,6)</f>
        <v>0</v>
      </c>
      <c r="H46" s="88" t="s">
        <v>485</v>
      </c>
    </row>
    <row r="47">
      <c r="A47" s="8" t="s">
        <v>486</v>
      </c>
      <c r="B47" s="1"/>
      <c r="C47" s="1"/>
      <c r="D47" s="1"/>
      <c r="E47" s="1"/>
      <c r="F47" s="1"/>
      <c r="G47" s="41"/>
      <c r="H47" s="1"/>
    </row>
    <row r="48">
      <c r="A48" s="37" t="s">
        <v>487</v>
      </c>
      <c r="B48" s="25">
        <v>229</v>
      </c>
      <c r="C48" s="25">
        <v>240</v>
      </c>
      <c r="D48" s="14">
        <f>C48</f>
        <v>240</v>
      </c>
      <c r="E48" s="25">
        <v>227</v>
      </c>
      <c r="F48" s="25">
        <v>215</v>
      </c>
      <c r="G48" s="31">
        <f>F48</f>
        <v>215</v>
      </c>
      <c r="H48" s="23" t="s">
        <v>488</v>
      </c>
    </row>
    <row r="49">
      <c r="A49" s="3" t="s">
        <v>489</v>
      </c>
      <c r="B49" s="34">
        <f>B15/B29</f>
        <v>0.7825632877990789</v>
      </c>
      <c r="C49" s="34">
        <f>C15/C29</f>
        <v>0.7784063323386775</v>
      </c>
      <c r="D49" s="34">
        <f>D15/D29</f>
        <v>0.7784063323386775</v>
      </c>
      <c r="E49" s="34">
        <f>E15/E29</f>
        <v>0.7806504197571115</v>
      </c>
      <c r="F49" s="34">
        <f>F15/F29</f>
        <v>0.7945857127464713</v>
      </c>
      <c r="G49" s="40">
        <f>G15/G29</f>
        <v>0.7945857127464713</v>
      </c>
      <c r="H49" s="1"/>
    </row>
    <row r="50">
      <c r="A50" s="32" t="s">
        <v>204</v>
      </c>
      <c r="B50" s="24">
        <f>IFERROR((B49-(Inputs!E124/Inputs!E131))*10000,"unavail.")</f>
        <v>-130.68573114986214</v>
      </c>
      <c r="C50" s="26">
        <f>IFERROR((C49-B49)*10000,"unavail.")</f>
        <v>-41.569554604014016</v>
      </c>
      <c r="D50" s="1"/>
      <c r="E50" s="26">
        <f>IFERROR((E49-C49)*10000,"unavail.")</f>
        <v>22.4408741843396</v>
      </c>
      <c r="F50" s="26">
        <f>IFERROR((F49-E49)*10000,"unavail.")</f>
        <v>139.35292989359803</v>
      </c>
      <c r="G50" s="39">
        <f>IFERROR((G49-F49)*10000,"unavail.")</f>
        <v>0</v>
      </c>
      <c r="H50" s="1"/>
    </row>
    <row r="51">
      <c r="A51" s="32" t="s">
        <v>173</v>
      </c>
      <c r="B51" s="24">
        <f>IFERROR((B49-(Inputs!B124/Inputs!B131))*10000,"unavail.")</f>
        <v>-258.93912465779437</v>
      </c>
      <c r="C51" s="24">
        <f>IFERROR((C49-(Inputs!C124/Inputs!C131))*10000,"unavail.")</f>
        <v>-180.58857389889326</v>
      </c>
      <c r="D51" s="24">
        <f>IFERROR((D49-(Inputs!C124/Inputs!C131))*10000,"unavail.")</f>
        <v>-180.58857389889326</v>
      </c>
      <c r="E51" s="24">
        <f>IFERROR((E49-(Inputs!D124/Inputs!D131))*10000,"unavail.")</f>
        <v>55.738328309502535</v>
      </c>
      <c r="F51" s="24">
        <f>IFERROR((F49-(Inputs!E124/Inputs!E131))*10000,"unavail.")</f>
        <v>-10.461481675938522</v>
      </c>
      <c r="G51" s="39">
        <f>IFERROR((G49-B49)*10000,"unavail.")</f>
        <v>120.22424947392363</v>
      </c>
      <c r="H51" s="1"/>
    </row>
    <row r="52">
      <c r="A52" s="1" t="s">
        <v>490</v>
      </c>
      <c r="B52" s="14">
        <f>B44-B38-B20-B21</f>
        <v>15408</v>
      </c>
      <c r="C52" s="14">
        <f>C44-C38-C20-C21</f>
        <v>15904</v>
      </c>
      <c r="D52" s="14">
        <f>D44-D38-D20-D21</f>
        <v>15904</v>
      </c>
      <c r="E52" s="14">
        <f>E44-E38-E20-E21</f>
        <v>15728</v>
      </c>
      <c r="F52" s="14">
        <f>F44-F38-F20-F21</f>
        <v>15747</v>
      </c>
      <c r="G52" s="31">
        <f>G44-G38-G20-G21</f>
        <v>16055.616134553122</v>
      </c>
      <c r="H52" s="23" t="s">
        <v>491</v>
      </c>
    </row>
    <row r="53">
      <c r="A53" s="1" t="s">
        <v>492</v>
      </c>
      <c r="B53" s="18">
        <f>(B44-B38)/'Share Count'!B9</f>
        <v>54.97236592148864</v>
      </c>
      <c r="C53" s="18">
        <f>(C44-C38)/'Share Count'!C9</f>
        <v>56.392408449594704</v>
      </c>
      <c r="D53" s="18">
        <f>(D44-D38)/'Share Count'!D9</f>
        <v>56.392408449594704</v>
      </c>
      <c r="E53" s="18">
        <f>(E44-E38)/'Share Count'!E9</f>
        <v>56.478094740568565</v>
      </c>
      <c r="F53" s="18">
        <f>(F44-F38)/'Share Count'!F9</f>
        <v>56.95120011783921</v>
      </c>
      <c r="G53" s="73">
        <f>(G44-G38)/'Share Count'!G9</f>
        <v>57.892029822617985</v>
      </c>
      <c r="H53" s="1"/>
    </row>
    <row r="54">
      <c r="A54" s="8" t="s">
        <v>493</v>
      </c>
      <c r="B54" s="1"/>
      <c r="C54" s="1"/>
      <c r="D54" s="1"/>
      <c r="E54" s="1"/>
      <c r="F54" s="1"/>
      <c r="G54" s="41"/>
      <c r="H54" s="1"/>
    </row>
    <row r="55">
      <c r="A55" s="3" t="s">
        <v>494</v>
      </c>
      <c r="B55" s="27">
        <f>B15/Inputs!E124-1</f>
        <v>0.011241601102624399</v>
      </c>
      <c r="C55" s="34">
        <f>C15/B15-1</f>
        <v>0.012933910697806583</v>
      </c>
      <c r="D55" s="131">
        <f>D15/Inputs!C124-1</f>
        <v>0.025064114997521703</v>
      </c>
      <c r="E55" s="34">
        <f>E15/C15-1</f>
        <v>0.0068328988310486505</v>
      </c>
      <c r="F55" s="34">
        <f>F15/E15-1</f>
        <v>0.02661710761691971</v>
      </c>
      <c r="G55" s="29">
        <v>0.01</v>
      </c>
      <c r="H55" s="23" t="s">
        <v>495</v>
      </c>
    </row>
    <row r="56">
      <c r="A56" s="1" t="s">
        <v>496</v>
      </c>
      <c r="B56" s="20">
        <f>B12-Inputs!E126</f>
        <v>761</v>
      </c>
      <c r="C56" s="14">
        <f>C12-B12</f>
        <v>278</v>
      </c>
      <c r="D56" s="1"/>
      <c r="E56" s="14">
        <f>E12-C12</f>
        <v>664</v>
      </c>
      <c r="F56" s="14">
        <f>F12-E12</f>
        <v>1087</v>
      </c>
      <c r="G56" s="51">
        <v>500</v>
      </c>
      <c r="H56" s="23" t="s">
        <v>497</v>
      </c>
    </row>
    <row r="57">
      <c r="A57" s="1" t="s">
        <v>498</v>
      </c>
      <c r="B57" s="20">
        <f>B13-Inputs!E127</f>
        <v>-169</v>
      </c>
      <c r="C57" s="14">
        <f>C13-B13</f>
        <v>-191</v>
      </c>
      <c r="D57" s="1"/>
      <c r="E57" s="14">
        <f>E13-C13</f>
        <v>-133</v>
      </c>
      <c r="F57" s="14">
        <f>F13-E13</f>
        <v>-162</v>
      </c>
      <c r="G57" s="51">
        <v>-160</v>
      </c>
      <c r="H57" s="23" t="s">
        <v>499</v>
      </c>
    </row>
    <row r="58">
      <c r="A58" s="1" t="s">
        <v>500</v>
      </c>
      <c r="B58" s="20">
        <f>B31-Inputs!E128</f>
        <v>-1528</v>
      </c>
      <c r="C58" s="14">
        <f>C31-B31</f>
        <v>2000</v>
      </c>
      <c r="D58" s="1"/>
      <c r="E58" s="14">
        <f>E31-C31</f>
        <v>499</v>
      </c>
      <c r="F58" s="14">
        <f>F31-E31</f>
        <v>3250</v>
      </c>
      <c r="G58" s="51">
        <v>0</v>
      </c>
      <c r="H58" s="23" t="s">
        <v>501</v>
      </c>
    </row>
    <row r="59">
      <c r="A59" s="1" t="s">
        <v>502</v>
      </c>
      <c r="B59" s="20">
        <f>B33-Inputs!E129</f>
        <v>-561</v>
      </c>
      <c r="C59" s="14">
        <f>C33-B33</f>
        <v>-720</v>
      </c>
      <c r="D59" s="1"/>
      <c r="E59" s="14">
        <f>E33-C33</f>
        <v>-211</v>
      </c>
      <c r="F59" s="14">
        <f>F33-E33</f>
        <v>-322</v>
      </c>
      <c r="G59" s="51">
        <v>-250</v>
      </c>
      <c r="H59" s="23" t="s">
        <v>503</v>
      </c>
    </row>
    <row r="60">
      <c r="A60" s="1" t="s">
        <v>504</v>
      </c>
      <c r="B60" s="1"/>
      <c r="C60" s="1"/>
      <c r="D60" s="1"/>
      <c r="E60" s="1"/>
      <c r="F60" s="1"/>
      <c r="G60" s="51">
        <v>40</v>
      </c>
      <c r="H60" s="23" t="s">
        <v>505</v>
      </c>
    </row>
    <row r="61">
      <c r="A61" s="1" t="s">
        <v>506</v>
      </c>
      <c r="B61" s="20">
        <f>B43-Inputs!E130</f>
        <v>372</v>
      </c>
      <c r="C61" s="14">
        <f>C43-B43</f>
        <v>297</v>
      </c>
      <c r="D61" s="1"/>
      <c r="E61" s="14">
        <f>E43-C43</f>
        <v>-118</v>
      </c>
      <c r="F61" s="14">
        <f>F43-E43</f>
        <v>-173</v>
      </c>
      <c r="G61" s="51">
        <v>0</v>
      </c>
      <c r="H61" s="23" t="s">
        <v>507</v>
      </c>
    </row>
    <row r="62">
      <c r="A62" s="3" t="s">
        <v>508</v>
      </c>
      <c r="B62" s="27">
        <f>B29/Inputs!E131-1</f>
        <v>0.0281290337319946</v>
      </c>
      <c r="C62" s="34">
        <f>C29/B29-1</f>
        <v>0.018343323463566152</v>
      </c>
      <c r="D62" s="131">
        <f>D29/Inputs!C131-1</f>
        <v>0.04884537922826926</v>
      </c>
      <c r="E62" s="34">
        <f>E29/C29-1</f>
        <v>0.003938618646795344</v>
      </c>
      <c r="F62" s="34">
        <f>F29/E29-1</f>
        <v>0.008612492188985854</v>
      </c>
      <c r="G62" s="29">
        <v>0.01</v>
      </c>
      <c r="H62" s="23" t="s">
        <v>509</v>
      </c>
    </row>
    <row r="63">
      <c r="A63" s="1"/>
      <c r="B63" s="1"/>
      <c r="C63" s="1"/>
      <c r="D63" s="1"/>
      <c r="E63" s="1"/>
      <c r="F63" s="1"/>
      <c r="G63" s="1"/>
      <c r="H63" s="1"/>
    </row>
    <row r="64">
      <c r="A64" s="1"/>
      <c r="B64" s="1"/>
      <c r="C64" s="1"/>
      <c r="D64" s="1"/>
      <c r="E64" s="1"/>
      <c r="F64" s="1"/>
      <c r="G64" s="1"/>
      <c r="H64" s="1"/>
    </row>
    <row r="65">
      <c r="A65" s="1"/>
      <c r="B65" s="1"/>
      <c r="C65" s="1"/>
      <c r="D65" s="1"/>
      <c r="E65" s="1"/>
      <c r="F65" s="1"/>
      <c r="G65" s="1"/>
      <c r="H65" s="1"/>
    </row>
    <row r="66">
      <c r="A66" s="1"/>
      <c r="B66" s="1"/>
      <c r="C66" s="1"/>
      <c r="D66" s="1"/>
      <c r="E66" s="1"/>
      <c r="F66" s="1"/>
      <c r="G66" s="1"/>
      <c r="H66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H61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510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511</v>
      </c>
      <c r="B8" s="1"/>
      <c r="C8" s="1"/>
      <c r="D8" s="1"/>
      <c r="E8" s="1"/>
      <c r="F8" s="1"/>
      <c r="G8" s="41"/>
      <c r="H8" s="1"/>
    </row>
    <row r="9">
      <c r="A9" s="37" t="s">
        <v>358</v>
      </c>
      <c r="B9" s="20">
        <f>Inputs!C141-Inputs!B141</f>
        <v>494</v>
      </c>
      <c r="C9" s="20">
        <f>Inputs!D141-Inputs!C141</f>
        <v>528</v>
      </c>
      <c r="D9" s="20">
        <f>Inputs!B141+B9+C9</f>
        <v>1831</v>
      </c>
      <c r="E9" s="20">
        <f>Inputs!E141</f>
        <v>517</v>
      </c>
      <c r="F9" s="20">
        <f>Inputs!F141-Inputs!E141</f>
        <v>587</v>
      </c>
      <c r="G9" s="53">
        <f>'Income Statement'!G77</f>
        <v>624.6940640354726</v>
      </c>
      <c r="H9" s="1"/>
    </row>
    <row r="10">
      <c r="A10" s="37" t="s">
        <v>386</v>
      </c>
      <c r="B10" s="20">
        <f>Inputs!C142-Inputs!B142</f>
        <v>154</v>
      </c>
      <c r="C10" s="20">
        <f>Inputs!D142-Inputs!C142</f>
        <v>137</v>
      </c>
      <c r="D10" s="20">
        <f>Inputs!B142+B10+C10</f>
        <v>608</v>
      </c>
      <c r="E10" s="20">
        <f>Inputs!E142</f>
        <v>140</v>
      </c>
      <c r="F10" s="20">
        <f>Inputs!F142-Inputs!E142</f>
        <v>134</v>
      </c>
      <c r="G10" s="53">
        <f>'Income Statement'!G37</f>
        <v>140.17316133534266</v>
      </c>
      <c r="H10" s="1"/>
    </row>
    <row r="11">
      <c r="A11" s="37" t="s">
        <v>512</v>
      </c>
      <c r="B11" s="20">
        <f>Inputs!C143-Inputs!B143</f>
        <v>216</v>
      </c>
      <c r="C11" s="20">
        <f>Inputs!D143-Inputs!C143</f>
        <v>-333</v>
      </c>
      <c r="D11" s="20">
        <f>Inputs!B143+B11+C11</f>
        <v>-414</v>
      </c>
      <c r="E11" s="20">
        <f>Inputs!E143</f>
        <v>-285</v>
      </c>
      <c r="F11" s="20">
        <f>Inputs!F143-Inputs!E143</f>
        <v>37</v>
      </c>
      <c r="G11" s="134">
        <f>-('Balance Sheet'!G14-'Balance Sheet'!F14)</f>
        <v>0</v>
      </c>
      <c r="H11" s="1"/>
    </row>
    <row r="12">
      <c r="A12" s="37" t="s">
        <v>513</v>
      </c>
      <c r="B12" s="20">
        <f>Inputs!C144-Inputs!B144</f>
        <v>119</v>
      </c>
      <c r="C12" s="20">
        <f>Inputs!D144-Inputs!C144</f>
        <v>112</v>
      </c>
      <c r="D12" s="20">
        <f>Inputs!B144+B12+C12</f>
        <v>478</v>
      </c>
      <c r="E12" s="20">
        <f>Inputs!E144</f>
        <v>113</v>
      </c>
      <c r="F12" s="20">
        <f>Inputs!F144-Inputs!E144</f>
        <v>99</v>
      </c>
      <c r="G12" s="121">
        <v>0</v>
      </c>
      <c r="H12" s="23" t="s">
        <v>514</v>
      </c>
    </row>
    <row r="13">
      <c r="A13" s="37" t="s">
        <v>515</v>
      </c>
      <c r="B13" s="20">
        <f>Inputs!C145-Inputs!B145</f>
        <v>22</v>
      </c>
      <c r="C13" s="20">
        <f>Inputs!D145-Inputs!C145</f>
        <v>11</v>
      </c>
      <c r="D13" s="20">
        <f>Inputs!B145+B13+C13</f>
        <v>-82</v>
      </c>
      <c r="E13" s="20">
        <f>Inputs!E145</f>
        <v>52</v>
      </c>
      <c r="F13" s="20">
        <f>Inputs!F145-Inputs!E145</f>
        <v>-58</v>
      </c>
      <c r="G13" s="121">
        <v>0</v>
      </c>
      <c r="H13" s="23" t="s">
        <v>514</v>
      </c>
    </row>
    <row r="14">
      <c r="A14" s="37" t="s">
        <v>516</v>
      </c>
      <c r="B14" s="20">
        <f>Inputs!C146-Inputs!B146</f>
        <v>23</v>
      </c>
      <c r="C14" s="20">
        <f>Inputs!D146-Inputs!C146</f>
        <v>23</v>
      </c>
      <c r="D14" s="20">
        <f>Inputs!B146+B14+C14</f>
        <v>120</v>
      </c>
      <c r="E14" s="20">
        <f>Inputs!E146</f>
        <v>33</v>
      </c>
      <c r="F14" s="20">
        <f>Inputs!F146-Inputs!E146</f>
        <v>49</v>
      </c>
      <c r="G14" s="53">
        <f>'Balance Sheet'!G60</f>
        <v>40</v>
      </c>
      <c r="H14" s="1"/>
    </row>
    <row r="15">
      <c r="A15" s="37" t="s">
        <v>517</v>
      </c>
      <c r="B15" s="20">
        <f>Inputs!C147-Inputs!B147</f>
        <v>-2</v>
      </c>
      <c r="C15" s="20">
        <f>Inputs!D147-Inputs!C147</f>
        <v>-8</v>
      </c>
      <c r="D15" s="20">
        <f>Inputs!B147+B15+C15</f>
        <v>-24</v>
      </c>
      <c r="E15" s="20">
        <f>Inputs!E147</f>
        <v>-7</v>
      </c>
      <c r="F15" s="20">
        <f>Inputs!F147-Inputs!E147</f>
        <v>-6</v>
      </c>
      <c r="G15" s="121">
        <v>0</v>
      </c>
      <c r="H15" s="23" t="s">
        <v>514</v>
      </c>
    </row>
    <row r="16">
      <c r="A16" s="37" t="s">
        <v>518</v>
      </c>
      <c r="B16" s="20">
        <f>Inputs!C148-Inputs!B148</f>
        <v>-2</v>
      </c>
      <c r="C16" s="20">
        <f>Inputs!D148-Inputs!C148</f>
        <v>-268</v>
      </c>
      <c r="D16" s="20">
        <f>Inputs!B148+B16+C16</f>
        <v>89</v>
      </c>
      <c r="E16" s="20">
        <f>Inputs!E148</f>
        <v>-256</v>
      </c>
      <c r="F16" s="20">
        <f>Inputs!F148-Inputs!E148</f>
        <v>-246</v>
      </c>
      <c r="G16" s="134">
        <f>-('Balance Sheet'!G22-'Balance Sheet'!F22)</f>
        <v>0</v>
      </c>
      <c r="H16" s="1"/>
    </row>
    <row r="17">
      <c r="A17" s="37" t="s">
        <v>519</v>
      </c>
      <c r="B17" s="20">
        <f>Inputs!C149-Inputs!B149</f>
        <v>672</v>
      </c>
      <c r="C17" s="20">
        <f>Inputs!D149-Inputs!C149</f>
        <v>-360</v>
      </c>
      <c r="D17" s="20">
        <f>Inputs!B149+B17+C17</f>
        <v>-395</v>
      </c>
      <c r="E17" s="20">
        <f>Inputs!E149</f>
        <v>-70</v>
      </c>
      <c r="F17" s="20">
        <f>Inputs!F149-Inputs!E149</f>
        <v>130</v>
      </c>
      <c r="G17" s="134">
        <f>'Balance Sheet'!G35-'Balance Sheet'!F35-('Balance Sheet'!G48-'Balance Sheet'!F48)</f>
        <v>0</v>
      </c>
      <c r="H17" s="1"/>
    </row>
    <row r="18">
      <c r="A18" s="8" t="s">
        <v>520</v>
      </c>
      <c r="B18" s="30">
        <f>B9+B10+B11+B12+B13+B14+B15+B16+B17</f>
        <v>1696</v>
      </c>
      <c r="C18" s="30">
        <f>C9+C10+C11+C12+C13+C14+C15+C16+C17</f>
        <v>-158</v>
      </c>
      <c r="D18" s="30">
        <f>D9+D10+D11+D12+D13+D14+D15+D16+D17</f>
        <v>2211</v>
      </c>
      <c r="E18" s="30">
        <f>E9+E10+E11+E12+E13+E14+E15+E16+E17</f>
        <v>237</v>
      </c>
      <c r="F18" s="30">
        <f>F9+F10+F11+F12+F13+F14+F15+F16+F17</f>
        <v>726</v>
      </c>
      <c r="G18" s="123">
        <f>G9+G10+G11+G12+G13+G14+G15+G16+G17</f>
        <v>804.8672253708153</v>
      </c>
      <c r="H18" s="88" t="s">
        <v>521</v>
      </c>
    </row>
    <row r="19">
      <c r="A19" s="37" t="s">
        <v>522</v>
      </c>
      <c r="B19" s="20">
        <f>Inputs!C150-Inputs!B150</f>
        <v>1696</v>
      </c>
      <c r="C19" s="20">
        <f>Inputs!D150-Inputs!C150</f>
        <v>-158</v>
      </c>
      <c r="D19" s="20">
        <f>Inputs!D150</f>
        <v>2211</v>
      </c>
      <c r="E19" s="20">
        <f>Inputs!E150</f>
        <v>237</v>
      </c>
      <c r="F19" s="20">
        <f>Inputs!F150-Inputs!E150</f>
        <v>726</v>
      </c>
      <c r="G19" s="41"/>
      <c r="H19" s="88" t="s">
        <v>523</v>
      </c>
    </row>
    <row r="20">
      <c r="A20" s="32" t="s">
        <v>524</v>
      </c>
      <c r="B20" s="35">
        <f>ROUND(B18-B19,6)</f>
        <v>0</v>
      </c>
      <c r="C20" s="35">
        <f>ROUND(C18-C19,6)</f>
        <v>0</v>
      </c>
      <c r="D20" s="35">
        <f>ROUND(D18-D19,6)</f>
        <v>0</v>
      </c>
      <c r="E20" s="35">
        <f>ROUND(E18-E19,6)</f>
        <v>0</v>
      </c>
      <c r="F20" s="35">
        <f>ROUND(F18-F19,6)</f>
        <v>0</v>
      </c>
      <c r="G20" s="41"/>
      <c r="H20" s="1"/>
    </row>
    <row r="21">
      <c r="A21" s="8" t="s">
        <v>525</v>
      </c>
      <c r="B21" s="1"/>
      <c r="C21" s="1"/>
      <c r="D21" s="1"/>
      <c r="E21" s="1"/>
      <c r="F21" s="1"/>
      <c r="G21" s="41"/>
      <c r="H21" s="1"/>
    </row>
    <row r="22">
      <c r="A22" s="37" t="s">
        <v>526</v>
      </c>
      <c r="B22" s="20">
        <f>Inputs!C151-Inputs!B151</f>
        <v>-1420</v>
      </c>
      <c r="C22" s="20">
        <f>Inputs!D151-Inputs!C151</f>
        <v>-3918</v>
      </c>
      <c r="D22" s="20">
        <f>Inputs!B151+B22+C22</f>
        <v>-9463</v>
      </c>
      <c r="E22" s="20">
        <f>Inputs!E151</f>
        <v>-2516</v>
      </c>
      <c r="F22" s="20">
        <f>Inputs!F151-Inputs!E151</f>
        <v>-3138</v>
      </c>
      <c r="G22" s="53">
        <f>-'Balance Sheet'!G56</f>
        <v>-500</v>
      </c>
      <c r="H22" s="1"/>
    </row>
    <row r="23">
      <c r="A23" s="37" t="s">
        <v>527</v>
      </c>
      <c r="B23" s="20">
        <f>Inputs!C152-Inputs!B152</f>
        <v>961</v>
      </c>
      <c r="C23" s="20">
        <f>Inputs!D152-Inputs!C152</f>
        <v>1248</v>
      </c>
      <c r="D23" s="20">
        <f>Inputs!B152+B23+C23</f>
        <v>4018</v>
      </c>
      <c r="E23" s="20">
        <f>Inputs!E152</f>
        <v>1137</v>
      </c>
      <c r="F23" s="20">
        <f>Inputs!F152-Inputs!E152</f>
        <v>1279</v>
      </c>
      <c r="G23" s="121">
        <v>0</v>
      </c>
      <c r="H23" s="23" t="s">
        <v>514</v>
      </c>
    </row>
    <row r="24">
      <c r="A24" s="37" t="s">
        <v>528</v>
      </c>
      <c r="B24" s="20">
        <f>Inputs!C153-Inputs!B153</f>
        <v>101</v>
      </c>
      <c r="C24" s="20">
        <f>Inputs!D153-Inputs!C153</f>
        <v>2579</v>
      </c>
      <c r="D24" s="20">
        <f>Inputs!B153+B24+C24</f>
        <v>3797</v>
      </c>
      <c r="E24" s="20">
        <f>Inputs!E153</f>
        <v>547</v>
      </c>
      <c r="F24" s="20">
        <f>Inputs!F153-Inputs!E153</f>
        <v>636</v>
      </c>
      <c r="G24" s="121">
        <v>0</v>
      </c>
      <c r="H24" s="23" t="s">
        <v>514</v>
      </c>
    </row>
    <row r="25">
      <c r="A25" s="37" t="s">
        <v>529</v>
      </c>
      <c r="B25" s="20">
        <f>Inputs!C154-Inputs!B154</f>
        <v>189</v>
      </c>
      <c r="C25" s="20">
        <f>Inputs!D154-Inputs!C154</f>
        <v>213</v>
      </c>
      <c r="D25" s="20">
        <f>Inputs!B154+B25+C25</f>
        <v>750</v>
      </c>
      <c r="E25" s="20">
        <f>Inputs!E154</f>
        <v>158</v>
      </c>
      <c r="F25" s="20">
        <f>Inputs!F154-Inputs!E154</f>
        <v>191</v>
      </c>
      <c r="G25" s="53">
        <f>-('Balance Sheet'!G13-'Balance Sheet'!F13)</f>
        <v>160</v>
      </c>
      <c r="H25" s="1"/>
    </row>
    <row r="26">
      <c r="A26" s="37" t="s">
        <v>530</v>
      </c>
      <c r="B26" s="20">
        <f>Inputs!C155-Inputs!B155</f>
        <v>-14</v>
      </c>
      <c r="C26" s="20">
        <f>Inputs!D155-Inputs!C155</f>
        <v>-267</v>
      </c>
      <c r="D26" s="20">
        <f>Inputs!B155+B26+C26</f>
        <v>-326</v>
      </c>
      <c r="E26" s="20">
        <f>Inputs!E155</f>
        <v>131</v>
      </c>
      <c r="F26" s="20">
        <f>Inputs!F155-Inputs!E155</f>
        <v>-277</v>
      </c>
      <c r="G26" s="134">
        <f>-('Balance Sheet'!G11-'Balance Sheet'!F11)</f>
        <v>0</v>
      </c>
      <c r="H26" s="1"/>
    </row>
    <row r="27">
      <c r="A27" s="37" t="s">
        <v>531</v>
      </c>
      <c r="B27" s="20">
        <f>Inputs!C156-Inputs!B156</f>
        <v>-139</v>
      </c>
      <c r="C27" s="20">
        <f>Inputs!D156-Inputs!C156</f>
        <v>-38</v>
      </c>
      <c r="D27" s="20">
        <f>Inputs!B156+B27+C27</f>
        <v>-680</v>
      </c>
      <c r="E27" s="20">
        <f>Inputs!E156</f>
        <v>-49</v>
      </c>
      <c r="F27" s="20">
        <f>Inputs!F156-Inputs!E156</f>
        <v>-54</v>
      </c>
      <c r="G27" s="121">
        <v>0</v>
      </c>
      <c r="H27" s="23" t="s">
        <v>514</v>
      </c>
    </row>
    <row r="28">
      <c r="A28" s="37" t="s">
        <v>532</v>
      </c>
      <c r="B28" s="20">
        <f>Inputs!C157-Inputs!B157</f>
        <v>517</v>
      </c>
      <c r="C28" s="20">
        <f>Inputs!D157-Inputs!C157</f>
        <v>463</v>
      </c>
      <c r="D28" s="20">
        <f>Inputs!B157+B28+C28</f>
        <v>1891</v>
      </c>
      <c r="E28" s="20">
        <f>Inputs!E157</f>
        <v>31</v>
      </c>
      <c r="F28" s="20">
        <f>Inputs!F157-Inputs!E157</f>
        <v>519</v>
      </c>
      <c r="G28" s="121">
        <v>0</v>
      </c>
      <c r="H28" s="23" t="s">
        <v>514</v>
      </c>
    </row>
    <row r="29">
      <c r="A29" s="37" t="s">
        <v>533</v>
      </c>
      <c r="B29" s="20">
        <f>Inputs!C158-Inputs!B158</f>
        <v>-1654</v>
      </c>
      <c r="C29" s="20">
        <f>Inputs!D158-Inputs!C158</f>
        <v>-1958</v>
      </c>
      <c r="D29" s="20">
        <f>Inputs!B158+B29+C29</f>
        <v>-5433</v>
      </c>
      <c r="E29" s="20">
        <f>Inputs!E158</f>
        <v>-1144</v>
      </c>
      <c r="F29" s="20">
        <f>Inputs!F158-Inputs!E158</f>
        <v>-4379</v>
      </c>
      <c r="G29" s="53">
        <f>-('Balance Sheet'!G15-'Balance Sheet'!F15)-'Income Statement'!G109</f>
        <v>-1609.284284335346</v>
      </c>
      <c r="H29" s="1"/>
    </row>
    <row r="30">
      <c r="A30" s="37" t="s">
        <v>534</v>
      </c>
      <c r="B30" s="20">
        <f>Inputs!C159-Inputs!B159</f>
        <v>-35</v>
      </c>
      <c r="C30" s="20">
        <f>Inputs!D159-Inputs!C159</f>
        <v>-92</v>
      </c>
      <c r="D30" s="20">
        <f>Inputs!B159+B30+C30</f>
        <v>-174</v>
      </c>
      <c r="E30" s="20">
        <f>Inputs!E159</f>
        <v>0</v>
      </c>
      <c r="F30" s="20">
        <f>Inputs!F159-Inputs!E159</f>
        <v>-21</v>
      </c>
      <c r="G30" s="122">
        <f>-('Balance Sheet'!G18-'Balance Sheet'!F18)</f>
        <v>0</v>
      </c>
      <c r="H30" s="88" t="s">
        <v>535</v>
      </c>
    </row>
    <row r="31">
      <c r="A31" s="37" t="s">
        <v>536</v>
      </c>
      <c r="B31" s="20">
        <f>Inputs!C160-Inputs!B160</f>
        <v>-3</v>
      </c>
      <c r="C31" s="20">
        <f>Inputs!D160-Inputs!C160</f>
        <v>-164</v>
      </c>
      <c r="D31" s="20">
        <f>Inputs!B160+B31+C31</f>
        <v>-347</v>
      </c>
      <c r="E31" s="20">
        <f>Inputs!E160</f>
        <v>-97</v>
      </c>
      <c r="F31" s="20">
        <f>Inputs!F160-Inputs!E160</f>
        <v>-217</v>
      </c>
      <c r="G31" s="134">
        <f>-('Balance Sheet'!G19-'Balance Sheet'!F19)-('Balance Sheet'!G20-'Balance Sheet'!F20)-('Balance Sheet'!G21-'Balance Sheet'!F21)</f>
        <v>0</v>
      </c>
      <c r="H31" s="1"/>
    </row>
    <row r="32">
      <c r="A32" s="8" t="s">
        <v>537</v>
      </c>
      <c r="B32" s="30">
        <f>B22+B23+B24+B25+B26+B27+B28+B29+B30+B31</f>
        <v>-1497</v>
      </c>
      <c r="C32" s="30">
        <f>C22+C23+C24+C25+C26+C27+C28+C29+C30+C31</f>
        <v>-1934</v>
      </c>
      <c r="D32" s="30">
        <f>D22+D23+D24+D25+D26+D27+D28+D29+D30+D31</f>
        <v>-5967</v>
      </c>
      <c r="E32" s="30">
        <f>E22+E23+E24+E25+E26+E27+E28+E29+E30+E31</f>
        <v>-1802</v>
      </c>
      <c r="F32" s="30">
        <f>F22+F23+F24+F25+F26+F27+F28+F29+F30+F31</f>
        <v>-5461</v>
      </c>
      <c r="G32" s="38">
        <f>G22+G23+G24+G25+G26+G27+G28+G29+G30+G31</f>
        <v>-1949.284284335346</v>
      </c>
      <c r="H32" s="1"/>
    </row>
    <row r="33">
      <c r="A33" s="37" t="s">
        <v>522</v>
      </c>
      <c r="B33" s="20">
        <f>Inputs!C161-Inputs!B161</f>
        <v>-1497</v>
      </c>
      <c r="C33" s="20">
        <f>Inputs!D161-Inputs!C161</f>
        <v>-1934</v>
      </c>
      <c r="D33" s="20">
        <f>Inputs!D161</f>
        <v>-5967</v>
      </c>
      <c r="E33" s="20">
        <f>Inputs!E161</f>
        <v>-1802</v>
      </c>
      <c r="F33" s="20">
        <f>Inputs!F161-Inputs!E161</f>
        <v>-5461</v>
      </c>
      <c r="G33" s="41"/>
      <c r="H33" s="1"/>
    </row>
    <row r="34">
      <c r="A34" s="32" t="s">
        <v>524</v>
      </c>
      <c r="B34" s="35">
        <f>ROUND(B32-B33,6)</f>
        <v>0</v>
      </c>
      <c r="C34" s="35">
        <f>ROUND(C32-C33,6)</f>
        <v>0</v>
      </c>
      <c r="D34" s="35">
        <f>ROUND(D32-D33,6)</f>
        <v>0</v>
      </c>
      <c r="E34" s="35">
        <f>ROUND(E32-E33,6)</f>
        <v>0</v>
      </c>
      <c r="F34" s="35">
        <f>ROUND(F32-F33,6)</f>
        <v>0</v>
      </c>
      <c r="G34" s="41"/>
      <c r="H34" s="1"/>
    </row>
    <row r="35">
      <c r="A35" s="8" t="s">
        <v>538</v>
      </c>
      <c r="B35" s="1"/>
      <c r="C35" s="1"/>
      <c r="D35" s="1"/>
      <c r="E35" s="1"/>
      <c r="F35" s="1"/>
      <c r="G35" s="41"/>
      <c r="H35" s="1"/>
    </row>
    <row r="36">
      <c r="A36" s="37" t="s">
        <v>539</v>
      </c>
      <c r="B36" s="20">
        <f>Inputs!C162-Inputs!B162</f>
        <v>4925</v>
      </c>
      <c r="C36" s="20">
        <f>Inputs!D162-Inputs!C162</f>
        <v>3302</v>
      </c>
      <c r="D36" s="20">
        <f>Inputs!B162+B36+C36</f>
        <v>8537</v>
      </c>
      <c r="E36" s="20">
        <f>Inputs!E162</f>
        <v>722</v>
      </c>
      <c r="F36" s="20">
        <f>Inputs!F162-Inputs!E162</f>
        <v>1585</v>
      </c>
      <c r="G36" s="53">
        <f>'Balance Sheet'!G29-'Balance Sheet'!F29</f>
        <v>1856.2000000000116</v>
      </c>
      <c r="H36" s="1"/>
    </row>
    <row r="37">
      <c r="A37" s="37" t="s">
        <v>540</v>
      </c>
      <c r="B37" s="20">
        <f>Inputs!C163-Inputs!B163</f>
        <v>-35</v>
      </c>
      <c r="C37" s="20">
        <f>Inputs!D163-Inputs!C163</f>
        <v>-156</v>
      </c>
      <c r="D37" s="20">
        <f>Inputs!B163+B37+C37</f>
        <v>58</v>
      </c>
      <c r="E37" s="20">
        <f>Inputs!E163</f>
        <v>-4</v>
      </c>
      <c r="F37" s="20">
        <f>Inputs!F163-Inputs!E163</f>
        <v>1105</v>
      </c>
      <c r="G37" s="137">
        <f>'Balance Sheet'!G30-'Balance Sheet'!F30</f>
        <v>0</v>
      </c>
      <c r="H37" s="1"/>
    </row>
    <row r="38">
      <c r="A38" s="37" t="s">
        <v>541</v>
      </c>
      <c r="B38" s="20">
        <f>Inputs!C164-Inputs!B164</f>
        <v>501</v>
      </c>
      <c r="C38" s="20">
        <f>Inputs!D164-Inputs!C164</f>
        <v>2000</v>
      </c>
      <c r="D38" s="20">
        <f>Inputs!B164+B38+C38</f>
        <v>8534</v>
      </c>
      <c r="E38" s="20">
        <f>Inputs!E164</f>
        <v>3647</v>
      </c>
      <c r="F38" s="20">
        <f>Inputs!F164-Inputs!E164</f>
        <v>7000</v>
      </c>
      <c r="G38" s="53">
        <f>'Balance Sheet'!G34-'Balance Sheet'!F34</f>
        <v>-250</v>
      </c>
      <c r="H38" s="1"/>
    </row>
    <row r="39">
      <c r="A39" s="37" t="s">
        <v>542</v>
      </c>
      <c r="B39" s="20">
        <f>Inputs!C165-Inputs!B165</f>
        <v>-2594</v>
      </c>
      <c r="C39" s="20">
        <f>Inputs!D165-Inputs!C165</f>
        <v>-1224</v>
      </c>
      <c r="D39" s="20">
        <f>Inputs!B165+B39+C39</f>
        <v>-9744</v>
      </c>
      <c r="E39" s="20">
        <f>Inputs!E165</f>
        <v>-2618</v>
      </c>
      <c r="F39" s="20">
        <f>Inputs!F165-Inputs!E165</f>
        <v>-4075</v>
      </c>
      <c r="G39" s="121">
        <v>0</v>
      </c>
      <c r="H39" s="23" t="s">
        <v>514</v>
      </c>
    </row>
    <row r="40">
      <c r="A40" s="37" t="s">
        <v>543</v>
      </c>
      <c r="B40" s="20">
        <f>Inputs!C166-Inputs!B166</f>
        <v>-75</v>
      </c>
      <c r="C40" s="20">
        <f>Inputs!D166-Inputs!C166</f>
        <v>-125</v>
      </c>
      <c r="D40" s="20">
        <f>Inputs!B166+B40+C40</f>
        <v>-600</v>
      </c>
      <c r="E40" s="20">
        <f>Inputs!E166</f>
        <v>-300</v>
      </c>
      <c r="F40" s="20">
        <f>Inputs!F166-Inputs!E166</f>
        <v>-225</v>
      </c>
      <c r="G40" s="53">
        <f>-'Share Count'!G11</f>
        <v>-125</v>
      </c>
      <c r="H40" s="1"/>
    </row>
    <row r="41">
      <c r="A41" s="37" t="s">
        <v>544</v>
      </c>
      <c r="B41" s="20">
        <f>Inputs!C167-Inputs!B167</f>
        <v>393</v>
      </c>
      <c r="C41" s="20">
        <f>Inputs!D167-Inputs!C167</f>
        <v>0</v>
      </c>
      <c r="D41" s="20">
        <f>Inputs!B167+B41+C41</f>
        <v>393</v>
      </c>
      <c r="E41" s="20">
        <f>Inputs!E167</f>
        <v>0</v>
      </c>
      <c r="F41" s="20">
        <f>Inputs!F167-Inputs!E167</f>
        <v>0</v>
      </c>
      <c r="G41" s="121">
        <v>0</v>
      </c>
      <c r="H41" s="23" t="s">
        <v>514</v>
      </c>
    </row>
    <row r="42">
      <c r="A42" s="37" t="s">
        <v>545</v>
      </c>
      <c r="B42" s="20">
        <f>Inputs!C168-Inputs!B168</f>
        <v>0</v>
      </c>
      <c r="C42" s="20">
        <f>Inputs!D168-Inputs!C168</f>
        <v>-400</v>
      </c>
      <c r="D42" s="20">
        <f>Inputs!B168+B42+C42</f>
        <v>-400</v>
      </c>
      <c r="E42" s="20">
        <f>Inputs!E168</f>
        <v>0</v>
      </c>
      <c r="F42" s="20">
        <f>Inputs!F168-Inputs!E168</f>
        <v>0</v>
      </c>
      <c r="G42" s="53">
        <f>'Balance Sheet'!G38-'Balance Sheet'!F38-'Income Statement'!G126</f>
        <v>0</v>
      </c>
      <c r="H42" s="136" t="s">
        <v>546</v>
      </c>
    </row>
    <row r="43">
      <c r="A43" s="37" t="s">
        <v>547</v>
      </c>
      <c r="B43" s="20">
        <f>Inputs!C169-Inputs!B169</f>
        <v>-184</v>
      </c>
      <c r="C43" s="20">
        <f>Inputs!D169-Inputs!C169</f>
        <v>-200</v>
      </c>
      <c r="D43" s="20">
        <f>Inputs!B169+B43+C43</f>
        <v>-755</v>
      </c>
      <c r="E43" s="20">
        <f>Inputs!E169</f>
        <v>-198</v>
      </c>
      <c r="F43" s="20">
        <f>Inputs!F169-Inputs!E169</f>
        <v>-198</v>
      </c>
      <c r="G43" s="53">
        <f>-'Share Count'!G28</f>
        <v>-194.07792948235297</v>
      </c>
      <c r="H43" s="136"/>
    </row>
    <row r="44">
      <c r="A44" s="37" t="s">
        <v>548</v>
      </c>
      <c r="B44" s="20">
        <f>Inputs!C170-Inputs!B170</f>
        <v>-33</v>
      </c>
      <c r="C44" s="20">
        <f>Inputs!D170-Inputs!C170</f>
        <v>-33</v>
      </c>
      <c r="D44" s="20">
        <f>Inputs!B170+B44+C44</f>
        <v>-133</v>
      </c>
      <c r="E44" s="20">
        <f>Inputs!E170</f>
        <v>-38</v>
      </c>
      <c r="F44" s="20">
        <f>Inputs!F170-Inputs!E170</f>
        <v>-33</v>
      </c>
      <c r="G44" s="53">
        <f>-'Income Statement'!G123</f>
        <v>-33</v>
      </c>
      <c r="H44" s="136" t="s">
        <v>549</v>
      </c>
    </row>
    <row r="45">
      <c r="A45" s="37" t="s">
        <v>550</v>
      </c>
      <c r="B45" s="20">
        <f>Inputs!C171-Inputs!B171</f>
        <v>5</v>
      </c>
      <c r="C45" s="20">
        <f>Inputs!D171-Inputs!C171</f>
        <v>5</v>
      </c>
      <c r="D45" s="20">
        <f>Inputs!B171+B45+C45</f>
        <v>-8</v>
      </c>
      <c r="E45" s="20">
        <f>Inputs!E171</f>
        <v>-43</v>
      </c>
      <c r="F45" s="20">
        <f>Inputs!F171-Inputs!E171</f>
        <v>6</v>
      </c>
      <c r="G45" s="137">
        <f>'Balance Sheet'!G39-'Balance Sheet'!F39</f>
        <v>0</v>
      </c>
      <c r="H45" s="1"/>
    </row>
    <row r="46">
      <c r="A46" s="8" t="s">
        <v>551</v>
      </c>
      <c r="B46" s="30">
        <f>B36+B37+B38+B39+B40+B41+B42+B43+B44+B45</f>
        <v>2903</v>
      </c>
      <c r="C46" s="30">
        <f>C36+C37+C38+C39+C40+C41+C42+C43+C44+C45</f>
        <v>3169</v>
      </c>
      <c r="D46" s="30">
        <f>D36+D37+D38+D39+D40+D41+D42+D43+D44+D45</f>
        <v>5882</v>
      </c>
      <c r="E46" s="30">
        <f>E36+E37+E38+E39+E40+E41+E42+E43+E44+E45</f>
        <v>1168</v>
      </c>
      <c r="F46" s="30">
        <f>F36+F37+F38+F39+F40+F41+F42+F43+F44+F45</f>
        <v>5165</v>
      </c>
      <c r="G46" s="38">
        <f>G36+G37+G38+G39+G40+G41+G42+G43+G44+G45</f>
        <v>1254.1220705176586</v>
      </c>
      <c r="H46" s="1"/>
    </row>
    <row r="47">
      <c r="A47" s="37" t="s">
        <v>522</v>
      </c>
      <c r="B47" s="20">
        <f>Inputs!C172-Inputs!B172</f>
        <v>2903</v>
      </c>
      <c r="C47" s="20">
        <f>Inputs!D172-Inputs!C172</f>
        <v>3169</v>
      </c>
      <c r="D47" s="20">
        <f>Inputs!D172</f>
        <v>5882</v>
      </c>
      <c r="E47" s="20">
        <f>Inputs!E172</f>
        <v>1168</v>
      </c>
      <c r="F47" s="20">
        <f>Inputs!F172-Inputs!E172</f>
        <v>5165</v>
      </c>
      <c r="G47" s="41"/>
      <c r="H47" s="1"/>
    </row>
    <row r="48">
      <c r="A48" s="32" t="s">
        <v>524</v>
      </c>
      <c r="B48" s="35">
        <f>ROUND(B46-B47,6)</f>
        <v>0</v>
      </c>
      <c r="C48" s="35">
        <f>ROUND(C46-C47,6)</f>
        <v>0</v>
      </c>
      <c r="D48" s="35">
        <f>ROUND(D46-D47,6)</f>
        <v>0</v>
      </c>
      <c r="E48" s="35">
        <f>ROUND(E46-E47,6)</f>
        <v>0</v>
      </c>
      <c r="F48" s="35">
        <f>ROUND(F46-F47,6)</f>
        <v>0</v>
      </c>
      <c r="G48" s="41"/>
      <c r="H48" s="1"/>
    </row>
    <row r="49">
      <c r="A49" s="8" t="s">
        <v>552</v>
      </c>
      <c r="B49" s="1"/>
      <c r="C49" s="1"/>
      <c r="D49" s="1"/>
      <c r="E49" s="1"/>
      <c r="F49" s="1"/>
      <c r="G49" s="41"/>
      <c r="H49" s="1"/>
    </row>
    <row r="50">
      <c r="A50" s="8" t="s">
        <v>553</v>
      </c>
      <c r="B50" s="30">
        <f>B18+B32+B46</f>
        <v>3102</v>
      </c>
      <c r="C50" s="30">
        <f>C18+C32+C46</f>
        <v>1077</v>
      </c>
      <c r="D50" s="30">
        <f>D18+D32+D46</f>
        <v>2126</v>
      </c>
      <c r="E50" s="30">
        <f>E18+E32+E46</f>
        <v>-397</v>
      </c>
      <c r="F50" s="30">
        <f>F18+F32+F46</f>
        <v>430</v>
      </c>
      <c r="G50" s="38">
        <f>G18+G32+G46</f>
        <v>109.70501155312786</v>
      </c>
      <c r="H50" s="1"/>
    </row>
    <row r="51">
      <c r="A51" s="1" t="s">
        <v>554</v>
      </c>
      <c r="B51" s="20">
        <f>Inputs!E132+Inputs!E133</f>
        <v>8548</v>
      </c>
      <c r="C51" s="14">
        <f>B52</f>
        <v>11650</v>
      </c>
      <c r="D51" s="20">
        <f>Inputs!C132+Inputs!C133</f>
        <v>10601</v>
      </c>
      <c r="E51" s="14">
        <f>C52</f>
        <v>12727</v>
      </c>
      <c r="F51" s="14">
        <f>E52</f>
        <v>12330</v>
      </c>
      <c r="G51" s="31">
        <f>F52</f>
        <v>12760</v>
      </c>
      <c r="H51" s="23" t="s">
        <v>555</v>
      </c>
    </row>
    <row r="52">
      <c r="A52" s="8" t="s">
        <v>556</v>
      </c>
      <c r="B52" s="30">
        <f>B51+B50</f>
        <v>11650</v>
      </c>
      <c r="C52" s="30">
        <f>C51+C50</f>
        <v>12727</v>
      </c>
      <c r="D52" s="30">
        <f>D51+D50</f>
        <v>12727</v>
      </c>
      <c r="E52" s="30">
        <f>E51+E50</f>
        <v>12330</v>
      </c>
      <c r="F52" s="30">
        <f>F51+F50</f>
        <v>12760</v>
      </c>
      <c r="G52" s="38">
        <f>G51+G50</f>
        <v>12869.705011553127</v>
      </c>
      <c r="H52" s="1"/>
    </row>
    <row r="53">
      <c r="A53" s="1" t="s">
        <v>557</v>
      </c>
      <c r="B53" s="20">
        <f>'Balance Sheet'!B9+'Balance Sheet'!B10</f>
        <v>11650</v>
      </c>
      <c r="C53" s="20">
        <f>'Balance Sheet'!C9+'Balance Sheet'!C10</f>
        <v>12727</v>
      </c>
      <c r="D53" s="20">
        <f>'Balance Sheet'!D9+'Balance Sheet'!D10</f>
        <v>12727</v>
      </c>
      <c r="E53" s="20">
        <f>'Balance Sheet'!E9+'Balance Sheet'!E10</f>
        <v>12330</v>
      </c>
      <c r="F53" s="20">
        <f>'Balance Sheet'!F9+'Balance Sheet'!F10</f>
        <v>12760</v>
      </c>
      <c r="G53" s="53">
        <f>'Balance Sheet'!G9+'Balance Sheet'!G10</f>
        <v>12869.705011553131</v>
      </c>
      <c r="H53" s="1"/>
    </row>
    <row r="54">
      <c r="A54" s="8" t="s">
        <v>558</v>
      </c>
      <c r="B54" s="30">
        <f>ROUND(B52-B53,6)</f>
        <v>0</v>
      </c>
      <c r="C54" s="30">
        <f>ROUND(C52-C53,6)</f>
        <v>0</v>
      </c>
      <c r="D54" s="30">
        <f>ROUND(D52-D53,6)</f>
        <v>0</v>
      </c>
      <c r="E54" s="30">
        <f>ROUND(E52-E53,6)</f>
        <v>0</v>
      </c>
      <c r="F54" s="30">
        <f>ROUND(F52-F53,6)</f>
        <v>0</v>
      </c>
      <c r="G54" s="38">
        <f>ROUND(G52-G53,6)</f>
        <v>0</v>
      </c>
      <c r="H54" s="117" t="s">
        <v>559</v>
      </c>
    </row>
    <row r="55">
      <c r="A55" s="8" t="s">
        <v>560</v>
      </c>
      <c r="B55" s="1"/>
      <c r="C55" s="1"/>
      <c r="D55" s="1"/>
      <c r="E55" s="1"/>
      <c r="F55" s="1"/>
      <c r="G55" s="41"/>
      <c r="H55" s="1"/>
    </row>
    <row r="56">
      <c r="A56" s="37" t="s">
        <v>561</v>
      </c>
      <c r="B56" s="14">
        <f>B30</f>
        <v>-35</v>
      </c>
      <c r="C56" s="14">
        <f>C30</f>
        <v>-92</v>
      </c>
      <c r="D56" s="14">
        <f>D30</f>
        <v>-174</v>
      </c>
      <c r="E56" s="14">
        <f>E30</f>
        <v>0</v>
      </c>
      <c r="F56" s="14">
        <f>F30</f>
        <v>-21</v>
      </c>
      <c r="G56" s="120">
        <f>G30</f>
        <v>0</v>
      </c>
      <c r="H56" s="88" t="s">
        <v>562</v>
      </c>
    </row>
    <row r="57">
      <c r="A57" s="37" t="s">
        <v>563</v>
      </c>
      <c r="B57" s="25" t="s">
        <v>114</v>
      </c>
      <c r="C57" s="25" t="s">
        <v>114</v>
      </c>
      <c r="D57" s="25" t="s">
        <v>114</v>
      </c>
      <c r="E57" s="25" t="s">
        <v>114</v>
      </c>
      <c r="F57" s="25" t="s">
        <v>114</v>
      </c>
      <c r="G57" s="51" t="s">
        <v>114</v>
      </c>
      <c r="H57" s="23" t="s">
        <v>564</v>
      </c>
    </row>
    <row r="58">
      <c r="A58" s="1"/>
      <c r="B58" s="1"/>
      <c r="C58" s="1"/>
      <c r="D58" s="1"/>
      <c r="E58" s="1"/>
      <c r="F58" s="1"/>
      <c r="G58" s="1"/>
      <c r="H58" s="1"/>
    </row>
    <row r="59">
      <c r="A59" s="1"/>
      <c r="B59" s="1"/>
      <c r="C59" s="1"/>
      <c r="D59" s="1"/>
      <c r="E59" s="1"/>
      <c r="F59" s="1"/>
      <c r="G59" s="1"/>
      <c r="H59" s="1"/>
    </row>
    <row r="60">
      <c r="A60" s="1"/>
      <c r="B60" s="1"/>
      <c r="C60" s="1"/>
      <c r="D60" s="1"/>
      <c r="E60" s="1"/>
      <c r="F60" s="1"/>
      <c r="G60" s="1"/>
      <c r="H60" s="1"/>
    </row>
    <row r="61">
      <c r="A61" s="1"/>
      <c r="B61" s="1"/>
      <c r="C61" s="1"/>
      <c r="D61" s="1"/>
      <c r="E61" s="1"/>
      <c r="F61" s="1"/>
      <c r="G61" s="1"/>
      <c r="H61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8.42578125" defaultRowHeight="15"/>
  <cols>
    <col min="1" max="1" width="34" customWidth="1"/>
    <col min="2" max="7" width="12" customWidth="1"/>
    <col min="8" max="8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</row>
    <row r="2">
      <c r="A2" s="8" t="s">
        <v>565</v>
      </c>
      <c r="B2" s="1"/>
      <c r="C2" s="1"/>
      <c r="D2" s="1"/>
      <c r="E2" s="1"/>
      <c r="F2" s="1"/>
      <c r="G2" s="1"/>
      <c r="H2" s="1"/>
    </row>
    <row r="3">
      <c r="A3" s="3" t="s">
        <v>2</v>
      </c>
      <c r="B3" s="1"/>
      <c r="C3" s="1"/>
      <c r="D3" s="1"/>
      <c r="E3" s="1"/>
      <c r="F3" s="1"/>
      <c r="G3" s="1"/>
      <c r="H3" s="1"/>
    </row>
    <row r="4">
      <c r="A4" s="5" t="s">
        <v>3</v>
      </c>
      <c r="B4" s="9" t="s">
        <v>117</v>
      </c>
      <c r="C4" s="9" t="s">
        <v>118</v>
      </c>
      <c r="D4" s="9" t="s">
        <v>119</v>
      </c>
      <c r="E4" s="9" t="s">
        <v>120</v>
      </c>
      <c r="F4" s="9" t="s">
        <v>121</v>
      </c>
      <c r="G4" s="54" t="s">
        <v>4</v>
      </c>
      <c r="H4" s="15" t="s">
        <v>5</v>
      </c>
    </row>
    <row r="5">
      <c r="A5" s="10" t="s">
        <v>6</v>
      </c>
      <c r="B5" s="4">
        <v>45930</v>
      </c>
      <c r="C5" s="4">
        <v>46022</v>
      </c>
      <c r="D5" s="4">
        <v>46022</v>
      </c>
      <c r="E5" s="4">
        <v>46112</v>
      </c>
      <c r="F5" s="4">
        <v>46203</v>
      </c>
      <c r="G5" s="52">
        <v>46295</v>
      </c>
      <c r="H5" s="10"/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D5-EOMONTH(D5,-12)</f>
        <v>365</v>
      </c>
      <c r="E6" s="12">
        <f>E5-EOMONTH(E5,-3)</f>
        <v>90</v>
      </c>
      <c r="F6" s="12">
        <f>F5-EOMONTH(F5,-3)</f>
        <v>91</v>
      </c>
      <c r="G6" s="46">
        <f>G5-EOMONTH(G5,-3)</f>
        <v>92</v>
      </c>
      <c r="H6" s="6"/>
    </row>
    <row r="7">
      <c r="A7" s="1"/>
      <c r="B7" s="1"/>
      <c r="C7" s="1"/>
      <c r="D7" s="1"/>
      <c r="E7" s="1"/>
      <c r="F7" s="1"/>
      <c r="G7" s="41"/>
      <c r="H7" s="1"/>
    </row>
    <row r="8">
      <c r="A8" s="8" t="s">
        <v>566</v>
      </c>
      <c r="B8" s="1"/>
      <c r="C8" s="1"/>
      <c r="D8" s="1"/>
      <c r="E8" s="1"/>
      <c r="F8" s="1"/>
      <c r="G8" s="41"/>
      <c r="H8" s="1"/>
    </row>
    <row r="9">
      <c r="A9" s="8" t="s">
        <v>567</v>
      </c>
      <c r="B9" s="57">
        <v>431.453142</v>
      </c>
      <c r="C9" s="57">
        <v>429.242174</v>
      </c>
      <c r="D9" s="30">
        <f>C9</f>
        <v>429.242174</v>
      </c>
      <c r="E9" s="57">
        <v>426.023578</v>
      </c>
      <c r="F9" s="57">
        <v>422.67766</v>
      </c>
      <c r="G9" s="38">
        <f>F9+G10</f>
        <v>421.13942470588233</v>
      </c>
      <c r="H9" s="1"/>
    </row>
    <row r="10">
      <c r="A10" s="37" t="s">
        <v>568</v>
      </c>
      <c r="B10" s="20">
        <f>B9-Inputs!E134</f>
        <v>-1.315669000000014</v>
      </c>
      <c r="C10" s="14">
        <f>C9-B9</f>
        <v>-2.2109680000000367</v>
      </c>
      <c r="D10" s="124">
        <f>D9-Inputs!C134</f>
        <v>-11.301207000000034</v>
      </c>
      <c r="E10" s="14">
        <f>E9-C9</f>
        <v>-3.218595999999991</v>
      </c>
      <c r="F10" s="14">
        <f>F9-E9</f>
        <v>-3.3459179999999833</v>
      </c>
      <c r="G10" s="31">
        <f>G15-G14</f>
        <v>-1.538235294117647</v>
      </c>
      <c r="H10" s="1"/>
    </row>
    <row r="11">
      <c r="A11" s="37" t="s">
        <v>569</v>
      </c>
      <c r="B11" s="20">
        <f>-'Cash Flow Statement'!B40</f>
        <v>75</v>
      </c>
      <c r="C11" s="20">
        <f>-'Cash Flow Statement'!C40</f>
        <v>125</v>
      </c>
      <c r="D11" s="20">
        <f>-'Cash Flow Statement'!D40</f>
        <v>600</v>
      </c>
      <c r="E11" s="20">
        <f>-'Cash Flow Statement'!E40</f>
        <v>300</v>
      </c>
      <c r="F11" s="20">
        <f>-'Cash Flow Statement'!F40</f>
        <v>225</v>
      </c>
      <c r="G11" s="51">
        <v>125</v>
      </c>
      <c r="H11" s="23" t="s">
        <v>570</v>
      </c>
    </row>
    <row r="12">
      <c r="A12" s="70" t="s">
        <v>169</v>
      </c>
      <c r="B12" s="14" t="str">
        <f>"unavail."</f>
        <v>unavail.</v>
      </c>
      <c r="C12" s="14">
        <f>C11-B11</f>
        <v>50</v>
      </c>
      <c r="D12" s="1"/>
      <c r="E12" s="14">
        <f>E11-C11</f>
        <v>175</v>
      </c>
      <c r="F12" s="14">
        <f>F11-E11</f>
        <v>-75</v>
      </c>
      <c r="G12" s="31">
        <f>G11-F11</f>
        <v>-100</v>
      </c>
      <c r="H12" s="1"/>
    </row>
    <row r="13">
      <c r="A13" s="37" t="s">
        <v>571</v>
      </c>
      <c r="B13" s="58" t="s">
        <v>367</v>
      </c>
      <c r="C13" s="58" t="s">
        <v>367</v>
      </c>
      <c r="D13" s="58" t="s">
        <v>367</v>
      </c>
      <c r="E13" s="58" t="s">
        <v>367</v>
      </c>
      <c r="F13" s="58" t="s">
        <v>367</v>
      </c>
      <c r="G13" s="56">
        <v>68</v>
      </c>
      <c r="H13" s="23" t="s">
        <v>572</v>
      </c>
    </row>
    <row r="14">
      <c r="A14" s="37" t="s">
        <v>573</v>
      </c>
      <c r="B14" s="25" t="s">
        <v>367</v>
      </c>
      <c r="C14" s="25" t="s">
        <v>367</v>
      </c>
      <c r="D14" s="25" t="s">
        <v>367</v>
      </c>
      <c r="E14" s="25" t="s">
        <v>367</v>
      </c>
      <c r="F14" s="25" t="s">
        <v>367</v>
      </c>
      <c r="G14" s="31">
        <f>G11/G13</f>
        <v>1.838235294117647</v>
      </c>
      <c r="H14" s="1"/>
    </row>
    <row r="15">
      <c r="A15" s="37" t="s">
        <v>574</v>
      </c>
      <c r="B15" s="25" t="s">
        <v>367</v>
      </c>
      <c r="C15" s="25" t="s">
        <v>367</v>
      </c>
      <c r="D15" s="25" t="s">
        <v>367</v>
      </c>
      <c r="E15" s="25" t="s">
        <v>367</v>
      </c>
      <c r="F15" s="25" t="s">
        <v>367</v>
      </c>
      <c r="G15" s="51">
        <v>0.3</v>
      </c>
      <c r="H15" s="23" t="s">
        <v>575</v>
      </c>
    </row>
    <row r="16">
      <c r="A16" s="32" t="s">
        <v>576</v>
      </c>
      <c r="B16" s="1"/>
      <c r="C16" s="1"/>
      <c r="D16" s="1"/>
      <c r="E16" s="1"/>
      <c r="F16" s="1"/>
      <c r="G16" s="29">
        <v>0.5</v>
      </c>
      <c r="H16" s="23" t="s">
        <v>577</v>
      </c>
    </row>
    <row r="17">
      <c r="A17" s="8" t="s">
        <v>578</v>
      </c>
      <c r="B17" s="57">
        <v>431.365552</v>
      </c>
      <c r="C17" s="57">
        <v>429.48311</v>
      </c>
      <c r="D17" s="57">
        <v>433.173162</v>
      </c>
      <c r="E17" s="57">
        <v>425.344491</v>
      </c>
      <c r="F17" s="57">
        <v>422.871137</v>
      </c>
      <c r="G17" s="38">
        <f>F9+G10*G16</f>
        <v>421.9085423529412</v>
      </c>
      <c r="H17" s="1"/>
    </row>
    <row r="18">
      <c r="A18" s="32" t="s">
        <v>168</v>
      </c>
      <c r="B18" s="27" t="str">
        <f>IF(AND(ISNUMBER(Inputs!B135),ISNUMBER(B17)),IF(Inputs!B135&gt;0,B17/Inputs!B135-1,"n.m."),"unavail.")</f>
        <v>unavail.</v>
      </c>
      <c r="C18" s="27">
        <f>IF(AND(ISNUMBER(Inputs!C135),ISNUMBER(C17)),IF(Inputs!C135&gt;0,C17/Inputs!C135-1,"n.m."),"unavail.")</f>
        <v>-0.025679577335111614</v>
      </c>
      <c r="D18" s="27" t="str">
        <f>IF(AND(ISNUMBER(Inputs!F135),ISNUMBER(D17)),IF(Inputs!F135&gt;0,D17/Inputs!F135-1,"n.m."),"unavail.")</f>
        <v>unavail.</v>
      </c>
      <c r="E18" s="27">
        <f>IF(AND(ISNUMBER(Inputs!D135),ISNUMBER(E17)),IF(Inputs!D135&gt;0,E17/Inputs!D135-1,"n.m."),"unavail.")</f>
        <v>-0.029604498059397244</v>
      </c>
      <c r="F18" s="27">
        <f>IF(AND(ISNUMBER(Inputs!E135),ISNUMBER(F17)),IF(Inputs!E135&gt;0,F17/Inputs!E135-1,"n.m."),"unavail.")</f>
        <v>-0.024834119972407698</v>
      </c>
      <c r="G18" s="40">
        <f>IF(AND(ISNUMBER(B17),ISNUMBER(G17)),IF(B17&gt;0,G17/B17-1,"n.m."),"unavail.")</f>
        <v>-0.021923423424081823</v>
      </c>
      <c r="H18" s="1"/>
    </row>
    <row r="19">
      <c r="A19" s="37" t="s">
        <v>579</v>
      </c>
      <c r="B19" s="20">
        <f>B17-Inputs!E135</f>
        <v>-2.274658000000045</v>
      </c>
      <c r="C19" s="14">
        <f>C17-B17</f>
        <v>-1.882441999999969</v>
      </c>
      <c r="D19" s="1"/>
      <c r="E19" s="14">
        <f>E17-C17</f>
        <v>-4.138619000000006</v>
      </c>
      <c r="F19" s="14">
        <f>F17-E17</f>
        <v>-2.473354000000029</v>
      </c>
      <c r="G19" s="31">
        <f>G17-F17</f>
        <v>-0.9625946470587792</v>
      </c>
      <c r="H19" s="1"/>
    </row>
    <row r="20">
      <c r="A20" s="37" t="s">
        <v>580</v>
      </c>
      <c r="B20" s="14">
        <f>B21-B17</f>
        <v>4.106798000000026</v>
      </c>
      <c r="C20" s="14">
        <f>C21-C17</f>
        <v>4.594850000000008</v>
      </c>
      <c r="D20" s="14">
        <f>D21-D17</f>
        <v>3.717569000000026</v>
      </c>
      <c r="E20" s="14">
        <f>E21-E17</f>
        <v>4.5503459999999905</v>
      </c>
      <c r="F20" s="14">
        <f>F21-F17</f>
        <v>3.810711000000026</v>
      </c>
      <c r="G20" s="31">
        <f>F20</f>
        <v>3.810711000000026</v>
      </c>
      <c r="H20" s="23" t="s">
        <v>581</v>
      </c>
    </row>
    <row r="21">
      <c r="A21" s="8" t="s">
        <v>582</v>
      </c>
      <c r="B21" s="57">
        <v>435.47235</v>
      </c>
      <c r="C21" s="57">
        <v>434.07796</v>
      </c>
      <c r="D21" s="57">
        <v>436.890731</v>
      </c>
      <c r="E21" s="57">
        <v>429.894837</v>
      </c>
      <c r="F21" s="57">
        <v>426.681848</v>
      </c>
      <c r="G21" s="38">
        <f>G17+G20</f>
        <v>425.7192533529412</v>
      </c>
      <c r="H21" s="1"/>
    </row>
    <row r="22">
      <c r="A22" s="32" t="s">
        <v>168</v>
      </c>
      <c r="B22" s="27" t="str">
        <f>IF(AND(ISNUMBER(Inputs!B136),ISNUMBER(B21)),IF(Inputs!B136&gt;0,B21/Inputs!B136-1,"n.m."),"unavail.")</f>
        <v>unavail.</v>
      </c>
      <c r="C22" s="27">
        <f>IF(AND(ISNUMBER(Inputs!C136),ISNUMBER(C21)),IF(Inputs!C136&gt;0,C21/Inputs!C136-1,"n.m."),"unavail.")</f>
        <v>-0.024186007854125613</v>
      </c>
      <c r="D22" s="27" t="str">
        <f>IF(AND(ISNUMBER(Inputs!F136),ISNUMBER(D21)),IF(Inputs!F136&gt;0,D21/Inputs!F136-1,"n.m."),"unavail.")</f>
        <v>unavail.</v>
      </c>
      <c r="E22" s="27">
        <f>IF(AND(ISNUMBER(Inputs!D136),ISNUMBER(E21)),IF(Inputs!D136&gt;0,E21/Inputs!D136-1,"n.m."),"unavail.")</f>
        <v>-0.027827539554597158</v>
      </c>
      <c r="F22" s="27">
        <f>IF(AND(ISNUMBER(Inputs!E136),ISNUMBER(F21)),IF(Inputs!E136&gt;0,F21/Inputs!E136-1,"n.m."),"unavail.")</f>
        <v>-0.022581965234627188</v>
      </c>
      <c r="G22" s="40">
        <f>IF(AND(ISNUMBER(B21),ISNUMBER(G21)),IF(B21&gt;0,G21/B21-1,"n.m."),"unavail.")</f>
        <v>-0.022396592222350686</v>
      </c>
      <c r="H22" s="1"/>
    </row>
    <row r="23">
      <c r="A23" s="37" t="s">
        <v>579</v>
      </c>
      <c r="B23" s="20">
        <f>B21-Inputs!E136</f>
        <v>-1.0674240000000168</v>
      </c>
      <c r="C23" s="14">
        <f>C21-B21</f>
        <v>-1.3943899999999871</v>
      </c>
      <c r="D23" s="1"/>
      <c r="E23" s="14">
        <f>E21-C21</f>
        <v>-4.183123000000023</v>
      </c>
      <c r="F23" s="14">
        <f>F21-E21</f>
        <v>-3.212988999999993</v>
      </c>
      <c r="G23" s="31">
        <f>G21-F21</f>
        <v>-0.9625946470587792</v>
      </c>
      <c r="H23" s="1"/>
    </row>
    <row r="24">
      <c r="A24" s="8" t="s">
        <v>583</v>
      </c>
      <c r="B24" s="1"/>
      <c r="C24" s="1"/>
      <c r="D24" s="1"/>
      <c r="E24" s="1"/>
      <c r="F24" s="1"/>
      <c r="G24" s="41"/>
      <c r="H24" s="1"/>
    </row>
    <row r="25">
      <c r="A25" s="1" t="s">
        <v>584</v>
      </c>
      <c r="B25" s="58">
        <v>0.42</v>
      </c>
      <c r="C25" s="58">
        <v>0.46</v>
      </c>
      <c r="D25" s="58">
        <v>1.72</v>
      </c>
      <c r="E25" s="58">
        <v>0.46</v>
      </c>
      <c r="F25" s="58">
        <v>0.46</v>
      </c>
      <c r="G25" s="56">
        <v>0.46</v>
      </c>
      <c r="H25" s="23" t="s">
        <v>585</v>
      </c>
    </row>
    <row r="26">
      <c r="A26" s="32" t="s">
        <v>168</v>
      </c>
      <c r="B26" s="27" t="str">
        <f>IF(AND(ISNUMBER(Inputs!B137),ISNUMBER(B25)),IF(Inputs!B137&gt;0,B25/Inputs!B137-1,"n.m."),"unavail.")</f>
        <v>unavail.</v>
      </c>
      <c r="C26" s="27">
        <f>IF(AND(ISNUMBER(Inputs!C137),ISNUMBER(C25)),IF(Inputs!C137&gt;0,C25/Inputs!C137-1,"n.m."),"unavail.")</f>
        <v>0.09523809523809534</v>
      </c>
      <c r="D26" s="27" t="str">
        <f>IF(AND(ISNUMBER(Inputs!F137),ISNUMBER(D25)),IF(Inputs!F137&gt;0,D25/Inputs!F137-1,"n.m."),"unavail.")</f>
        <v>unavail.</v>
      </c>
      <c r="E26" s="27">
        <f>IF(AND(ISNUMBER(Inputs!D137),ISNUMBER(E25)),IF(Inputs!D137&gt;0,E25/Inputs!D137-1,"n.m."),"unavail.")</f>
        <v>0.09523809523809534</v>
      </c>
      <c r="F26" s="27">
        <f>IF(AND(ISNUMBER(Inputs!E137),ISNUMBER(F25)),IF(Inputs!E137&gt;0,F25/Inputs!E137-1,"n.m."),"unavail.")</f>
        <v>0.09523809523809534</v>
      </c>
      <c r="G26" s="40">
        <f>IF(AND(ISNUMBER(B25),ISNUMBER(G25)),IF(B25&gt;0,G25/B25-1,"n.m."),"unavail.")</f>
        <v>0.09523809523809534</v>
      </c>
      <c r="H26" s="1"/>
    </row>
    <row r="27">
      <c r="A27" s="37" t="s">
        <v>169</v>
      </c>
      <c r="B27" s="18">
        <f>B25-Inputs!E137</f>
        <v>0</v>
      </c>
      <c r="C27" s="36">
        <f>C25-B25</f>
        <v>0.040000000000000036</v>
      </c>
      <c r="D27" s="1"/>
      <c r="E27" s="36">
        <f>E25-C25</f>
        <v>0</v>
      </c>
      <c r="F27" s="36">
        <f>F25-E25</f>
        <v>0</v>
      </c>
      <c r="G27" s="60">
        <f>G25-F25</f>
        <v>0</v>
      </c>
      <c r="H27" s="1"/>
    </row>
    <row r="28">
      <c r="A28" s="1" t="s">
        <v>586</v>
      </c>
      <c r="B28" s="20">
        <f>-'Cash Flow Statement'!B43</f>
        <v>184</v>
      </c>
      <c r="C28" s="20">
        <f>-'Cash Flow Statement'!C43</f>
        <v>200</v>
      </c>
      <c r="D28" s="20">
        <f>-'Cash Flow Statement'!D43</f>
        <v>755</v>
      </c>
      <c r="E28" s="20">
        <f>-'Cash Flow Statement'!E43</f>
        <v>198</v>
      </c>
      <c r="F28" s="20">
        <f>-'Cash Flow Statement'!F43</f>
        <v>198</v>
      </c>
      <c r="G28" s="31">
        <f>G25*G17</f>
        <v>194.07792948235297</v>
      </c>
      <c r="H28" s="117" t="s">
        <v>587</v>
      </c>
    </row>
    <row r="29">
      <c r="A29" s="3" t="s">
        <v>588</v>
      </c>
      <c r="B29" s="27">
        <f>B28/'Income Statement'!B85</f>
        <v>0.4026258205689278</v>
      </c>
      <c r="C29" s="27">
        <f>C28/'Income Statement'!C85</f>
        <v>0.40899795501022496</v>
      </c>
      <c r="D29" s="27">
        <f>D28/'Income Statement'!D85</f>
        <v>0.4472748815165877</v>
      </c>
      <c r="E29" s="27">
        <f>E28/'Income Statement'!E85</f>
        <v>0.4090909090909091</v>
      </c>
      <c r="F29" s="27">
        <f>F28/'Income Statement'!F85</f>
        <v>0.3574007220216607</v>
      </c>
      <c r="G29" s="67">
        <f>G28/'Income Statement'!G85</f>
        <v>0.3302363276390667</v>
      </c>
      <c r="H29" s="1"/>
    </row>
    <row r="30">
      <c r="A30" s="32" t="s">
        <v>204</v>
      </c>
      <c r="B30" s="26" t="str">
        <f>"unavail."</f>
        <v>unavail.</v>
      </c>
      <c r="C30" s="26">
        <f>IFERROR((C29-B29)*10000,"unavail.")</f>
        <v>63.72134441297139</v>
      </c>
      <c r="D30" s="1"/>
      <c r="E30" s="26">
        <f>IFERROR((E29-C29)*10000,"unavail.")</f>
        <v>0.9295408068416</v>
      </c>
      <c r="F30" s="26">
        <f>IFERROR((F29-E29)*10000,"unavail.")</f>
        <v>-516.9018706924844</v>
      </c>
      <c r="G30" s="39">
        <f>IFERROR((G29-F29)*10000,"unavail.")</f>
        <v>-271.6439438259399</v>
      </c>
      <c r="H30" s="1"/>
    </row>
    <row r="31">
      <c r="A31" s="8" t="s">
        <v>589</v>
      </c>
      <c r="B31" s="30">
        <f>B21</f>
        <v>435.47235</v>
      </c>
      <c r="C31" s="30">
        <f>C21</f>
        <v>434.07796</v>
      </c>
      <c r="D31" s="30">
        <f>D21</f>
        <v>436.890731</v>
      </c>
      <c r="E31" s="30">
        <f>E21</f>
        <v>429.894837</v>
      </c>
      <c r="F31" s="30">
        <f>F21</f>
        <v>426.681848</v>
      </c>
      <c r="G31" s="38">
        <f>G21</f>
        <v>425.7192533529412</v>
      </c>
      <c r="H31" s="1"/>
    </row>
    <row r="32">
      <c r="A32" s="3" t="s">
        <v>590</v>
      </c>
      <c r="B32" s="16">
        <f>ROUND('Income Statement'!B90-'Income Statement'!B85/B31,9)</f>
        <v>0</v>
      </c>
      <c r="C32" s="16">
        <f>ROUND('Income Statement'!C90-'Income Statement'!C85/C31,9)</f>
        <v>0</v>
      </c>
      <c r="D32" s="16">
        <f>ROUND('Income Statement'!D90-'Income Statement'!D85/D31,9)</f>
        <v>0</v>
      </c>
      <c r="E32" s="16">
        <f>ROUND('Income Statement'!E90-'Income Statement'!E85/E31,9)</f>
        <v>0</v>
      </c>
      <c r="F32" s="16">
        <f>ROUND('Income Statement'!F90-'Income Statement'!F85/F31,9)</f>
        <v>0</v>
      </c>
      <c r="G32" s="69">
        <f>ROUND('Income Statement'!G90-'Income Statement'!G85/G31,9)</f>
        <v>0</v>
      </c>
      <c r="H32" s="88" t="s">
        <v>591</v>
      </c>
    </row>
    <row r="33">
      <c r="A33" s="1"/>
      <c r="B33" s="1"/>
      <c r="C33" s="1"/>
      <c r="D33" s="1"/>
      <c r="E33" s="1"/>
      <c r="F33" s="1"/>
      <c r="G33" s="1"/>
      <c r="H33" s="1"/>
    </row>
    <row r="34">
      <c r="A34" s="1"/>
      <c r="B34" s="1"/>
      <c r="C34" s="1"/>
      <c r="D34" s="1"/>
      <c r="E34" s="1"/>
      <c r="F34" s="1"/>
      <c r="G34" s="1"/>
      <c r="H34" s="1"/>
    </row>
    <row r="35">
      <c r="A35" s="1"/>
      <c r="B35" s="1"/>
      <c r="C35" s="1"/>
      <c r="D35" s="1"/>
      <c r="E35" s="1"/>
      <c r="F35" s="1"/>
      <c r="G35" s="1"/>
      <c r="H35" s="1"/>
    </row>
    <row r="36">
      <c r="A36" s="1"/>
      <c r="B36" s="1"/>
      <c r="C36" s="1"/>
      <c r="D36" s="1"/>
      <c r="E36" s="1"/>
      <c r="F36" s="1"/>
      <c r="G36" s="1"/>
      <c r="H36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58"/>
  <sheetViews>
    <sheetView showGridLines="0" workbookViewId="0"/>
  </sheetViews>
  <sheetFormatPr defaultColWidth="8.42578125" defaultRowHeight="15"/>
  <cols>
    <col min="1" max="2" width="12" customWidth="1"/>
    <col min="3" max="3" width="10" customWidth="1"/>
    <col min="4" max="4" width="40" customWidth="1"/>
    <col min="5" max="10" width="12" customWidth="1"/>
    <col min="11" max="11" width="16" customWidth="1"/>
    <col min="12" max="12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8" t="s">
        <v>592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5" t="s">
        <v>3</v>
      </c>
      <c r="B4" s="9" t="s">
        <v>4</v>
      </c>
      <c r="C4" s="5"/>
      <c r="D4" s="5"/>
      <c r="E4" s="5"/>
      <c r="F4" s="5"/>
      <c r="G4" s="5"/>
      <c r="H4" s="5"/>
      <c r="I4" s="5"/>
      <c r="J4" s="5"/>
      <c r="K4" s="5"/>
      <c r="L4" s="15" t="s">
        <v>5</v>
      </c>
    </row>
    <row r="5">
      <c r="A5" s="10" t="s">
        <v>6</v>
      </c>
      <c r="B5" s="4">
        <v>46295</v>
      </c>
      <c r="C5" s="10"/>
      <c r="D5" s="10"/>
      <c r="E5" s="10"/>
      <c r="F5" s="10"/>
      <c r="G5" s="10"/>
      <c r="H5" s="10"/>
      <c r="I5" s="10"/>
      <c r="J5" s="10"/>
      <c r="K5" s="10"/>
      <c r="L5" s="10"/>
    </row>
    <row r="6">
      <c r="A6" s="6" t="s">
        <v>7</v>
      </c>
      <c r="B6" s="12">
        <f>B5-EOMONTH(B5,-3)</f>
        <v>92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>
      <c r="A7" s="136" t="s">
        <v>593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102" t="s">
        <v>594</v>
      </c>
      <c r="B8" s="7" t="s">
        <v>595</v>
      </c>
      <c r="C8" s="7" t="s">
        <v>3</v>
      </c>
      <c r="D8" s="94" t="s">
        <v>596</v>
      </c>
      <c r="E8" s="7" t="s">
        <v>597</v>
      </c>
      <c r="F8" s="7" t="s">
        <v>598</v>
      </c>
      <c r="G8" s="7" t="s">
        <v>599</v>
      </c>
      <c r="H8" s="7" t="s">
        <v>600</v>
      </c>
      <c r="I8" s="7" t="s">
        <v>601</v>
      </c>
      <c r="J8" s="7" t="s">
        <v>602</v>
      </c>
      <c r="K8" s="7" t="s">
        <v>603</v>
      </c>
      <c r="L8" s="1"/>
    </row>
    <row r="9">
      <c r="A9" s="2">
        <v>45855</v>
      </c>
      <c r="B9" s="48" t="s">
        <v>604</v>
      </c>
      <c r="C9" s="48" t="s">
        <v>605</v>
      </c>
      <c r="D9" s="97" t="s">
        <v>606</v>
      </c>
      <c r="E9" s="48">
        <v>0.03</v>
      </c>
      <c r="F9" s="48">
        <v>0.04</v>
      </c>
      <c r="G9" s="17">
        <f>IF(AND(ISNUMBER(E9),ISNUMBER(F9)),AVERAGE(E9,F9),IF(ISNUMBER(F9),F9,E9))</f>
        <v>0.035</v>
      </c>
      <c r="H9" s="49">
        <f>'Revenue summary'!B279/Inputs!E65-1</f>
        <v>0.035490605427974886</v>
      </c>
      <c r="I9" s="17" t="str">
        <f>IF(NOT(ISNUMBER(H9)),"Pending",IF(J9="n/a",IF(H9&gt;F9,"Above",IF(AND(ISNUMBER(E9),H9&lt;E9),"Below","In range")),IF(J9="Higher",IF(H9&gt;F9,"Beat",IF(AND(ISNUMBER(E9),H9&lt;E9),"Miss","In range")),IF(AND(ISNUMBER(E9),H9&lt;E9),"Beat",IF(H9&gt;F9,"Miss","In range")))))</f>
        <v>In range</v>
      </c>
      <c r="J9" s="48" t="s">
        <v>607</v>
      </c>
      <c r="K9" s="1"/>
      <c r="L9" s="1"/>
    </row>
    <row r="10">
      <c r="A10" s="2">
        <v>45855</v>
      </c>
      <c r="B10" s="48" t="s">
        <v>604</v>
      </c>
      <c r="C10" s="48" t="s">
        <v>605</v>
      </c>
      <c r="D10" s="97" t="s">
        <v>608</v>
      </c>
      <c r="E10" s="48">
        <v>0.01</v>
      </c>
      <c r="F10" s="48">
        <v>0.03</v>
      </c>
      <c r="G10" s="17">
        <f>IF(AND(ISNUMBER(E10),ISNUMBER(F10)),AVERAGE(E10,F10),IF(ISNUMBER(F10),F10,E10))</f>
        <v>0.02</v>
      </c>
      <c r="H10" s="49">
        <f>'Revenue summary'!B413/Inputs!E86-1</f>
        <v>0.050000000000000044</v>
      </c>
      <c r="I10" s="17" t="str">
        <f>IF(NOT(ISNUMBER(H10)),"Pending",IF(J10="n/a",IF(H10&gt;F10,"Above",IF(AND(ISNUMBER(E10),H10&lt;E10),"Below","In range")),IF(J10="Higher",IF(H10&gt;F10,"Beat",IF(AND(ISNUMBER(E10),H10&lt;E10),"Miss","In range")),IF(AND(ISNUMBER(E10),H10&lt;E10),"Beat",IF(H10&gt;F10,"Miss","In range")))))</f>
        <v>Beat</v>
      </c>
      <c r="J10" s="48" t="s">
        <v>607</v>
      </c>
      <c r="K10" s="1"/>
      <c r="L10" s="23" t="s">
        <v>609</v>
      </c>
    </row>
    <row r="11">
      <c r="A11" s="2">
        <v>45855</v>
      </c>
      <c r="B11" s="48" t="s">
        <v>604</v>
      </c>
      <c r="C11" s="48" t="s">
        <v>605</v>
      </c>
      <c r="D11" s="97" t="s">
        <v>610</v>
      </c>
      <c r="E11" s="48">
        <v>0.01</v>
      </c>
      <c r="F11" s="48">
        <v>0.015</v>
      </c>
      <c r="G11" s="17">
        <f>IF(AND(ISNUMBER(E11),ISNUMBER(F11)),AVERAGE(E11,F11),IF(ISNUMBER(F11),F11,E11))</f>
        <v>0.0125</v>
      </c>
      <c r="H11" s="49">
        <f>'Income Statement'!B60/Inputs!E116-1</f>
        <v>0.012130401819560266</v>
      </c>
      <c r="I11" s="17" t="str">
        <f>IF(NOT(ISNUMBER(H11)),"Pending",IF(J11="n/a",IF(H11&gt;F11,"Above",IF(AND(ISNUMBER(E11),H11&lt;E11),"Below","In range")),IF(J11="Higher",IF(H11&gt;F11,"Beat",IF(AND(ISNUMBER(E11),H11&lt;E11),"Miss","In range")),IF(AND(ISNUMBER(E11),H11&lt;E11),"Beat",IF(H11&gt;F11,"Miss","In range")))))</f>
        <v>In range</v>
      </c>
      <c r="J11" s="48" t="s">
        <v>611</v>
      </c>
      <c r="K11" s="1"/>
      <c r="L11" s="1"/>
    </row>
    <row r="12">
      <c r="A12" s="2">
        <v>45855</v>
      </c>
      <c r="B12" s="25" t="s">
        <v>604</v>
      </c>
      <c r="C12" s="25" t="s">
        <v>605</v>
      </c>
      <c r="D12" s="99" t="s">
        <v>612</v>
      </c>
      <c r="E12" s="1"/>
      <c r="F12" s="20">
        <f>Inputs!E122</f>
        <v>167</v>
      </c>
      <c r="G12" s="14">
        <f>IF(AND(ISNUMBER(E12),ISNUMBER(F12)),AVERAGE(E12,F12),IF(ISNUMBER(F12),F12,E12))</f>
        <v>167</v>
      </c>
      <c r="H12" s="20">
        <f>'Income Statement'!B109</f>
        <v>162</v>
      </c>
      <c r="I12" s="14" t="str">
        <f>IF(NOT(ISNUMBER(H12)),"Pending",IF(J12="n/a",IF(H12&gt;F12,"Above",IF(AND(ISNUMBER(E12),H12&lt;E12),"Below","In range")),IF(J12="Higher",IF(H12&gt;F12,"Beat",IF(AND(ISNUMBER(E12),H12&lt;E12),"Miss","In range")),IF(AND(ISNUMBER(E12),H12&lt;E12),"Beat",IF(H12&gt;F12,"Miss","In range")))))</f>
        <v>In range</v>
      </c>
      <c r="J12" s="25" t="s">
        <v>611</v>
      </c>
      <c r="K12" s="1"/>
      <c r="L12" s="23" t="s">
        <v>613</v>
      </c>
    </row>
    <row r="13">
      <c r="A13" s="2">
        <v>45945</v>
      </c>
      <c r="B13" s="48" t="s">
        <v>614</v>
      </c>
      <c r="C13" s="48" t="s">
        <v>615</v>
      </c>
      <c r="D13" s="97" t="s">
        <v>606</v>
      </c>
      <c r="E13" s="48">
        <v>0.025</v>
      </c>
      <c r="F13" s="48">
        <v>0.03</v>
      </c>
      <c r="G13" s="17">
        <f>IF(AND(ISNUMBER(E13),ISNUMBER(F13)),AVERAGE(E13,F13),IF(ISNUMBER(F13),F13,E13))</f>
        <v>0.0275</v>
      </c>
      <c r="H13" s="49">
        <f>'Revenue summary'!C279/'Revenue summary'!B279-1</f>
        <v>0.03293010752688175</v>
      </c>
      <c r="I13" s="17" t="str">
        <f>IF(NOT(ISNUMBER(H13)),"Pending",IF(J13="n/a",IF(H13&gt;F13,"Above",IF(AND(ISNUMBER(E13),H13&lt;E13),"Below","In range")),IF(J13="Higher",IF(H13&gt;F13,"Beat",IF(AND(ISNUMBER(E13),H13&lt;E13),"Miss","In range")),IF(AND(ISNUMBER(E13),H13&lt;E13),"Beat",IF(H13&gt;F13,"Miss","In range")))))</f>
        <v>Beat</v>
      </c>
      <c r="J13" s="48" t="s">
        <v>607</v>
      </c>
      <c r="K13" s="1"/>
      <c r="L13" s="1"/>
    </row>
    <row r="14">
      <c r="A14" s="2">
        <v>45945</v>
      </c>
      <c r="B14" s="48" t="s">
        <v>614</v>
      </c>
      <c r="C14" s="48" t="s">
        <v>615</v>
      </c>
      <c r="D14" s="97" t="s">
        <v>608</v>
      </c>
      <c r="E14" s="48">
        <v>-0.01</v>
      </c>
      <c r="F14" s="48">
        <v>0.01</v>
      </c>
      <c r="G14" s="17">
        <f>IF(AND(ISNUMBER(E14),ISNUMBER(F14)),AVERAGE(E14,F14),IF(ISNUMBER(F14),F14,E14))</f>
        <v>0</v>
      </c>
      <c r="H14" s="49">
        <f>'Revenue summary'!C413/'Revenue summary'!B413-1</f>
        <v>-0.015873015873015928</v>
      </c>
      <c r="I14" s="17" t="str">
        <f>IF(NOT(ISNUMBER(H14)),"Pending",IF(J14="n/a",IF(H14&gt;F14,"Above",IF(AND(ISNUMBER(E14),H14&lt;E14),"Below","In range")),IF(J14="Higher",IF(H14&gt;F14,"Beat",IF(AND(ISNUMBER(E14),H14&lt;E14),"Miss","In range")),IF(AND(ISNUMBER(E14),H14&lt;E14),"Beat",IF(H14&gt;F14,"Miss","In range")))))</f>
        <v>Miss</v>
      </c>
      <c r="J14" s="48" t="s">
        <v>607</v>
      </c>
      <c r="K14" s="1"/>
      <c r="L14" s="23" t="s">
        <v>616</v>
      </c>
    </row>
    <row r="15">
      <c r="A15" s="2">
        <v>45945</v>
      </c>
      <c r="B15" s="48" t="s">
        <v>614</v>
      </c>
      <c r="C15" s="48" t="s">
        <v>615</v>
      </c>
      <c r="D15" s="97" t="s">
        <v>610</v>
      </c>
      <c r="E15" s="48">
        <v>0</v>
      </c>
      <c r="F15" s="48">
        <v>0.01</v>
      </c>
      <c r="G15" s="17">
        <f>IF(AND(ISNUMBER(E15),ISNUMBER(F15)),AVERAGE(E15,F15),IF(ISNUMBER(F15),F15,E15))</f>
        <v>0.005</v>
      </c>
      <c r="H15" s="49">
        <f>'Income Statement'!C60/'Income Statement'!B60-1</f>
        <v>0.005992509363295984</v>
      </c>
      <c r="I15" s="17" t="str">
        <f>IF(NOT(ISNUMBER(H15)),"Pending",IF(J15="n/a",IF(H15&gt;F15,"Above",IF(AND(ISNUMBER(E15),H15&lt;E15),"Below","In range")),IF(J15="Higher",IF(H15&gt;F15,"Beat",IF(AND(ISNUMBER(E15),H15&lt;E15),"Miss","In range")),IF(AND(ISNUMBER(E15),H15&lt;E15),"Beat",IF(H15&gt;F15,"Miss","In range")))))</f>
        <v>In range</v>
      </c>
      <c r="J15" s="48" t="s">
        <v>611</v>
      </c>
      <c r="K15" s="1"/>
      <c r="L15" s="23" t="s">
        <v>617</v>
      </c>
    </row>
    <row r="16">
      <c r="A16" s="101">
        <v>45945</v>
      </c>
      <c r="B16" s="100" t="s">
        <v>614</v>
      </c>
      <c r="C16" s="100" t="s">
        <v>615</v>
      </c>
      <c r="D16" s="104" t="s">
        <v>618</v>
      </c>
      <c r="E16" s="100">
        <v>0.004</v>
      </c>
      <c r="F16" s="100">
        <v>0.0044</v>
      </c>
      <c r="G16" s="98">
        <f>IF(AND(ISNUMBER(E16),ISNUMBER(F16)),AVERAGE(E16,F16),IF(ISNUMBER(F16),F16,E16))</f>
        <v>0.004200000000000001</v>
      </c>
      <c r="H16" s="103">
        <f>'Income Statement'!C106</f>
        <v>0.004338026708902651</v>
      </c>
      <c r="I16" s="98" t="str">
        <f>IF(NOT(ISNUMBER(H16)),"Pending",IF(J16="n/a",IF(H16&gt;F16,"Above",IF(AND(ISNUMBER(E16),H16&lt;E16),"Below","In range")),IF(J16="Higher",IF(H16&gt;F16,"Beat",IF(AND(ISNUMBER(E16),H16&lt;E16),"Miss","In range")),IF(AND(ISNUMBER(E16),H16&lt;E16),"Beat",IF(H16&gt;F16,"Miss","In range")))))</f>
        <v>In range</v>
      </c>
      <c r="J16" s="100" t="s">
        <v>611</v>
      </c>
      <c r="K16" s="96"/>
      <c r="L16" s="1"/>
    </row>
    <row r="17">
      <c r="A17" s="2">
        <v>45945</v>
      </c>
      <c r="B17" s="48" t="s">
        <v>614</v>
      </c>
      <c r="C17" s="48" t="s">
        <v>615</v>
      </c>
      <c r="D17" s="97" t="s">
        <v>72</v>
      </c>
      <c r="E17" s="48">
        <v>0.225</v>
      </c>
      <c r="F17" s="48">
        <v>0.225</v>
      </c>
      <c r="G17" s="17">
        <f>IF(AND(ISNUMBER(E17),ISNUMBER(F17)),AVERAGE(E17,F17),IF(ISNUMBER(F17),F17,E17))</f>
        <v>0.225</v>
      </c>
      <c r="H17" s="49">
        <f>'Income Statement'!C73</f>
        <v>0.22008862629246675</v>
      </c>
      <c r="I17" s="17" t="str">
        <f>IF(NOT(ISNUMBER(H17)),"Pending",IF(J17="n/a",IF(H17&gt;F17,"Above",IF(AND(ISNUMBER(E17),H17&lt;E17),"Below","In range")),IF(J17="Higher",IF(H17&gt;F17,"Beat",IF(AND(ISNUMBER(E17),H17&lt;E17),"Miss","In range")),IF(AND(ISNUMBER(E17),H17&lt;E17),"Beat",IF(H17&gt;F17,"Miss","In range")))))</f>
        <v>Beat</v>
      </c>
      <c r="J17" s="48" t="s">
        <v>611</v>
      </c>
      <c r="K17" s="1"/>
      <c r="L17" s="23" t="s">
        <v>619</v>
      </c>
    </row>
    <row r="18">
      <c r="A18" s="2">
        <v>46043</v>
      </c>
      <c r="B18" s="48" t="s">
        <v>620</v>
      </c>
      <c r="C18" s="48" t="s">
        <v>621</v>
      </c>
      <c r="D18" s="97" t="s">
        <v>622</v>
      </c>
      <c r="E18" s="48">
        <v>-0.01</v>
      </c>
      <c r="F18" s="48">
        <v>0.01</v>
      </c>
      <c r="G18" s="17">
        <f>IF(AND(ISNUMBER(E18),ISNUMBER(F18)),AVERAGE(E18,F18),IF(ISNUMBER(F18),F18,E18))</f>
        <v>0</v>
      </c>
      <c r="H18" s="49">
        <f>'Revenue summary'!E279/'Revenue summary'!C279-1</f>
        <v>0.01626545217957065</v>
      </c>
      <c r="I18" s="17" t="str">
        <f>IF(NOT(ISNUMBER(H18)),"Pending",IF(J18="n/a",IF(H18&gt;F18,"Above",IF(AND(ISNUMBER(E18),H18&lt;E18),"Below","In range")),IF(J18="Higher",IF(H18&gt;F18,"Beat",IF(AND(ISNUMBER(E18),H18&lt;E18),"Miss","In range")),IF(AND(ISNUMBER(E18),H18&lt;E18),"Beat",IF(H18&gt;F18,"Miss","In range")))))</f>
        <v>Beat</v>
      </c>
      <c r="J18" s="48" t="s">
        <v>607</v>
      </c>
      <c r="K18" s="1"/>
      <c r="L18" s="1"/>
    </row>
    <row r="19">
      <c r="A19" s="2">
        <v>46043</v>
      </c>
      <c r="B19" s="48" t="s">
        <v>620</v>
      </c>
      <c r="C19" s="48" t="s">
        <v>621</v>
      </c>
      <c r="D19" s="97" t="s">
        <v>608</v>
      </c>
      <c r="E19" s="48">
        <v>-0.01</v>
      </c>
      <c r="F19" s="48">
        <v>0.01</v>
      </c>
      <c r="G19" s="17">
        <f>IF(AND(ISNUMBER(E19),ISNUMBER(F19)),AVERAGE(E19,F19),IF(ISNUMBER(F19),F19,E19))</f>
        <v>0</v>
      </c>
      <c r="H19" s="49">
        <f>'Revenue summary'!E413/'Revenue summary'!C413-1</f>
        <v>-0.022580645161290325</v>
      </c>
      <c r="I19" s="17" t="str">
        <f>IF(NOT(ISNUMBER(H19)),"Pending",IF(J19="n/a",IF(H19&gt;F19,"Above",IF(AND(ISNUMBER(E19),H19&lt;E19),"Below","In range")),IF(J19="Higher",IF(H19&gt;F19,"Beat",IF(AND(ISNUMBER(E19),H19&lt;E19),"Miss","In range")),IF(AND(ISNUMBER(E19),H19&lt;E19),"Beat",IF(H19&gt;F19,"Miss","In range")))))</f>
        <v>Miss</v>
      </c>
      <c r="J19" s="48" t="s">
        <v>607</v>
      </c>
      <c r="K19" s="1"/>
      <c r="L19" s="23" t="s">
        <v>623</v>
      </c>
    </row>
    <row r="20">
      <c r="A20" s="2">
        <v>46043</v>
      </c>
      <c r="B20" s="48" t="s">
        <v>620</v>
      </c>
      <c r="C20" s="48" t="s">
        <v>621</v>
      </c>
      <c r="D20" s="97" t="s">
        <v>610</v>
      </c>
      <c r="E20" s="48">
        <v>0.02</v>
      </c>
      <c r="F20" s="48">
        <v>0.025</v>
      </c>
      <c r="G20" s="17">
        <f>IF(AND(ISNUMBER(E20),ISNUMBER(F20)),AVERAGE(E20,F20),IF(ISNUMBER(F20),F20,E20))</f>
        <v>0.0225</v>
      </c>
      <c r="H20" s="49">
        <f>'Income Statement'!E60/'Income Statement'!C60-1</f>
        <v>0.026061057334326065</v>
      </c>
      <c r="I20" s="17" t="str">
        <f>IF(NOT(ISNUMBER(H20)),"Pending",IF(J20="n/a",IF(H20&gt;F20,"Above",IF(AND(ISNUMBER(E20),H20&lt;E20),"Below","In range")),IF(J20="Higher",IF(H20&gt;F20,"Beat",IF(AND(ISNUMBER(E20),H20&lt;E20),"Miss","In range")),IF(AND(ISNUMBER(E20),H20&lt;E20),"Beat",IF(H20&gt;F20,"Miss","In range")))))</f>
        <v>Miss</v>
      </c>
      <c r="J20" s="48" t="s">
        <v>611</v>
      </c>
      <c r="K20" s="1"/>
      <c r="L20" s="1"/>
    </row>
    <row r="21">
      <c r="A21" s="2">
        <v>46043</v>
      </c>
      <c r="B21" s="25" t="s">
        <v>620</v>
      </c>
      <c r="C21" s="25" t="s">
        <v>621</v>
      </c>
      <c r="D21" s="99" t="s">
        <v>624</v>
      </c>
      <c r="E21" s="1"/>
      <c r="F21" s="20">
        <f>'Income Statement'!C109</f>
        <v>155</v>
      </c>
      <c r="G21" s="14">
        <f>IF(AND(ISNUMBER(E21),ISNUMBER(F21)),AVERAGE(E21,F21),IF(ISNUMBER(F21),F21,E21))</f>
        <v>155</v>
      </c>
      <c r="H21" s="20">
        <f>'Income Statement'!E109</f>
        <v>138</v>
      </c>
      <c r="I21" s="14" t="str">
        <f>IF(NOT(ISNUMBER(H21)),"Pending",IF(J21="n/a",IF(H21&gt;F21,"Above",IF(AND(ISNUMBER(E21),H21&lt;E21),"Below","In range")),IF(J21="Higher",IF(H21&gt;F21,"Beat",IF(AND(ISNUMBER(E21),H21&lt;E21),"Miss","In range")),IF(AND(ISNUMBER(E21),H21&lt;E21),"Beat",IF(H21&gt;F21,"Miss","In range")))))</f>
        <v>In range</v>
      </c>
      <c r="J21" s="25" t="s">
        <v>611</v>
      </c>
      <c r="K21" s="1"/>
      <c r="L21" s="1"/>
    </row>
    <row r="22">
      <c r="A22" s="2">
        <v>46043</v>
      </c>
      <c r="B22" s="48" t="s">
        <v>620</v>
      </c>
      <c r="C22" s="48" t="s">
        <v>621</v>
      </c>
      <c r="D22" s="97" t="s">
        <v>72</v>
      </c>
      <c r="E22" s="48">
        <v>0.22</v>
      </c>
      <c r="F22" s="48">
        <v>0.22</v>
      </c>
      <c r="G22" s="17">
        <f>IF(AND(ISNUMBER(E22),ISNUMBER(F22)),AVERAGE(E22,F22),IF(ISNUMBER(F22),F22,E22))</f>
        <v>0.22</v>
      </c>
      <c r="H22" s="49">
        <f>'Income Statement'!E73</f>
        <v>0.20461538461538462</v>
      </c>
      <c r="I22" s="17" t="str">
        <f>IF(NOT(ISNUMBER(H22)),"Pending",IF(J22="n/a",IF(H22&gt;F22,"Above",IF(AND(ISNUMBER(E22),H22&lt;E22),"Below","In range")),IF(J22="Higher",IF(H22&gt;F22,"Beat",IF(AND(ISNUMBER(E22),H22&lt;E22),"Miss","In range")),IF(AND(ISNUMBER(E22),H22&lt;E22),"Beat",IF(H22&gt;F22,"Miss","In range")))))</f>
        <v>Beat</v>
      </c>
      <c r="J22" s="48" t="s">
        <v>611</v>
      </c>
      <c r="K22" s="1"/>
      <c r="L22" s="23" t="s">
        <v>625</v>
      </c>
    </row>
    <row r="23">
      <c r="A23" s="2">
        <v>46128</v>
      </c>
      <c r="B23" s="48" t="s">
        <v>626</v>
      </c>
      <c r="C23" s="48" t="s">
        <v>627</v>
      </c>
      <c r="D23" s="97" t="s">
        <v>606</v>
      </c>
      <c r="E23" s="48">
        <v>0.03</v>
      </c>
      <c r="F23" s="48">
        <v>0.04</v>
      </c>
      <c r="G23" s="17">
        <f>IF(AND(ISNUMBER(E23),ISNUMBER(F23)),AVERAGE(E23,F23),IF(ISNUMBER(F23),F23,E23))</f>
        <v>0.035</v>
      </c>
      <c r="H23" s="49">
        <f>'Revenue summary'!F279/'Revenue summary'!E279-1</f>
        <v>0.04417413572343154</v>
      </c>
      <c r="I23" s="17" t="str">
        <f>IF(NOT(ISNUMBER(H23)),"Pending",IF(J23="n/a",IF(H23&gt;F23,"Above",IF(AND(ISNUMBER(E23),H23&lt;E23),"Below","In range")),IF(J23="Higher",IF(H23&gt;F23,"Beat",IF(AND(ISNUMBER(E23),H23&lt;E23),"Miss","In range")),IF(AND(ISNUMBER(E23),H23&lt;E23),"Beat",IF(H23&gt;F23,"Miss","In range")))))</f>
        <v>Beat</v>
      </c>
      <c r="J23" s="48" t="s">
        <v>607</v>
      </c>
      <c r="K23" s="1"/>
      <c r="L23" s="1"/>
    </row>
    <row r="24">
      <c r="A24" s="2">
        <v>46128</v>
      </c>
      <c r="B24" s="48" t="s">
        <v>626</v>
      </c>
      <c r="C24" s="48" t="s">
        <v>627</v>
      </c>
      <c r="D24" s="97" t="s">
        <v>608</v>
      </c>
      <c r="E24" s="48">
        <v>0.03</v>
      </c>
      <c r="F24" s="48">
        <v>0.05</v>
      </c>
      <c r="G24" s="17">
        <f>IF(AND(ISNUMBER(E24),ISNUMBER(F24)),AVERAGE(E24,F24),IF(ISNUMBER(F24),F24,E24))</f>
        <v>0.04</v>
      </c>
      <c r="H24" s="49">
        <f>'Revenue summary'!F413/'Revenue summary'!E413-1</f>
        <v>0.07590759075907583</v>
      </c>
      <c r="I24" s="17" t="str">
        <f>IF(NOT(ISNUMBER(H24)),"Pending",IF(J24="n/a",IF(H24&gt;F24,"Above",IF(AND(ISNUMBER(E24),H24&lt;E24),"Below","In range")),IF(J24="Higher",IF(H24&gt;F24,"Beat",IF(AND(ISNUMBER(E24),H24&lt;E24),"Miss","In range")),IF(AND(ISNUMBER(E24),H24&lt;E24),"Beat",IF(H24&gt;F24,"Miss","In range")))))</f>
        <v>Beat</v>
      </c>
      <c r="J24" s="48" t="s">
        <v>607</v>
      </c>
      <c r="K24" s="1"/>
      <c r="L24" s="1"/>
    </row>
    <row r="25">
      <c r="A25" s="2">
        <v>46128</v>
      </c>
      <c r="B25" s="48" t="s">
        <v>626</v>
      </c>
      <c r="C25" s="48" t="s">
        <v>627</v>
      </c>
      <c r="D25" s="97" t="s">
        <v>610</v>
      </c>
      <c r="E25" s="48">
        <v>0</v>
      </c>
      <c r="F25" s="48">
        <v>0.01</v>
      </c>
      <c r="G25" s="17">
        <f>IF(AND(ISNUMBER(E25),ISNUMBER(F25)),AVERAGE(E25,F25),IF(ISNUMBER(F25),F25,E25))</f>
        <v>0.005</v>
      </c>
      <c r="H25" s="49">
        <f>'Income Statement'!F60/'Income Statement'!E60-1</f>
        <v>0.011611030478954953</v>
      </c>
      <c r="I25" s="17" t="str">
        <f>IF(NOT(ISNUMBER(H25)),"Pending",IF(J25="n/a",IF(H25&gt;F25,"Above",IF(AND(ISNUMBER(E25),H25&lt;E25),"Below","In range")),IF(J25="Higher",IF(H25&gt;F25,"Beat",IF(AND(ISNUMBER(E25),H25&lt;E25),"Miss","In range")),IF(AND(ISNUMBER(E25),H25&lt;E25),"Beat",IF(H25&gt;F25,"Miss","In range")))))</f>
        <v>Miss</v>
      </c>
      <c r="J25" s="48" t="s">
        <v>611</v>
      </c>
      <c r="K25" s="1"/>
      <c r="L25" s="23" t="s">
        <v>628</v>
      </c>
    </row>
    <row r="26">
      <c r="A26" s="2">
        <v>46128</v>
      </c>
      <c r="B26" s="25" t="s">
        <v>626</v>
      </c>
      <c r="C26" s="25" t="s">
        <v>627</v>
      </c>
      <c r="D26" s="99" t="s">
        <v>629</v>
      </c>
      <c r="E26" s="1"/>
      <c r="F26" s="20">
        <f>'Income Statement'!E109</f>
        <v>138</v>
      </c>
      <c r="G26" s="14">
        <f>IF(AND(ISNUMBER(E26),ISNUMBER(F26)),AVERAGE(E26,F26),IF(ISNUMBER(F26),F26,E26))</f>
        <v>138</v>
      </c>
      <c r="H26" s="20">
        <f>'Income Statement'!F109</f>
        <v>135</v>
      </c>
      <c r="I26" s="14" t="str">
        <f>IF(NOT(ISNUMBER(H26)),"Pending",IF(J26="n/a",IF(H26&gt;F26,"Above",IF(AND(ISNUMBER(E26),H26&lt;E26),"Below","In range")),IF(J26="Higher",IF(H26&gt;F26,"Beat",IF(AND(ISNUMBER(E26),H26&lt;E26),"Miss","In range")),IF(AND(ISNUMBER(E26),H26&lt;E26),"Beat",IF(H26&gt;F26,"Miss","In range")))))</f>
        <v>In range</v>
      </c>
      <c r="J26" s="25" t="s">
        <v>611</v>
      </c>
      <c r="K26" s="1"/>
      <c r="L26" s="1"/>
    </row>
    <row r="27">
      <c r="A27" s="2">
        <v>46128</v>
      </c>
      <c r="B27" s="48" t="s">
        <v>626</v>
      </c>
      <c r="C27" s="48" t="s">
        <v>627</v>
      </c>
      <c r="D27" s="97" t="s">
        <v>630</v>
      </c>
      <c r="E27" s="48">
        <v>0.105</v>
      </c>
      <c r="F27" s="48">
        <v>0.106</v>
      </c>
      <c r="G27" s="17">
        <f>IF(AND(ISNUMBER(E27),ISNUMBER(F27)),AVERAGE(E27,F27),IF(ISNUMBER(F27),F27,E27))</f>
        <v>0.1055</v>
      </c>
      <c r="H27" s="48">
        <v>0.104</v>
      </c>
      <c r="I27" s="17" t="str">
        <f>IF(NOT(ISNUMBER(H27)),"Pending",IF(J27="n/a",IF(H27&gt;F27,"Above",IF(AND(ISNUMBER(E27),H27&lt;E27),"Below","In range")),IF(J27="Higher",IF(H27&gt;F27,"Beat",IF(AND(ISNUMBER(E27),H27&lt;E27),"Miss","In range")),IF(AND(ISNUMBER(E27),H27&lt;E27),"Beat",IF(H27&gt;F27,"Miss","In range")))))</f>
        <v>Below</v>
      </c>
      <c r="J27" s="48" t="s">
        <v>631</v>
      </c>
      <c r="K27" s="1"/>
      <c r="L27" s="23" t="s">
        <v>632</v>
      </c>
    </row>
    <row r="28">
      <c r="A28" s="2">
        <v>46219</v>
      </c>
      <c r="B28" s="48" t="s">
        <v>633</v>
      </c>
      <c r="C28" s="48" t="s">
        <v>634</v>
      </c>
      <c r="D28" s="97" t="s">
        <v>635</v>
      </c>
      <c r="E28" s="48">
        <v>0.025</v>
      </c>
      <c r="F28" s="48">
        <v>0.035</v>
      </c>
      <c r="G28" s="17">
        <f>IF(AND(ISNUMBER(E28),ISNUMBER(F28)),AVERAGE(E28,F28),IF(ISNUMBER(F28),F28,E28))</f>
        <v>0.030000000000000002</v>
      </c>
      <c r="H28" s="1"/>
      <c r="I28" s="17" t="str">
        <f>IF(NOT(ISNUMBER(H28)),"Pending",IF(J28="n/a",IF(H28&gt;F28,"Above",IF(AND(ISNUMBER(E28),H28&lt;E28),"Below","In range")),IF(J28="Higher",IF(H28&gt;F28,"Beat",IF(AND(ISNUMBER(E28),H28&lt;E28),"Miss","In range")),IF(AND(ISNUMBER(E28),H28&lt;E28),"Beat",IF(H28&gt;F28,"Miss","In range")))))</f>
        <v>Pending</v>
      </c>
      <c r="J28" s="48" t="s">
        <v>607</v>
      </c>
      <c r="K28" s="49">
        <f>'Revenue summary'!G279/'Revenue summary'!F279-1</f>
        <v>0.03229516787647668</v>
      </c>
      <c r="L28" s="23" t="s">
        <v>636</v>
      </c>
    </row>
    <row r="29">
      <c r="A29" s="2">
        <v>46219</v>
      </c>
      <c r="B29" s="48" t="s">
        <v>633</v>
      </c>
      <c r="C29" s="48" t="s">
        <v>634</v>
      </c>
      <c r="D29" s="97" t="s">
        <v>637</v>
      </c>
      <c r="E29" s="48">
        <v>0.005</v>
      </c>
      <c r="F29" s="48">
        <v>0.015</v>
      </c>
      <c r="G29" s="17">
        <f>IF(AND(ISNUMBER(E29),ISNUMBER(F29)),AVERAGE(E29,F29),IF(ISNUMBER(F29),F29,E29))</f>
        <v>0.01</v>
      </c>
      <c r="H29" s="1"/>
      <c r="I29" s="17" t="str">
        <f>IF(NOT(ISNUMBER(H29)),"Pending",IF(J29="n/a",IF(H29&gt;F29,"Above",IF(AND(ISNUMBER(E29),H29&lt;E29),"Below","In range")),IF(J29="Higher",IF(H29&gt;F29,"Beat",IF(AND(ISNUMBER(E29),H29&lt;E29),"Miss","In range")),IF(AND(ISNUMBER(E29),H29&lt;E29),"Beat",IF(H29&gt;F29,"Miss","In range")))))</f>
        <v>Pending</v>
      </c>
      <c r="J29" s="48" t="s">
        <v>607</v>
      </c>
      <c r="K29" s="49">
        <f>'Revenue summary'!G413/'Revenue summary'!F413-1</f>
        <v>0.008235994195264329</v>
      </c>
      <c r="L29" s="23" t="s">
        <v>638</v>
      </c>
    </row>
    <row r="30">
      <c r="A30" s="2">
        <v>46219</v>
      </c>
      <c r="B30" s="48" t="s">
        <v>633</v>
      </c>
      <c r="C30" s="48" t="s">
        <v>634</v>
      </c>
      <c r="D30" s="97" t="s">
        <v>610</v>
      </c>
      <c r="E30" s="48">
        <v>0</v>
      </c>
      <c r="F30" s="48">
        <v>0.01</v>
      </c>
      <c r="G30" s="17">
        <f>IF(AND(ISNUMBER(E30),ISNUMBER(F30)),AVERAGE(E30,F30),IF(ISNUMBER(F30),F30,E30))</f>
        <v>0.005</v>
      </c>
      <c r="H30" s="1"/>
      <c r="I30" s="17" t="str">
        <f>IF(NOT(ISNUMBER(H30)),"Pending",IF(J30="n/a",IF(H30&gt;F30,"Above",IF(AND(ISNUMBER(E30),H30&lt;E30),"Below","In range")),IF(J30="Higher",IF(H30&gt;F30,"Beat",IF(AND(ISNUMBER(E30),H30&lt;E30),"Miss","In range")),IF(AND(ISNUMBER(E30),H30&lt;E30),"Beat",IF(H30&gt;F30,"Miss","In range")))))</f>
        <v>Pending</v>
      </c>
      <c r="J30" s="48" t="s">
        <v>611</v>
      </c>
      <c r="K30" s="49">
        <f>'Income Statement'!G60/'Income Statement'!F60-1</f>
        <v>0.004290028694404535</v>
      </c>
      <c r="L30" s="23" t="s">
        <v>617</v>
      </c>
    </row>
    <row r="31">
      <c r="A31" s="2">
        <v>46219</v>
      </c>
      <c r="B31" s="25" t="s">
        <v>633</v>
      </c>
      <c r="C31" s="25" t="s">
        <v>634</v>
      </c>
      <c r="D31" s="99" t="s">
        <v>639</v>
      </c>
      <c r="E31" s="1"/>
      <c r="F31" s="20">
        <f>'Income Statement'!F109</f>
        <v>135</v>
      </c>
      <c r="G31" s="14">
        <f>IF(AND(ISNUMBER(E31),ISNUMBER(F31)),AVERAGE(E31,F31),IF(ISNUMBER(F31),F31,E31))</f>
        <v>135</v>
      </c>
      <c r="H31" s="1"/>
      <c r="I31" s="14" t="str">
        <f>IF(NOT(ISNUMBER(H31)),"Pending",IF(J31="n/a",IF(H31&gt;F31,"Above",IF(AND(ISNUMBER(E31),H31&lt;E31),"Below","In range")),IF(J31="Higher",IF(H31&gt;F31,"Beat",IF(AND(ISNUMBER(E31),H31&lt;E31),"Miss","In range")),IF(AND(ISNUMBER(E31),H31&lt;E31),"Beat",IF(H31&gt;F31,"Miss","In range")))))</f>
        <v>Pending</v>
      </c>
      <c r="J31" s="25" t="s">
        <v>611</v>
      </c>
      <c r="K31" s="20">
        <f>'Income Statement'!G109</f>
        <v>134.37428433534248</v>
      </c>
      <c r="L31" s="1"/>
    </row>
    <row r="32">
      <c r="A32" s="2">
        <v>46219</v>
      </c>
      <c r="B32" s="48" t="s">
        <v>633</v>
      </c>
      <c r="C32" s="48" t="s">
        <v>634</v>
      </c>
      <c r="D32" s="97" t="s">
        <v>640</v>
      </c>
      <c r="E32" s="48">
        <v>0.105</v>
      </c>
      <c r="F32" s="48">
        <v>0.105</v>
      </c>
      <c r="G32" s="17">
        <f>IF(AND(ISNUMBER(E32),ISNUMBER(F32)),AVERAGE(E32,F32),IF(ISNUMBER(F32),F32,E32))</f>
        <v>0.105</v>
      </c>
      <c r="H32" s="1"/>
      <c r="I32" s="17" t="str">
        <f>IF(NOT(ISNUMBER(H32)),"Pending",IF(J32="n/a",IF(H32&gt;F32,"Above",IF(AND(ISNUMBER(E32),H32&lt;E32),"Below","In range")),IF(J32="Higher",IF(H32&gt;F32,"Beat",IF(AND(ISNUMBER(E32),H32&lt;E32),"Miss","In range")),IF(AND(ISNUMBER(E32),H32&lt;E32),"Beat",IF(H32&gt;F32,"Miss","In range")))))</f>
        <v>Pending</v>
      </c>
      <c r="J32" s="48" t="s">
        <v>631</v>
      </c>
      <c r="K32" s="1"/>
      <c r="L32" s="1"/>
    </row>
    <row r="33">
      <c r="A33" s="2">
        <v>46219</v>
      </c>
      <c r="B33" s="25" t="s">
        <v>633</v>
      </c>
      <c r="C33" s="25" t="s">
        <v>634</v>
      </c>
      <c r="D33" s="99" t="s">
        <v>569</v>
      </c>
      <c r="E33" s="25">
        <v>125</v>
      </c>
      <c r="F33" s="25">
        <v>125</v>
      </c>
      <c r="G33" s="14">
        <f>IF(AND(ISNUMBER(E33),ISNUMBER(F33)),AVERAGE(E33,F33),IF(ISNUMBER(F33),F33,E33))</f>
        <v>125</v>
      </c>
      <c r="H33" s="1"/>
      <c r="I33" s="14" t="str">
        <f>IF(NOT(ISNUMBER(H33)),"Pending",IF(J33="n/a",IF(H33&gt;F33,"Above",IF(AND(ISNUMBER(E33),H33&lt;E33),"Below","In range")),IF(J33="Higher",IF(H33&gt;F33,"Beat",IF(AND(ISNUMBER(E33),H33&lt;E33),"Miss","In range")),IF(AND(ISNUMBER(E33),H33&lt;E33),"Beat",IF(H33&gt;F33,"Miss","In range")))))</f>
        <v>Pending</v>
      </c>
      <c r="J33" s="25" t="s">
        <v>631</v>
      </c>
      <c r="K33" s="20">
        <f>'Share Count'!G11</f>
        <v>125</v>
      </c>
      <c r="L33" s="1"/>
    </row>
    <row r="34">
      <c r="A34" s="2">
        <v>46219</v>
      </c>
      <c r="B34" s="48" t="s">
        <v>633</v>
      </c>
      <c r="C34" s="48" t="s">
        <v>634</v>
      </c>
      <c r="D34" s="97" t="s">
        <v>641</v>
      </c>
      <c r="E34" s="48">
        <v>0.22</v>
      </c>
      <c r="F34" s="48">
        <v>0.22</v>
      </c>
      <c r="G34" s="17">
        <f>IF(AND(ISNUMBER(E34),ISNUMBER(F34)),AVERAGE(E34,F34),IF(ISNUMBER(F34),F34,E34))</f>
        <v>0.22</v>
      </c>
      <c r="H34" s="1"/>
      <c r="I34" s="17" t="str">
        <f>IF(NOT(ISNUMBER(H34)),"Pending",IF(J34="n/a",IF(H34&gt;F34,"Above",IF(AND(ISNUMBER(E34),H34&lt;E34),"Below","In range")),IF(J34="Higher",IF(H34&gt;F34,"Beat",IF(AND(ISNUMBER(E34),H34&lt;E34),"Miss","In range")),IF(AND(ISNUMBER(E34),H34&lt;E34),"Beat",IF(H34&gt;F34,"Miss","In range")))))</f>
        <v>Pending</v>
      </c>
      <c r="J34" s="48" t="s">
        <v>631</v>
      </c>
      <c r="K34" s="49">
        <f>'Income Statement'!G73</f>
        <v>0.22</v>
      </c>
      <c r="L34" s="1"/>
    </row>
    <row r="35">
      <c r="A35" s="2">
        <v>46043</v>
      </c>
      <c r="B35" s="48" t="s">
        <v>642</v>
      </c>
      <c r="C35" s="48" t="s">
        <v>643</v>
      </c>
      <c r="D35" s="97" t="s">
        <v>644</v>
      </c>
      <c r="E35" s="48">
        <v>0.1</v>
      </c>
      <c r="F35" s="48">
        <v>0.12</v>
      </c>
      <c r="G35" s="17">
        <f>IF(AND(ISNUMBER(E35),ISNUMBER(F35)),AVERAGE(E35,F35),IF(ISNUMBER(F35),F35,E35))</f>
        <v>0.11</v>
      </c>
      <c r="H35" s="1"/>
      <c r="I35" s="17" t="str">
        <f>IF(NOT(ISNUMBER(H35)),"Pending",IF(J35="n/a",IF(H35&gt;F35,"Above",IF(AND(ISNUMBER(E35),H35&lt;E35),"Below","In range")),IF(J35="Higher",IF(H35&gt;F35,"Beat",IF(AND(ISNUMBER(E35),H35&lt;E35),"Miss","In range")),IF(AND(ISNUMBER(E35),H35&lt;E35),"Beat",IF(H35&gt;F35,"Miss","In range")))))</f>
        <v>Pending</v>
      </c>
      <c r="J35" s="48" t="s">
        <v>607</v>
      </c>
      <c r="K35" s="1"/>
      <c r="L35" s="23" t="s">
        <v>645</v>
      </c>
    </row>
    <row r="36">
      <c r="A36" s="2">
        <v>46043</v>
      </c>
      <c r="B36" s="48" t="s">
        <v>642</v>
      </c>
      <c r="C36" s="48" t="s">
        <v>643</v>
      </c>
      <c r="D36" s="97" t="s">
        <v>646</v>
      </c>
      <c r="E36" s="48">
        <v>0.06</v>
      </c>
      <c r="F36" s="48">
        <v>0.08</v>
      </c>
      <c r="G36" s="17">
        <f>IF(AND(ISNUMBER(E36),ISNUMBER(F36)),AVERAGE(E36,F36),IF(ISNUMBER(F36),F36,E36))</f>
        <v>0.07</v>
      </c>
      <c r="H36" s="1"/>
      <c r="I36" s="17" t="str">
        <f>IF(NOT(ISNUMBER(H36)),"Pending",IF(J36="n/a",IF(H36&gt;F36,"Above",IF(AND(ISNUMBER(E36),H36&lt;E36),"Below","In range")),IF(J36="Higher",IF(H36&gt;F36,"Beat",IF(AND(ISNUMBER(E36),H36&lt;E36),"Miss","In range")),IF(AND(ISNUMBER(E36),H36&lt;E36),"Beat",IF(H36&gt;F36,"Miss","In range")))))</f>
        <v>Pending</v>
      </c>
      <c r="J36" s="48" t="s">
        <v>607</v>
      </c>
      <c r="K36" s="1"/>
      <c r="L36" s="23" t="s">
        <v>647</v>
      </c>
    </row>
    <row r="37">
      <c r="A37" s="2">
        <v>46043</v>
      </c>
      <c r="B37" s="48" t="s">
        <v>642</v>
      </c>
      <c r="C37" s="48" t="s">
        <v>643</v>
      </c>
      <c r="D37" s="97" t="s">
        <v>648</v>
      </c>
      <c r="E37" s="48">
        <v>0.045</v>
      </c>
      <c r="F37" s="48">
        <v>0.045</v>
      </c>
      <c r="G37" s="17">
        <f>IF(AND(ISNUMBER(E37),ISNUMBER(F37)),AVERAGE(E37,F37),IF(ISNUMBER(F37),F37,E37))</f>
        <v>0.045</v>
      </c>
      <c r="H37" s="1"/>
      <c r="I37" s="17" t="str">
        <f>IF(NOT(ISNUMBER(H37)),"Pending",IF(J37="n/a",IF(H37&gt;F37,"Above",IF(AND(ISNUMBER(E37),H37&lt;E37),"Below","In range")),IF(J37="Higher",IF(H37&gt;F37,"Beat",IF(AND(ISNUMBER(E37),H37&lt;E37),"Miss","In range")),IF(AND(ISNUMBER(E37),H37&lt;E37),"Beat",IF(H37&gt;F37,"Miss","In range")))))</f>
        <v>Pending</v>
      </c>
      <c r="J37" s="48" t="s">
        <v>611</v>
      </c>
      <c r="K37" s="1"/>
      <c r="L37" s="23" t="s">
        <v>649</v>
      </c>
    </row>
    <row r="38">
      <c r="A38" s="2">
        <v>46043</v>
      </c>
      <c r="B38" s="48" t="s">
        <v>642</v>
      </c>
      <c r="C38" s="48" t="s">
        <v>643</v>
      </c>
      <c r="D38" s="97" t="s">
        <v>650</v>
      </c>
      <c r="E38" s="48">
        <v>0.025</v>
      </c>
      <c r="F38" s="48">
        <v>0.035</v>
      </c>
      <c r="G38" s="17">
        <f>IF(AND(ISNUMBER(E38),ISNUMBER(F38)),AVERAGE(E38,F38),IF(ISNUMBER(F38),F38,E38))</f>
        <v>0.030000000000000002</v>
      </c>
      <c r="H38" s="1"/>
      <c r="I38" s="17" t="str">
        <f>IF(NOT(ISNUMBER(H38)),"Pending",IF(J38="n/a",IF(H38&gt;F38,"Above",IF(AND(ISNUMBER(E38),H38&lt;E38),"Below","In range")),IF(J38="Higher",IF(H38&gt;F38,"Beat",IF(AND(ISNUMBER(E38),H38&lt;E38),"Miss","In range")),IF(AND(ISNUMBER(E38),H38&lt;E38),"Beat",IF(H38&gt;F38,"Miss","In range")))))</f>
        <v>Pending</v>
      </c>
      <c r="J38" s="48" t="s">
        <v>607</v>
      </c>
      <c r="K38" s="1"/>
      <c r="L38" s="23" t="s">
        <v>651</v>
      </c>
    </row>
    <row r="39">
      <c r="A39" s="101">
        <v>46219</v>
      </c>
      <c r="B39" s="100" t="s">
        <v>633</v>
      </c>
      <c r="C39" s="100" t="s">
        <v>652</v>
      </c>
      <c r="D39" s="104" t="s">
        <v>68</v>
      </c>
      <c r="E39" s="100">
        <v>0.0322</v>
      </c>
      <c r="F39" s="100">
        <v>0.0327</v>
      </c>
      <c r="G39" s="98">
        <f>IF(AND(ISNUMBER(E39),ISNUMBER(F39)),AVERAGE(E39,F39),IF(ISNUMBER(F39),F39,E39))</f>
        <v>0.03245</v>
      </c>
      <c r="H39" s="96"/>
      <c r="I39" s="98" t="str">
        <f>IF(NOT(ISNUMBER(H39)),"Pending",IF(J39="n/a",IF(H39&gt;F39,"Above",IF(AND(ISNUMBER(E39),H39&lt;E39),"Below","In range")),IF(J39="Higher",IF(H39&gt;F39,"Beat",IF(AND(ISNUMBER(E39),H39&lt;E39),"Miss","In range")),IF(AND(ISNUMBER(E39),H39&lt;E39),"Beat",IF(H39&gt;F39,"Miss","In range")))))</f>
        <v>Pending</v>
      </c>
      <c r="J39" s="100" t="s">
        <v>607</v>
      </c>
      <c r="K39" s="96"/>
      <c r="L39" s="23" t="s">
        <v>653</v>
      </c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>
      <c r="A41" s="8" t="s">
        <v>654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A42" s="1" t="s">
        <v>655</v>
      </c>
      <c r="B42" s="1"/>
      <c r="C42" s="1"/>
      <c r="D42" s="1"/>
      <c r="E42" s="1"/>
      <c r="F42" s="1"/>
      <c r="G42" s="20">
        <f>'Income Statement'!F18*(1+G28)</f>
        <v>1679.93</v>
      </c>
      <c r="H42" s="1"/>
      <c r="I42" s="1"/>
      <c r="J42" s="1"/>
      <c r="K42" s="1"/>
      <c r="L42" s="1"/>
    </row>
    <row r="43">
      <c r="A43" s="1" t="s">
        <v>656</v>
      </c>
      <c r="B43" s="1"/>
      <c r="C43" s="1"/>
      <c r="D43" s="1"/>
      <c r="E43" s="1"/>
      <c r="F43" s="1"/>
      <c r="G43" s="20">
        <f>'Income Statement'!F31*(1+G29)</f>
        <v>658.52</v>
      </c>
      <c r="H43" s="1"/>
      <c r="I43" s="1"/>
      <c r="J43" s="1"/>
      <c r="K43" s="1"/>
      <c r="L43" s="1"/>
    </row>
    <row r="44">
      <c r="A44" s="8" t="s">
        <v>657</v>
      </c>
      <c r="B44" s="1"/>
      <c r="C44" s="1"/>
      <c r="D44" s="1"/>
      <c r="E44" s="1"/>
      <c r="F44" s="1"/>
      <c r="G44" s="30">
        <f>G42+G43</f>
        <v>2338.45</v>
      </c>
      <c r="H44" s="1"/>
      <c r="I44" s="1"/>
      <c r="J44" s="1"/>
      <c r="K44" s="1"/>
      <c r="L44" s="1"/>
    </row>
    <row r="45">
      <c r="A45" s="1" t="s">
        <v>658</v>
      </c>
      <c r="B45" s="1"/>
      <c r="C45" s="1"/>
      <c r="D45" s="1"/>
      <c r="E45" s="1"/>
      <c r="F45" s="1"/>
      <c r="G45" s="20">
        <f>'Income Statement'!F60*(1+G30)</f>
        <v>1400.9699999999998</v>
      </c>
      <c r="H45" s="1"/>
      <c r="I45" s="1"/>
      <c r="J45" s="1"/>
      <c r="K45" s="1"/>
      <c r="L45" s="1"/>
    </row>
    <row r="46">
      <c r="A46" s="1" t="s">
        <v>659</v>
      </c>
      <c r="B46" s="1"/>
      <c r="C46" s="1"/>
      <c r="D46" s="1"/>
      <c r="E46" s="1"/>
      <c r="F46" s="1"/>
      <c r="G46" s="14">
        <f>G31</f>
        <v>135</v>
      </c>
      <c r="H46" s="1"/>
      <c r="I46" s="1"/>
      <c r="J46" s="1"/>
      <c r="K46" s="1"/>
      <c r="L46" s="23" t="s">
        <v>660</v>
      </c>
    </row>
    <row r="47">
      <c r="A47" s="8" t="s">
        <v>661</v>
      </c>
      <c r="B47" s="1"/>
      <c r="C47" s="1"/>
      <c r="D47" s="1"/>
      <c r="E47" s="1"/>
      <c r="F47" s="1"/>
      <c r="G47" s="62">
        <f>G44-G45-G46</f>
        <v>802.48</v>
      </c>
      <c r="H47" s="1"/>
      <c r="I47" s="1"/>
      <c r="J47" s="1"/>
      <c r="K47" s="1"/>
      <c r="L47" s="1"/>
    </row>
    <row r="48">
      <c r="A48" s="1" t="s">
        <v>662</v>
      </c>
      <c r="B48" s="1"/>
      <c r="C48" s="1"/>
      <c r="D48" s="1"/>
      <c r="E48" s="1"/>
      <c r="F48" s="1"/>
      <c r="G48" s="14">
        <f>G47*G34</f>
        <v>176.5456</v>
      </c>
      <c r="H48" s="1"/>
      <c r="I48" s="1"/>
      <c r="J48" s="1"/>
      <c r="K48" s="1"/>
      <c r="L48" s="1"/>
    </row>
    <row r="49">
      <c r="A49" s="8" t="s">
        <v>358</v>
      </c>
      <c r="B49" s="1"/>
      <c r="C49" s="1"/>
      <c r="D49" s="1"/>
      <c r="E49" s="1"/>
      <c r="F49" s="1"/>
      <c r="G49" s="62">
        <f>G47-G48</f>
        <v>625.9344</v>
      </c>
      <c r="H49" s="1"/>
      <c r="I49" s="1"/>
      <c r="J49" s="1"/>
      <c r="K49" s="1"/>
      <c r="L49" s="1"/>
    </row>
    <row r="50">
      <c r="A50" s="1" t="s">
        <v>663</v>
      </c>
      <c r="B50" s="1"/>
      <c r="C50" s="1"/>
      <c r="D50" s="1"/>
      <c r="E50" s="1"/>
      <c r="F50" s="1"/>
      <c r="G50" s="20">
        <f>'Income Statement'!G82</f>
        <v>37</v>
      </c>
      <c r="H50" s="1"/>
      <c r="I50" s="1"/>
      <c r="J50" s="1"/>
      <c r="K50" s="1"/>
      <c r="L50" s="1"/>
    </row>
    <row r="51">
      <c r="A51" s="8" t="s">
        <v>664</v>
      </c>
      <c r="B51" s="1"/>
      <c r="C51" s="1"/>
      <c r="D51" s="1"/>
      <c r="E51" s="1"/>
      <c r="F51" s="1"/>
      <c r="G51" s="30">
        <f>G49-G50</f>
        <v>588.9344</v>
      </c>
      <c r="H51" s="1"/>
      <c r="I51" s="1"/>
      <c r="J51" s="1"/>
      <c r="K51" s="1"/>
      <c r="L51" s="1"/>
    </row>
    <row r="52">
      <c r="A52" s="1" t="s">
        <v>665</v>
      </c>
      <c r="B52" s="1"/>
      <c r="C52" s="1"/>
      <c r="D52" s="1"/>
      <c r="E52" s="1"/>
      <c r="F52" s="1"/>
      <c r="G52" s="20">
        <f>'Share Count'!G21</f>
        <v>425.7192533529412</v>
      </c>
      <c r="H52" s="1"/>
      <c r="I52" s="1"/>
      <c r="J52" s="1"/>
      <c r="K52" s="1"/>
      <c r="L52" s="1"/>
    </row>
    <row r="53">
      <c r="A53" s="8" t="s">
        <v>666</v>
      </c>
      <c r="B53" s="1"/>
      <c r="C53" s="1"/>
      <c r="D53" s="1"/>
      <c r="E53" s="1"/>
      <c r="F53" s="1"/>
      <c r="G53" s="63">
        <f>G51/G52</f>
        <v>1.3833868103488045</v>
      </c>
      <c r="H53" s="1"/>
      <c r="I53" s="1"/>
      <c r="J53" s="1"/>
      <c r="K53" s="1"/>
      <c r="L53" s="1"/>
    </row>
    <row r="54">
      <c r="A54" s="1" t="s">
        <v>667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8"/>
  <sheetViews>
    <sheetView showGridLines="0" workbookViewId="0"/>
  </sheetViews>
  <sheetFormatPr defaultColWidth="8.42578125" defaultRowHeight="15"/>
  <cols>
    <col min="1" max="1" width="54" customWidth="1"/>
    <col min="2" max="11" width="12" customWidth="1"/>
    <col min="12" max="12" width="60" customWidth="1"/>
  </cols>
  <sheetData>
    <row r="1">
      <c r="A1" s="1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8" t="s">
        <v>668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3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5" t="s">
        <v>3</v>
      </c>
      <c r="B4" s="9" t="s">
        <v>669</v>
      </c>
      <c r="C4" s="9" t="s">
        <v>670</v>
      </c>
      <c r="D4" s="9" t="s">
        <v>671</v>
      </c>
      <c r="E4" s="9" t="s">
        <v>672</v>
      </c>
      <c r="F4" s="9" t="s">
        <v>673</v>
      </c>
      <c r="G4" s="5"/>
      <c r="H4" s="5"/>
      <c r="I4" s="5"/>
      <c r="J4" s="5"/>
      <c r="K4" s="5"/>
      <c r="L4" s="15" t="s">
        <v>5</v>
      </c>
    </row>
    <row r="5">
      <c r="A5" s="10" t="s">
        <v>6</v>
      </c>
      <c r="B5" s="4">
        <v>45565</v>
      </c>
      <c r="C5" s="4">
        <v>45657</v>
      </c>
      <c r="D5" s="4">
        <v>45747</v>
      </c>
      <c r="E5" s="4">
        <v>45838</v>
      </c>
      <c r="F5" s="4">
        <v>45657</v>
      </c>
      <c r="G5" s="10"/>
      <c r="H5" s="10"/>
      <c r="I5" s="10"/>
      <c r="J5" s="10"/>
      <c r="K5" s="10"/>
      <c r="L5" s="148" t="s">
        <v>674</v>
      </c>
    </row>
    <row r="6">
      <c r="A6" s="6" t="s">
        <v>7</v>
      </c>
      <c r="B6" s="12">
        <f>B5-EOMONTH(B5,-3)</f>
        <v>92</v>
      </c>
      <c r="C6" s="12">
        <f>C5-EOMONTH(C5,-3)</f>
        <v>92</v>
      </c>
      <c r="D6" s="12">
        <f>D5-EOMONTH(D5,-3)</f>
        <v>90</v>
      </c>
      <c r="E6" s="12">
        <f>E5-EOMONTH(E5,-3)</f>
        <v>91</v>
      </c>
      <c r="F6" s="12">
        <f>F5-EOMONTH(F5,-12)</f>
        <v>366</v>
      </c>
      <c r="G6" s="6"/>
      <c r="H6" s="6"/>
      <c r="I6" s="6"/>
      <c r="J6" s="6"/>
      <c r="K6" s="6"/>
      <c r="L6" s="6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8" t="s">
        <v>675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A9" s="1" t="s">
        <v>123</v>
      </c>
      <c r="B9" s="1"/>
      <c r="C9" s="25">
        <v>1506</v>
      </c>
      <c r="D9" s="25">
        <v>1490</v>
      </c>
      <c r="E9" s="25">
        <v>1547</v>
      </c>
      <c r="F9" s="25">
        <v>5695</v>
      </c>
      <c r="G9" s="1"/>
      <c r="H9" s="1"/>
      <c r="I9" s="1"/>
      <c r="J9" s="1"/>
      <c r="K9" s="1"/>
      <c r="L9" s="23" t="s">
        <v>676</v>
      </c>
    </row>
    <row r="10">
      <c r="A10" s="1" t="s">
        <v>134</v>
      </c>
      <c r="B10" s="1"/>
      <c r="C10" s="25">
        <v>696</v>
      </c>
      <c r="D10" s="25">
        <v>656</v>
      </c>
      <c r="E10" s="25">
        <v>671</v>
      </c>
      <c r="F10" s="25">
        <v>2858</v>
      </c>
      <c r="G10" s="1"/>
      <c r="H10" s="1"/>
      <c r="I10" s="1"/>
      <c r="J10" s="1"/>
      <c r="K10" s="1"/>
      <c r="L10" s="23" t="s">
        <v>676</v>
      </c>
    </row>
    <row r="11">
      <c r="A11" s="1" t="s">
        <v>136</v>
      </c>
      <c r="B11" s="1"/>
      <c r="C11" s="25">
        <v>-247</v>
      </c>
      <c r="D11" s="25">
        <v>-243</v>
      </c>
      <c r="E11" s="25">
        <v>-220</v>
      </c>
      <c r="F11" s="25">
        <v>-881</v>
      </c>
      <c r="G11" s="1"/>
      <c r="H11" s="1"/>
      <c r="I11" s="1"/>
      <c r="J11" s="1"/>
      <c r="K11" s="1"/>
      <c r="L11" s="23" t="s">
        <v>676</v>
      </c>
    </row>
    <row r="12">
      <c r="A12" s="1" t="s">
        <v>138</v>
      </c>
      <c r="B12" s="1"/>
      <c r="C12" s="25">
        <v>31</v>
      </c>
      <c r="D12" s="25">
        <v>32</v>
      </c>
      <c r="E12" s="25">
        <v>39</v>
      </c>
      <c r="F12" s="25">
        <v>137</v>
      </c>
      <c r="G12" s="1"/>
      <c r="H12" s="1"/>
      <c r="I12" s="1"/>
      <c r="J12" s="1"/>
      <c r="K12" s="1"/>
      <c r="L12" s="23" t="s">
        <v>676</v>
      </c>
    </row>
    <row r="13">
      <c r="A13" s="1" t="s">
        <v>677</v>
      </c>
      <c r="B13" s="1"/>
      <c r="C13" s="25">
        <v>-216</v>
      </c>
      <c r="D13" s="25">
        <v>-211</v>
      </c>
      <c r="E13" s="25">
        <v>-181</v>
      </c>
      <c r="F13" s="25">
        <v>-744</v>
      </c>
      <c r="G13" s="1"/>
      <c r="H13" s="1"/>
      <c r="I13" s="1"/>
      <c r="J13" s="1"/>
      <c r="K13" s="1"/>
      <c r="L13" s="23" t="s">
        <v>676</v>
      </c>
    </row>
    <row r="14">
      <c r="A14" s="1" t="s">
        <v>678</v>
      </c>
      <c r="B14" s="25">
        <v>8896</v>
      </c>
      <c r="C14" s="25">
        <v>9459</v>
      </c>
      <c r="D14" s="25">
        <v>8092</v>
      </c>
      <c r="E14" s="25">
        <v>8217</v>
      </c>
      <c r="F14" s="25">
        <v>9566</v>
      </c>
      <c r="G14" s="1"/>
      <c r="H14" s="1"/>
      <c r="I14" s="1"/>
      <c r="J14" s="1"/>
      <c r="K14" s="1"/>
      <c r="L14" s="23" t="s">
        <v>679</v>
      </c>
    </row>
    <row r="15">
      <c r="A15" s="1" t="s">
        <v>170</v>
      </c>
      <c r="B15" s="25">
        <v>121</v>
      </c>
      <c r="C15" s="25">
        <v>112</v>
      </c>
      <c r="D15" s="25">
        <v>89</v>
      </c>
      <c r="E15" s="25">
        <v>92</v>
      </c>
      <c r="F15" s="25">
        <v>503</v>
      </c>
      <c r="G15" s="1"/>
      <c r="H15" s="1"/>
      <c r="I15" s="1"/>
      <c r="J15" s="1"/>
      <c r="K15" s="1"/>
      <c r="L15" s="23" t="s">
        <v>679</v>
      </c>
    </row>
    <row r="16">
      <c r="A16" s="1" t="s">
        <v>680</v>
      </c>
      <c r="B16" s="25">
        <v>45084</v>
      </c>
      <c r="C16" s="25">
        <v>44823</v>
      </c>
      <c r="D16" s="25">
        <v>46069</v>
      </c>
      <c r="E16" s="25">
        <v>46538</v>
      </c>
      <c r="F16" s="25">
        <v>44628</v>
      </c>
      <c r="G16" s="1"/>
      <c r="H16" s="1"/>
      <c r="I16" s="1"/>
      <c r="J16" s="1"/>
      <c r="K16" s="1"/>
      <c r="L16" s="23" t="s">
        <v>679</v>
      </c>
    </row>
    <row r="17">
      <c r="A17" s="1" t="s">
        <v>175</v>
      </c>
      <c r="B17" s="25">
        <v>423</v>
      </c>
      <c r="C17" s="25">
        <v>419</v>
      </c>
      <c r="D17" s="25">
        <v>418</v>
      </c>
      <c r="E17" s="25">
        <v>428</v>
      </c>
      <c r="F17" s="25">
        <v>1658</v>
      </c>
      <c r="G17" s="1"/>
      <c r="H17" s="1"/>
      <c r="I17" s="1"/>
      <c r="J17" s="1"/>
      <c r="K17" s="1"/>
      <c r="L17" s="23" t="s">
        <v>679</v>
      </c>
    </row>
    <row r="18">
      <c r="A18" s="1" t="s">
        <v>681</v>
      </c>
      <c r="B18" s="25">
        <v>44071</v>
      </c>
      <c r="C18" s="25">
        <v>43674</v>
      </c>
      <c r="D18" s="25">
        <v>43599</v>
      </c>
      <c r="E18" s="25">
        <v>44936</v>
      </c>
      <c r="F18" s="25">
        <v>44174</v>
      </c>
      <c r="G18" s="1"/>
      <c r="H18" s="1"/>
      <c r="I18" s="1"/>
      <c r="J18" s="1"/>
      <c r="K18" s="1"/>
      <c r="L18" s="23" t="s">
        <v>679</v>
      </c>
    </row>
    <row r="19">
      <c r="A19" s="1" t="s">
        <v>178</v>
      </c>
      <c r="B19" s="25">
        <v>556</v>
      </c>
      <c r="C19" s="25">
        <v>538</v>
      </c>
      <c r="D19" s="25">
        <v>515</v>
      </c>
      <c r="E19" s="25">
        <v>549</v>
      </c>
      <c r="F19" s="25">
        <v>2333</v>
      </c>
      <c r="G19" s="1"/>
      <c r="H19" s="1"/>
      <c r="I19" s="1"/>
      <c r="J19" s="1"/>
      <c r="K19" s="1"/>
      <c r="L19" s="23" t="s">
        <v>679</v>
      </c>
    </row>
    <row r="20">
      <c r="A20" s="1" t="s">
        <v>682</v>
      </c>
      <c r="B20" s="25">
        <v>28209</v>
      </c>
      <c r="C20" s="25">
        <v>27681</v>
      </c>
      <c r="D20" s="25">
        <v>27013</v>
      </c>
      <c r="E20" s="25">
        <v>26487</v>
      </c>
      <c r="F20" s="25">
        <v>28430</v>
      </c>
      <c r="G20" s="1"/>
      <c r="H20" s="1"/>
      <c r="I20" s="1"/>
      <c r="J20" s="1"/>
      <c r="K20" s="1"/>
      <c r="L20" s="23" t="s">
        <v>679</v>
      </c>
    </row>
    <row r="21">
      <c r="A21" s="1" t="s">
        <v>181</v>
      </c>
      <c r="B21" s="25">
        <v>452</v>
      </c>
      <c r="C21" s="25">
        <v>419</v>
      </c>
      <c r="D21" s="25">
        <v>387</v>
      </c>
      <c r="E21" s="25">
        <v>384</v>
      </c>
      <c r="F21" s="25">
        <v>1795</v>
      </c>
      <c r="G21" s="1"/>
      <c r="H21" s="1"/>
      <c r="I21" s="1"/>
      <c r="J21" s="1"/>
      <c r="K21" s="1"/>
      <c r="L21" s="23" t="s">
        <v>679</v>
      </c>
    </row>
    <row r="22">
      <c r="A22" s="1" t="s">
        <v>683</v>
      </c>
      <c r="B22" s="25">
        <v>32117</v>
      </c>
      <c r="C22" s="25">
        <v>32520</v>
      </c>
      <c r="D22" s="25">
        <v>32872</v>
      </c>
      <c r="E22" s="25">
        <v>33420</v>
      </c>
      <c r="F22" s="25">
        <v>31916</v>
      </c>
      <c r="G22" s="1"/>
      <c r="H22" s="1"/>
      <c r="I22" s="1"/>
      <c r="J22" s="1"/>
      <c r="K22" s="1"/>
      <c r="L22" s="23" t="s">
        <v>679</v>
      </c>
    </row>
    <row r="23">
      <c r="A23" s="1" t="s">
        <v>184</v>
      </c>
      <c r="B23" s="25">
        <v>301</v>
      </c>
      <c r="C23" s="25">
        <v>310</v>
      </c>
      <c r="D23" s="25">
        <v>318</v>
      </c>
      <c r="E23" s="25">
        <v>327</v>
      </c>
      <c r="F23" s="25">
        <v>1184</v>
      </c>
      <c r="G23" s="1"/>
      <c r="H23" s="1"/>
      <c r="I23" s="1"/>
      <c r="J23" s="1"/>
      <c r="K23" s="1"/>
      <c r="L23" s="23" t="s">
        <v>679</v>
      </c>
    </row>
    <row r="24">
      <c r="A24" s="1" t="s">
        <v>684</v>
      </c>
      <c r="B24" s="25">
        <v>15733</v>
      </c>
      <c r="C24" s="25">
        <v>16246</v>
      </c>
      <c r="D24" s="25">
        <v>16647</v>
      </c>
      <c r="E24" s="25">
        <v>17324</v>
      </c>
      <c r="F24" s="25">
        <v>15603</v>
      </c>
      <c r="G24" s="1"/>
      <c r="H24" s="1"/>
      <c r="I24" s="1"/>
      <c r="J24" s="1"/>
      <c r="K24" s="1"/>
      <c r="L24" s="23" t="s">
        <v>679</v>
      </c>
    </row>
    <row r="25">
      <c r="A25" s="1" t="s">
        <v>187</v>
      </c>
      <c r="B25" s="25">
        <v>317</v>
      </c>
      <c r="C25" s="25">
        <v>311</v>
      </c>
      <c r="D25" s="25">
        <v>293</v>
      </c>
      <c r="E25" s="25">
        <v>308</v>
      </c>
      <c r="F25" s="25">
        <v>1231</v>
      </c>
      <c r="G25" s="1"/>
      <c r="H25" s="1"/>
      <c r="I25" s="1"/>
      <c r="J25" s="1"/>
      <c r="K25" s="1"/>
      <c r="L25" s="23" t="s">
        <v>679</v>
      </c>
    </row>
    <row r="26">
      <c r="A26" s="1" t="s">
        <v>685</v>
      </c>
      <c r="B26" s="25">
        <v>5942</v>
      </c>
      <c r="C26" s="25">
        <v>5129</v>
      </c>
      <c r="D26" s="25">
        <v>4394</v>
      </c>
      <c r="E26" s="25">
        <v>3705</v>
      </c>
      <c r="F26" s="25">
        <v>6404</v>
      </c>
      <c r="G26" s="1"/>
      <c r="H26" s="1"/>
      <c r="I26" s="1"/>
      <c r="J26" s="1"/>
      <c r="K26" s="1"/>
      <c r="L26" s="23" t="s">
        <v>679</v>
      </c>
    </row>
    <row r="27">
      <c r="A27" s="1" t="s">
        <v>190</v>
      </c>
      <c r="B27" s="25">
        <v>64</v>
      </c>
      <c r="C27" s="25">
        <v>56</v>
      </c>
      <c r="D27" s="25">
        <v>47</v>
      </c>
      <c r="E27" s="25">
        <v>41</v>
      </c>
      <c r="F27" s="25">
        <v>274</v>
      </c>
      <c r="G27" s="1"/>
      <c r="H27" s="1"/>
      <c r="I27" s="1"/>
      <c r="J27" s="1"/>
      <c r="K27" s="1"/>
      <c r="L27" s="23" t="s">
        <v>679</v>
      </c>
    </row>
    <row r="28">
      <c r="A28" s="1" t="s">
        <v>686</v>
      </c>
      <c r="B28" s="25">
        <v>11155</v>
      </c>
      <c r="C28" s="25">
        <v>10949</v>
      </c>
      <c r="D28" s="25">
        <v>10690</v>
      </c>
      <c r="E28" s="25">
        <v>8660</v>
      </c>
      <c r="F28" s="25">
        <v>11340</v>
      </c>
      <c r="G28" s="1"/>
      <c r="H28" s="1"/>
      <c r="I28" s="1"/>
      <c r="J28" s="1"/>
      <c r="K28" s="1"/>
      <c r="L28" s="23" t="s">
        <v>679</v>
      </c>
    </row>
    <row r="29">
      <c r="A29" s="1" t="s">
        <v>193</v>
      </c>
      <c r="B29" s="25">
        <v>153</v>
      </c>
      <c r="C29" s="25">
        <v>150</v>
      </c>
      <c r="D29" s="25">
        <v>148</v>
      </c>
      <c r="E29" s="25">
        <v>128</v>
      </c>
      <c r="F29" s="25">
        <v>613</v>
      </c>
      <c r="G29" s="1"/>
      <c r="H29" s="1"/>
      <c r="I29" s="1"/>
      <c r="J29" s="1"/>
      <c r="K29" s="1"/>
      <c r="L29" s="23" t="s">
        <v>679</v>
      </c>
    </row>
    <row r="30">
      <c r="A30" s="1" t="s">
        <v>687</v>
      </c>
      <c r="B30" s="25">
        <v>4776</v>
      </c>
      <c r="C30" s="25">
        <v>4748</v>
      </c>
      <c r="D30" s="25">
        <v>4495</v>
      </c>
      <c r="E30" s="25">
        <v>4277</v>
      </c>
      <c r="F30" s="25">
        <v>4837</v>
      </c>
      <c r="G30" s="1"/>
      <c r="H30" s="1"/>
      <c r="I30" s="1"/>
      <c r="J30" s="1"/>
      <c r="K30" s="1"/>
      <c r="L30" s="23" t="s">
        <v>679</v>
      </c>
    </row>
    <row r="31">
      <c r="A31" s="1" t="s">
        <v>196</v>
      </c>
      <c r="B31" s="25">
        <v>133</v>
      </c>
      <c r="C31" s="25">
        <v>126</v>
      </c>
      <c r="D31" s="25">
        <v>121</v>
      </c>
      <c r="E31" s="25">
        <v>114</v>
      </c>
      <c r="F31" s="25">
        <v>518</v>
      </c>
      <c r="G31" s="1"/>
      <c r="H31" s="1"/>
      <c r="I31" s="1"/>
      <c r="J31" s="1"/>
      <c r="K31" s="1"/>
      <c r="L31" s="23" t="s">
        <v>679</v>
      </c>
    </row>
    <row r="32">
      <c r="A32" s="1" t="s">
        <v>688</v>
      </c>
      <c r="B32" s="25">
        <v>1181</v>
      </c>
      <c r="C32" s="25">
        <v>1384</v>
      </c>
      <c r="D32" s="25">
        <v>1187</v>
      </c>
      <c r="E32" s="25">
        <v>2754</v>
      </c>
      <c r="F32" s="25">
        <v>1174</v>
      </c>
      <c r="G32" s="1"/>
      <c r="H32" s="1"/>
      <c r="I32" s="1"/>
      <c r="J32" s="1"/>
      <c r="K32" s="1"/>
      <c r="L32" s="23" t="s">
        <v>679</v>
      </c>
    </row>
    <row r="33">
      <c r="A33" s="1" t="s">
        <v>199</v>
      </c>
      <c r="B33" s="25">
        <v>19</v>
      </c>
      <c r="C33" s="25">
        <v>21</v>
      </c>
      <c r="D33" s="25">
        <v>16</v>
      </c>
      <c r="E33" s="25">
        <v>36</v>
      </c>
      <c r="F33" s="25">
        <v>77</v>
      </c>
      <c r="G33" s="1"/>
      <c r="H33" s="1"/>
      <c r="I33" s="1"/>
      <c r="J33" s="1"/>
      <c r="K33" s="1"/>
      <c r="L33" s="23" t="s">
        <v>679</v>
      </c>
    </row>
    <row r="34">
      <c r="A34" s="1" t="s">
        <v>689</v>
      </c>
      <c r="B34" s="25">
        <v>72280</v>
      </c>
      <c r="C34" s="25">
        <v>71355</v>
      </c>
      <c r="D34" s="25">
        <v>70612</v>
      </c>
      <c r="E34" s="25">
        <v>71423</v>
      </c>
      <c r="F34" s="25">
        <v>72604</v>
      </c>
      <c r="G34" s="1"/>
      <c r="H34" s="1"/>
      <c r="I34" s="1"/>
      <c r="J34" s="1"/>
      <c r="K34" s="1"/>
      <c r="L34" s="23" t="s">
        <v>679</v>
      </c>
    </row>
    <row r="35">
      <c r="A35" s="1" t="s">
        <v>690</v>
      </c>
      <c r="B35" s="25">
        <v>1008</v>
      </c>
      <c r="C35" s="25">
        <v>957</v>
      </c>
      <c r="D35" s="25">
        <v>902</v>
      </c>
      <c r="E35" s="25">
        <v>933</v>
      </c>
      <c r="F35" s="25">
        <v>4128</v>
      </c>
      <c r="G35" s="1"/>
      <c r="H35" s="1"/>
      <c r="I35" s="1"/>
      <c r="J35" s="1"/>
      <c r="K35" s="1"/>
      <c r="L35" s="23" t="s">
        <v>679</v>
      </c>
    </row>
    <row r="36">
      <c r="A36" s="1" t="s">
        <v>691</v>
      </c>
      <c r="B36" s="25">
        <v>69723</v>
      </c>
      <c r="C36" s="25">
        <v>69592</v>
      </c>
      <c r="D36" s="25">
        <v>69098</v>
      </c>
      <c r="E36" s="25">
        <v>67386</v>
      </c>
      <c r="F36" s="25">
        <v>70100</v>
      </c>
      <c r="G36" s="1"/>
      <c r="H36" s="1"/>
      <c r="I36" s="1"/>
      <c r="J36" s="1"/>
      <c r="K36" s="1"/>
      <c r="L36" s="23" t="s">
        <v>679</v>
      </c>
    </row>
    <row r="37">
      <c r="A37" s="1" t="s">
        <v>692</v>
      </c>
      <c r="B37" s="25">
        <v>968</v>
      </c>
      <c r="C37" s="25">
        <v>953</v>
      </c>
      <c r="D37" s="25">
        <v>927</v>
      </c>
      <c r="E37" s="25">
        <v>918</v>
      </c>
      <c r="F37" s="25">
        <v>3820</v>
      </c>
      <c r="G37" s="1"/>
      <c r="H37" s="1"/>
      <c r="I37" s="1"/>
      <c r="J37" s="1"/>
      <c r="K37" s="1"/>
      <c r="L37" s="23" t="s">
        <v>679</v>
      </c>
    </row>
    <row r="38">
      <c r="A38" s="1" t="s">
        <v>693</v>
      </c>
      <c r="B38" s="25">
        <v>142003</v>
      </c>
      <c r="C38" s="25">
        <v>140947</v>
      </c>
      <c r="D38" s="25">
        <v>139710</v>
      </c>
      <c r="E38" s="25">
        <v>138809</v>
      </c>
      <c r="F38" s="25">
        <v>142704</v>
      </c>
      <c r="G38" s="1"/>
      <c r="H38" s="1"/>
      <c r="I38" s="1"/>
      <c r="J38" s="1"/>
      <c r="K38" s="1"/>
      <c r="L38" s="23" t="s">
        <v>679</v>
      </c>
    </row>
    <row r="39">
      <c r="A39" s="1" t="s">
        <v>694</v>
      </c>
      <c r="B39" s="25">
        <v>1976</v>
      </c>
      <c r="C39" s="25">
        <v>1910</v>
      </c>
      <c r="D39" s="25">
        <v>1829</v>
      </c>
      <c r="E39" s="25">
        <v>1851</v>
      </c>
      <c r="F39" s="25">
        <v>7948</v>
      </c>
      <c r="G39" s="1"/>
      <c r="H39" s="1"/>
      <c r="I39" s="1"/>
      <c r="J39" s="1"/>
      <c r="K39" s="1"/>
      <c r="L39" s="23" t="s">
        <v>679</v>
      </c>
    </row>
    <row r="40">
      <c r="A40" s="1" t="s">
        <v>695</v>
      </c>
      <c r="B40" s="25">
        <v>197164</v>
      </c>
      <c r="C40" s="25">
        <v>196613</v>
      </c>
      <c r="D40" s="25">
        <v>195058</v>
      </c>
      <c r="E40" s="25">
        <v>196318</v>
      </c>
      <c r="F40" s="25">
        <v>198072</v>
      </c>
      <c r="G40" s="1"/>
      <c r="H40" s="1"/>
      <c r="I40" s="1"/>
      <c r="J40" s="1"/>
      <c r="K40" s="1"/>
      <c r="L40" s="23" t="s">
        <v>679</v>
      </c>
    </row>
    <row r="41">
      <c r="A41" s="1" t="s">
        <v>696</v>
      </c>
      <c r="B41" s="25">
        <v>2539</v>
      </c>
      <c r="C41" s="25">
        <v>2462</v>
      </c>
      <c r="D41" s="25">
        <v>2352</v>
      </c>
      <c r="E41" s="25">
        <v>2407</v>
      </c>
      <c r="F41" s="25">
        <v>10186</v>
      </c>
      <c r="G41" s="1"/>
      <c r="H41" s="1"/>
      <c r="I41" s="1"/>
      <c r="J41" s="1"/>
      <c r="K41" s="1"/>
      <c r="L41" s="23" t="s">
        <v>679</v>
      </c>
    </row>
    <row r="42">
      <c r="A42" s="1" t="s">
        <v>697</v>
      </c>
      <c r="B42" s="25">
        <v>33090</v>
      </c>
      <c r="C42" s="25">
        <v>32720</v>
      </c>
      <c r="D42" s="25">
        <v>32693</v>
      </c>
      <c r="E42" s="25">
        <v>33847</v>
      </c>
      <c r="F42" s="25">
        <v>32943</v>
      </c>
      <c r="G42" s="1"/>
      <c r="H42" s="1"/>
      <c r="I42" s="1"/>
      <c r="J42" s="1"/>
      <c r="K42" s="1"/>
      <c r="L42" s="23" t="s">
        <v>679</v>
      </c>
    </row>
    <row r="43">
      <c r="A43" s="1" t="s">
        <v>219</v>
      </c>
      <c r="B43" s="25">
        <v>131</v>
      </c>
      <c r="C43" s="25">
        <v>123</v>
      </c>
      <c r="D43" s="25">
        <v>110</v>
      </c>
      <c r="E43" s="25">
        <v>123</v>
      </c>
      <c r="F43" s="25">
        <v>491</v>
      </c>
      <c r="G43" s="1"/>
      <c r="H43" s="1"/>
      <c r="I43" s="1"/>
      <c r="J43" s="1"/>
      <c r="K43" s="1"/>
      <c r="L43" s="23" t="s">
        <v>679</v>
      </c>
    </row>
    <row r="44">
      <c r="A44" s="1" t="s">
        <v>698</v>
      </c>
      <c r="B44" s="25">
        <v>26868</v>
      </c>
      <c r="C44" s="25">
        <v>26237</v>
      </c>
      <c r="D44" s="25">
        <v>25760</v>
      </c>
      <c r="E44" s="25">
        <v>25536</v>
      </c>
      <c r="F44" s="25">
        <v>27100</v>
      </c>
      <c r="G44" s="1"/>
      <c r="H44" s="1"/>
      <c r="I44" s="1"/>
      <c r="J44" s="1"/>
      <c r="K44" s="1"/>
      <c r="L44" s="23" t="s">
        <v>679</v>
      </c>
    </row>
    <row r="45">
      <c r="A45" s="1" t="s">
        <v>222</v>
      </c>
      <c r="B45" s="25">
        <v>128</v>
      </c>
      <c r="C45" s="25">
        <v>107</v>
      </c>
      <c r="D45" s="25">
        <v>89</v>
      </c>
      <c r="E45" s="25">
        <v>85</v>
      </c>
      <c r="F45" s="25">
        <v>476</v>
      </c>
      <c r="G45" s="1"/>
      <c r="H45" s="1"/>
      <c r="I45" s="1"/>
      <c r="J45" s="1"/>
      <c r="K45" s="1"/>
      <c r="L45" s="23" t="s">
        <v>679</v>
      </c>
    </row>
    <row r="46">
      <c r="A46" s="1" t="s">
        <v>699</v>
      </c>
      <c r="B46" s="25">
        <v>53152</v>
      </c>
      <c r="C46" s="25">
        <v>54548</v>
      </c>
      <c r="D46" s="25">
        <v>54432</v>
      </c>
      <c r="E46" s="25">
        <v>54716</v>
      </c>
      <c r="F46" s="25">
        <v>53053</v>
      </c>
      <c r="G46" s="1"/>
      <c r="H46" s="1"/>
      <c r="I46" s="1"/>
      <c r="J46" s="1"/>
      <c r="K46" s="1"/>
      <c r="L46" s="23" t="s">
        <v>679</v>
      </c>
    </row>
    <row r="47">
      <c r="A47" s="1" t="s">
        <v>225</v>
      </c>
      <c r="B47" s="25">
        <v>444</v>
      </c>
      <c r="C47" s="25">
        <v>385</v>
      </c>
      <c r="D47" s="25">
        <v>357</v>
      </c>
      <c r="E47" s="25">
        <v>376</v>
      </c>
      <c r="F47" s="25">
        <v>1705</v>
      </c>
      <c r="G47" s="1"/>
      <c r="H47" s="1"/>
      <c r="I47" s="1"/>
      <c r="J47" s="1"/>
      <c r="K47" s="1"/>
      <c r="L47" s="23" t="s">
        <v>679</v>
      </c>
    </row>
    <row r="48">
      <c r="A48" s="1" t="s">
        <v>700</v>
      </c>
      <c r="B48" s="25">
        <v>24705</v>
      </c>
      <c r="C48" s="25">
        <v>24053</v>
      </c>
      <c r="D48" s="25">
        <v>23277</v>
      </c>
      <c r="E48" s="25">
        <v>22679</v>
      </c>
      <c r="F48" s="25">
        <v>24967</v>
      </c>
      <c r="G48" s="1"/>
      <c r="H48" s="1"/>
      <c r="I48" s="1"/>
      <c r="J48" s="1"/>
      <c r="K48" s="1"/>
      <c r="L48" s="23" t="s">
        <v>679</v>
      </c>
    </row>
    <row r="49">
      <c r="A49" s="1" t="s">
        <v>228</v>
      </c>
      <c r="B49" s="25">
        <v>287</v>
      </c>
      <c r="C49" s="25">
        <v>268</v>
      </c>
      <c r="D49" s="25">
        <v>239</v>
      </c>
      <c r="E49" s="25">
        <v>218</v>
      </c>
      <c r="F49" s="25">
        <v>1153</v>
      </c>
      <c r="G49" s="1"/>
      <c r="H49" s="1"/>
      <c r="I49" s="1"/>
      <c r="J49" s="1"/>
      <c r="K49" s="1"/>
      <c r="L49" s="23" t="s">
        <v>679</v>
      </c>
    </row>
    <row r="50">
      <c r="A50" s="1" t="s">
        <v>701</v>
      </c>
      <c r="B50" s="25">
        <v>150</v>
      </c>
      <c r="C50" s="25">
        <v>41</v>
      </c>
      <c r="D50" s="25">
        <v>675</v>
      </c>
      <c r="E50" s="25">
        <v>925</v>
      </c>
      <c r="F50" s="25">
        <v>252</v>
      </c>
      <c r="G50" s="1"/>
      <c r="H50" s="1"/>
      <c r="I50" s="1"/>
      <c r="J50" s="1"/>
      <c r="K50" s="1"/>
      <c r="L50" s="23" t="s">
        <v>679</v>
      </c>
    </row>
    <row r="51">
      <c r="A51" s="1" t="s">
        <v>231</v>
      </c>
      <c r="B51" s="25">
        <v>3</v>
      </c>
      <c r="C51" s="25">
        <v>1</v>
      </c>
      <c r="D51" s="25">
        <v>8</v>
      </c>
      <c r="E51" s="25">
        <v>9</v>
      </c>
      <c r="F51" s="25">
        <v>15</v>
      </c>
      <c r="G51" s="1"/>
      <c r="H51" s="1"/>
      <c r="I51" s="1"/>
      <c r="J51" s="1"/>
      <c r="K51" s="1"/>
      <c r="L51" s="23" t="s">
        <v>679</v>
      </c>
    </row>
    <row r="52">
      <c r="A52" s="1" t="s">
        <v>702</v>
      </c>
      <c r="B52" s="25">
        <v>477</v>
      </c>
      <c r="C52" s="25">
        <v>172</v>
      </c>
      <c r="D52" s="25">
        <v>595</v>
      </c>
      <c r="E52" s="25">
        <v>1063</v>
      </c>
      <c r="F52" s="25">
        <v>1319</v>
      </c>
      <c r="G52" s="1"/>
      <c r="H52" s="1"/>
      <c r="I52" s="1"/>
      <c r="J52" s="1"/>
      <c r="K52" s="1"/>
      <c r="L52" s="23" t="s">
        <v>679</v>
      </c>
    </row>
    <row r="53">
      <c r="A53" s="1" t="s">
        <v>237</v>
      </c>
      <c r="B53" s="25">
        <v>6</v>
      </c>
      <c r="C53" s="25">
        <v>2</v>
      </c>
      <c r="D53" s="25">
        <v>7</v>
      </c>
      <c r="E53" s="25">
        <v>12</v>
      </c>
      <c r="F53" s="25">
        <v>74</v>
      </c>
      <c r="G53" s="1"/>
      <c r="H53" s="1"/>
      <c r="I53" s="1"/>
      <c r="J53" s="1"/>
      <c r="K53" s="1"/>
      <c r="L53" s="23" t="s">
        <v>679</v>
      </c>
    </row>
    <row r="54">
      <c r="A54" s="1" t="s">
        <v>703</v>
      </c>
      <c r="B54" s="25">
        <v>7462</v>
      </c>
      <c r="C54" s="25">
        <v>7316</v>
      </c>
      <c r="D54" s="25">
        <v>7133</v>
      </c>
      <c r="E54" s="25">
        <v>7042</v>
      </c>
      <c r="F54" s="25">
        <v>6896</v>
      </c>
      <c r="G54" s="1"/>
      <c r="H54" s="1"/>
      <c r="I54" s="1"/>
      <c r="J54" s="1"/>
      <c r="K54" s="1"/>
      <c r="L54" s="23" t="s">
        <v>679</v>
      </c>
    </row>
    <row r="55">
      <c r="A55" s="1" t="s">
        <v>243</v>
      </c>
      <c r="B55" s="25">
        <v>93</v>
      </c>
      <c r="C55" s="25">
        <v>90</v>
      </c>
      <c r="D55" s="25">
        <v>86</v>
      </c>
      <c r="E55" s="25">
        <v>90</v>
      </c>
      <c r="F55" s="25">
        <v>333</v>
      </c>
      <c r="G55" s="1"/>
      <c r="H55" s="1"/>
      <c r="I55" s="1"/>
      <c r="J55" s="1"/>
      <c r="K55" s="1"/>
      <c r="L55" s="23" t="s">
        <v>679</v>
      </c>
    </row>
    <row r="56">
      <c r="A56" s="1" t="s">
        <v>704</v>
      </c>
      <c r="B56" s="25">
        <v>5751</v>
      </c>
      <c r="C56" s="25">
        <v>5401</v>
      </c>
      <c r="D56" s="25">
        <v>4929</v>
      </c>
      <c r="E56" s="25">
        <v>4394</v>
      </c>
      <c r="F56" s="25">
        <v>5616</v>
      </c>
      <c r="G56" s="1"/>
      <c r="H56" s="1"/>
      <c r="I56" s="1"/>
      <c r="J56" s="1"/>
      <c r="K56" s="1"/>
      <c r="L56" s="23" t="s">
        <v>679</v>
      </c>
    </row>
    <row r="57">
      <c r="A57" s="1" t="s">
        <v>246</v>
      </c>
      <c r="B57" s="25">
        <v>78</v>
      </c>
      <c r="C57" s="25">
        <v>74</v>
      </c>
      <c r="D57" s="25">
        <v>65</v>
      </c>
      <c r="E57" s="25">
        <v>57</v>
      </c>
      <c r="F57" s="25">
        <v>306</v>
      </c>
      <c r="G57" s="1"/>
      <c r="H57" s="1"/>
      <c r="I57" s="1"/>
      <c r="J57" s="1"/>
      <c r="K57" s="1"/>
      <c r="L57" s="23" t="s">
        <v>679</v>
      </c>
    </row>
    <row r="58">
      <c r="A58" s="1" t="s">
        <v>705</v>
      </c>
      <c r="B58" s="25">
        <v>137815</v>
      </c>
      <c r="C58" s="25">
        <v>137558</v>
      </c>
      <c r="D58" s="25">
        <v>136162</v>
      </c>
      <c r="E58" s="25">
        <v>136778</v>
      </c>
      <c r="F58" s="25">
        <v>138063</v>
      </c>
      <c r="G58" s="1"/>
      <c r="H58" s="1"/>
      <c r="I58" s="1"/>
      <c r="J58" s="1"/>
      <c r="K58" s="1"/>
      <c r="L58" s="23" t="s">
        <v>679</v>
      </c>
    </row>
    <row r="59">
      <c r="A59" s="1" t="s">
        <v>706</v>
      </c>
      <c r="B59" s="25">
        <v>990</v>
      </c>
      <c r="C59" s="25">
        <v>883</v>
      </c>
      <c r="D59" s="25">
        <v>795</v>
      </c>
      <c r="E59" s="25">
        <v>802</v>
      </c>
      <c r="F59" s="25">
        <v>3825</v>
      </c>
      <c r="G59" s="1"/>
      <c r="H59" s="1"/>
      <c r="I59" s="1"/>
      <c r="J59" s="1"/>
      <c r="K59" s="1"/>
      <c r="L59" s="23" t="s">
        <v>679</v>
      </c>
    </row>
    <row r="60">
      <c r="A60" s="1" t="s">
        <v>707</v>
      </c>
      <c r="B60" s="25">
        <v>13690</v>
      </c>
      <c r="C60" s="25">
        <v>12889</v>
      </c>
      <c r="D60" s="25">
        <v>12657</v>
      </c>
      <c r="E60" s="25">
        <v>12499</v>
      </c>
      <c r="F60" s="25">
        <v>13831</v>
      </c>
      <c r="G60" s="1"/>
      <c r="H60" s="1"/>
      <c r="I60" s="1"/>
      <c r="J60" s="1"/>
      <c r="K60" s="1"/>
      <c r="L60" s="23" t="s">
        <v>679</v>
      </c>
    </row>
    <row r="61">
      <c r="A61" s="1" t="s">
        <v>708</v>
      </c>
      <c r="B61" s="25">
        <v>177</v>
      </c>
      <c r="C61" s="25">
        <v>166</v>
      </c>
      <c r="D61" s="25">
        <v>158</v>
      </c>
      <c r="E61" s="25">
        <v>159</v>
      </c>
      <c r="F61" s="25">
        <v>713</v>
      </c>
      <c r="G61" s="1"/>
      <c r="H61" s="1"/>
      <c r="I61" s="1"/>
      <c r="J61" s="1"/>
      <c r="K61" s="1"/>
      <c r="L61" s="23" t="s">
        <v>679</v>
      </c>
    </row>
    <row r="62">
      <c r="A62" s="1" t="s">
        <v>709</v>
      </c>
      <c r="B62" s="25">
        <v>151655</v>
      </c>
      <c r="C62" s="25">
        <v>150488</v>
      </c>
      <c r="D62" s="25">
        <v>149494</v>
      </c>
      <c r="E62" s="25">
        <v>150202</v>
      </c>
      <c r="F62" s="25">
        <v>152146</v>
      </c>
      <c r="G62" s="1"/>
      <c r="H62" s="1"/>
      <c r="I62" s="1"/>
      <c r="J62" s="1"/>
      <c r="K62" s="1"/>
      <c r="L62" s="23" t="s">
        <v>679</v>
      </c>
    </row>
    <row r="63">
      <c r="A63" s="1" t="s">
        <v>710</v>
      </c>
      <c r="B63" s="25">
        <v>1170</v>
      </c>
      <c r="C63" s="25">
        <v>1050</v>
      </c>
      <c r="D63" s="25">
        <v>961</v>
      </c>
      <c r="E63" s="25">
        <v>970</v>
      </c>
      <c r="F63" s="25">
        <v>4553</v>
      </c>
      <c r="G63" s="1"/>
      <c r="H63" s="1"/>
      <c r="I63" s="1"/>
      <c r="J63" s="1"/>
      <c r="K63" s="1"/>
      <c r="L63" s="23" t="s">
        <v>679</v>
      </c>
    </row>
    <row r="64">
      <c r="A64" s="1" t="s">
        <v>711</v>
      </c>
      <c r="B64" s="25">
        <v>36236</v>
      </c>
      <c r="C64" s="25">
        <v>36704</v>
      </c>
      <c r="D64" s="25">
        <v>36543</v>
      </c>
      <c r="E64" s="25">
        <v>37350</v>
      </c>
      <c r="F64" s="25">
        <v>36457</v>
      </c>
      <c r="G64" s="1"/>
      <c r="H64" s="1"/>
      <c r="I64" s="1"/>
      <c r="J64" s="1"/>
      <c r="K64" s="1"/>
      <c r="L64" s="23" t="s">
        <v>679</v>
      </c>
    </row>
    <row r="65">
      <c r="A65" s="1" t="s">
        <v>264</v>
      </c>
      <c r="B65" s="25">
        <v>1369</v>
      </c>
      <c r="C65" s="25">
        <v>1412</v>
      </c>
      <c r="D65" s="25">
        <v>1391</v>
      </c>
      <c r="E65" s="25">
        <v>1437</v>
      </c>
      <c r="F65" s="25">
        <v>5633</v>
      </c>
      <c r="G65" s="1"/>
      <c r="H65" s="1"/>
      <c r="I65" s="1"/>
      <c r="J65" s="1"/>
      <c r="K65" s="1"/>
      <c r="L65" s="23" t="s">
        <v>679</v>
      </c>
    </row>
    <row r="66">
      <c r="A66" s="1" t="s">
        <v>265</v>
      </c>
      <c r="B66" s="25">
        <v>4</v>
      </c>
      <c r="C66" s="25">
        <v>4</v>
      </c>
      <c r="D66" s="25">
        <v>4</v>
      </c>
      <c r="E66" s="25">
        <v>4</v>
      </c>
      <c r="F66" s="25">
        <v>17</v>
      </c>
      <c r="G66" s="1"/>
      <c r="H66" s="1"/>
      <c r="I66" s="1"/>
      <c r="J66" s="1"/>
      <c r="K66" s="1"/>
      <c r="L66" s="23" t="s">
        <v>679</v>
      </c>
    </row>
    <row r="67">
      <c r="A67" s="1" t="s">
        <v>278</v>
      </c>
      <c r="B67" s="25">
        <v>1996</v>
      </c>
      <c r="C67" s="25">
        <v>1543</v>
      </c>
      <c r="D67" s="25">
        <v>2112</v>
      </c>
      <c r="E67" s="25">
        <v>2458</v>
      </c>
      <c r="F67" s="1"/>
      <c r="G67" s="1"/>
      <c r="H67" s="1"/>
      <c r="I67" s="1"/>
      <c r="J67" s="1"/>
      <c r="K67" s="1"/>
      <c r="L67" s="23" t="s">
        <v>712</v>
      </c>
    </row>
    <row r="68">
      <c r="A68" s="1" t="s">
        <v>280</v>
      </c>
      <c r="B68" s="25">
        <v>15</v>
      </c>
      <c r="C68" s="25">
        <v>14</v>
      </c>
      <c r="D68" s="25">
        <v>15</v>
      </c>
      <c r="E68" s="25">
        <v>19</v>
      </c>
      <c r="F68" s="1"/>
      <c r="G68" s="1"/>
      <c r="H68" s="1"/>
      <c r="I68" s="1"/>
      <c r="J68" s="1"/>
      <c r="K68" s="1"/>
      <c r="L68" s="23" t="s">
        <v>712</v>
      </c>
    </row>
    <row r="69">
      <c r="A69" s="1" t="s">
        <v>281</v>
      </c>
      <c r="B69" s="25">
        <v>96120</v>
      </c>
      <c r="C69" s="25">
        <v>95600</v>
      </c>
      <c r="D69" s="25">
        <v>95203</v>
      </c>
      <c r="E69" s="25">
        <v>95422</v>
      </c>
      <c r="F69" s="1"/>
      <c r="G69" s="1"/>
      <c r="H69" s="1"/>
      <c r="I69" s="1"/>
      <c r="J69" s="1"/>
      <c r="K69" s="1"/>
      <c r="L69" s="23" t="s">
        <v>712</v>
      </c>
    </row>
    <row r="70">
      <c r="A70" s="1" t="s">
        <v>282</v>
      </c>
      <c r="B70" s="25">
        <v>32655</v>
      </c>
      <c r="C70" s="25">
        <v>33064</v>
      </c>
      <c r="D70" s="25">
        <v>33737</v>
      </c>
      <c r="E70" s="25">
        <v>34284</v>
      </c>
      <c r="F70" s="1"/>
      <c r="G70" s="1"/>
      <c r="H70" s="1"/>
      <c r="I70" s="1"/>
      <c r="J70" s="1"/>
      <c r="K70" s="1"/>
      <c r="L70" s="23" t="s">
        <v>712</v>
      </c>
    </row>
    <row r="71">
      <c r="A71" s="1" t="s">
        <v>286</v>
      </c>
      <c r="B71" s="25">
        <v>33</v>
      </c>
      <c r="C71" s="25">
        <v>33</v>
      </c>
      <c r="D71" s="25">
        <v>32</v>
      </c>
      <c r="E71" s="25">
        <v>28</v>
      </c>
      <c r="F71" s="1"/>
      <c r="G71" s="1"/>
      <c r="H71" s="1"/>
      <c r="I71" s="1"/>
      <c r="J71" s="1"/>
      <c r="K71" s="1"/>
      <c r="L71" s="23" t="s">
        <v>712</v>
      </c>
    </row>
    <row r="72">
      <c r="A72" s="1" t="s">
        <v>287</v>
      </c>
      <c r="B72" s="25">
        <v>-2</v>
      </c>
      <c r="C72" s="25">
        <v>13</v>
      </c>
      <c r="D72" s="25">
        <v>12</v>
      </c>
      <c r="E72" s="25">
        <v>26</v>
      </c>
      <c r="F72" s="1"/>
      <c r="G72" s="1"/>
      <c r="H72" s="1"/>
      <c r="I72" s="1"/>
      <c r="J72" s="1"/>
      <c r="K72" s="1"/>
      <c r="L72" s="23" t="s">
        <v>712</v>
      </c>
    </row>
    <row r="73">
      <c r="A73" s="1" t="s">
        <v>290</v>
      </c>
      <c r="B73" s="25">
        <v>46</v>
      </c>
      <c r="C73" s="25">
        <v>60</v>
      </c>
      <c r="D73" s="25">
        <v>59</v>
      </c>
      <c r="E73" s="25">
        <v>73</v>
      </c>
      <c r="F73" s="1"/>
      <c r="G73" s="1"/>
      <c r="H73" s="1"/>
      <c r="I73" s="1"/>
      <c r="J73" s="1"/>
      <c r="K73" s="1"/>
      <c r="L73" s="23" t="s">
        <v>712</v>
      </c>
    </row>
    <row r="74">
      <c r="A74" s="1" t="s">
        <v>291</v>
      </c>
      <c r="B74" s="25">
        <v>1749</v>
      </c>
      <c r="C74" s="25">
        <v>1680</v>
      </c>
      <c r="D74" s="25">
        <v>1444</v>
      </c>
      <c r="E74" s="25">
        <v>2189</v>
      </c>
      <c r="F74" s="1"/>
      <c r="G74" s="1"/>
      <c r="H74" s="1"/>
      <c r="I74" s="1"/>
      <c r="J74" s="1"/>
      <c r="K74" s="1"/>
      <c r="L74" s="23" t="s">
        <v>712</v>
      </c>
    </row>
    <row r="75">
      <c r="A75" s="1" t="s">
        <v>292</v>
      </c>
      <c r="B75" s="25">
        <v>1504</v>
      </c>
      <c r="C75" s="25">
        <v>1341</v>
      </c>
      <c r="D75" s="25">
        <v>1474</v>
      </c>
      <c r="E75" s="25">
        <v>1916</v>
      </c>
      <c r="F75" s="1"/>
      <c r="G75" s="1"/>
      <c r="H75" s="1"/>
      <c r="I75" s="1"/>
      <c r="J75" s="1"/>
      <c r="K75" s="1"/>
      <c r="L75" s="23" t="s">
        <v>712</v>
      </c>
    </row>
    <row r="76">
      <c r="A76" s="1" t="s">
        <v>294</v>
      </c>
      <c r="B76" s="25">
        <v>2148</v>
      </c>
      <c r="C76" s="25">
        <v>1948</v>
      </c>
      <c r="D76" s="25">
        <v>1916</v>
      </c>
      <c r="E76" s="25">
        <v>2486</v>
      </c>
      <c r="F76" s="1"/>
      <c r="G76" s="1"/>
      <c r="H76" s="1"/>
      <c r="I76" s="1"/>
      <c r="J76" s="1"/>
      <c r="K76" s="1"/>
      <c r="L76" s="23" t="s">
        <v>712</v>
      </c>
    </row>
    <row r="77">
      <c r="A77" s="1" t="s">
        <v>299</v>
      </c>
      <c r="B77" s="25">
        <v>109</v>
      </c>
      <c r="C77" s="25">
        <v>109</v>
      </c>
      <c r="D77" s="25">
        <v>109</v>
      </c>
      <c r="E77" s="25">
        <v>111</v>
      </c>
      <c r="F77" s="25">
        <v>420</v>
      </c>
      <c r="G77" s="1"/>
      <c r="H77" s="1"/>
      <c r="I77" s="1"/>
      <c r="J77" s="1"/>
      <c r="K77" s="1"/>
      <c r="L77" s="23" t="s">
        <v>679</v>
      </c>
    </row>
    <row r="78">
      <c r="A78" s="1" t="s">
        <v>301</v>
      </c>
      <c r="B78" s="25">
        <v>94</v>
      </c>
      <c r="C78" s="25">
        <v>121</v>
      </c>
      <c r="D78" s="25">
        <v>100</v>
      </c>
      <c r="E78" s="25">
        <v>105</v>
      </c>
      <c r="F78" s="25">
        <v>467</v>
      </c>
      <c r="G78" s="1"/>
      <c r="H78" s="1"/>
      <c r="I78" s="1"/>
      <c r="J78" s="1"/>
      <c r="K78" s="1"/>
      <c r="L78" s="23" t="s">
        <v>679</v>
      </c>
    </row>
    <row r="79">
      <c r="A79" s="1" t="s">
        <v>303</v>
      </c>
      <c r="B79" s="25">
        <v>76</v>
      </c>
      <c r="C79" s="25">
        <v>75</v>
      </c>
      <c r="D79" s="25">
        <v>81</v>
      </c>
      <c r="E79" s="25">
        <v>88</v>
      </c>
      <c r="F79" s="25">
        <v>294</v>
      </c>
      <c r="G79" s="1"/>
      <c r="H79" s="1"/>
      <c r="I79" s="1"/>
      <c r="J79" s="1"/>
      <c r="K79" s="1"/>
      <c r="L79" s="23" t="s">
        <v>679</v>
      </c>
    </row>
    <row r="80">
      <c r="A80" s="1" t="s">
        <v>305</v>
      </c>
      <c r="B80" s="25">
        <v>93</v>
      </c>
      <c r="C80" s="25">
        <v>97</v>
      </c>
      <c r="D80" s="25">
        <v>83</v>
      </c>
      <c r="E80" s="25">
        <v>90</v>
      </c>
      <c r="F80" s="25">
        <v>368</v>
      </c>
      <c r="G80" s="1"/>
      <c r="H80" s="1"/>
      <c r="I80" s="1"/>
      <c r="J80" s="1"/>
      <c r="K80" s="1"/>
      <c r="L80" s="23" t="s">
        <v>679</v>
      </c>
    </row>
    <row r="81">
      <c r="A81" s="1" t="s">
        <v>307</v>
      </c>
      <c r="B81" s="25">
        <v>46</v>
      </c>
      <c r="C81" s="25">
        <v>60</v>
      </c>
      <c r="D81" s="25">
        <v>59</v>
      </c>
      <c r="E81" s="25">
        <v>73</v>
      </c>
      <c r="F81" s="25">
        <v>209</v>
      </c>
      <c r="G81" s="1"/>
      <c r="H81" s="1"/>
      <c r="I81" s="1"/>
      <c r="J81" s="1"/>
      <c r="K81" s="1"/>
      <c r="L81" s="23" t="s">
        <v>679</v>
      </c>
    </row>
    <row r="82">
      <c r="A82" s="1" t="s">
        <v>309</v>
      </c>
      <c r="B82" s="25">
        <v>36</v>
      </c>
      <c r="C82" s="25">
        <v>35</v>
      </c>
      <c r="D82" s="25">
        <v>39</v>
      </c>
      <c r="E82" s="25">
        <v>41</v>
      </c>
      <c r="F82" s="25">
        <v>146</v>
      </c>
      <c r="G82" s="1"/>
      <c r="H82" s="1"/>
      <c r="I82" s="1"/>
      <c r="J82" s="1"/>
      <c r="K82" s="1"/>
      <c r="L82" s="23" t="s">
        <v>679</v>
      </c>
    </row>
    <row r="83">
      <c r="A83" s="1" t="s">
        <v>311</v>
      </c>
      <c r="B83" s="25">
        <v>45</v>
      </c>
      <c r="C83" s="25">
        <v>45</v>
      </c>
      <c r="D83" s="25">
        <v>44</v>
      </c>
      <c r="E83" s="25">
        <v>45</v>
      </c>
      <c r="F83" s="25">
        <v>175</v>
      </c>
      <c r="G83" s="1"/>
      <c r="H83" s="1"/>
      <c r="I83" s="1"/>
      <c r="J83" s="1"/>
      <c r="K83" s="1"/>
      <c r="L83" s="23" t="s">
        <v>679</v>
      </c>
    </row>
    <row r="84">
      <c r="A84" s="1" t="s">
        <v>313</v>
      </c>
      <c r="B84" s="25">
        <v>9</v>
      </c>
      <c r="C84" s="25">
        <v>4</v>
      </c>
      <c r="D84" s="25">
        <v>7</v>
      </c>
      <c r="E84" s="25">
        <v>5</v>
      </c>
      <c r="F84" s="25">
        <v>18</v>
      </c>
      <c r="G84" s="1"/>
      <c r="H84" s="1"/>
      <c r="I84" s="1"/>
      <c r="J84" s="1"/>
      <c r="K84" s="1"/>
      <c r="L84" s="23" t="s">
        <v>679</v>
      </c>
    </row>
    <row r="85">
      <c r="A85" s="1" t="s">
        <v>315</v>
      </c>
      <c r="B85" s="25">
        <v>24</v>
      </c>
      <c r="C85" s="25">
        <v>28</v>
      </c>
      <c r="D85" s="25">
        <v>22</v>
      </c>
      <c r="E85" s="25">
        <v>42</v>
      </c>
      <c r="F85" s="25">
        <v>79</v>
      </c>
      <c r="G85" s="1"/>
      <c r="H85" s="1"/>
      <c r="I85" s="1"/>
      <c r="J85" s="1"/>
      <c r="K85" s="1"/>
      <c r="L85" s="23" t="s">
        <v>679</v>
      </c>
    </row>
    <row r="86">
      <c r="A86" s="1" t="s">
        <v>317</v>
      </c>
      <c r="B86" s="25">
        <v>532</v>
      </c>
      <c r="C86" s="25">
        <v>574</v>
      </c>
      <c r="D86" s="25">
        <v>544</v>
      </c>
      <c r="E86" s="25">
        <v>600</v>
      </c>
      <c r="F86" s="25">
        <v>2176</v>
      </c>
      <c r="G86" s="1"/>
      <c r="H86" s="1"/>
      <c r="I86" s="1"/>
      <c r="J86" s="1"/>
      <c r="K86" s="1"/>
      <c r="L86" s="23" t="s">
        <v>679</v>
      </c>
    </row>
    <row r="87">
      <c r="A87" s="1" t="s">
        <v>320</v>
      </c>
      <c r="B87" s="25">
        <v>1901</v>
      </c>
      <c r="C87" s="25">
        <v>1986</v>
      </c>
      <c r="D87" s="25">
        <v>1935</v>
      </c>
      <c r="E87" s="25">
        <v>2037</v>
      </c>
      <c r="F87" s="25">
        <v>7809</v>
      </c>
      <c r="G87" s="1"/>
      <c r="H87" s="1"/>
      <c r="I87" s="1"/>
      <c r="J87" s="1"/>
      <c r="K87" s="1"/>
      <c r="L87" s="23" t="s">
        <v>679</v>
      </c>
    </row>
    <row r="88">
      <c r="A88" s="1" t="s">
        <v>713</v>
      </c>
      <c r="B88" s="1"/>
      <c r="C88" s="25">
        <v>70857</v>
      </c>
      <c r="D88" s="25">
        <v>71635</v>
      </c>
      <c r="E88" s="25">
        <v>72988</v>
      </c>
      <c r="F88" s="25">
        <v>69272</v>
      </c>
      <c r="G88" s="1"/>
      <c r="H88" s="1"/>
      <c r="I88" s="1"/>
      <c r="J88" s="1"/>
      <c r="K88" s="1"/>
      <c r="L88" s="23" t="s">
        <v>676</v>
      </c>
    </row>
    <row r="89">
      <c r="A89" s="1" t="s">
        <v>714</v>
      </c>
      <c r="B89" s="1"/>
      <c r="C89" s="25">
        <v>70274</v>
      </c>
      <c r="D89" s="25">
        <v>71054</v>
      </c>
      <c r="E89" s="25">
        <v>72402</v>
      </c>
      <c r="F89" s="25">
        <v>68681</v>
      </c>
      <c r="G89" s="1"/>
      <c r="H89" s="1"/>
      <c r="I89" s="1"/>
      <c r="J89" s="1"/>
      <c r="K89" s="1"/>
      <c r="L89" s="23" t="s">
        <v>676</v>
      </c>
    </row>
    <row r="90">
      <c r="A90" s="1" t="s">
        <v>715</v>
      </c>
      <c r="B90" s="1"/>
      <c r="C90" s="25">
        <v>124552</v>
      </c>
      <c r="D90" s="25">
        <v>125728</v>
      </c>
      <c r="E90" s="25">
        <v>127271</v>
      </c>
      <c r="F90" s="25">
        <v>121745</v>
      </c>
      <c r="G90" s="1"/>
      <c r="H90" s="1"/>
      <c r="I90" s="1"/>
      <c r="J90" s="1"/>
      <c r="K90" s="1"/>
      <c r="L90" s="23" t="s">
        <v>676</v>
      </c>
    </row>
    <row r="91">
      <c r="A91" s="1" t="s">
        <v>716</v>
      </c>
      <c r="B91" s="1"/>
      <c r="C91" s="25">
        <v>76637</v>
      </c>
      <c r="D91" s="25">
        <v>77534</v>
      </c>
      <c r="E91" s="25">
        <v>78822</v>
      </c>
      <c r="F91" s="25">
        <v>75064</v>
      </c>
      <c r="G91" s="1"/>
      <c r="H91" s="1"/>
      <c r="I91" s="1"/>
      <c r="J91" s="1"/>
      <c r="K91" s="1"/>
      <c r="L91" s="23" t="s">
        <v>676</v>
      </c>
    </row>
    <row r="92">
      <c r="A92" s="3" t="s">
        <v>717</v>
      </c>
      <c r="B92" s="1"/>
      <c r="C92" s="28">
        <v>0.0672</v>
      </c>
      <c r="D92" s="28">
        <v>0.0676</v>
      </c>
      <c r="E92" s="28">
        <v>0.0669</v>
      </c>
      <c r="F92" s="28">
        <v>0.0659</v>
      </c>
      <c r="G92" s="1"/>
      <c r="H92" s="1"/>
      <c r="I92" s="1"/>
      <c r="J92" s="1"/>
      <c r="K92" s="1"/>
      <c r="L92" s="23" t="s">
        <v>676</v>
      </c>
    </row>
    <row r="93">
      <c r="A93" s="1" t="s">
        <v>718</v>
      </c>
      <c r="B93" s="1"/>
      <c r="C93" s="25">
        <v>1195</v>
      </c>
      <c r="D93" s="25">
        <v>1193</v>
      </c>
      <c r="E93" s="25">
        <v>1218</v>
      </c>
      <c r="F93" s="25">
        <v>4564</v>
      </c>
      <c r="G93" s="1"/>
      <c r="H93" s="1"/>
      <c r="I93" s="1"/>
      <c r="J93" s="1"/>
      <c r="K93" s="1"/>
      <c r="L93" s="23" t="s">
        <v>676</v>
      </c>
    </row>
    <row r="94">
      <c r="A94" s="1" t="s">
        <v>719</v>
      </c>
      <c r="B94" s="1"/>
      <c r="C94" s="25">
        <v>311</v>
      </c>
      <c r="D94" s="25">
        <v>297</v>
      </c>
      <c r="E94" s="25">
        <v>329</v>
      </c>
      <c r="F94" s="25">
        <v>1131</v>
      </c>
      <c r="G94" s="1"/>
      <c r="H94" s="1"/>
      <c r="I94" s="1"/>
      <c r="J94" s="1"/>
      <c r="K94" s="1"/>
      <c r="L94" s="23" t="s">
        <v>676</v>
      </c>
    </row>
    <row r="95">
      <c r="A95" s="1" t="s">
        <v>720</v>
      </c>
      <c r="B95" s="1"/>
      <c r="C95" s="25">
        <v>943</v>
      </c>
      <c r="D95" s="25">
        <v>954</v>
      </c>
      <c r="E95" s="25">
        <v>963</v>
      </c>
      <c r="F95" s="25">
        <v>3677</v>
      </c>
      <c r="G95" s="1"/>
      <c r="H95" s="1"/>
      <c r="I95" s="1"/>
      <c r="J95" s="1"/>
      <c r="K95" s="1"/>
      <c r="L95" s="23" t="s">
        <v>676</v>
      </c>
    </row>
    <row r="96">
      <c r="A96" s="1" t="s">
        <v>721</v>
      </c>
      <c r="B96" s="1"/>
      <c r="C96" s="25">
        <v>82</v>
      </c>
      <c r="D96" s="25">
        <v>86</v>
      </c>
      <c r="E96" s="25">
        <v>81</v>
      </c>
      <c r="F96" s="25">
        <v>331</v>
      </c>
      <c r="G96" s="1"/>
      <c r="H96" s="1"/>
      <c r="I96" s="1"/>
      <c r="J96" s="1"/>
      <c r="K96" s="1"/>
      <c r="L96" s="23" t="s">
        <v>676</v>
      </c>
    </row>
    <row r="97">
      <c r="A97" s="1" t="s">
        <v>722</v>
      </c>
      <c r="B97" s="1"/>
      <c r="C97" s="25">
        <v>123</v>
      </c>
      <c r="D97" s="25">
        <v>114</v>
      </c>
      <c r="E97" s="25">
        <v>127</v>
      </c>
      <c r="F97" s="25">
        <v>434</v>
      </c>
      <c r="G97" s="1"/>
      <c r="H97" s="1"/>
      <c r="I97" s="1"/>
      <c r="J97" s="1"/>
      <c r="K97" s="1"/>
      <c r="L97" s="23" t="s">
        <v>676</v>
      </c>
    </row>
    <row r="98">
      <c r="A98" s="1" t="s">
        <v>723</v>
      </c>
      <c r="B98" s="1"/>
      <c r="C98" s="25">
        <v>358</v>
      </c>
      <c r="D98" s="25">
        <v>336</v>
      </c>
      <c r="E98" s="25">
        <v>376</v>
      </c>
      <c r="F98" s="25">
        <v>1253</v>
      </c>
      <c r="G98" s="1"/>
      <c r="H98" s="1"/>
      <c r="I98" s="1"/>
      <c r="J98" s="1"/>
      <c r="K98" s="1"/>
      <c r="L98" s="23" t="s">
        <v>676</v>
      </c>
    </row>
    <row r="99">
      <c r="A99" s="1" t="s">
        <v>724</v>
      </c>
      <c r="B99" s="1"/>
      <c r="C99" s="25">
        <v>64419</v>
      </c>
      <c r="D99" s="25">
        <v>63018</v>
      </c>
      <c r="E99" s="25">
        <v>63710</v>
      </c>
      <c r="F99" s="25">
        <v>65982</v>
      </c>
      <c r="G99" s="1"/>
      <c r="H99" s="1"/>
      <c r="I99" s="1"/>
      <c r="J99" s="1"/>
      <c r="K99" s="1"/>
      <c r="L99" s="23" t="s">
        <v>676</v>
      </c>
    </row>
    <row r="100">
      <c r="A100" s="1" t="s">
        <v>725</v>
      </c>
      <c r="B100" s="1"/>
      <c r="C100" s="25">
        <v>63789</v>
      </c>
      <c r="D100" s="25">
        <v>62437</v>
      </c>
      <c r="E100" s="25">
        <v>63057</v>
      </c>
      <c r="F100" s="25">
        <v>65481</v>
      </c>
      <c r="G100" s="1"/>
      <c r="H100" s="1"/>
      <c r="I100" s="1"/>
      <c r="J100" s="1"/>
      <c r="K100" s="1"/>
      <c r="L100" s="23" t="s">
        <v>676</v>
      </c>
    </row>
    <row r="101">
      <c r="A101" s="1" t="s">
        <v>726</v>
      </c>
      <c r="B101" s="1"/>
      <c r="C101" s="25">
        <v>43597</v>
      </c>
      <c r="D101" s="25">
        <v>42178</v>
      </c>
      <c r="E101" s="25">
        <v>42481</v>
      </c>
      <c r="F101" s="25">
        <v>44472</v>
      </c>
      <c r="G101" s="1"/>
      <c r="H101" s="1"/>
      <c r="I101" s="1"/>
      <c r="J101" s="1"/>
      <c r="K101" s="1"/>
      <c r="L101" s="23" t="s">
        <v>676</v>
      </c>
    </row>
    <row r="102">
      <c r="A102" s="1" t="s">
        <v>727</v>
      </c>
      <c r="B102" s="1"/>
      <c r="C102" s="25">
        <v>66787</v>
      </c>
      <c r="D102" s="25">
        <v>65366</v>
      </c>
      <c r="E102" s="25">
        <v>66284</v>
      </c>
      <c r="F102" s="25">
        <v>68478</v>
      </c>
      <c r="G102" s="1"/>
      <c r="H102" s="1"/>
      <c r="I102" s="1"/>
      <c r="J102" s="1"/>
      <c r="K102" s="1"/>
      <c r="L102" s="23" t="s">
        <v>676</v>
      </c>
    </row>
    <row r="103">
      <c r="A103" s="3" t="s">
        <v>728</v>
      </c>
      <c r="B103" s="1"/>
      <c r="C103" s="28">
        <v>0.0286</v>
      </c>
      <c r="D103" s="28">
        <v>0.0283</v>
      </c>
      <c r="E103" s="28">
        <v>0.0278</v>
      </c>
      <c r="F103" s="28">
        <v>0.0296</v>
      </c>
      <c r="G103" s="1"/>
      <c r="H103" s="1"/>
      <c r="I103" s="1"/>
      <c r="J103" s="1"/>
      <c r="K103" s="1"/>
      <c r="L103" s="23" t="s">
        <v>676</v>
      </c>
    </row>
    <row r="104">
      <c r="A104" s="1" t="s">
        <v>729</v>
      </c>
      <c r="B104" s="1"/>
      <c r="C104" s="25">
        <v>464</v>
      </c>
      <c r="D104" s="25">
        <v>441</v>
      </c>
      <c r="E104" s="25">
        <v>439</v>
      </c>
      <c r="F104" s="25">
        <v>1950</v>
      </c>
      <c r="G104" s="1"/>
      <c r="H104" s="1"/>
      <c r="I104" s="1"/>
      <c r="J104" s="1"/>
      <c r="K104" s="1"/>
      <c r="L104" s="23" t="s">
        <v>676</v>
      </c>
    </row>
    <row r="105">
      <c r="A105" s="1" t="s">
        <v>730</v>
      </c>
      <c r="B105" s="1"/>
      <c r="C105" s="25">
        <v>232</v>
      </c>
      <c r="D105" s="25">
        <v>215</v>
      </c>
      <c r="E105" s="25">
        <v>232</v>
      </c>
      <c r="F105" s="25">
        <v>908</v>
      </c>
      <c r="G105" s="1"/>
      <c r="H105" s="1"/>
      <c r="I105" s="1"/>
      <c r="J105" s="1"/>
      <c r="K105" s="1"/>
      <c r="L105" s="23" t="s">
        <v>676</v>
      </c>
    </row>
    <row r="106">
      <c r="A106" s="1" t="s">
        <v>731</v>
      </c>
      <c r="B106" s="1"/>
      <c r="C106" s="25">
        <v>313</v>
      </c>
      <c r="D106" s="25">
        <v>327</v>
      </c>
      <c r="E106" s="25">
        <v>317</v>
      </c>
      <c r="F106" s="25">
        <v>1241</v>
      </c>
      <c r="G106" s="1"/>
      <c r="H106" s="1"/>
      <c r="I106" s="1"/>
      <c r="J106" s="1"/>
      <c r="K106" s="1"/>
      <c r="L106" s="23" t="s">
        <v>676</v>
      </c>
    </row>
    <row r="107">
      <c r="A107" s="1" t="s">
        <v>732</v>
      </c>
      <c r="B107" s="1"/>
      <c r="C107" s="25">
        <v>91</v>
      </c>
      <c r="D107" s="25">
        <v>77</v>
      </c>
      <c r="E107" s="25">
        <v>84</v>
      </c>
      <c r="F107" s="25">
        <v>353</v>
      </c>
      <c r="G107" s="1"/>
      <c r="H107" s="1"/>
      <c r="I107" s="1"/>
      <c r="J107" s="1"/>
      <c r="K107" s="1"/>
      <c r="L107" s="23" t="s">
        <v>676</v>
      </c>
    </row>
    <row r="108">
      <c r="A108" s="1" t="s">
        <v>733</v>
      </c>
      <c r="B108" s="1"/>
      <c r="C108" s="25">
        <v>68</v>
      </c>
      <c r="D108" s="25">
        <v>56</v>
      </c>
      <c r="E108" s="25">
        <v>64</v>
      </c>
      <c r="F108" s="25">
        <v>291</v>
      </c>
      <c r="G108" s="1"/>
      <c r="H108" s="1"/>
      <c r="I108" s="1"/>
      <c r="J108" s="1"/>
      <c r="K108" s="1"/>
      <c r="L108" s="23" t="s">
        <v>676</v>
      </c>
    </row>
    <row r="109">
      <c r="A109" s="1" t="s">
        <v>734</v>
      </c>
      <c r="B109" s="1"/>
      <c r="C109" s="25">
        <v>224</v>
      </c>
      <c r="D109" s="25">
        <v>196</v>
      </c>
      <c r="E109" s="25">
        <v>206</v>
      </c>
      <c r="F109" s="25">
        <v>973</v>
      </c>
      <c r="G109" s="1"/>
      <c r="H109" s="1"/>
      <c r="I109" s="1"/>
      <c r="J109" s="1"/>
      <c r="K109" s="1"/>
      <c r="L109" s="23" t="s">
        <v>676</v>
      </c>
    </row>
    <row r="110">
      <c r="A110" s="1" t="s">
        <v>386</v>
      </c>
      <c r="B110" s="25">
        <v>172</v>
      </c>
      <c r="C110" s="25">
        <v>162</v>
      </c>
      <c r="D110" s="25">
        <v>153</v>
      </c>
      <c r="E110" s="25">
        <v>164</v>
      </c>
      <c r="F110" s="25">
        <v>687</v>
      </c>
      <c r="G110" s="1"/>
      <c r="H110" s="1"/>
      <c r="I110" s="1"/>
      <c r="J110" s="1"/>
      <c r="K110" s="1"/>
      <c r="L110" s="23" t="s">
        <v>679</v>
      </c>
    </row>
    <row r="111">
      <c r="A111" s="1" t="s">
        <v>388</v>
      </c>
      <c r="B111" s="25">
        <v>647</v>
      </c>
      <c r="C111" s="25">
        <v>674</v>
      </c>
      <c r="D111" s="25">
        <v>696</v>
      </c>
      <c r="E111" s="25">
        <v>681</v>
      </c>
      <c r="F111" s="25">
        <v>2657</v>
      </c>
      <c r="G111" s="1"/>
      <c r="H111" s="1"/>
      <c r="I111" s="1"/>
      <c r="J111" s="1"/>
      <c r="K111" s="1"/>
      <c r="L111" s="23" t="s">
        <v>679</v>
      </c>
    </row>
    <row r="112">
      <c r="A112" s="1" t="s">
        <v>390</v>
      </c>
      <c r="B112" s="25">
        <v>194</v>
      </c>
      <c r="C112" s="25">
        <v>193</v>
      </c>
      <c r="D112" s="25">
        <v>194</v>
      </c>
      <c r="E112" s="25">
        <v>193</v>
      </c>
      <c r="F112" s="25">
        <v>769</v>
      </c>
      <c r="G112" s="1"/>
      <c r="H112" s="1"/>
      <c r="I112" s="1"/>
      <c r="J112" s="1"/>
      <c r="K112" s="1"/>
      <c r="L112" s="23" t="s">
        <v>679</v>
      </c>
    </row>
    <row r="113">
      <c r="A113" s="1" t="s">
        <v>391</v>
      </c>
      <c r="B113" s="25">
        <v>146</v>
      </c>
      <c r="C113" s="25">
        <v>170</v>
      </c>
      <c r="D113" s="25">
        <v>155</v>
      </c>
      <c r="E113" s="25">
        <v>169</v>
      </c>
      <c r="F113" s="25">
        <v>639</v>
      </c>
      <c r="G113" s="1"/>
      <c r="H113" s="1"/>
      <c r="I113" s="1"/>
      <c r="J113" s="1"/>
      <c r="K113" s="1"/>
      <c r="L113" s="23" t="s">
        <v>679</v>
      </c>
    </row>
    <row r="114">
      <c r="A114" s="1" t="s">
        <v>393</v>
      </c>
      <c r="B114" s="25">
        <v>108</v>
      </c>
      <c r="C114" s="25">
        <v>112</v>
      </c>
      <c r="D114" s="25">
        <v>112</v>
      </c>
      <c r="E114" s="25">
        <v>108</v>
      </c>
      <c r="F114" s="25">
        <v>447</v>
      </c>
      <c r="G114" s="1"/>
      <c r="H114" s="1"/>
      <c r="I114" s="1"/>
      <c r="J114" s="1"/>
      <c r="K114" s="1"/>
      <c r="L114" s="23" t="s">
        <v>679</v>
      </c>
    </row>
    <row r="115">
      <c r="A115" s="1" t="s">
        <v>394</v>
      </c>
      <c r="B115" s="25">
        <v>164</v>
      </c>
      <c r="C115" s="25">
        <v>167</v>
      </c>
      <c r="D115" s="25">
        <v>157</v>
      </c>
      <c r="E115" s="25">
        <v>168</v>
      </c>
      <c r="F115" s="25">
        <v>722</v>
      </c>
      <c r="G115" s="1"/>
      <c r="H115" s="1"/>
      <c r="I115" s="1"/>
      <c r="J115" s="1"/>
      <c r="K115" s="1"/>
      <c r="L115" s="23" t="s">
        <v>679</v>
      </c>
    </row>
    <row r="116">
      <c r="A116" s="1" t="s">
        <v>396</v>
      </c>
      <c r="B116" s="25">
        <v>1259</v>
      </c>
      <c r="C116" s="25">
        <v>1316</v>
      </c>
      <c r="D116" s="25">
        <v>1314</v>
      </c>
      <c r="E116" s="25">
        <v>1319</v>
      </c>
      <c r="F116" s="25">
        <v>5234</v>
      </c>
      <c r="G116" s="1"/>
      <c r="H116" s="1"/>
      <c r="I116" s="1"/>
      <c r="J116" s="1"/>
      <c r="K116" s="1"/>
      <c r="L116" s="23" t="s">
        <v>679</v>
      </c>
    </row>
    <row r="117">
      <c r="A117" s="1" t="s">
        <v>355</v>
      </c>
      <c r="B117" s="25">
        <v>470</v>
      </c>
      <c r="C117" s="25">
        <v>508</v>
      </c>
      <c r="D117" s="25">
        <v>468</v>
      </c>
      <c r="E117" s="25">
        <v>554</v>
      </c>
      <c r="F117" s="25">
        <v>1888</v>
      </c>
      <c r="G117" s="1"/>
      <c r="H117" s="1"/>
      <c r="I117" s="1"/>
      <c r="J117" s="1"/>
      <c r="K117" s="1"/>
      <c r="L117" s="23" t="s">
        <v>679</v>
      </c>
    </row>
    <row r="118">
      <c r="A118" s="1" t="s">
        <v>357</v>
      </c>
      <c r="B118" s="25">
        <v>88</v>
      </c>
      <c r="C118" s="25">
        <v>107</v>
      </c>
      <c r="D118" s="25">
        <v>95</v>
      </c>
      <c r="E118" s="25">
        <v>118</v>
      </c>
      <c r="F118" s="25">
        <v>379</v>
      </c>
      <c r="G118" s="1"/>
      <c r="H118" s="1"/>
      <c r="I118" s="1"/>
      <c r="J118" s="1"/>
      <c r="K118" s="1"/>
      <c r="L118" s="23" t="s">
        <v>679</v>
      </c>
    </row>
    <row r="119">
      <c r="A119" s="1" t="s">
        <v>358</v>
      </c>
      <c r="B119" s="25">
        <v>382</v>
      </c>
      <c r="C119" s="25">
        <v>401</v>
      </c>
      <c r="D119" s="25">
        <v>373</v>
      </c>
      <c r="E119" s="25">
        <v>436</v>
      </c>
      <c r="F119" s="25">
        <v>1509</v>
      </c>
      <c r="G119" s="1"/>
      <c r="H119" s="1"/>
      <c r="I119" s="1"/>
      <c r="J119" s="1"/>
      <c r="K119" s="1"/>
      <c r="L119" s="23" t="s">
        <v>679</v>
      </c>
    </row>
    <row r="120">
      <c r="A120" s="1" t="s">
        <v>664</v>
      </c>
      <c r="B120" s="25">
        <v>344</v>
      </c>
      <c r="C120" s="25">
        <v>367</v>
      </c>
      <c r="D120" s="25">
        <v>340</v>
      </c>
      <c r="E120" s="25">
        <v>402</v>
      </c>
      <c r="F120" s="25">
        <v>1372</v>
      </c>
      <c r="G120" s="1"/>
      <c r="H120" s="1"/>
      <c r="I120" s="1"/>
      <c r="J120" s="1"/>
      <c r="K120" s="1"/>
      <c r="L120" s="23" t="s">
        <v>679</v>
      </c>
    </row>
    <row r="121">
      <c r="A121" s="1" t="s">
        <v>409</v>
      </c>
      <c r="B121" s="58">
        <v>0.77</v>
      </c>
      <c r="C121" s="58">
        <v>0.83</v>
      </c>
      <c r="D121" s="58">
        <v>0.77</v>
      </c>
      <c r="E121" s="58">
        <v>0.92</v>
      </c>
      <c r="F121" s="58">
        <v>3.03</v>
      </c>
      <c r="G121" s="1"/>
      <c r="H121" s="1"/>
      <c r="I121" s="1"/>
      <c r="J121" s="1"/>
      <c r="K121" s="1"/>
      <c r="L121" s="23" t="s">
        <v>679</v>
      </c>
    </row>
    <row r="122">
      <c r="A122" s="1" t="s">
        <v>353</v>
      </c>
      <c r="B122" s="25">
        <v>192</v>
      </c>
      <c r="C122" s="25">
        <v>189</v>
      </c>
      <c r="D122" s="25">
        <v>200</v>
      </c>
      <c r="E122" s="25">
        <v>167</v>
      </c>
      <c r="F122" s="25">
        <v>746</v>
      </c>
      <c r="G122" s="1"/>
      <c r="H122" s="1"/>
      <c r="I122" s="1"/>
      <c r="J122" s="1"/>
      <c r="K122" s="1"/>
      <c r="L122" s="23" t="s">
        <v>679</v>
      </c>
    </row>
    <row r="123">
      <c r="A123" s="1" t="s">
        <v>735</v>
      </c>
      <c r="B123" s="25">
        <v>2286</v>
      </c>
      <c r="C123" s="25">
        <v>2259</v>
      </c>
      <c r="D123" s="25">
        <v>2212</v>
      </c>
      <c r="E123" s="25">
        <v>2209</v>
      </c>
      <c r="F123" s="1"/>
      <c r="G123" s="1"/>
      <c r="H123" s="1"/>
      <c r="I123" s="1"/>
      <c r="J123" s="1"/>
      <c r="K123" s="1"/>
      <c r="L123" s="23" t="s">
        <v>712</v>
      </c>
    </row>
    <row r="124">
      <c r="A124" s="1" t="s">
        <v>736</v>
      </c>
      <c r="B124" s="25">
        <v>141632</v>
      </c>
      <c r="C124" s="25">
        <v>139203</v>
      </c>
      <c r="D124" s="25">
        <v>137635</v>
      </c>
      <c r="E124" s="25">
        <v>139304</v>
      </c>
      <c r="F124" s="1"/>
      <c r="G124" s="1"/>
      <c r="H124" s="1"/>
      <c r="I124" s="1"/>
      <c r="J124" s="1"/>
      <c r="K124" s="1"/>
      <c r="L124" s="23" t="s">
        <v>712</v>
      </c>
    </row>
    <row r="125">
      <c r="A125" s="1" t="s">
        <v>737</v>
      </c>
      <c r="B125" s="1"/>
      <c r="C125" s="1"/>
      <c r="D125" s="1"/>
      <c r="E125" s="25">
        <v>201</v>
      </c>
      <c r="F125" s="1"/>
      <c r="G125" s="1"/>
      <c r="H125" s="1"/>
      <c r="I125" s="1"/>
      <c r="J125" s="1"/>
      <c r="K125" s="1"/>
      <c r="L125" s="23" t="s">
        <v>738</v>
      </c>
    </row>
    <row r="126">
      <c r="A126" s="1" t="s">
        <v>739</v>
      </c>
      <c r="B126" s="1"/>
      <c r="C126" s="1"/>
      <c r="D126" s="1"/>
      <c r="E126" s="25">
        <v>34658</v>
      </c>
      <c r="F126" s="1"/>
      <c r="G126" s="1"/>
      <c r="H126" s="1"/>
      <c r="I126" s="1"/>
      <c r="J126" s="1"/>
      <c r="K126" s="1"/>
      <c r="L126" s="23" t="s">
        <v>738</v>
      </c>
    </row>
    <row r="127">
      <c r="A127" s="1" t="s">
        <v>740</v>
      </c>
      <c r="B127" s="1"/>
      <c r="C127" s="1"/>
      <c r="D127" s="1"/>
      <c r="E127" s="25">
        <v>8293</v>
      </c>
      <c r="F127" s="1"/>
      <c r="G127" s="1"/>
      <c r="H127" s="1"/>
      <c r="I127" s="1"/>
      <c r="J127" s="1"/>
      <c r="K127" s="1"/>
      <c r="L127" s="23" t="s">
        <v>738</v>
      </c>
    </row>
    <row r="128">
      <c r="A128" s="1" t="s">
        <v>741</v>
      </c>
      <c r="B128" s="1"/>
      <c r="C128" s="1"/>
      <c r="D128" s="1"/>
      <c r="E128" s="25">
        <v>1542</v>
      </c>
      <c r="F128" s="1"/>
      <c r="G128" s="1"/>
      <c r="H128" s="1"/>
      <c r="I128" s="1"/>
      <c r="J128" s="1"/>
      <c r="K128" s="1"/>
      <c r="L128" s="23" t="s">
        <v>738</v>
      </c>
    </row>
    <row r="129">
      <c r="A129" s="1" t="s">
        <v>742</v>
      </c>
      <c r="B129" s="1"/>
      <c r="C129" s="1"/>
      <c r="D129" s="1"/>
      <c r="E129" s="25">
        <v>4163</v>
      </c>
      <c r="F129" s="1"/>
      <c r="G129" s="1"/>
      <c r="H129" s="1"/>
      <c r="I129" s="1"/>
      <c r="J129" s="1"/>
      <c r="K129" s="1"/>
      <c r="L129" s="23" t="s">
        <v>738</v>
      </c>
    </row>
    <row r="130">
      <c r="A130" s="1" t="s">
        <v>743</v>
      </c>
      <c r="B130" s="1"/>
      <c r="C130" s="1"/>
      <c r="D130" s="1"/>
      <c r="E130" s="25">
        <v>-2639</v>
      </c>
      <c r="F130" s="1"/>
      <c r="G130" s="1"/>
      <c r="H130" s="1"/>
      <c r="I130" s="1"/>
      <c r="J130" s="1"/>
      <c r="K130" s="1"/>
      <c r="L130" s="23" t="s">
        <v>738</v>
      </c>
    </row>
    <row r="131">
      <c r="A131" s="1" t="s">
        <v>744</v>
      </c>
      <c r="B131" s="25">
        <v>175188</v>
      </c>
      <c r="C131" s="25">
        <v>174776</v>
      </c>
      <c r="D131" s="25">
        <v>177576</v>
      </c>
      <c r="E131" s="25">
        <v>175086</v>
      </c>
      <c r="F131" s="1"/>
      <c r="G131" s="1"/>
      <c r="H131" s="1"/>
      <c r="I131" s="1"/>
      <c r="J131" s="1"/>
      <c r="K131" s="1"/>
      <c r="L131" s="23" t="s">
        <v>712</v>
      </c>
    </row>
    <row r="132">
      <c r="A132" s="1" t="s">
        <v>745</v>
      </c>
      <c r="B132" s="1"/>
      <c r="C132" s="25">
        <v>1409</v>
      </c>
      <c r="D132" s="1"/>
      <c r="E132" s="25">
        <v>1107</v>
      </c>
      <c r="F132" s="1"/>
      <c r="G132" s="1"/>
      <c r="H132" s="1"/>
      <c r="I132" s="1"/>
      <c r="J132" s="1"/>
      <c r="K132" s="1"/>
      <c r="L132" s="23" t="s">
        <v>746</v>
      </c>
    </row>
    <row r="133">
      <c r="A133" s="1" t="s">
        <v>747</v>
      </c>
      <c r="B133" s="1"/>
      <c r="C133" s="25">
        <v>9192</v>
      </c>
      <c r="D133" s="1"/>
      <c r="E133" s="25">
        <v>7441</v>
      </c>
      <c r="F133" s="1"/>
      <c r="G133" s="1"/>
      <c r="H133" s="1"/>
      <c r="I133" s="1"/>
      <c r="J133" s="1"/>
      <c r="K133" s="1"/>
      <c r="L133" s="23" t="s">
        <v>746</v>
      </c>
    </row>
    <row r="134">
      <c r="A134" s="1" t="s">
        <v>748</v>
      </c>
      <c r="B134" s="1"/>
      <c r="C134" s="25">
        <v>440.543381</v>
      </c>
      <c r="D134" s="25">
        <v>437.668127</v>
      </c>
      <c r="E134" s="25">
        <v>432.768811</v>
      </c>
      <c r="F134" s="1"/>
      <c r="G134" s="1"/>
      <c r="H134" s="1"/>
      <c r="I134" s="1"/>
      <c r="J134" s="1"/>
      <c r="K134" s="1"/>
      <c r="L134" s="23" t="s">
        <v>749</v>
      </c>
    </row>
    <row r="135">
      <c r="A135" s="1" t="s">
        <v>406</v>
      </c>
      <c r="B135" s="1"/>
      <c r="C135" s="25">
        <v>440.802738</v>
      </c>
      <c r="D135" s="25">
        <v>438.320757</v>
      </c>
      <c r="E135" s="25">
        <v>433.64021</v>
      </c>
      <c r="F135" s="1"/>
      <c r="G135" s="1"/>
      <c r="H135" s="1"/>
      <c r="I135" s="1"/>
      <c r="J135" s="1"/>
      <c r="K135" s="1"/>
      <c r="L135" s="23" t="s">
        <v>749</v>
      </c>
    </row>
    <row r="136">
      <c r="A136" s="1" t="s">
        <v>407</v>
      </c>
      <c r="B136" s="1"/>
      <c r="C136" s="25">
        <v>444.836786</v>
      </c>
      <c r="D136" s="25">
        <v>442.20018</v>
      </c>
      <c r="E136" s="25">
        <v>436.539774</v>
      </c>
      <c r="F136" s="1"/>
      <c r="G136" s="1"/>
      <c r="H136" s="1"/>
      <c r="I136" s="1"/>
      <c r="J136" s="1"/>
      <c r="K136" s="1"/>
      <c r="L136" s="23" t="s">
        <v>749</v>
      </c>
    </row>
    <row r="137">
      <c r="A137" s="1" t="s">
        <v>584</v>
      </c>
      <c r="B137" s="1"/>
      <c r="C137" s="58">
        <v>0.42</v>
      </c>
      <c r="D137" s="58">
        <v>0.42</v>
      </c>
      <c r="E137" s="58">
        <v>0.42</v>
      </c>
      <c r="F137" s="1"/>
      <c r="G137" s="1"/>
      <c r="H137" s="1"/>
      <c r="I137" s="1"/>
      <c r="J137" s="1"/>
      <c r="K137" s="1"/>
      <c r="L137" s="23" t="s">
        <v>749</v>
      </c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>
      <c r="A139" s="8" t="s">
        <v>750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>
      <c r="A140" s="13" t="s">
        <v>751</v>
      </c>
      <c r="B140" s="7" t="s">
        <v>752</v>
      </c>
      <c r="C140" s="7" t="s">
        <v>753</v>
      </c>
      <c r="D140" s="7" t="s">
        <v>754</v>
      </c>
      <c r="E140" s="7" t="s">
        <v>755</v>
      </c>
      <c r="F140" s="7" t="s">
        <v>756</v>
      </c>
      <c r="G140" s="13"/>
      <c r="H140" s="13"/>
      <c r="I140" s="13"/>
      <c r="J140" s="13"/>
      <c r="K140" s="13"/>
      <c r="L140" s="23" t="s">
        <v>757</v>
      </c>
    </row>
    <row r="141">
      <c r="A141" s="1" t="s">
        <v>358</v>
      </c>
      <c r="B141" s="25">
        <v>809</v>
      </c>
      <c r="C141" s="25">
        <v>1303</v>
      </c>
      <c r="D141" s="25">
        <v>1831</v>
      </c>
      <c r="E141" s="25">
        <v>517</v>
      </c>
      <c r="F141" s="25">
        <v>1104</v>
      </c>
      <c r="G141" s="1"/>
      <c r="H141" s="1"/>
      <c r="I141" s="1"/>
      <c r="J141" s="1"/>
      <c r="K141" s="1"/>
      <c r="L141" s="1"/>
    </row>
    <row r="142">
      <c r="A142" s="1" t="s">
        <v>386</v>
      </c>
      <c r="B142" s="25">
        <v>317</v>
      </c>
      <c r="C142" s="25">
        <v>471</v>
      </c>
      <c r="D142" s="25">
        <v>608</v>
      </c>
      <c r="E142" s="25">
        <v>140</v>
      </c>
      <c r="F142" s="25">
        <v>274</v>
      </c>
      <c r="G142" s="1"/>
      <c r="H142" s="1"/>
      <c r="I142" s="1"/>
      <c r="J142" s="1"/>
      <c r="K142" s="1"/>
      <c r="L142" s="1"/>
    </row>
    <row r="143">
      <c r="A143" s="1" t="s">
        <v>512</v>
      </c>
      <c r="B143" s="25">
        <v>-297</v>
      </c>
      <c r="C143" s="25">
        <v>-81</v>
      </c>
      <c r="D143" s="25">
        <v>-414</v>
      </c>
      <c r="E143" s="25">
        <v>-285</v>
      </c>
      <c r="F143" s="25">
        <v>-248</v>
      </c>
      <c r="G143" s="1"/>
      <c r="H143" s="1"/>
      <c r="I143" s="1"/>
      <c r="J143" s="1"/>
      <c r="K143" s="1"/>
      <c r="L143" s="1"/>
    </row>
    <row r="144">
      <c r="A144" s="1" t="s">
        <v>513</v>
      </c>
      <c r="B144" s="25">
        <v>247</v>
      </c>
      <c r="C144" s="25">
        <v>366</v>
      </c>
      <c r="D144" s="25">
        <v>478</v>
      </c>
      <c r="E144" s="25">
        <v>113</v>
      </c>
      <c r="F144" s="25">
        <v>212</v>
      </c>
      <c r="G144" s="1"/>
      <c r="H144" s="1"/>
      <c r="I144" s="1"/>
      <c r="J144" s="1"/>
      <c r="K144" s="1"/>
      <c r="L144" s="1"/>
    </row>
    <row r="145">
      <c r="A145" s="1" t="s">
        <v>515</v>
      </c>
      <c r="B145" s="25">
        <v>-115</v>
      </c>
      <c r="C145" s="25">
        <v>-93</v>
      </c>
      <c r="D145" s="25">
        <v>-82</v>
      </c>
      <c r="E145" s="25">
        <v>52</v>
      </c>
      <c r="F145" s="25">
        <v>-6</v>
      </c>
      <c r="G145" s="1"/>
      <c r="H145" s="1"/>
      <c r="I145" s="1"/>
      <c r="J145" s="1"/>
      <c r="K145" s="1"/>
      <c r="L145" s="1"/>
    </row>
    <row r="146">
      <c r="A146" s="1" t="s">
        <v>516</v>
      </c>
      <c r="B146" s="25">
        <v>74</v>
      </c>
      <c r="C146" s="25">
        <v>97</v>
      </c>
      <c r="D146" s="25">
        <v>120</v>
      </c>
      <c r="E146" s="25">
        <v>33</v>
      </c>
      <c r="F146" s="25">
        <v>82</v>
      </c>
      <c r="G146" s="1"/>
      <c r="H146" s="1"/>
      <c r="I146" s="1"/>
      <c r="J146" s="1"/>
      <c r="K146" s="1"/>
      <c r="L146" s="1"/>
    </row>
    <row r="147">
      <c r="A147" s="1" t="s">
        <v>517</v>
      </c>
      <c r="B147" s="25">
        <v>-14</v>
      </c>
      <c r="C147" s="25">
        <v>-16</v>
      </c>
      <c r="D147" s="25">
        <v>-24</v>
      </c>
      <c r="E147" s="25">
        <v>-7</v>
      </c>
      <c r="F147" s="25">
        <v>-13</v>
      </c>
      <c r="G147" s="1"/>
      <c r="H147" s="1"/>
      <c r="I147" s="1"/>
      <c r="J147" s="1"/>
      <c r="K147" s="1"/>
      <c r="L147" s="1"/>
    </row>
    <row r="148">
      <c r="A148" s="1" t="s">
        <v>518</v>
      </c>
      <c r="B148" s="25">
        <v>359</v>
      </c>
      <c r="C148" s="25">
        <v>357</v>
      </c>
      <c r="D148" s="25">
        <v>89</v>
      </c>
      <c r="E148" s="25">
        <v>-256</v>
      </c>
      <c r="F148" s="25">
        <v>-502</v>
      </c>
      <c r="G148" s="1"/>
      <c r="H148" s="1"/>
      <c r="I148" s="1"/>
      <c r="J148" s="1"/>
      <c r="K148" s="1"/>
      <c r="L148" s="1"/>
    </row>
    <row r="149">
      <c r="A149" s="1" t="s">
        <v>519</v>
      </c>
      <c r="B149" s="25">
        <v>-707</v>
      </c>
      <c r="C149" s="25">
        <v>-35</v>
      </c>
      <c r="D149" s="25">
        <v>-395</v>
      </c>
      <c r="E149" s="25">
        <v>-70</v>
      </c>
      <c r="F149" s="25">
        <v>60</v>
      </c>
      <c r="G149" s="1"/>
      <c r="H149" s="1"/>
      <c r="I149" s="1"/>
      <c r="J149" s="1"/>
      <c r="K149" s="1"/>
      <c r="L149" s="1"/>
    </row>
    <row r="150">
      <c r="A150" s="1" t="s">
        <v>520</v>
      </c>
      <c r="B150" s="25">
        <v>673</v>
      </c>
      <c r="C150" s="25">
        <v>2369</v>
      </c>
      <c r="D150" s="25">
        <v>2211</v>
      </c>
      <c r="E150" s="25">
        <v>237</v>
      </c>
      <c r="F150" s="25">
        <v>963</v>
      </c>
      <c r="G150" s="1"/>
      <c r="H150" s="1"/>
      <c r="I150" s="1"/>
      <c r="J150" s="1"/>
      <c r="K150" s="1"/>
      <c r="L150" s="1"/>
    </row>
    <row r="151">
      <c r="A151" s="1" t="s">
        <v>526</v>
      </c>
      <c r="B151" s="25">
        <v>-4125</v>
      </c>
      <c r="C151" s="25">
        <v>-5545</v>
      </c>
      <c r="D151" s="25">
        <v>-9463</v>
      </c>
      <c r="E151" s="25">
        <v>-2516</v>
      </c>
      <c r="F151" s="25">
        <v>-5654</v>
      </c>
      <c r="G151" s="1"/>
      <c r="H151" s="1"/>
      <c r="I151" s="1"/>
      <c r="J151" s="1"/>
      <c r="K151" s="1"/>
      <c r="L151" s="1"/>
    </row>
    <row r="152">
      <c r="A152" s="1" t="s">
        <v>527</v>
      </c>
      <c r="B152" s="25">
        <v>1809</v>
      </c>
      <c r="C152" s="25">
        <v>2770</v>
      </c>
      <c r="D152" s="25">
        <v>4018</v>
      </c>
      <c r="E152" s="25">
        <v>1137</v>
      </c>
      <c r="F152" s="25">
        <v>2416</v>
      </c>
      <c r="G152" s="1"/>
      <c r="H152" s="1"/>
      <c r="I152" s="1"/>
      <c r="J152" s="1"/>
      <c r="K152" s="1"/>
      <c r="L152" s="1"/>
    </row>
    <row r="153">
      <c r="A153" s="1" t="s">
        <v>528</v>
      </c>
      <c r="B153" s="25">
        <v>1117</v>
      </c>
      <c r="C153" s="25">
        <v>1218</v>
      </c>
      <c r="D153" s="25">
        <v>3797</v>
      </c>
      <c r="E153" s="25">
        <v>547</v>
      </c>
      <c r="F153" s="25">
        <v>1183</v>
      </c>
      <c r="G153" s="1"/>
      <c r="H153" s="1"/>
      <c r="I153" s="1"/>
      <c r="J153" s="1"/>
      <c r="K153" s="1"/>
      <c r="L153" s="1"/>
    </row>
    <row r="154">
      <c r="A154" s="1" t="s">
        <v>529</v>
      </c>
      <c r="B154" s="25">
        <v>348</v>
      </c>
      <c r="C154" s="25">
        <v>537</v>
      </c>
      <c r="D154" s="25">
        <v>750</v>
      </c>
      <c r="E154" s="25">
        <v>158</v>
      </c>
      <c r="F154" s="25">
        <v>349</v>
      </c>
      <c r="G154" s="1"/>
      <c r="H154" s="1"/>
      <c r="I154" s="1"/>
      <c r="J154" s="1"/>
      <c r="K154" s="1"/>
      <c r="L154" s="1"/>
    </row>
    <row r="155">
      <c r="A155" s="1" t="s">
        <v>530</v>
      </c>
      <c r="B155" s="25">
        <v>-45</v>
      </c>
      <c r="C155" s="25">
        <v>-59</v>
      </c>
      <c r="D155" s="25">
        <v>-326</v>
      </c>
      <c r="E155" s="25">
        <v>131</v>
      </c>
      <c r="F155" s="25">
        <v>-146</v>
      </c>
      <c r="G155" s="1"/>
      <c r="H155" s="1"/>
      <c r="I155" s="1"/>
      <c r="J155" s="1"/>
      <c r="K155" s="1"/>
      <c r="L155" s="1"/>
    </row>
    <row r="156">
      <c r="A156" s="1" t="s">
        <v>531</v>
      </c>
      <c r="B156" s="25">
        <v>-503</v>
      </c>
      <c r="C156" s="25">
        <v>-642</v>
      </c>
      <c r="D156" s="25">
        <v>-680</v>
      </c>
      <c r="E156" s="25">
        <v>-49</v>
      </c>
      <c r="F156" s="25">
        <v>-103</v>
      </c>
      <c r="G156" s="1"/>
      <c r="H156" s="1"/>
      <c r="I156" s="1"/>
      <c r="J156" s="1"/>
      <c r="K156" s="1"/>
      <c r="L156" s="1"/>
    </row>
    <row r="157">
      <c r="A157" s="1" t="s">
        <v>532</v>
      </c>
      <c r="B157" s="25">
        <v>911</v>
      </c>
      <c r="C157" s="25">
        <v>1428</v>
      </c>
      <c r="D157" s="25">
        <v>1891</v>
      </c>
      <c r="E157" s="25">
        <v>31</v>
      </c>
      <c r="F157" s="25">
        <v>550</v>
      </c>
      <c r="G157" s="1"/>
      <c r="H157" s="1"/>
      <c r="I157" s="1"/>
      <c r="J157" s="1"/>
      <c r="K157" s="1"/>
      <c r="L157" s="1"/>
    </row>
    <row r="158">
      <c r="A158" s="1" t="s">
        <v>533</v>
      </c>
      <c r="B158" s="25">
        <v>-1821</v>
      </c>
      <c r="C158" s="25">
        <v>-3475</v>
      </c>
      <c r="D158" s="25">
        <v>-5433</v>
      </c>
      <c r="E158" s="25">
        <v>-1144</v>
      </c>
      <c r="F158" s="25">
        <v>-5523</v>
      </c>
      <c r="G158" s="1"/>
      <c r="H158" s="1"/>
      <c r="I158" s="1"/>
      <c r="J158" s="1"/>
      <c r="K158" s="1"/>
      <c r="L158" s="1"/>
    </row>
    <row r="159">
      <c r="A159" s="1" t="s">
        <v>534</v>
      </c>
      <c r="B159" s="25">
        <v>-47</v>
      </c>
      <c r="C159" s="25">
        <v>-82</v>
      </c>
      <c r="D159" s="25">
        <v>-174</v>
      </c>
      <c r="E159" s="25">
        <v>0</v>
      </c>
      <c r="F159" s="25">
        <v>-21</v>
      </c>
      <c r="G159" s="1"/>
      <c r="H159" s="1"/>
      <c r="I159" s="1"/>
      <c r="J159" s="1"/>
      <c r="K159" s="1"/>
      <c r="L159" s="1"/>
    </row>
    <row r="160">
      <c r="A160" s="1" t="s">
        <v>536</v>
      </c>
      <c r="B160" s="25">
        <v>-180</v>
      </c>
      <c r="C160" s="25">
        <v>-183</v>
      </c>
      <c r="D160" s="25">
        <v>-347</v>
      </c>
      <c r="E160" s="25">
        <v>-97</v>
      </c>
      <c r="F160" s="25">
        <v>-314</v>
      </c>
      <c r="G160" s="1"/>
      <c r="H160" s="1"/>
      <c r="I160" s="1"/>
      <c r="J160" s="1"/>
      <c r="K160" s="1"/>
      <c r="L160" s="1"/>
    </row>
    <row r="161">
      <c r="A161" s="1" t="s">
        <v>537</v>
      </c>
      <c r="B161" s="25">
        <v>-2536</v>
      </c>
      <c r="C161" s="25">
        <v>-4033</v>
      </c>
      <c r="D161" s="25">
        <v>-5967</v>
      </c>
      <c r="E161" s="25">
        <v>-1802</v>
      </c>
      <c r="F161" s="25">
        <v>-7263</v>
      </c>
      <c r="G161" s="1"/>
      <c r="H161" s="1"/>
      <c r="I161" s="1"/>
      <c r="J161" s="1"/>
      <c r="K161" s="1"/>
      <c r="L161" s="1"/>
    </row>
    <row r="162">
      <c r="A162" s="1" t="s">
        <v>539</v>
      </c>
      <c r="B162" s="25">
        <v>310</v>
      </c>
      <c r="C162" s="25">
        <v>5235</v>
      </c>
      <c r="D162" s="25">
        <v>8537</v>
      </c>
      <c r="E162" s="25">
        <v>722</v>
      </c>
      <c r="F162" s="25">
        <v>2307</v>
      </c>
      <c r="G162" s="1"/>
      <c r="H162" s="1"/>
      <c r="I162" s="1"/>
      <c r="J162" s="1"/>
      <c r="K162" s="1"/>
      <c r="L162" s="1"/>
    </row>
    <row r="163">
      <c r="A163" s="1" t="s">
        <v>540</v>
      </c>
      <c r="B163" s="25">
        <v>249</v>
      </c>
      <c r="C163" s="25">
        <v>214</v>
      </c>
      <c r="D163" s="25">
        <v>58</v>
      </c>
      <c r="E163" s="25">
        <v>-4</v>
      </c>
      <c r="F163" s="25">
        <v>1101</v>
      </c>
      <c r="G163" s="1"/>
      <c r="H163" s="1"/>
      <c r="I163" s="1"/>
      <c r="J163" s="1"/>
      <c r="K163" s="1"/>
      <c r="L163" s="1"/>
    </row>
    <row r="164">
      <c r="A164" s="1" t="s">
        <v>758</v>
      </c>
      <c r="B164" s="25">
        <v>6033</v>
      </c>
      <c r="C164" s="25">
        <v>6534</v>
      </c>
      <c r="D164" s="25">
        <v>8534</v>
      </c>
      <c r="E164" s="25">
        <v>3647</v>
      </c>
      <c r="F164" s="25">
        <v>10647</v>
      </c>
      <c r="G164" s="1"/>
      <c r="H164" s="1"/>
      <c r="I164" s="1"/>
      <c r="J164" s="1"/>
      <c r="K164" s="1"/>
      <c r="L164" s="1"/>
    </row>
    <row r="165">
      <c r="A165" s="1" t="s">
        <v>542</v>
      </c>
      <c r="B165" s="25">
        <v>-5926</v>
      </c>
      <c r="C165" s="25">
        <v>-8520</v>
      </c>
      <c r="D165" s="25">
        <v>-9744</v>
      </c>
      <c r="E165" s="25">
        <v>-2618</v>
      </c>
      <c r="F165" s="25">
        <v>-6693</v>
      </c>
      <c r="G165" s="1"/>
      <c r="H165" s="1"/>
      <c r="I165" s="1"/>
      <c r="J165" s="1"/>
      <c r="K165" s="1"/>
      <c r="L165" s="1"/>
    </row>
    <row r="166">
      <c r="A166" s="1" t="s">
        <v>543</v>
      </c>
      <c r="B166" s="25">
        <v>-400</v>
      </c>
      <c r="C166" s="25">
        <v>-475</v>
      </c>
      <c r="D166" s="25">
        <v>-600</v>
      </c>
      <c r="E166" s="25">
        <v>-300</v>
      </c>
      <c r="F166" s="25">
        <v>-525</v>
      </c>
      <c r="G166" s="1"/>
      <c r="H166" s="1"/>
      <c r="I166" s="1"/>
      <c r="J166" s="1"/>
      <c r="K166" s="1"/>
      <c r="L166" s="1"/>
    </row>
    <row r="167">
      <c r="A167" s="1" t="s">
        <v>544</v>
      </c>
      <c r="B167" s="25">
        <v>0</v>
      </c>
      <c r="C167" s="25">
        <v>393</v>
      </c>
      <c r="D167" s="25">
        <v>393</v>
      </c>
      <c r="E167" s="25">
        <v>0</v>
      </c>
      <c r="F167" s="25">
        <v>0</v>
      </c>
      <c r="G167" s="1"/>
      <c r="H167" s="1"/>
      <c r="I167" s="1"/>
      <c r="J167" s="1"/>
      <c r="K167" s="1"/>
      <c r="L167" s="1"/>
    </row>
    <row r="168">
      <c r="A168" s="1" t="s">
        <v>545</v>
      </c>
      <c r="B168" s="25">
        <v>0</v>
      </c>
      <c r="C168" s="25">
        <v>0</v>
      </c>
      <c r="D168" s="25">
        <v>-400</v>
      </c>
      <c r="E168" s="25">
        <v>0</v>
      </c>
      <c r="F168" s="25">
        <v>0</v>
      </c>
      <c r="G168" s="1"/>
      <c r="H168" s="1"/>
      <c r="I168" s="1"/>
      <c r="J168" s="1"/>
      <c r="K168" s="1"/>
      <c r="L168" s="1"/>
    </row>
    <row r="169">
      <c r="A169" s="1" t="s">
        <v>547</v>
      </c>
      <c r="B169" s="25">
        <v>-371</v>
      </c>
      <c r="C169" s="25">
        <v>-555</v>
      </c>
      <c r="D169" s="25">
        <v>-755</v>
      </c>
      <c r="E169" s="25">
        <v>-198</v>
      </c>
      <c r="F169" s="25">
        <v>-396</v>
      </c>
      <c r="G169" s="1"/>
      <c r="H169" s="1"/>
      <c r="I169" s="1"/>
      <c r="J169" s="1"/>
      <c r="K169" s="1"/>
      <c r="L169" s="1"/>
    </row>
    <row r="170">
      <c r="A170" s="1" t="s">
        <v>548</v>
      </c>
      <c r="B170" s="25">
        <v>-67</v>
      </c>
      <c r="C170" s="25">
        <v>-100</v>
      </c>
      <c r="D170" s="25">
        <v>-133</v>
      </c>
      <c r="E170" s="25">
        <v>-38</v>
      </c>
      <c r="F170" s="25">
        <v>-71</v>
      </c>
      <c r="G170" s="1"/>
      <c r="H170" s="1"/>
      <c r="I170" s="1"/>
      <c r="J170" s="1"/>
      <c r="K170" s="1"/>
      <c r="L170" s="1"/>
    </row>
    <row r="171">
      <c r="A171" s="1" t="s">
        <v>550</v>
      </c>
      <c r="B171" s="25">
        <v>-18</v>
      </c>
      <c r="C171" s="25">
        <v>-13</v>
      </c>
      <c r="D171" s="25">
        <v>-8</v>
      </c>
      <c r="E171" s="25">
        <v>-43</v>
      </c>
      <c r="F171" s="25">
        <v>-37</v>
      </c>
      <c r="G171" s="1"/>
      <c r="H171" s="1"/>
      <c r="I171" s="1"/>
      <c r="J171" s="1"/>
      <c r="K171" s="1"/>
      <c r="L171" s="1"/>
    </row>
    <row r="172">
      <c r="A172" s="1" t="s">
        <v>551</v>
      </c>
      <c r="B172" s="25">
        <v>-190</v>
      </c>
      <c r="C172" s="25">
        <v>2713</v>
      </c>
      <c r="D172" s="25">
        <v>5882</v>
      </c>
      <c r="E172" s="25">
        <v>1168</v>
      </c>
      <c r="F172" s="25">
        <v>6333</v>
      </c>
      <c r="G172" s="1"/>
      <c r="H172" s="1"/>
      <c r="I172" s="1"/>
      <c r="J172" s="1"/>
      <c r="K172" s="1"/>
      <c r="L172" s="1"/>
    </row>
    <row r="173">
      <c r="A173" s="1" t="s">
        <v>759</v>
      </c>
      <c r="B173" s="25">
        <v>-2053</v>
      </c>
      <c r="C173" s="25">
        <v>1049</v>
      </c>
      <c r="D173" s="25">
        <v>2126</v>
      </c>
      <c r="E173" s="25">
        <v>-397</v>
      </c>
      <c r="F173" s="25">
        <v>33</v>
      </c>
      <c r="G173" s="1"/>
      <c r="H173" s="1"/>
      <c r="I173" s="1"/>
      <c r="J173" s="1"/>
      <c r="K173" s="1"/>
      <c r="L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>
      <c r="A175" s="8" t="s">
        <v>760</v>
      </c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>
      <c r="A176" s="1" t="s">
        <v>761</v>
      </c>
      <c r="B176" s="1" t="s">
        <v>762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>
      <c r="A177" s="1" t="s">
        <v>763</v>
      </c>
      <c r="B177" s="1" t="s">
        <v>12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>
      <c r="A178" s="1" t="s">
        <v>764</v>
      </c>
      <c r="B178" s="1" t="s">
        <v>10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>
      <c r="A179" s="1" t="s">
        <v>765</v>
      </c>
      <c r="B179" s="1" t="s">
        <v>766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>
      <c r="A180" s="1" t="s">
        <v>767</v>
      </c>
      <c r="B180" s="2">
        <v>46295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>
      <c r="A181" s="1" t="s">
        <v>768</v>
      </c>
      <c r="B181" s="2">
        <v>46306</v>
      </c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>
      <c r="A182" s="1" t="s">
        <v>769</v>
      </c>
      <c r="B182" s="76">
        <v>16</v>
      </c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>
      <c r="A183" s="1" t="s">
        <v>770</v>
      </c>
      <c r="B183" s="76">
        <v>1.39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>
      <c r="A184" s="1" t="s">
        <v>771</v>
      </c>
      <c r="B184" s="1" t="s">
        <v>772</v>
      </c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>
      <c r="A185" s="1" t="s">
        <v>773</v>
      </c>
      <c r="B185" s="76">
        <v>2338.25</v>
      </c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>
      <c r="A186" s="1" t="s">
        <v>774</v>
      </c>
      <c r="B186" s="1" t="s">
        <v>775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>
      <c r="A187" s="1" t="s">
        <v>776</v>
      </c>
      <c r="B187" s="1" t="s">
        <v>777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>
      <c r="A188" s="1" t="s">
        <v>778</v>
      </c>
      <c r="B188" s="1" t="s">
        <v>779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>
      <c r="A189" s="1" t="s">
        <v>780</v>
      </c>
      <c r="B189" s="1" t="s">
        <v>781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>
      <c r="A190" s="1" t="s">
        <v>782</v>
      </c>
      <c r="B190" s="1" t="s">
        <v>12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>
      <c r="A191" s="1" t="s">
        <v>783</v>
      </c>
      <c r="B191" s="1" t="s">
        <v>10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>
      <c r="A192" s="1" t="s">
        <v>784</v>
      </c>
      <c r="B192" s="1" t="s">
        <v>785</v>
      </c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>
      <c r="A193" s="1" t="s">
        <v>786</v>
      </c>
      <c r="B193" s="1">
        <v>46051729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>
      <c r="A194" s="1" t="s">
        <v>787</v>
      </c>
      <c r="B194" s="1" t="s">
        <v>788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>
      <c r="A195" s="1" t="s">
        <v>789</v>
      </c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3" t="s">
        <v>790</v>
      </c>
    </row>
    <row r="196">
      <c r="A196" s="1" t="s">
        <v>791</v>
      </c>
      <c r="B196" s="1" t="s">
        <v>766</v>
      </c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>
      <c r="A197" s="1" t="s">
        <v>792</v>
      </c>
      <c r="B197" s="2">
        <v>46295</v>
      </c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>
      <c r="A198" s="1" t="s">
        <v>793</v>
      </c>
      <c r="B198" s="2">
        <v>46311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>
      <c r="A199" s="1" t="s">
        <v>794</v>
      </c>
      <c r="B199" s="1" t="s">
        <v>795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>
      <c r="A200" s="1" t="s">
        <v>796</v>
      </c>
      <c r="B200" s="76">
        <v>20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>
      <c r="A201" s="1" t="s">
        <v>797</v>
      </c>
      <c r="B201" s="76">
        <v>1.39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>
      <c r="A202" s="1" t="s">
        <v>798</v>
      </c>
      <c r="B202" s="76">
        <v>1.39</v>
      </c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>
      <c r="A203" s="1" t="s">
        <v>799</v>
      </c>
      <c r="B203" s="76">
        <v>1.43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>
      <c r="A204" s="1" t="s">
        <v>800</v>
      </c>
      <c r="B204" s="76">
        <v>1.32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>
      <c r="A205" s="1" t="s">
        <v>801</v>
      </c>
      <c r="B205" s="76">
        <v>0.02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>
      <c r="A206" s="1" t="s">
        <v>802</v>
      </c>
      <c r="B206" s="76">
        <v>16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>
      <c r="A207" s="1" t="s">
        <v>803</v>
      </c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3" t="s">
        <v>790</v>
      </c>
    </row>
    <row r="208">
      <c r="A208" s="1" t="s">
        <v>804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3" t="s">
        <v>790</v>
      </c>
    </row>
    <row r="209">
      <c r="A209" s="1" t="s">
        <v>805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3" t="s">
        <v>790</v>
      </c>
    </row>
    <row r="210">
      <c r="A210" s="1" t="s">
        <v>806</v>
      </c>
      <c r="B210" s="76">
        <v>1.39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>
      <c r="A211" s="1" t="s">
        <v>807</v>
      </c>
      <c r="B211" s="76">
        <v>1.39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>
      <c r="A212" s="1" t="s">
        <v>808</v>
      </c>
      <c r="B212" s="76">
        <v>1.43</v>
      </c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>
      <c r="A213" s="1" t="s">
        <v>809</v>
      </c>
      <c r="B213" s="76">
        <v>1.32</v>
      </c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>
      <c r="A214" s="1" t="s">
        <v>810</v>
      </c>
      <c r="B214" s="76">
        <v>0.02</v>
      </c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>
      <c r="A215" s="1" t="s">
        <v>811</v>
      </c>
      <c r="B215" s="76">
        <v>18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>
      <c r="A216" s="1" t="s">
        <v>812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3" t="s">
        <v>790</v>
      </c>
    </row>
    <row r="217">
      <c r="A217" s="1" t="s">
        <v>813</v>
      </c>
      <c r="B217" s="76">
        <v>2338.25</v>
      </c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>
      <c r="A218" s="1" t="s">
        <v>814</v>
      </c>
      <c r="B218" s="76">
        <v>2338.95</v>
      </c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>
      <c r="A219" s="1" t="s">
        <v>815</v>
      </c>
      <c r="B219" s="76">
        <v>2354</v>
      </c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>
      <c r="A220" s="1" t="s">
        <v>816</v>
      </c>
      <c r="B220" s="76">
        <v>2302.9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>
      <c r="A221" s="1" t="s">
        <v>817</v>
      </c>
      <c r="B221" s="76">
        <v>13.76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>
      <c r="A222" s="1" t="s">
        <v>818</v>
      </c>
      <c r="B222" s="76">
        <v>10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>
      <c r="A223" s="1" t="s">
        <v>819</v>
      </c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3" t="s">
        <v>790</v>
      </c>
    </row>
    <row r="224">
      <c r="A224" s="1" t="s">
        <v>820</v>
      </c>
      <c r="B224" s="76">
        <v>2330.3</v>
      </c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>
      <c r="A225" s="1" t="s">
        <v>821</v>
      </c>
      <c r="B225" s="76">
        <v>2346.61</v>
      </c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>
      <c r="A226" s="1" t="s">
        <v>822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3" t="s">
        <v>790</v>
      </c>
    </row>
    <row r="227">
      <c r="A227" s="1" t="s">
        <v>823</v>
      </c>
      <c r="B227" s="76">
        <v>945.2</v>
      </c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>
      <c r="A228" s="1" t="s">
        <v>824</v>
      </c>
      <c r="B228" s="76">
        <v>800.08</v>
      </c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>
      <c r="A229" s="1" t="s">
        <v>825</v>
      </c>
      <c r="B229" s="76">
        <v>800.65</v>
      </c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>
      <c r="A230" s="1" t="s">
        <v>826</v>
      </c>
      <c r="B230" s="76">
        <v>590.88</v>
      </c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>
      <c r="A231" s="1" t="s">
        <v>827</v>
      </c>
      <c r="B231" s="76">
        <v>591.94</v>
      </c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>
      <c r="A232" s="1" t="s">
        <v>828</v>
      </c>
      <c r="B232" s="76">
        <v>3.19</v>
      </c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>
      <c r="A233" s="1" t="s">
        <v>829</v>
      </c>
      <c r="B233" s="76">
        <v>21.99</v>
      </c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>
      <c r="A234" s="1" t="s">
        <v>830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3" t="s">
        <v>790</v>
      </c>
    </row>
    <row r="235">
      <c r="A235" s="1" t="s">
        <v>831</v>
      </c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3" t="s">
        <v>790</v>
      </c>
    </row>
    <row r="236">
      <c r="A236" s="1" t="s">
        <v>832</v>
      </c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3" t="s">
        <v>790</v>
      </c>
    </row>
    <row r="237">
      <c r="A237" s="1" t="s">
        <v>833</v>
      </c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3" t="s">
        <v>790</v>
      </c>
    </row>
    <row r="238">
      <c r="A238" s="1" t="s">
        <v>834</v>
      </c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3" t="s">
        <v>790</v>
      </c>
    </row>
    <row r="239">
      <c r="A239" s="1" t="s">
        <v>835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3" t="s">
        <v>790</v>
      </c>
    </row>
    <row r="240">
      <c r="A240" s="1" t="s">
        <v>836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3" t="s">
        <v>790</v>
      </c>
    </row>
    <row r="241">
      <c r="A241" s="1" t="s">
        <v>837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3" t="s">
        <v>790</v>
      </c>
    </row>
    <row r="242">
      <c r="A242" s="1" t="s">
        <v>838</v>
      </c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3" t="s">
        <v>790</v>
      </c>
    </row>
    <row r="243">
      <c r="A243" s="1" t="s">
        <v>839</v>
      </c>
      <c r="B243" s="76">
        <v>16125.17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>
      <c r="A244" s="1" t="s">
        <v>840</v>
      </c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3" t="s">
        <v>790</v>
      </c>
    </row>
    <row r="245">
      <c r="A245" s="1" t="s">
        <v>841</v>
      </c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3" t="s">
        <v>790</v>
      </c>
    </row>
    <row r="246">
      <c r="A246" s="1" t="s">
        <v>842</v>
      </c>
      <c r="B246" s="76">
        <v>78.61</v>
      </c>
      <c r="C246" s="1"/>
      <c r="D246" s="1"/>
      <c r="E246" s="1"/>
      <c r="F246" s="1"/>
      <c r="G246" s="1"/>
      <c r="H246" s="1"/>
      <c r="I246" s="1"/>
      <c r="J246" s="1"/>
      <c r="K246" s="1"/>
      <c r="L246" s="23" t="s">
        <v>843</v>
      </c>
    </row>
    <row r="247">
      <c r="A247" s="1" t="s">
        <v>844</v>
      </c>
      <c r="B247" s="76">
        <v>78</v>
      </c>
      <c r="C247" s="1"/>
      <c r="D247" s="1"/>
      <c r="E247" s="1"/>
      <c r="F247" s="1"/>
      <c r="G247" s="1"/>
      <c r="H247" s="1"/>
      <c r="I247" s="1"/>
      <c r="J247" s="1"/>
      <c r="K247" s="1"/>
      <c r="L247" s="23" t="s">
        <v>843</v>
      </c>
    </row>
    <row r="248">
      <c r="A248" s="1" t="s">
        <v>845</v>
      </c>
      <c r="B248" s="76">
        <v>89</v>
      </c>
      <c r="C248" s="1"/>
      <c r="D248" s="1"/>
      <c r="E248" s="1"/>
      <c r="F248" s="1"/>
      <c r="G248" s="1"/>
      <c r="H248" s="1"/>
      <c r="I248" s="1"/>
      <c r="J248" s="1"/>
      <c r="K248" s="1"/>
      <c r="L248" s="23" t="s">
        <v>843</v>
      </c>
    </row>
    <row r="249">
      <c r="A249" s="1" t="s">
        <v>846</v>
      </c>
      <c r="B249" s="76">
        <v>70</v>
      </c>
      <c r="C249" s="1"/>
      <c r="D249" s="1"/>
      <c r="E249" s="1"/>
      <c r="F249" s="1"/>
      <c r="G249" s="1"/>
      <c r="H249" s="1"/>
      <c r="I249" s="1"/>
      <c r="J249" s="1"/>
      <c r="K249" s="1"/>
      <c r="L249" s="23" t="s">
        <v>843</v>
      </c>
    </row>
    <row r="250">
      <c r="A250" s="1" t="s">
        <v>847</v>
      </c>
      <c r="B250" s="76">
        <v>4.27</v>
      </c>
      <c r="C250" s="1"/>
      <c r="D250" s="1"/>
      <c r="E250" s="1"/>
      <c r="F250" s="1"/>
      <c r="G250" s="1"/>
      <c r="H250" s="1"/>
      <c r="I250" s="1"/>
      <c r="J250" s="1"/>
      <c r="K250" s="1"/>
      <c r="L250" s="23" t="s">
        <v>843</v>
      </c>
    </row>
    <row r="251">
      <c r="A251" s="1" t="s">
        <v>848</v>
      </c>
      <c r="B251" s="76">
        <v>19</v>
      </c>
      <c r="C251" s="1"/>
      <c r="D251" s="1"/>
      <c r="E251" s="1"/>
      <c r="F251" s="1"/>
      <c r="G251" s="1"/>
      <c r="H251" s="1"/>
      <c r="I251" s="1"/>
      <c r="J251" s="1"/>
      <c r="K251" s="1"/>
      <c r="L251" s="23" t="s">
        <v>843</v>
      </c>
    </row>
    <row r="252">
      <c r="A252" s="1" t="s">
        <v>849</v>
      </c>
      <c r="B252" s="1" t="s">
        <v>850</v>
      </c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>
      <c r="A253" s="1" t="s">
        <v>851</v>
      </c>
      <c r="B253" s="76">
        <v>1.55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>
      <c r="A254" s="1" t="s">
        <v>852</v>
      </c>
      <c r="B254" s="76">
        <v>63.57</v>
      </c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>
      <c r="A255" s="1" t="s">
        <v>853</v>
      </c>
      <c r="B255" s="1" t="s">
        <v>854</v>
      </c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>
      <c r="A256" s="1" t="s">
        <v>855</v>
      </c>
      <c r="B256" s="1" t="s">
        <v>775</v>
      </c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>
      <c r="A257" s="1" t="s">
        <v>856</v>
      </c>
      <c r="B257" s="1" t="s">
        <v>781</v>
      </c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>
      <c r="A258" s="1" t="s">
        <v>857</v>
      </c>
      <c r="B258" s="2">
        <v>46306</v>
      </c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>
      <c r="A259" s="1" t="s">
        <v>858</v>
      </c>
      <c r="B259" s="1" t="s">
        <v>859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>
      <c r="A261" s="8" t="s">
        <v>860</v>
      </c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>
      <c r="A262" s="102" t="s">
        <v>861</v>
      </c>
      <c r="B262" s="7" t="s">
        <v>862</v>
      </c>
      <c r="C262" s="7" t="s">
        <v>863</v>
      </c>
      <c r="D262" s="7" t="s">
        <v>864</v>
      </c>
      <c r="E262" s="7" t="s">
        <v>865</v>
      </c>
      <c r="F262" s="7" t="s">
        <v>866</v>
      </c>
      <c r="G262" s="7" t="s">
        <v>867</v>
      </c>
      <c r="H262" s="7" t="s">
        <v>868</v>
      </c>
      <c r="I262" s="7" t="s">
        <v>869</v>
      </c>
      <c r="J262" s="7" t="s">
        <v>870</v>
      </c>
      <c r="K262" s="7" t="s">
        <v>871</v>
      </c>
      <c r="L262" s="1"/>
    </row>
    <row r="263">
      <c r="A263" s="2">
        <v>45747</v>
      </c>
      <c r="B263" s="78">
        <v>45763</v>
      </c>
      <c r="C263" s="58">
        <v>0.75</v>
      </c>
      <c r="D263" s="58">
        <v>0.77</v>
      </c>
      <c r="E263" s="58">
        <v>0.75</v>
      </c>
      <c r="F263" s="58">
        <v>0.77</v>
      </c>
      <c r="G263" s="25">
        <v>1936.33</v>
      </c>
      <c r="H263" s="25">
        <v>1935</v>
      </c>
      <c r="I263" s="36">
        <f>IF(AND(ISNUMBER(C263),ISNUMBER(D263)),D263-C263,"n/a")</f>
        <v>0.020000000000000018</v>
      </c>
      <c r="J263" s="79">
        <f>IF(AND(ISNUMBER(C263),ISNUMBER(D263)),IF(D263&gt;C263,1,0),"n/a")</f>
        <v>1</v>
      </c>
      <c r="K263" s="14">
        <f>H263-G263</f>
        <v>-1.3299999999999272</v>
      </c>
      <c r="L263" s="23" t="s">
        <v>872</v>
      </c>
    </row>
    <row r="264">
      <c r="A264" s="2">
        <v>45838</v>
      </c>
      <c r="B264" s="78">
        <v>45855</v>
      </c>
      <c r="C264" s="58">
        <v>0.88</v>
      </c>
      <c r="D264" s="58">
        <v>0.92</v>
      </c>
      <c r="E264" s="58">
        <v>0.88</v>
      </c>
      <c r="F264" s="58">
        <v>0.92</v>
      </c>
      <c r="G264" s="25">
        <v>2010.24</v>
      </c>
      <c r="H264" s="25">
        <v>2037</v>
      </c>
      <c r="I264" s="36">
        <f>IF(AND(ISNUMBER(C264),ISNUMBER(D264)),D264-C264,"n/a")</f>
        <v>0.040000000000000036</v>
      </c>
      <c r="J264" s="79">
        <f>IF(AND(ISNUMBER(C264),ISNUMBER(D264)),IF(D264&gt;C264,1,0),"n/a")</f>
        <v>1</v>
      </c>
      <c r="K264" s="14">
        <f>H264-G264</f>
        <v>26.75999999999999</v>
      </c>
      <c r="L264" s="23" t="s">
        <v>873</v>
      </c>
    </row>
    <row r="265">
      <c r="A265" s="2">
        <v>45930</v>
      </c>
      <c r="B265" s="78">
        <v>45945</v>
      </c>
      <c r="C265" s="58">
        <v>1.03</v>
      </c>
      <c r="D265" s="58">
        <v>1.05</v>
      </c>
      <c r="E265" s="58">
        <v>1.03</v>
      </c>
      <c r="F265" s="58">
        <v>1.05</v>
      </c>
      <c r="G265" s="25">
        <v>2100.67</v>
      </c>
      <c r="H265" s="25">
        <v>2118</v>
      </c>
      <c r="I265" s="36">
        <f>IF(AND(ISNUMBER(C265),ISNUMBER(D265)),D265-C265,"n/a")</f>
        <v>0.020000000000000018</v>
      </c>
      <c r="J265" s="79">
        <f>IF(AND(ISNUMBER(C265),ISNUMBER(D265)),IF(D265&gt;C265,1,0),"n/a")</f>
        <v>1</v>
      </c>
      <c r="K265" s="14">
        <f>H265-G265</f>
        <v>17.329999999999927</v>
      </c>
      <c r="L265" s="23" t="s">
        <v>605</v>
      </c>
    </row>
    <row r="266">
      <c r="A266" s="2">
        <v>46022</v>
      </c>
      <c r="B266" s="78">
        <v>46043</v>
      </c>
      <c r="C266" s="58">
        <v>1.11</v>
      </c>
      <c r="D266" s="58">
        <v>1.13</v>
      </c>
      <c r="E266" s="58">
        <v>1.1</v>
      </c>
      <c r="F266" s="58">
        <v>1.13</v>
      </c>
      <c r="G266" s="25">
        <v>2146.32</v>
      </c>
      <c r="H266" s="25">
        <v>2157</v>
      </c>
      <c r="I266" s="36">
        <f>IF(AND(ISNUMBER(C266),ISNUMBER(D266)),D266-C266,"n/a")</f>
        <v>0.019999999999999796</v>
      </c>
      <c r="J266" s="79">
        <f>IF(AND(ISNUMBER(C266),ISNUMBER(D266)),IF(D266&gt;C266,1,0),"n/a")</f>
        <v>1</v>
      </c>
      <c r="K266" s="14">
        <f>H266-G266</f>
        <v>10.679999999999836</v>
      </c>
      <c r="L266" s="23" t="s">
        <v>615</v>
      </c>
    </row>
    <row r="267">
      <c r="A267" s="2">
        <v>46112</v>
      </c>
      <c r="B267" s="78">
        <v>46128</v>
      </c>
      <c r="C267" s="58">
        <v>1.09</v>
      </c>
      <c r="D267" s="58">
        <v>1.13</v>
      </c>
      <c r="E267" s="58">
        <v>1.09</v>
      </c>
      <c r="F267" s="58">
        <v>1.13</v>
      </c>
      <c r="G267" s="25">
        <v>2159.11</v>
      </c>
      <c r="H267" s="25">
        <v>2168</v>
      </c>
      <c r="I267" s="36">
        <f>IF(AND(ISNUMBER(C267),ISNUMBER(D267)),D267-C267,"n/a")</f>
        <v>0.039999999999999813</v>
      </c>
      <c r="J267" s="79">
        <f>IF(AND(ISNUMBER(C267),ISNUMBER(D267)),IF(D267&gt;C267,1,0),"n/a")</f>
        <v>1</v>
      </c>
      <c r="K267" s="14">
        <f>H267-G267</f>
        <v>8.889999999999873</v>
      </c>
      <c r="L267" s="23" t="s">
        <v>621</v>
      </c>
    </row>
    <row r="268">
      <c r="A268" s="2">
        <v>46203</v>
      </c>
      <c r="B268" s="78">
        <v>46219</v>
      </c>
      <c r="C268" s="58">
        <v>1.25</v>
      </c>
      <c r="D268" s="58">
        <v>1.3</v>
      </c>
      <c r="E268" s="58">
        <v>1.24</v>
      </c>
      <c r="F268" s="58">
        <v>1.3</v>
      </c>
      <c r="G268" s="25">
        <v>2247.04</v>
      </c>
      <c r="H268" s="25">
        <v>2283</v>
      </c>
      <c r="I268" s="36">
        <f>IF(AND(ISNUMBER(C268),ISNUMBER(D268)),D268-C268,"n/a")</f>
        <v>0.050000000000000044</v>
      </c>
      <c r="J268" s="79">
        <f>IF(AND(ISNUMBER(C268),ISNUMBER(D268)),IF(D268&gt;C268,1,0),"n/a")</f>
        <v>1</v>
      </c>
      <c r="K268" s="14">
        <f>H268-G268</f>
        <v>35.960000000000036</v>
      </c>
      <c r="L268" s="23" t="s">
        <v>627</v>
      </c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>
      <c r="A270" s="8" t="s">
        <v>874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>
      <c r="A271" s="1" t="s">
        <v>875</v>
      </c>
      <c r="B271" s="76">
        <v>26.77</v>
      </c>
      <c r="C271" s="1"/>
      <c r="D271" s="1"/>
      <c r="E271" s="1"/>
      <c r="F271" s="1"/>
      <c r="G271" s="1"/>
      <c r="H271" s="1"/>
      <c r="I271" s="1"/>
      <c r="J271" s="1"/>
      <c r="K271" s="1"/>
      <c r="L271" s="23" t="s">
        <v>876</v>
      </c>
    </row>
    <row r="272">
      <c r="A272" s="1" t="s">
        <v>877</v>
      </c>
      <c r="B272" s="2">
        <v>46304</v>
      </c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>
      <c r="A273" s="1" t="s">
        <v>878</v>
      </c>
      <c r="B273" s="77" t="str">
        <f>B194</f>
        <v>Y</v>
      </c>
      <c r="C273" s="1"/>
      <c r="D273" s="1"/>
      <c r="E273" s="1"/>
      <c r="F273" s="1"/>
      <c r="G273" s="1"/>
      <c r="H273" s="1"/>
      <c r="I273" s="1"/>
      <c r="J273" s="1"/>
      <c r="K273" s="1"/>
      <c r="L273" s="88" t="s">
        <v>879</v>
      </c>
    </row>
    <row r="274">
      <c r="A274" s="1" t="s">
        <v>880</v>
      </c>
      <c r="B274" s="76">
        <v>10</v>
      </c>
      <c r="C274" s="1"/>
      <c r="D274" s="1"/>
      <c r="E274" s="1"/>
      <c r="F274" s="1"/>
      <c r="G274" s="1"/>
      <c r="H274" s="1"/>
      <c r="I274" s="1"/>
      <c r="J274" s="1"/>
      <c r="K274" s="1"/>
      <c r="L274" s="23" t="s">
        <v>881</v>
      </c>
    </row>
    <row r="275">
      <c r="A275" s="1" t="s">
        <v>882</v>
      </c>
      <c r="B275" s="76">
        <v>2</v>
      </c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>
      <c r="A276" s="1" t="s">
        <v>883</v>
      </c>
      <c r="B276" s="77" t="str">
        <f>IF(B271&gt;B274,"large",IF(B271&gt;=B275,"mid","small"))</f>
        <v>large</v>
      </c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>
      <c r="A277" s="1" t="s">
        <v>884</v>
      </c>
      <c r="B277" s="48">
        <v>0.78</v>
      </c>
      <c r="C277" s="1"/>
      <c r="D277" s="1"/>
      <c r="E277" s="1"/>
      <c r="F277" s="1"/>
      <c r="G277" s="1"/>
      <c r="H277" s="1"/>
      <c r="I277" s="1"/>
      <c r="J277" s="1"/>
      <c r="K277" s="1"/>
      <c r="L277" s="88" t="s">
        <v>885</v>
      </c>
    </row>
    <row r="278">
      <c r="A278" s="1" t="s">
        <v>886</v>
      </c>
      <c r="B278" s="48">
        <v>0.7</v>
      </c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>
      <c r="A279" s="1" t="s">
        <v>887</v>
      </c>
      <c r="B279" s="48">
        <v>0.6</v>
      </c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>
      <c r="A280" s="1" t="s">
        <v>888</v>
      </c>
      <c r="B280" s="17">
        <f>IF(OR(B273="Y",B276="large"),B277,IF(B276="mid",B278,B279))</f>
        <v>0.78</v>
      </c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>
      <c r="A281" s="1" t="s">
        <v>889</v>
      </c>
      <c r="B281" s="85">
        <v>8</v>
      </c>
      <c r="C281" s="1"/>
      <c r="D281" s="1"/>
      <c r="E281" s="1"/>
      <c r="F281" s="1"/>
      <c r="G281" s="1"/>
      <c r="H281" s="1"/>
      <c r="I281" s="1"/>
      <c r="J281" s="1"/>
      <c r="K281" s="1"/>
      <c r="L281" s="88" t="s">
        <v>890</v>
      </c>
    </row>
    <row r="282">
      <c r="A282" s="1" t="s">
        <v>891</v>
      </c>
      <c r="B282" s="79">
        <f>SUM(J263:J268)</f>
        <v>6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>
      <c r="A283" s="1" t="s">
        <v>892</v>
      </c>
      <c r="B283" s="79">
        <f>COUNT(J263:J268)</f>
        <v>6</v>
      </c>
      <c r="C283" s="1"/>
      <c r="D283" s="1"/>
      <c r="E283" s="1"/>
      <c r="F283" s="1"/>
      <c r="G283" s="1"/>
      <c r="H283" s="1"/>
      <c r="I283" s="1"/>
      <c r="J283" s="1"/>
      <c r="K283" s="1"/>
      <c r="L283" s="88" t="s">
        <v>893</v>
      </c>
    </row>
    <row r="284">
      <c r="A284" s="8" t="s">
        <v>894</v>
      </c>
      <c r="B284" s="82">
        <f>(B281*B280+B282)/(B281+B283)</f>
        <v>0.8742857142857143</v>
      </c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>
      <c r="A285" s="1" t="s">
        <v>895</v>
      </c>
      <c r="B285" s="36">
        <f>AVERAGE(I263:I268)</f>
        <v>0.03166666666666662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>
      <c r="A286" s="1" t="s">
        <v>896</v>
      </c>
      <c r="B286" s="36">
        <f>MIN(I263:I268)</f>
        <v>0.019999999999999796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>
      <c r="A287" s="1" t="s">
        <v>897</v>
      </c>
      <c r="B287" s="18">
        <f>'Income Statement'!G100-B201</f>
        <v>-0.009526696509902344</v>
      </c>
      <c r="C287" s="1"/>
      <c r="D287" s="1"/>
      <c r="E287" s="1"/>
      <c r="F287" s="1"/>
      <c r="G287" s="1"/>
      <c r="H287" s="1"/>
      <c r="I287" s="1"/>
      <c r="J287" s="1"/>
      <c r="K287" s="1"/>
      <c r="L287" s="23" t="s">
        <v>898</v>
      </c>
    </row>
    <row r="288">
      <c r="A288" s="1" t="s">
        <v>899</v>
      </c>
      <c r="B288" s="48">
        <v>-0.22</v>
      </c>
      <c r="C288" s="1"/>
      <c r="D288" s="1"/>
      <c r="E288" s="1"/>
      <c r="F288" s="1"/>
      <c r="G288" s="1"/>
      <c r="H288" s="1"/>
      <c r="I288" s="1"/>
      <c r="J288" s="1"/>
      <c r="K288" s="1"/>
      <c r="L288" s="23" t="s">
        <v>900</v>
      </c>
    </row>
    <row r="289">
      <c r="A289" s="8" t="s">
        <v>901</v>
      </c>
      <c r="B289" s="81">
        <f>MAX(0,MIN(1,B284+B288))</f>
        <v>0.6542857142857144</v>
      </c>
      <c r="C289" s="1"/>
      <c r="D289" s="1"/>
      <c r="E289" s="1"/>
      <c r="F289" s="1"/>
      <c r="G289" s="1"/>
      <c r="H289" s="1"/>
      <c r="I289" s="1"/>
      <c r="J289" s="1"/>
      <c r="K289" s="1"/>
      <c r="L289" s="1" t="s">
        <v>902</v>
      </c>
    </row>
    <row r="290">
      <c r="A290" s="1" t="s">
        <v>43</v>
      </c>
      <c r="B290" s="135" t="s">
        <v>903</v>
      </c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>
      <c r="A292" s="8" t="s">
        <v>61</v>
      </c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>
      <c r="A293" s="1" t="s">
        <v>62</v>
      </c>
      <c r="B293" s="58">
        <v>1.39</v>
      </c>
      <c r="C293" s="25">
        <v>2339.4</v>
      </c>
      <c r="D293" s="1"/>
      <c r="E293" s="1"/>
      <c r="F293" s="1"/>
      <c r="G293" s="1"/>
      <c r="H293" s="1"/>
      <c r="I293" s="1"/>
      <c r="J293" s="1"/>
      <c r="K293" s="1"/>
      <c r="L293" s="23" t="s">
        <v>904</v>
      </c>
    </row>
    <row r="294">
      <c r="A294" s="1" t="s">
        <v>64</v>
      </c>
      <c r="B294" s="58">
        <v>1.38</v>
      </c>
      <c r="C294" s="25">
        <v>2320</v>
      </c>
      <c r="D294" s="1"/>
      <c r="E294" s="1"/>
      <c r="F294" s="1"/>
      <c r="G294" s="1"/>
      <c r="H294" s="1"/>
      <c r="I294" s="1"/>
      <c r="J294" s="1"/>
      <c r="K294" s="1"/>
      <c r="L294" s="23" t="s">
        <v>905</v>
      </c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F44"/>
  <sheetViews>
    <sheetView showGridLines="0" workbookViewId="0"/>
  </sheetViews>
  <sheetFormatPr defaultColWidth="8.42578125" defaultRowHeight="15"/>
  <cols>
    <col min="1" max="1" width="14" customWidth="1"/>
    <col min="2" max="2" width="12" customWidth="1"/>
    <col min="3" max="3" width="30" customWidth="1"/>
    <col min="4" max="4" width="60" customWidth="1"/>
    <col min="5" max="5" width="45" customWidth="1"/>
    <col min="6" max="6" width="22" customWidth="1"/>
  </cols>
  <sheetData>
    <row r="1">
      <c r="A1" s="11" t="s">
        <v>0</v>
      </c>
      <c r="B1" s="1"/>
      <c r="C1" s="1"/>
      <c r="D1" s="1"/>
      <c r="E1" s="1"/>
      <c r="F1" s="1"/>
    </row>
    <row r="2">
      <c r="A2" s="8" t="s">
        <v>906</v>
      </c>
      <c r="B2" s="1"/>
      <c r="C2" s="1"/>
      <c r="D2" s="1"/>
      <c r="E2" s="1"/>
      <c r="F2" s="1"/>
    </row>
    <row r="3">
      <c r="A3" s="3" t="s">
        <v>2</v>
      </c>
      <c r="B3" s="1"/>
      <c r="C3" s="1"/>
      <c r="D3" s="1"/>
      <c r="E3" s="1"/>
      <c r="F3" s="1"/>
    </row>
    <row r="4">
      <c r="A4" s="5" t="s">
        <v>3</v>
      </c>
      <c r="B4" s="9" t="s">
        <v>4</v>
      </c>
      <c r="C4" s="5"/>
      <c r="D4" s="5"/>
      <c r="E4" s="5"/>
      <c r="F4" s="5"/>
    </row>
    <row r="5">
      <c r="A5" s="10" t="s">
        <v>6</v>
      </c>
      <c r="B5" s="4">
        <v>46295</v>
      </c>
      <c r="C5" s="10"/>
      <c r="D5" s="10"/>
      <c r="E5" s="10"/>
      <c r="F5" s="10"/>
    </row>
    <row r="6">
      <c r="A6" s="6" t="s">
        <v>7</v>
      </c>
      <c r="B6" s="12">
        <f>B5-EOMONTH(B5,-3)</f>
        <v>92</v>
      </c>
      <c r="C6" s="6"/>
      <c r="D6" s="6"/>
      <c r="E6" s="6"/>
      <c r="F6" s="6"/>
    </row>
    <row r="7">
      <c r="A7" s="136" t="s">
        <v>907</v>
      </c>
      <c r="B7" s="1"/>
      <c r="C7" s="1"/>
      <c r="D7" s="1"/>
      <c r="E7" s="1"/>
      <c r="F7" s="1"/>
    </row>
    <row r="8">
      <c r="A8" s="13" t="s">
        <v>908</v>
      </c>
      <c r="B8" s="7" t="s">
        <v>909</v>
      </c>
      <c r="C8" s="94" t="s">
        <v>910</v>
      </c>
      <c r="D8" s="94" t="s">
        <v>911</v>
      </c>
      <c r="E8" s="94" t="s">
        <v>912</v>
      </c>
      <c r="F8" s="7" t="s">
        <v>913</v>
      </c>
    </row>
    <row r="9">
      <c r="A9" s="1" t="s">
        <v>914</v>
      </c>
      <c r="B9" s="2">
        <v>46306</v>
      </c>
      <c r="C9" s="1" t="s">
        <v>762</v>
      </c>
      <c r="D9" s="1" t="s">
        <v>915</v>
      </c>
      <c r="E9" s="1" t="s">
        <v>916</v>
      </c>
      <c r="F9" s="95" t="s">
        <v>917</v>
      </c>
    </row>
    <row r="10">
      <c r="A10" s="1" t="s">
        <v>918</v>
      </c>
      <c r="B10" s="2">
        <v>46306</v>
      </c>
      <c r="C10" s="1" t="s">
        <v>762</v>
      </c>
      <c r="D10" s="1" t="s">
        <v>919</v>
      </c>
      <c r="E10" s="1" t="s">
        <v>920</v>
      </c>
      <c r="F10" s="95" t="s">
        <v>917</v>
      </c>
    </row>
    <row r="11" ht="27">
      <c r="A11" s="1" t="s">
        <v>921</v>
      </c>
      <c r="B11" s="2">
        <v>46219</v>
      </c>
      <c r="C11" s="93" t="s">
        <v>922</v>
      </c>
      <c r="D11" s="93" t="s">
        <v>923</v>
      </c>
      <c r="E11" s="93" t="s">
        <v>924</v>
      </c>
      <c r="F11" s="2">
        <v>46307</v>
      </c>
    </row>
    <row r="12" ht="27">
      <c r="A12" s="1" t="s">
        <v>925</v>
      </c>
      <c r="B12" s="2">
        <v>46219</v>
      </c>
      <c r="C12" s="93" t="s">
        <v>922</v>
      </c>
      <c r="D12" s="93" t="s">
        <v>926</v>
      </c>
      <c r="E12" s="93" t="s">
        <v>927</v>
      </c>
      <c r="F12" s="2">
        <v>46307</v>
      </c>
    </row>
    <row r="13" ht="27">
      <c r="A13" s="1" t="s">
        <v>633</v>
      </c>
      <c r="B13" s="2">
        <v>46219</v>
      </c>
      <c r="C13" s="93" t="s">
        <v>922</v>
      </c>
      <c r="D13" s="93" t="s">
        <v>928</v>
      </c>
      <c r="E13" s="93" t="s">
        <v>929</v>
      </c>
      <c r="F13" s="2">
        <v>46307</v>
      </c>
    </row>
    <row r="14" ht="27">
      <c r="A14" s="1" t="s">
        <v>930</v>
      </c>
      <c r="B14" s="2">
        <v>46219</v>
      </c>
      <c r="C14" s="93" t="s">
        <v>931</v>
      </c>
      <c r="D14" s="93" t="s">
        <v>932</v>
      </c>
      <c r="E14" s="93" t="s">
        <v>933</v>
      </c>
      <c r="F14" s="2">
        <v>46307</v>
      </c>
    </row>
    <row r="15" ht="27">
      <c r="A15" s="1" t="s">
        <v>934</v>
      </c>
      <c r="B15" s="2">
        <v>46128</v>
      </c>
      <c r="C15" s="93" t="s">
        <v>922</v>
      </c>
      <c r="D15" s="93" t="s">
        <v>935</v>
      </c>
      <c r="E15" s="93" t="s">
        <v>936</v>
      </c>
      <c r="F15" s="2">
        <v>46307</v>
      </c>
    </row>
    <row r="16" ht="27">
      <c r="A16" s="1" t="s">
        <v>937</v>
      </c>
      <c r="B16" s="2">
        <v>46043</v>
      </c>
      <c r="C16" s="93" t="s">
        <v>922</v>
      </c>
      <c r="D16" s="93" t="s">
        <v>938</v>
      </c>
      <c r="E16" s="93" t="s">
        <v>939</v>
      </c>
      <c r="F16" s="2">
        <v>46307</v>
      </c>
    </row>
    <row r="17" ht="27">
      <c r="A17" s="1" t="s">
        <v>620</v>
      </c>
      <c r="B17" s="2">
        <v>46043</v>
      </c>
      <c r="C17" s="93" t="s">
        <v>922</v>
      </c>
      <c r="D17" s="93" t="s">
        <v>940</v>
      </c>
      <c r="E17" s="93" t="s">
        <v>941</v>
      </c>
      <c r="F17" s="2">
        <v>46307</v>
      </c>
    </row>
    <row r="18" ht="27">
      <c r="A18" s="1" t="s">
        <v>942</v>
      </c>
      <c r="B18" s="2">
        <v>45945</v>
      </c>
      <c r="C18" s="93" t="s">
        <v>922</v>
      </c>
      <c r="D18" s="93" t="s">
        <v>943</v>
      </c>
      <c r="E18" s="93" t="s">
        <v>944</v>
      </c>
      <c r="F18" s="2">
        <v>46307</v>
      </c>
    </row>
    <row r="19" ht="27">
      <c r="A19" s="1" t="s">
        <v>945</v>
      </c>
      <c r="B19" s="2">
        <v>46237</v>
      </c>
      <c r="C19" s="93" t="s">
        <v>946</v>
      </c>
      <c r="D19" s="93" t="s">
        <v>947</v>
      </c>
      <c r="E19" s="93" t="s">
        <v>948</v>
      </c>
      <c r="F19" s="2">
        <v>46307</v>
      </c>
    </row>
    <row r="20" ht="27">
      <c r="A20" s="1" t="s">
        <v>949</v>
      </c>
      <c r="B20" s="2">
        <v>46143</v>
      </c>
      <c r="C20" s="93" t="s">
        <v>946</v>
      </c>
      <c r="D20" s="93" t="s">
        <v>950</v>
      </c>
      <c r="E20" s="93" t="s">
        <v>951</v>
      </c>
      <c r="F20" s="2">
        <v>46307</v>
      </c>
    </row>
    <row r="21" ht="27">
      <c r="A21" s="1" t="s">
        <v>952</v>
      </c>
      <c r="B21" s="2">
        <v>45964</v>
      </c>
      <c r="C21" s="93" t="s">
        <v>946</v>
      </c>
      <c r="D21" s="93" t="s">
        <v>953</v>
      </c>
      <c r="E21" s="93" t="s">
        <v>954</v>
      </c>
      <c r="F21" s="2">
        <v>46307</v>
      </c>
    </row>
    <row r="22" ht="27">
      <c r="A22" s="1" t="s">
        <v>955</v>
      </c>
      <c r="B22" s="2">
        <v>46065</v>
      </c>
      <c r="C22" s="93" t="s">
        <v>956</v>
      </c>
      <c r="D22" s="93" t="s">
        <v>957</v>
      </c>
      <c r="E22" s="93" t="s">
        <v>958</v>
      </c>
      <c r="F22" s="2">
        <v>46307</v>
      </c>
    </row>
    <row r="23" ht="27">
      <c r="A23" s="1" t="s">
        <v>626</v>
      </c>
      <c r="B23" s="2">
        <v>46128</v>
      </c>
      <c r="C23" s="93" t="s">
        <v>931</v>
      </c>
      <c r="D23" s="93" t="s">
        <v>959</v>
      </c>
      <c r="E23" s="93" t="s">
        <v>960</v>
      </c>
      <c r="F23" s="2">
        <v>46307</v>
      </c>
    </row>
    <row r="24" ht="27">
      <c r="A24" s="1" t="s">
        <v>642</v>
      </c>
      <c r="B24" s="2">
        <v>46044</v>
      </c>
      <c r="C24" s="93" t="s">
        <v>961</v>
      </c>
      <c r="D24" s="93" t="s">
        <v>962</v>
      </c>
      <c r="E24" s="93" t="s">
        <v>963</v>
      </c>
      <c r="F24" s="2">
        <v>46307</v>
      </c>
    </row>
    <row r="25" ht="27">
      <c r="A25" s="1" t="s">
        <v>614</v>
      </c>
      <c r="B25" s="2">
        <v>45945</v>
      </c>
      <c r="C25" s="93" t="s">
        <v>964</v>
      </c>
      <c r="D25" s="93" t="s">
        <v>965</v>
      </c>
      <c r="E25" s="93" t="s">
        <v>966</v>
      </c>
      <c r="F25" s="2">
        <v>46307</v>
      </c>
    </row>
    <row r="26" ht="27">
      <c r="A26" s="1" t="s">
        <v>604</v>
      </c>
      <c r="B26" s="2">
        <v>45857</v>
      </c>
      <c r="C26" s="93" t="s">
        <v>961</v>
      </c>
      <c r="D26" s="93" t="s">
        <v>967</v>
      </c>
      <c r="E26" s="93" t="s">
        <v>968</v>
      </c>
      <c r="F26" s="2">
        <v>46307</v>
      </c>
    </row>
    <row r="27" ht="38.25">
      <c r="A27" s="1" t="s">
        <v>969</v>
      </c>
      <c r="B27" s="2">
        <v>46279</v>
      </c>
      <c r="C27" s="93" t="s">
        <v>970</v>
      </c>
      <c r="D27" s="93" t="s">
        <v>971</v>
      </c>
      <c r="E27" s="93" t="s">
        <v>972</v>
      </c>
      <c r="F27" s="2">
        <v>46307</v>
      </c>
    </row>
    <row r="28" ht="27">
      <c r="A28" s="1" t="s">
        <v>973</v>
      </c>
      <c r="B28" s="2">
        <v>46232</v>
      </c>
      <c r="C28" s="93" t="s">
        <v>974</v>
      </c>
      <c r="D28" s="93" t="s">
        <v>975</v>
      </c>
      <c r="E28" s="93" t="s">
        <v>976</v>
      </c>
      <c r="F28" s="2">
        <v>46307</v>
      </c>
    </row>
    <row r="29" ht="27">
      <c r="A29" s="1" t="s">
        <v>977</v>
      </c>
      <c r="B29" s="2">
        <v>46281</v>
      </c>
      <c r="C29" s="93" t="s">
        <v>974</v>
      </c>
      <c r="D29" s="93" t="s">
        <v>978</v>
      </c>
      <c r="E29" s="93" t="s">
        <v>979</v>
      </c>
      <c r="F29" s="2">
        <v>46307</v>
      </c>
    </row>
    <row r="30" ht="27">
      <c r="A30" s="1" t="s">
        <v>980</v>
      </c>
      <c r="B30" s="2">
        <v>46266</v>
      </c>
      <c r="C30" s="93" t="s">
        <v>981</v>
      </c>
      <c r="D30" s="93" t="s">
        <v>982</v>
      </c>
      <c r="E30" s="93" t="s">
        <v>983</v>
      </c>
      <c r="F30" s="2">
        <v>46307</v>
      </c>
    </row>
    <row r="31">
      <c r="A31" s="1" t="s">
        <v>984</v>
      </c>
      <c r="B31" s="2">
        <v>46304</v>
      </c>
      <c r="C31" s="93" t="s">
        <v>985</v>
      </c>
      <c r="D31" s="93" t="s">
        <v>986</v>
      </c>
      <c r="E31" s="93" t="s">
        <v>987</v>
      </c>
      <c r="F31" s="2">
        <v>46307</v>
      </c>
    </row>
    <row r="32">
      <c r="A32" s="1" t="s">
        <v>988</v>
      </c>
      <c r="B32" s="2">
        <v>46303</v>
      </c>
      <c r="C32" s="93" t="s">
        <v>989</v>
      </c>
      <c r="D32" s="93" t="s">
        <v>990</v>
      </c>
      <c r="E32" s="93" t="s">
        <v>991</v>
      </c>
      <c r="F32" s="2">
        <v>46307</v>
      </c>
    </row>
    <row r="33" ht="38.25">
      <c r="A33" s="1" t="s">
        <v>992</v>
      </c>
      <c r="B33" s="2">
        <v>46304</v>
      </c>
      <c r="C33" s="93" t="s">
        <v>993</v>
      </c>
      <c r="D33" s="93" t="s">
        <v>994</v>
      </c>
      <c r="E33" s="93" t="s">
        <v>995</v>
      </c>
      <c r="F33" s="2">
        <v>46307</v>
      </c>
    </row>
    <row r="34" ht="27">
      <c r="A34" s="1" t="s">
        <v>996</v>
      </c>
      <c r="B34" s="2">
        <v>46297</v>
      </c>
      <c r="C34" s="93" t="s">
        <v>997</v>
      </c>
      <c r="D34" s="93" t="s">
        <v>998</v>
      </c>
      <c r="E34" s="93" t="s">
        <v>999</v>
      </c>
      <c r="F34" s="2">
        <v>46307</v>
      </c>
    </row>
    <row r="35">
      <c r="A35" s="1" t="s">
        <v>1000</v>
      </c>
      <c r="B35" s="2">
        <v>46304</v>
      </c>
      <c r="C35" s="93" t="s">
        <v>1001</v>
      </c>
      <c r="D35" s="93" t="s">
        <v>1002</v>
      </c>
      <c r="E35" s="93" t="s">
        <v>1003</v>
      </c>
      <c r="F35" s="2">
        <v>46307</v>
      </c>
    </row>
    <row r="36" ht="27">
      <c r="A36" s="1" t="s">
        <v>1004</v>
      </c>
      <c r="B36" s="2">
        <v>46275</v>
      </c>
      <c r="C36" s="93" t="s">
        <v>981</v>
      </c>
      <c r="D36" s="93" t="s">
        <v>1005</v>
      </c>
      <c r="E36" s="93" t="s">
        <v>1006</v>
      </c>
      <c r="F36" s="2">
        <v>46307</v>
      </c>
    </row>
    <row r="37">
      <c r="A37" s="1"/>
      <c r="B37" s="1"/>
      <c r="C37" s="1"/>
      <c r="D37" s="1"/>
      <c r="E37" s="1"/>
      <c r="F37" s="1"/>
    </row>
    <row r="38">
      <c r="A38" s="1" t="s">
        <v>1007</v>
      </c>
      <c r="B38" s="1"/>
      <c r="C38" s="1"/>
      <c r="D38" s="1"/>
      <c r="E38" s="1"/>
      <c r="F38" s="1"/>
    </row>
    <row r="39">
      <c r="A39" s="1" t="s">
        <v>1008</v>
      </c>
      <c r="B39" s="1"/>
      <c r="C39" s="1"/>
      <c r="D39" s="1"/>
      <c r="E39" s="1"/>
      <c r="F39" s="1"/>
    </row>
    <row r="40">
      <c r="A40" s="1" t="s">
        <v>1009</v>
      </c>
      <c r="B40" s="1"/>
      <c r="C40" s="1"/>
      <c r="D40" s="1"/>
      <c r="E40" s="1"/>
      <c r="F40" s="1"/>
    </row>
    <row r="41">
      <c r="A41" s="96" t="s">
        <v>1010</v>
      </c>
      <c r="B41" s="1"/>
      <c r="C41" s="1"/>
      <c r="D41" s="1"/>
      <c r="E41" s="1"/>
      <c r="F41" s="1"/>
    </row>
    <row r="42">
      <c r="A42" s="96" t="s">
        <v>1011</v>
      </c>
      <c r="B42" s="1"/>
      <c r="C42" s="1"/>
      <c r="D42" s="1"/>
      <c r="E42" s="1"/>
      <c r="F42" s="1"/>
    </row>
    <row r="43">
      <c r="A43" s="1"/>
      <c r="B43" s="1"/>
      <c r="C43" s="1"/>
      <c r="D43" s="1"/>
      <c r="E43" s="1"/>
      <c r="F43" s="1"/>
    </row>
    <row r="44">
      <c r="A44" s="1"/>
      <c r="B44" s="1"/>
      <c r="C44" s="1"/>
      <c r="D44" s="1"/>
      <c r="E44" s="1"/>
      <c r="F44" s="1"/>
    </row>
  </sheetData>
</worksheet>
</file>