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xl/comments10.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2"/>
    <sheet name="Segment - U.S. Stores" sheetId="3" r:id="rId3"/>
    <sheet name="Segment - Supply Chain" sheetId="4" r:id="rId4"/>
    <sheet name="Segment - International" sheetId="5" r:id="rId5"/>
    <sheet name="Income Statement" sheetId="6" r:id="rId6"/>
    <sheet name="Balance Sheet" sheetId="7" r:id="rId7"/>
    <sheet name="Cash Flow Statement" sheetId="8" r:id="rId8"/>
    <sheet name="Geo" sheetId="9" r:id="rId9"/>
    <sheet name="Share Count" sheetId="10" r:id="rId10"/>
    <sheet name="Guidance" sheetId="11" r:id="rId11"/>
    <sheet name="Inputs" sheetId="12" r:id="rId12"/>
    <sheet name="Sources" sheetId="13" r:id="rId13"/>
  </sheets>
  <calcPr calcId="0"/>
</workbook>
</file>

<file path=xl/comments1.xml><?xml version="1.0" encoding="utf-8"?>
<comments xmlns="http://schemas.openxmlformats.org/spreadsheetml/2006/main">
  <authors>
    <author>Shortcut</author>
  </authors>
  <commentList>
    <comment ref="C67" authorId="0">
      <text>
        <t>DPZ 10-Q Q1 2025 (dpz-20250323.htm) | Condensed Consolidated Statements of Income | 1,112,056</t>
      </text>
    </comment>
    <comment ref="D67" authorId="0">
      <text>
        <t>DPZ 10-Q Q2 2025 (dpz-20250615.htm) | Condensed Consolidated Statements of Income | 1,145,144</t>
      </text>
    </comment>
    <comment ref="E67" authorId="0">
      <text>
        <t>DPZ 10-Q Q3 2025 (dpz-20250907.htm) | Condensed Consolidated Statements of Income | 1,147,054</t>
      </text>
    </comment>
    <comment ref="F67" authorId="0">
      <text>
        <t>DPZ 8-K Ex.99.1 Q4 FY2025 release (dpz-ex99_1.htm, 2026-02-23) | Condensed Consolidated Statements of Income (fiscal quarter) | 1,535,740</t>
      </text>
    </comment>
    <comment ref="H67" authorId="0">
      <text>
        <t>DPZ 10-Q Q1 2026 (dpz-20260322.htm) | Condensed Consolidated Statements of Income | 1,150,594</t>
      </text>
    </comment>
    <comment ref="I67" authorId="0">
      <text>
        <t>DPZ 10-Q Q2 2026 (dpz-20260614.htm) | Condensed Consolidated Statements of Income | 1,194,427</t>
      </text>
    </comment>
  </commentList>
</comments>
</file>

<file path=xl/comments2.xml><?xml version="1.0" encoding="utf-8"?>
<comments xmlns="http://schemas.openxmlformats.org/spreadsheetml/2006/main">
  <authors>
    <author>Shortcut</author>
  </authors>
  <commentList>
    <comment ref="C10" authorId="0">
      <text>
        <t>DPZ 10-Q Q1 2025 (dpz-20250323.htm) | Store counts table | Store count at December 29, 2024 | 292</t>
      </text>
    </comment>
    <comment ref="C13" authorId="0">
      <text>
        <t>DPZ 10-Q Q1 2025 (dpz-20250323.htm) | Store counts table | 0</t>
      </text>
    </comment>
    <comment ref="D13" authorId="0">
      <text>
        <t>DPZ 10-Q Q2 2025 (dpz-20250615.htm) | Store counts table | 0</t>
      </text>
    </comment>
    <comment ref="E13" authorId="0">
      <text>
        <t>DPZ 10-Q Q3 2025 (dpz-20250907.htm) | Store counts table | 2</t>
      </text>
    </comment>
    <comment ref="F13" authorId="0">
      <text>
        <t>DPZ 8-K Ex.99.1 Q4 FY2025 release (dpz-ex99_1.htm, 2026-02-23) | Store counts table | 3</t>
      </text>
    </comment>
    <comment ref="H13" authorId="0">
      <text>
        <t>DPZ 10-Q Q1 2026 (dpz-20260322.htm) | Store counts table | 1</t>
      </text>
    </comment>
    <comment ref="I13" authorId="0">
      <text>
        <t>DPZ 10-Q Q2 2026 (dpz-20260614.htm) | Store counts table | 1</t>
      </text>
    </comment>
    <comment ref="C16" authorId="0">
      <text>
        <t>DPZ 10-Q Q1 2025 (dpz-20250323.htm) | Store counts table | 0</t>
      </text>
    </comment>
    <comment ref="D16" authorId="0">
      <text>
        <t>DPZ 10-Q Q2 2025 (dpz-20250615.htm) | Store counts table | 0</t>
      </text>
    </comment>
    <comment ref="E16" authorId="0">
      <text>
        <t>DPZ 10-Q Q3 2025 (dpz-20250907.htm) | Store counts table | 0</t>
      </text>
    </comment>
    <comment ref="F16" authorId="0">
      <text>
        <t>DPZ 8-K Ex.99.1 Q4 FY2025 release (dpz-ex99_1.htm, 2026-02-23) | Store counts table | 0</t>
      </text>
    </comment>
    <comment ref="H16" authorId="0">
      <text>
        <t>DPZ 10-Q Q1 2026 (dpz-20260322.htm) | Store counts table | (1)</t>
      </text>
    </comment>
    <comment ref="I16" authorId="0">
      <text>
        <t>DPZ 10-Q Q2 2026 (dpz-20260614.htm) | Store counts table | 0</t>
      </text>
    </comment>
    <comment ref="C19" authorId="0">
      <text>
        <t>DPZ 10-Q Q1 2025 (dpz-20250323.htm) | Store counts table | 2</t>
      </text>
    </comment>
    <comment ref="D19" authorId="0">
      <text>
        <t>DPZ 10-Q Q2 2025 (dpz-20250615.htm) | Store counts table | (36)</t>
      </text>
    </comment>
    <comment ref="E19" authorId="0">
      <text>
        <t>DPZ 10-Q Q3 2025 (dpz-20250907.htm) | Store counts table | 0</t>
      </text>
    </comment>
    <comment ref="F19" authorId="0">
      <text>
        <t>DPZ 8-K Ex.99.1 Q4 FY2025 release (dpz-ex99_1.htm, 2026-02-23) | Store counts table | (1)</t>
      </text>
    </comment>
    <comment ref="H19" authorId="0">
      <text>
        <t>DPZ 10-Q Q1 2026 (dpz-20260322.htm) | Store counts table | 0</t>
      </text>
    </comment>
    <comment ref="I19" authorId="0">
      <text>
        <t>DPZ 10-Q Q2 2026 (dpz-20260614.htm) | Store counts table | (77)</t>
      </text>
    </comment>
    <comment ref="C23" authorId="0">
      <text>
        <t>DPZ 10-Q Q1 2025 (dpz-20250323.htm) | Store counts table | 294</t>
      </text>
    </comment>
    <comment ref="D23" authorId="0">
      <text>
        <t>DPZ 10-Q Q2 2025 (dpz-20250615.htm) | Store counts table | 258</t>
      </text>
    </comment>
    <comment ref="E23" authorId="0">
      <text>
        <t>DPZ 10-Q Q3 2025 (dpz-20250907.htm) | Store counts table | 260</t>
      </text>
    </comment>
    <comment ref="F23" authorId="0">
      <text>
        <t>DPZ 8-K Ex.99.1 Q4 FY2025 release (dpz-ex99_1.htm, 2026-02-23) | Store counts table | 262</t>
      </text>
    </comment>
    <comment ref="H23" authorId="0">
      <text>
        <t>DPZ 10-Q Q1 2026 (dpz-20260322.htm) | Store counts table | 262</t>
      </text>
    </comment>
    <comment ref="I23" authorId="0">
      <text>
        <t>DPZ 10-Q Q2 2026 (dpz-20260614.htm) | Store counts table | 186</t>
      </text>
    </comment>
    <comment ref="C34" authorId="0">
      <text>
        <t>DPZ 10-Q Q1 2025 (dpz-20250323.htm) | Store counts table | Store count at December 29, 2024 | 6,722</t>
      </text>
    </comment>
    <comment ref="C37" authorId="0">
      <text>
        <t>DPZ 10-Q Q1 2025 (dpz-20250323.htm) | Store counts table | 20</t>
      </text>
    </comment>
    <comment ref="D37" authorId="0">
      <text>
        <t>DPZ 10-Q Q2 2025 (dpz-20250615.htm) | Store counts table | 33</t>
      </text>
    </comment>
    <comment ref="E37" authorId="0">
      <text>
        <t>DPZ 10-Q Q3 2025 (dpz-20250907.htm) | Store counts table | 28</t>
      </text>
    </comment>
    <comment ref="F37" authorId="0">
      <text>
        <t>DPZ 8-K Ex.99.1 Q4 FY2025 release (dpz-ex99_1.htm, 2026-02-23) | Store counts table | 93</t>
      </text>
    </comment>
    <comment ref="H37" authorId="0">
      <text>
        <t>DPZ 10-Q Q1 2026 (dpz-20260322.htm) | Store counts table | 20</t>
      </text>
    </comment>
    <comment ref="I37" authorId="0">
      <text>
        <t>DPZ 10-Q Q2 2026 (dpz-20260614.htm) | Store counts table | 26</t>
      </text>
    </comment>
    <comment ref="C40" authorId="0">
      <text>
        <t>DPZ 10-Q Q1 2025 (dpz-20250323.htm) | Store counts table | (3)</t>
      </text>
    </comment>
    <comment ref="D40" authorId="0">
      <text>
        <t>DPZ 10-Q Q2 2025 (dpz-20250615.htm) | Store counts table | (3)</t>
      </text>
    </comment>
    <comment ref="E40" authorId="0">
      <text>
        <t>DPZ 10-Q Q3 2025 (dpz-20250907.htm) | Store counts table | (1)</t>
      </text>
    </comment>
    <comment ref="F40" authorId="0">
      <text>
        <t>DPZ 8-K Ex.99.1 Q4 FY2025 release (dpz-ex99_1.htm, 2026-02-23) | Store counts table | 0</t>
      </text>
    </comment>
    <comment ref="H40" authorId="0">
      <text>
        <t>DPZ 10-Q Q1 2026 (dpz-20260322.htm) | Store counts table | (1)</t>
      </text>
    </comment>
    <comment ref="I40" authorId="0">
      <text>
        <t>DPZ 10-Q Q2 2026 (dpz-20260614.htm) | Store counts table | (1)</t>
      </text>
    </comment>
    <comment ref="C43" authorId="0">
      <text>
        <t>DPZ 10-Q Q1 2025 (dpz-20250323.htm) | Store counts table | (2)</t>
      </text>
    </comment>
    <comment ref="D43" authorId="0">
      <text>
        <t>DPZ 10-Q Q2 2025 (dpz-20250615.htm) | Store counts table | 36</t>
      </text>
    </comment>
    <comment ref="E43" authorId="0">
      <text>
        <t>DPZ 10-Q Q3 2025 (dpz-20250907.htm) | Store counts table | 0</t>
      </text>
    </comment>
    <comment ref="F43" authorId="0">
      <text>
        <t>DPZ 8-K Ex.99.1 Q4 FY2025 release (dpz-ex99_1.htm, 2026-02-23) | Store counts table | 1</t>
      </text>
    </comment>
    <comment ref="H43" authorId="0">
      <text>
        <t>DPZ 10-Q Q1 2026 (dpz-20260322.htm) | Store counts table | 0</t>
      </text>
    </comment>
    <comment ref="I43" authorId="0">
      <text>
        <t>DPZ 10-Q Q2 2026 (dpz-20260614.htm) | Store counts table | 77</t>
      </text>
    </comment>
    <comment ref="C47" authorId="0">
      <text>
        <t>DPZ 10-Q Q1 2025 (dpz-20250323.htm) | Store counts table | 6,737</t>
      </text>
    </comment>
    <comment ref="D47" authorId="0">
      <text>
        <t>DPZ 10-Q Q2 2025 (dpz-20250615.htm) | Store counts table | 6,803</t>
      </text>
    </comment>
    <comment ref="E47" authorId="0">
      <text>
        <t>DPZ 10-Q Q3 2025 (dpz-20250907.htm) | Store counts table | 6,830</t>
      </text>
    </comment>
    <comment ref="F47" authorId="0">
      <text>
        <t>DPZ 8-K Ex.99.1 Q4 FY2025 release (dpz-ex99_1.htm, 2026-02-23) | Store counts table | 6,924</t>
      </text>
    </comment>
    <comment ref="H47" authorId="0">
      <text>
        <t>DPZ 10-Q Q1 2026 (dpz-20260322.htm) | Store counts table | 6,943</t>
      </text>
    </comment>
    <comment ref="I47" authorId="0">
      <text>
        <t>DPZ 10-Q Q2 2026 (dpz-20260614.htm) | Store counts table | 7,045</t>
      </text>
    </comment>
    <comment ref="C74" authorId="0">
      <text>
        <t>DPZ 10-Q Q1 2025 (dpz-20250323.htm) | Store counts table | 157</t>
      </text>
    </comment>
    <comment ref="D74" authorId="0">
      <text>
        <t>DPZ 10-Q Q2 2025 (dpz-20250615.htm) | Store counts table | 155</t>
      </text>
    </comment>
    <comment ref="E74" authorId="0">
      <text>
        <t>DPZ 10-Q Q3 2025 (dpz-20250907.htm) | Store counts table | 160</t>
      </text>
    </comment>
    <comment ref="F74" authorId="0">
      <text>
        <t>DPZ 8-K Ex.99.1 Q4 FY2025 release (dpz-ex99_1.htm, 2026-02-23) | Store counts table | 172</t>
      </text>
    </comment>
    <comment ref="C88" authorId="0">
      <text>
        <t>DPZ 10-Q Q1 2025 (dpz-20250323.htm) | Same store sales growth (versus prior year period) | (2.9)%</t>
      </text>
    </comment>
    <comment ref="D88" authorId="0">
      <text>
        <t>DPZ 10-Q Q2 2025 (dpz-20250615.htm) | Same store sales growth (versus prior year period) | + 2.6%</t>
      </text>
    </comment>
    <comment ref="E88" authorId="0">
      <text>
        <t>DPZ 10-Q Q3 2025 (dpz-20250907.htm) | Same store sales growth (versus prior year period) | + 3.4%</t>
      </text>
    </comment>
    <comment ref="F88" authorId="0">
      <text>
        <t>DPZ 8-K Ex.99.1 Q4 FY2025 release (dpz-ex99_1.htm, 2026-02-23) | Same store sales growth (versus prior year period) | + 2.7%</t>
      </text>
    </comment>
    <comment ref="G88" authorId="0">
      <text>
        <t>DPZ 8-K Ex.99.1 Q4 FY2025 release (dpz-ex99_1.htm, 2026-02-23) | Same store sales growth (versus prior year period) | + 1.5%</t>
      </text>
    </comment>
    <comment ref="H88" authorId="0">
      <text>
        <t>DPZ 10-Q Q1 2026 (dpz-20260322.htm) | Same store sales growth (versus prior year period) | + 1.5%</t>
      </text>
    </comment>
    <comment ref="I88" authorId="0">
      <text>
        <t>DPZ 10-Q Q2 2026 (dpz-20260614.htm) | Same store sales growth (versus prior year period) | + 2.1%</t>
      </text>
    </comment>
    <comment ref="C91" authorId="0">
      <text>
        <t>DPZ 10-Q Q1 2025 (dpz-20250323.htm) | Same store sales growth (versus prior year period) | (0.4)%</t>
      </text>
    </comment>
    <comment ref="D91" authorId="0">
      <text>
        <t>DPZ 10-Q Q2 2025 (dpz-20250615.htm) | Same store sales growth (versus prior year period) | + 3.4%</t>
      </text>
    </comment>
    <comment ref="E91" authorId="0">
      <text>
        <t>DPZ 10-Q Q3 2025 (dpz-20250907.htm) | Same store sales growth (versus prior year period) | + 5.3%</t>
      </text>
    </comment>
    <comment ref="F91" authorId="0">
      <text>
        <t>DPZ 8-K Ex.99.1 Q4 FY2025 release (dpz-ex99_1.htm, 2026-02-23) | Same store sales growth (versus prior year period) | + 3.7%</t>
      </text>
    </comment>
    <comment ref="G91" authorId="0">
      <text>
        <t>DPZ 8-K Ex.99.1 Q4 FY2025 release (dpz-ex99_1.htm, 2026-02-23) | Same store sales growth (versus prior year period) | + 3.0%</t>
      </text>
    </comment>
    <comment ref="H91" authorId="0">
      <text>
        <t>DPZ 10-Q Q1 2026 (dpz-20260322.htm) | Same store sales growth (versus prior year period) | + 0.8%</t>
      </text>
    </comment>
    <comment ref="I91" authorId="0">
      <text>
        <t>DPZ 10-Q Q2 2026 (dpz-20260614.htm) | Same store sales growth (versus prior year period) | 0.0%</t>
      </text>
    </comment>
    <comment ref="C94" authorId="0">
      <text>
        <t>DPZ 10-Q Q1 2025 (dpz-20250323.htm) | Same store sales growth (versus prior year period) | (0.5)%</t>
      </text>
    </comment>
    <comment ref="D94" authorId="0">
      <text>
        <t>DPZ 10-Q Q2 2025 (dpz-20250615.htm) | Same store sales growth (versus prior year period) | + 3.4%</t>
      </text>
    </comment>
    <comment ref="E94" authorId="0">
      <text>
        <t>DPZ 10-Q Q3 2025 (dpz-20250907.htm) | Same store sales growth (versus prior year period) | + 5.2%</t>
      </text>
    </comment>
    <comment ref="F94" authorId="0">
      <text>
        <t>DPZ 8-K Ex.99.1 Q4 FY2025 release (dpz-ex99_1.htm, 2026-02-23) | Same store sales growth (versus prior year period) | + 3.7%</t>
      </text>
    </comment>
    <comment ref="G94" authorId="0">
      <text>
        <t>DPZ 8-K Ex.99.1 Q4 FY2025 release (dpz-ex99_1.htm, 2026-02-23) | Same store sales growth (versus prior year period) | + 3.0%</t>
      </text>
    </comment>
    <comment ref="H94" authorId="0">
      <text>
        <t>DPZ 10-Q Q1 2026 (dpz-20260322.htm) | Same store sales growth (versus prior year period) | + 0.9%</t>
      </text>
    </comment>
    <comment ref="I94" authorId="0">
      <text>
        <t>DPZ 10-Q Q2 2026 (dpz-20260614.htm) | Same store sales growth (versus prior year period) | + 0.1%</t>
      </text>
    </comment>
    <comment ref="C95" authorId="0">
      <text>
        <t>DPZ 10-Q Q1 2025 (dpz-20250323.htm) | Same store sales growth (versus prior year period) — prior-year column | + 5.6%</t>
      </text>
    </comment>
    <comment ref="D95" authorId="0">
      <text>
        <t>DPZ 10-Q Q2 2025 (dpz-20250615.htm) | Same store sales growth (versus prior year period) — prior-year column | + 4.8%</t>
      </text>
    </comment>
    <comment ref="E95" authorId="0">
      <text>
        <t>DPZ 10-Q Q3 2025 (dpz-20250907.htm) | Same store sales growth (versus prior year period) — prior-year column | + 3.0%</t>
      </text>
    </comment>
    <comment ref="F95" authorId="0">
      <text>
        <t>DPZ 8-K Ex.99.1 Q4 FY2025 release (dpz-ex99_1.htm, 2026-02-23) | Same store sales growth (versus prior year period) — prior-year column | + 0.4%</t>
      </text>
    </comment>
    <comment ref="C100" authorId="0">
      <text>
        <t>DPZ 10-Q Q1 2025 (dpz-20250323.htm) | Global retail sales (in millions of U.S. dollars) | 2,240.8</t>
      </text>
    </comment>
    <comment ref="D100" authorId="0">
      <text>
        <t>DPZ 10-Q Q2 2025 (dpz-20250615.htm) | Global retail sales (in millions of U.S. dollars) | 2,335.6</t>
      </text>
    </comment>
    <comment ref="E100" authorId="0">
      <text>
        <t>DPZ 10-Q Q3 2025 (dpz-20250907.htm) | Global retail sales (in millions of U.S. dollars) | 2,320.4</t>
      </text>
    </comment>
    <comment ref="F100" authorId="0">
      <text>
        <t>DPZ 8-K Ex.99.1 Q4 FY2025 release (dpz-ex99_1.htm, 2026-02-23) | Global retail sales (in millions of U.S. dollars) | 3,056.1</t>
      </text>
    </comment>
    <comment ref="H100" authorId="0">
      <text>
        <t>DPZ 10-Q Q1 2026 (dpz-20260322.htm) | Global retail sales (in millions of U.S. dollars) | 2,302.6</t>
      </text>
    </comment>
    <comment ref="I100" authorId="0">
      <text>
        <t>DPZ 10-Q Q2 2026 (dpz-20260614.htm) | Global retail sales (in millions of U.S. dollars) | 2,381.1</t>
      </text>
    </comment>
    <comment ref="C101" authorId="0">
      <text>
        <t>DPZ 10-Q Q1 2025 (dpz-20250323.htm) | Global retail sales (in millions of U.S. dollars) — prior-year column | 2,212.0</t>
      </text>
    </comment>
    <comment ref="D101" authorId="0">
      <text>
        <t>DPZ 10-Q Q2 2025 (dpz-20250615.htm) | Global retail sales (in millions of U.S. dollars) — prior-year column | 2,222.1</t>
      </text>
    </comment>
    <comment ref="E101" authorId="0">
      <text>
        <t>DPZ 10-Q Q3 2025 (dpz-20250907.htm) | Global retail sales (in millions of U.S. dollars) — prior-year column | 2,168.4</t>
      </text>
    </comment>
    <comment ref="F101" authorId="0">
      <text>
        <t>DPZ 8-K Ex.99.1 Q4 FY2025 release (dpz-ex99_1.htm, 2026-02-23) | Global retail sales (in millions of U.S. dollars) — prior-year column | 2,897.6</t>
      </text>
    </comment>
    <comment ref="C104" authorId="0">
      <text>
        <t>DPZ 10-Q Q1 2025 (dpz-20250323.htm) | Global retail sales growth (versus prior year period, excluding foreign currency impact) | + 1.3%</t>
      </text>
    </comment>
    <comment ref="D104" authorId="0">
      <text>
        <t>DPZ 10-Q Q2 2025 (dpz-20250615.htm) | Global retail sales growth (versus prior year period, excluding foreign currency impact) | + 5.1%</t>
      </text>
    </comment>
    <comment ref="E104" authorId="0">
      <text>
        <t>DPZ 10-Q Q3 2025 (dpz-20250907.htm) | Global retail sales growth (versus prior year period, excluding foreign currency impact) | + 7.0%</t>
      </text>
    </comment>
    <comment ref="F104" authorId="0">
      <text>
        <t>DPZ 8-K Ex.99.1 Q4 FY2025 release (dpz-ex99_1.htm, 2026-02-23) | Global retail sales growth (versus prior year period, excluding foreign currency impact) | + 5.5%</t>
      </text>
    </comment>
    <comment ref="G104" authorId="0">
      <text>
        <t>DPZ 8-K Ex.99.1 Q4 FY2025 release (dpz-ex99_1.htm, 2026-02-23) | Global retail sales growth (versus prior year period, excluding foreign currency impact) | + 4.8%</t>
      </text>
    </comment>
    <comment ref="H104" authorId="0">
      <text>
        <t>DPZ 10-Q Q1 2026 (dpz-20260322.htm) | Global retail sales growth (versus prior year period, excluding foreign currency impact) | + 2.8%</t>
      </text>
    </comment>
    <comment ref="I104" authorId="0">
      <text>
        <t>DPZ 10-Q Q2 2026 (dpz-20260614.htm) | Global retail sales growth (versus prior year period, excluding foreign currency impact) | + 1.9%</t>
      </text>
    </comment>
    <comment ref="C132" authorId="0">
      <text>
        <t>DPZ 10-Q Q1 2025 (dpz-20250323.htm) | Condensed Consolidated Statements of Income | $91,598</t>
      </text>
    </comment>
    <comment ref="D132" authorId="0">
      <text>
        <t>DPZ 10-Q Q2 2025 (dpz-20250615.htm) | Condensed Consolidated Statements of Income | $92,456</t>
      </text>
    </comment>
    <comment ref="E132" authorId="0">
      <text>
        <t>DPZ 10-Q Q3 2025 (dpz-20250907.htm) | Condensed Consolidated Statements of Income | $82,749</t>
      </text>
    </comment>
    <comment ref="F132" authorId="0">
      <text>
        <t>DPZ 8-K Ex.99.1 Q4 FY2025 release (dpz-ex99_1.htm, 2026-02-23) | Condensed Consolidated Statements of Income (fiscal quarter) | 108,350</t>
      </text>
    </comment>
    <comment ref="H132" authorId="0">
      <text>
        <t>DPZ 10-Q Q1 2026 (dpz-20260322.htm) | Condensed Consolidated Statements of Income | $82,098</t>
      </text>
    </comment>
    <comment ref="I132" authorId="0">
      <text>
        <t>DPZ 10-Q Q2 2026 (dpz-20260614.htm) | Condensed Consolidated Statements of Income | $81,829</t>
      </text>
    </comment>
    <comment ref="C138" authorId="0">
      <text>
        <t>DPZ 10-Q Q1 2025 (dpz-20250323.htm) | Condensed Consolidated Statements of Income | 151,000</t>
      </text>
    </comment>
    <comment ref="D138" authorId="0">
      <text>
        <t>DPZ 10-Q Q2 2025 (dpz-20250615.htm) | Condensed Consolidated Statements of Income | 156,261</t>
      </text>
    </comment>
    <comment ref="E138" authorId="0">
      <text>
        <t>DPZ 10-Q Q3 2025 (dpz-20250907.htm) | Condensed Consolidated Statements of Income | 157,155</t>
      </text>
    </comment>
    <comment ref="F138" authorId="0">
      <text>
        <t>DPZ 8-K Ex.99.1 Q4 FY2025 release (dpz-ex99_1.htm, 2026-02-23) | Condensed Consolidated Statements of Income (fiscal quarter) | 212,698</t>
      </text>
    </comment>
    <comment ref="H138" authorId="0">
      <text>
        <t>DPZ 10-Q Q1 2026 (dpz-20260322.htm) | Condensed Consolidated Statements of Income | 158,014</t>
      </text>
    </comment>
    <comment ref="I138" authorId="0">
      <text>
        <t>DPZ 10-Q Q2 2026 (dpz-20260614.htm) | Condensed Consolidated Statements of Income | 164,165</t>
      </text>
    </comment>
    <comment ref="C144" authorId="0">
      <text>
        <t>DPZ 10-Q Q1 2025 (dpz-20250323.htm) | Condensed Consolidated Statements of Income | 123,975</t>
      </text>
    </comment>
    <comment ref="D144" authorId="0">
      <text>
        <t>DPZ 10-Q Q2 2025 (dpz-20250615.htm) | Condensed Consolidated Statements of Income | 132,201</t>
      </text>
    </comment>
    <comment ref="E144" authorId="0">
      <text>
        <t>DPZ 10-Q Q3 2025 (dpz-20250907.htm) | Condensed Consolidated Statements of Income | 131,642</t>
      </text>
    </comment>
    <comment ref="F144" authorId="0">
      <text>
        <t>DPZ 8-K Ex.99.1 Q4 FY2025 release (dpz-ex99_1.htm, 2026-02-23) | Condensed Consolidated Statements of Income (fiscal quarter) | 171,676</t>
      </text>
    </comment>
    <comment ref="H144" authorId="0">
      <text>
        <t>DPZ 10-Q Q1 2026 (dpz-20260322.htm) | Condensed Consolidated Statements of Income | 130,529</t>
      </text>
    </comment>
    <comment ref="I144" authorId="0">
      <text>
        <t>DPZ 10-Q Q2 2026 (dpz-20260614.htm) | Condensed Consolidated Statements of Income | 134,903</t>
      </text>
    </comment>
    <comment ref="C157" authorId="0">
      <text>
        <t>DPZ 10-Q Q1 2025 (dpz-20250323.htm) | Condensed Consolidated Statements of Income | $92,649</t>
      </text>
    </comment>
    <comment ref="D157" authorId="0">
      <text>
        <t>DPZ 10-Q Q2 2025 (dpz-20250615.htm) | Condensed Consolidated Statements of Income | $92,264</t>
      </text>
    </comment>
    <comment ref="E157" authorId="0">
      <text>
        <t>DPZ 10-Q Q3 2025 (dpz-20250907.htm) | Condensed Consolidated Statements of Income | $89,173</t>
      </text>
    </comment>
    <comment ref="F157" authorId="0">
      <text>
        <t>DPZ 8-K Ex.99.1 Q4 FY2025 release (dpz-ex99_1.htm, 2026-02-23) | Condensed Consolidated Statements of Income (fiscal quarter) | 119,812</t>
      </text>
    </comment>
    <comment ref="C158" authorId="0">
      <text>
        <t>DPZ 10-Q Q1 2025 (dpz-20250323.htm) | Condensed Consolidated Statements of Income | 150,518</t>
      </text>
    </comment>
    <comment ref="D158" authorId="0">
      <text>
        <t>DPZ 10-Q Q2 2025 (dpz-20250615.htm) | Condensed Consolidated Statements of Income | 147,576</t>
      </text>
    </comment>
    <comment ref="E158" authorId="0">
      <text>
        <t>DPZ 10-Q Q3 2025 (dpz-20250907.htm) | Condensed Consolidated Statements of Income | 144,074</t>
      </text>
    </comment>
    <comment ref="F158" authorId="0">
      <text>
        <t>DPZ 8-K Ex.99.1 Q4 FY2025 release (dpz-ex99_1.htm, 2026-02-23) | Condensed Consolidated Statements of Income (fiscal quarter) | 196,025</t>
      </text>
    </comment>
    <comment ref="C159" authorId="0">
      <text>
        <t>DPZ 10-Q Q1 2025 (dpz-20250323.htm) | Condensed Consolidated Statements of Income | 110,300</t>
      </text>
    </comment>
    <comment ref="D159" authorId="0">
      <text>
        <t>DPZ 10-Q Q2 2025 (dpz-20250615.htm) | Condensed Consolidated Statements of Income | 124,956</t>
      </text>
    </comment>
    <comment ref="E159" authorId="0">
      <text>
        <t>DPZ 10-Q Q3 2025 (dpz-20250907.htm) | Condensed Consolidated Statements of Income | 120,925</t>
      </text>
    </comment>
    <comment ref="F159" authorId="0">
      <text>
        <t>DPZ 8-K Ex.99.1 Q4 FY2025 release (dpz-ex99_1.htm, 2026-02-23) | Condensed Consolidated Statements of Income (fiscal quarter) | 153,672</t>
      </text>
    </comment>
    <comment ref="C160" authorId="0">
      <text>
        <t>DPZ 10-Q Q1 2025 (dpz-20250323.htm) | Condensed Consolidated Statements of Income | 76,458</t>
      </text>
    </comment>
    <comment ref="D160" authorId="0">
      <text>
        <t>DPZ 10-Q Q2 2025 (dpz-20250615.htm) | Condensed Consolidated Statements of Income | 76,059</t>
      </text>
    </comment>
    <comment ref="E160" authorId="0">
      <text>
        <t>DPZ 10-Q Q3 2025 (dpz-20250907.htm) | Condensed Consolidated Statements of Income | 74,205</t>
      </text>
    </comment>
    <comment ref="F160" authorId="0">
      <text>
        <t>DPZ 8-K Ex.99.1 Q4 FY2025 release (dpz-ex99_1.htm, 2026-02-23) | Condensed Consolidated Statements of Income (fiscal quarter) | 101,264</t>
      </text>
    </comment>
    <comment ref="C163" authorId="0">
      <text>
        <t>DPZ 10-Q Q1 2025 (dpz-20250323.htm) | Condensed Consolidated Statements of Income | 76,911</t>
      </text>
    </comment>
    <comment ref="D163" authorId="0">
      <text>
        <t>DPZ 10-Q Q2 2025 (dpz-20250615.htm) | Condensed Consolidated Statements of Income | 78,073</t>
      </text>
    </comment>
    <comment ref="E163" authorId="0">
      <text>
        <t>DPZ 10-Q Q3 2025 (dpz-20250907.htm) | Condensed Consolidated Statements of Income | 69,258</t>
      </text>
    </comment>
    <comment ref="F163" authorId="0">
      <text>
        <t>DPZ 8-K Ex.99.1 Q4 FY2025 release (dpz-ex99_1.htm, 2026-02-23) | Condensed Consolidated Statements of Income (fiscal quarter) | 97,404</t>
      </text>
    </comment>
    <comment ref="H163" authorId="0">
      <text>
        <t>DPZ 10-Q Q1 2026 (dpz-20260322.htm) | Condensed Consolidated Statements of Income | 72,046</t>
      </text>
    </comment>
    <comment ref="I163" authorId="0">
      <text>
        <t>DPZ 10-Q Q2 2026 (dpz-20260614.htm) | Condensed Consolidated Statements of Income | 72,517</t>
      </text>
    </comment>
    <comment ref="C166" authorId="0">
      <text>
        <t>DPZ 10-Q Q1 2026 (dpz-20260322.htm) | Segment table — Cost of sales - food (U.S. Stores) | 27,211</t>
      </text>
    </comment>
    <comment ref="D166" authorId="0">
      <text>
        <t>DPZ 10-Q Q2 2026 (dpz-20260614.htm) | Segment table — Cost of sales - food (U.S. Stores) | 27,279</t>
      </text>
    </comment>
    <comment ref="E166" authorId="0">
      <text>
        <t>DPZ 10-Q Q3 2025 (dpz-20250907.htm) | Segment table — Cost of sales - food (U.S. Stores) | 24,613</t>
      </text>
    </comment>
    <comment ref="H166" authorId="0">
      <text>
        <t>DPZ 10-Q Q1 2026 (dpz-20260322.htm) | Segment table — Cost of sales - food (U.S. Stores) | 24,935</t>
      </text>
    </comment>
    <comment ref="I166" authorId="0">
      <text>
        <t>DPZ 10-Q Q2 2026 (dpz-20260614.htm) | Segment table — Cost of sales - food (U.S. Stores) | 24,784</t>
      </text>
    </comment>
    <comment ref="C172" authorId="0">
      <text>
        <t>DPZ 10-Q Q1 2026 (dpz-20260322.htm) | Segment table — Cost of sales - labor (U.S. Stores) | 29,181</t>
      </text>
    </comment>
    <comment ref="D172" authorId="0">
      <text>
        <t>DPZ 10-Q Q2 2026 (dpz-20260614.htm) | Segment table — Cost of sales - labor (U.S. Stores) | 27,632</t>
      </text>
    </comment>
    <comment ref="E172" authorId="0">
      <text>
        <t>DPZ 10-Q Q3 2025 (dpz-20250907.htm) | Segment table — Cost of sales - labor (U.S. Stores) | 25,541</t>
      </text>
    </comment>
    <comment ref="H172" authorId="0">
      <text>
        <t>DPZ 10-Q Q1 2026 (dpz-20260322.htm) | Segment table — Cost of sales - labor (U.S. Stores) | 27,239</t>
      </text>
    </comment>
    <comment ref="I172" authorId="0">
      <text>
        <t>DPZ 10-Q Q2 2026 (dpz-20260614.htm) | Segment table — Cost of sales - labor (U.S. Stores) | 25,302</t>
      </text>
    </comment>
    <comment ref="C186" authorId="0">
      <text>
        <t>DPZ 10-Q Q1 2026 (dpz-20260322.htm) | Segment table — General and administrative (2026 basis) | 36,755</t>
      </text>
    </comment>
    <comment ref="D186" authorId="0">
      <text>
        <t>DPZ 10-Q Q2 2026 (dpz-20260614.htm) | Segment table — General and administrative (2026 basis) | 39,440</t>
      </text>
    </comment>
    <comment ref="H186" authorId="0">
      <text>
        <t>DPZ 10-Q Q1 2026 (dpz-20260322.htm) | Segment table — General and administrative (2026 basis) | 35,696</t>
      </text>
    </comment>
    <comment ref="I186" authorId="0">
      <text>
        <t>DPZ 10-Q Q2 2026 (dpz-20260614.htm) | Segment table — General and administrative (2026 basis) | 39,263</t>
      </text>
    </comment>
    <comment ref="D192" authorId="0">
      <text>
        <t>DPZ 10-Q Q2 2025 (dpz-20250615.htm) | Segment table — General and administrative (2025 basis, as originally reported) | 39,337</t>
      </text>
    </comment>
    <comment ref="E192" authorId="0">
      <text>
        <t>DPZ 10-Q Q3 2025 (dpz-20250907.htm) | Segment table — General and administrative (2025 basis, as originally reported) | 36,858</t>
      </text>
    </comment>
    <comment ref="C193" authorId="0">
      <text>
        <t>DPZ 10-Q Q1 2026 (dpz-20260322.htm) | Segment Adjusted Income from Operations (U.S. Stores) | 128,931</t>
      </text>
    </comment>
    <comment ref="D193" authorId="0">
      <text>
        <t>DPZ 10-Q Q2 2026 (dpz-20260614.htm) | Segment Adjusted Income from Operations (U.S. Stores) | 131,204</t>
      </text>
    </comment>
    <comment ref="H193" authorId="0">
      <text>
        <t>DPZ 10-Q Q1 2026 (dpz-20260322.htm) | Segment Adjusted Income from Operations (U.S. Stores) | 132,369</t>
      </text>
    </comment>
    <comment ref="I193" authorId="0">
      <text>
        <t>DPZ 10-Q Q2 2026 (dpz-20260614.htm) | Segment Adjusted Income from Operations (U.S. Stores) | 134,214</t>
      </text>
    </comment>
  </commentList>
</comments>
</file>

<file path=xl/comments3.xml><?xml version="1.0" encoding="utf-8"?>
<comments xmlns="http://schemas.openxmlformats.org/spreadsheetml/2006/main">
  <authors>
    <author>Shortcut</author>
  </authors>
  <commentList>
    <comment ref="C10" authorId="0">
      <text>
        <t>DPZ 10-Q Q1 2025 (dpz-20250323.htm) | food basket pricing to stores increased | 4.8%</t>
      </text>
    </comment>
    <comment ref="D10" authorId="0">
      <text>
        <t>DPZ 10-Q Q2 2025 (dpz-20250615.htm) | food basket pricing to stores increased | 4.8%</t>
      </text>
    </comment>
    <comment ref="E10" authorId="0">
      <text>
        <t>DPZ 10-Q Q3 2025 (dpz-20250907.htm) | food basket pricing to stores increased | 3.3%</t>
      </text>
    </comment>
    <comment ref="F10" authorId="0">
      <text>
        <t>DPZ 8-K Ex.99.1 Q4 FY2025 release (dpz-ex99_1.htm, 2026-02-23) | food basket pricing to stores increased | 1.7%</t>
      </text>
    </comment>
    <comment ref="H10" authorId="0">
      <text>
        <t>DPZ 10-Q Q1 2026 (dpz-20260322.htm) | food basket pricing to stores increased | 2.6%</t>
      </text>
    </comment>
    <comment ref="I10" authorId="0">
      <text>
        <t>DPZ 10-Q Q2 2026 (dpz-20260614.htm) | food basket pricing to stores increased | 2.2%</t>
      </text>
    </comment>
    <comment ref="C13" authorId="0">
      <text>
        <t>DPZ 10-Q Q1 2026 (dpz-20260322.htm) | Segment table — Supply chain (incl. intersegment) | 697,910</t>
      </text>
    </comment>
    <comment ref="D13" authorId="0">
      <text>
        <t>DPZ 10-Q Q2 2026 (dpz-20260614.htm) | Segment table — Supply chain (incl. intersegment) | 714,658</t>
      </text>
    </comment>
    <comment ref="E13" authorId="0">
      <text>
        <t>DPZ 10-Q Q3 2025 (dpz-20250907.htm) | Segment table — Supply chain (incl. intersegment) | 722,597</t>
      </text>
    </comment>
    <comment ref="H13" authorId="0">
      <text>
        <t>DPZ 10-Q Q1 2026 (dpz-20260322.htm) | Segment table — Supply chain (incl. intersegment) | 724,414</t>
      </text>
    </comment>
    <comment ref="I13" authorId="0">
      <text>
        <t>DPZ 10-Q Q2 2026 (dpz-20260614.htm) | Segment table — Supply chain (incl. intersegment) | 756,860</t>
      </text>
    </comment>
    <comment ref="C14" authorId="0">
      <text>
        <t>DPZ 10-Q Q1 2025 (dpz-20250323.htm) | Segment table — prior-year quarter, Supply chain | 686,642</t>
      </text>
    </comment>
    <comment ref="D14" authorId="0">
      <text>
        <t>DPZ 10-Q Q2 2025 (dpz-20250615.htm) | Segment table — prior-year quarter, Supply chain | 686,464</t>
      </text>
    </comment>
    <comment ref="E14" authorId="0">
      <text>
        <t>DPZ 10-Q Q3 2025 (dpz-20250907.htm) | Segment table — prior-year quarter, Supply chain | 679,664</t>
      </text>
    </comment>
    <comment ref="C20" authorId="0">
      <text>
        <t>DPZ 10-Q Q1 2026 (dpz-20260322.htm) | Segment table — Supply chain - intersegment revenues | (27,986)</t>
      </text>
    </comment>
    <comment ref="D20" authorId="0">
      <text>
        <t>DPZ 10-Q Q2 2026 (dpz-20260614.htm) | Segment table — Supply chain - intersegment revenues | (27,596)</t>
      </text>
    </comment>
    <comment ref="E20" authorId="0">
      <text>
        <t>DPZ 10-Q Q3 2025 (dpz-20250907.htm) | Segment table — Supply chain - intersegment revenues | (25,638)</t>
      </text>
    </comment>
    <comment ref="H20" authorId="0">
      <text>
        <t>DPZ 10-Q Q1 2026 (dpz-20260322.htm) | Segment table — Supply chain - intersegment revenues | (25,441)</t>
      </text>
    </comment>
    <comment ref="I20" authorId="0">
      <text>
        <t>DPZ 10-Q Q2 2026 (dpz-20260614.htm) | Segment table — Supply chain - intersegment revenues | (25,152)</t>
      </text>
    </comment>
    <comment ref="C21" authorId="0">
      <text>
        <t>DPZ 10-Q Q1 2025 (dpz-20250323.htm) | Segment table — prior-year quarter, Supply chain - intersegment revenues | (27,428)</t>
      </text>
    </comment>
    <comment ref="D21" authorId="0">
      <text>
        <t>DPZ 10-Q Q2 2025 (dpz-20250615.htm) | Segment table — prior-year quarter, Supply chain - intersegment revenues | (27,220)</t>
      </text>
    </comment>
    <comment ref="E21" authorId="0">
      <text>
        <t>DPZ 10-Q Q3 2025 (dpz-20250907.htm) | Segment table — prior-year quarter, Supply chain - intersegment revenues | (28,350)</t>
      </text>
    </comment>
    <comment ref="C27" authorId="0">
      <text>
        <t>DPZ 10-Q Q1 2025 (dpz-20250323.htm) | Condensed Consolidated Statements of Income | 669,924</t>
      </text>
    </comment>
    <comment ref="D27" authorId="0">
      <text>
        <t>DPZ 10-Q Q2 2025 (dpz-20250615.htm) | Condensed Consolidated Statements of Income | 687,062</t>
      </text>
    </comment>
    <comment ref="E27" authorId="0">
      <text>
        <t>DPZ 10-Q Q3 2025 (dpz-20250907.htm) | Condensed Consolidated Statements of Income | 696,959</t>
      </text>
    </comment>
    <comment ref="F27" authorId="0">
      <text>
        <t>DPZ 8-K Ex.99.1 Q4 FY2025 release (dpz-ex99_1.htm, 2026-02-23) | Condensed Consolidated Statements of Income (fiscal quarter) | 935,584</t>
      </text>
    </comment>
    <comment ref="H27" authorId="0">
      <text>
        <t>DPZ 10-Q Q1 2026 (dpz-20260322.htm) | Condensed Consolidated Statements of Income | 698,973</t>
      </text>
    </comment>
    <comment ref="I27" authorId="0">
      <text>
        <t>DPZ 10-Q Q2 2026 (dpz-20260614.htm) | Condensed Consolidated Statements of Income | 731,708</t>
      </text>
    </comment>
    <comment ref="C35" authorId="0">
      <text>
        <t>DPZ 10-Q Q1 2025 (dpz-20250323.htm) | Condensed Consolidated Statements of Income | 659,214</t>
      </text>
    </comment>
    <comment ref="D35" authorId="0">
      <text>
        <t>DPZ 10-Q Q2 2025 (dpz-20250615.htm) | Condensed Consolidated Statements of Income | 659,244</t>
      </text>
    </comment>
    <comment ref="E35" authorId="0">
      <text>
        <t>DPZ 10-Q Q3 2025 (dpz-20250907.htm) | Condensed Consolidated Statements of Income | 651,314</t>
      </text>
    </comment>
    <comment ref="F35" authorId="0">
      <text>
        <t>DPZ 8-K Ex.99.1 Q4 FY2025 release (dpz-ex99_1.htm, 2026-02-23) | Condensed Consolidated Statements of Income (fiscal quarter) | 876,009</t>
      </text>
    </comment>
    <comment ref="C37" authorId="0">
      <text>
        <t>DPZ 10-Q Q1 2025 (dpz-20250323.htm) | Condensed Consolidated Statements of Income | 591,998</t>
      </text>
    </comment>
    <comment ref="D37" authorId="0">
      <text>
        <t>DPZ 10-Q Q2 2025 (dpz-20250615.htm) | Condensed Consolidated Statements of Income | 606,101</t>
      </text>
    </comment>
    <comment ref="E37" authorId="0">
      <text>
        <t>DPZ 10-Q Q3 2025 (dpz-20250907.htm) | Condensed Consolidated Statements of Income | 617,894</t>
      </text>
    </comment>
    <comment ref="F37" authorId="0">
      <text>
        <t>DPZ 8-K Ex.99.1 Q4 FY2025 release (dpz-ex99_1.htm, 2026-02-23) | Condensed Consolidated Statements of Income (fiscal quarter) | 828,795</t>
      </text>
    </comment>
    <comment ref="H37" authorId="0">
      <text>
        <t>DPZ 10-Q Q1 2026 (dpz-20260322.htm) | Condensed Consolidated Statements of Income | 614,036</t>
      </text>
    </comment>
    <comment ref="I37" authorId="0">
      <text>
        <t>DPZ 10-Q Q2 2026 (dpz-20260614.htm) | Condensed Consolidated Statements of Income | 643,682</t>
      </text>
    </comment>
    <comment ref="C40" authorId="0">
      <text>
        <t>DPZ 10-Q Q1 2026 (dpz-20260322.htm) | Segment table — Cost of sales - food (Supply Chain) | 471,616</t>
      </text>
    </comment>
    <comment ref="D40" authorId="0">
      <text>
        <t>DPZ 10-Q Q2 2026 (dpz-20260614.htm) | Segment table — Cost of sales - food (Supply Chain) | 487,484</t>
      </text>
    </comment>
    <comment ref="E40" authorId="0">
      <text>
        <t>DPZ 10-Q Q3 2025 (dpz-20250907.htm) | Segment table — Cost of sales - food (Supply Chain) | 495,249</t>
      </text>
    </comment>
    <comment ref="H40" authorId="0">
      <text>
        <t>DPZ 10-Q Q1 2026 (dpz-20260322.htm) | Segment table — Cost of sales - food (Supply Chain) | 489,102</t>
      </text>
    </comment>
    <comment ref="I40" authorId="0">
      <text>
        <t>DPZ 10-Q Q2 2026 (dpz-20260614.htm) | Segment table — Cost of sales - food (Supply Chain) | 513,724</t>
      </text>
    </comment>
    <comment ref="C43" authorId="0">
      <text>
        <t>DPZ 10-Q Q1 2026 (dpz-20260322.htm) | Segment table — Cost of sales - labor (Supply Chain) | 61,882</t>
      </text>
    </comment>
    <comment ref="D43" authorId="0">
      <text>
        <t>DPZ 10-Q Q2 2026 (dpz-20260614.htm) | Segment table — Cost of sales - labor (Supply Chain) | 60,024</t>
      </text>
    </comment>
    <comment ref="E43" authorId="0">
      <text>
        <t>DPZ 10-Q Q3 2025 (dpz-20250907.htm) | Segment table — Cost of sales - labor (Supply Chain) | 61,887</t>
      </text>
    </comment>
    <comment ref="H43" authorId="0">
      <text>
        <t>DPZ 10-Q Q1 2026 (dpz-20260322.htm) | Segment table — Cost of sales - labor (Supply Chain) | 64,379</t>
      </text>
    </comment>
    <comment ref="I43" authorId="0">
      <text>
        <t>DPZ 10-Q Q2 2026 (dpz-20260614.htm) | Segment table — Cost of sales - labor (Supply Chain) | 63,514</t>
      </text>
    </comment>
    <comment ref="C58" authorId="0">
      <text>
        <t>DPZ 10-Q Q1 2025 (dpz-20250323.htm) | Condensed Consolidated Statements of Income | 586,319</t>
      </text>
    </comment>
    <comment ref="D58" authorId="0">
      <text>
        <t>DPZ 10-Q Q2 2025 (dpz-20250615.htm) | Condensed Consolidated Statements of Income | 584,646</t>
      </text>
    </comment>
    <comment ref="E58" authorId="0">
      <text>
        <t>DPZ 10-Q Q3 2025 (dpz-20250907.htm) | Condensed Consolidated Statements of Income | 582,167</t>
      </text>
    </comment>
    <comment ref="F58" authorId="0">
      <text>
        <t>DPZ 8-K Ex.99.1 Q4 FY2025 release (dpz-ex99_1.htm, 2026-02-23) | Condensed Consolidated Statements of Income (fiscal quarter) | 776,796</t>
      </text>
    </comment>
    <comment ref="C61" authorId="0">
      <text>
        <t>DPZ 10-Q Q1 2026 (dpz-20260322.htm) | Segment table — General and administrative (2026 basis) | 14,321</t>
      </text>
    </comment>
    <comment ref="D61" authorId="0">
      <text>
        <t>DPZ 10-Q Q2 2026 (dpz-20260614.htm) | Segment table — General and administrative (2026 basis) | 16,303</t>
      </text>
    </comment>
    <comment ref="H61" authorId="0">
      <text>
        <t>DPZ 10-Q Q1 2026 (dpz-20260322.htm) | Segment table — General and administrative (2026 basis) | 19,426</t>
      </text>
    </comment>
    <comment ref="I61" authorId="0">
      <text>
        <t>DPZ 10-Q Q2 2026 (dpz-20260614.htm) | Segment table — General and administrative (2026 basis) | 11,665</t>
      </text>
    </comment>
    <comment ref="D67" authorId="0">
      <text>
        <t>DPZ 10-Q Q2 2025 (dpz-20250615.htm) | Segment table — General and administrative (2025 basis, as originally reported) | 16,132</t>
      </text>
    </comment>
    <comment ref="E67" authorId="0">
      <text>
        <t>DPZ 10-Q Q3 2025 (dpz-20250907.htm) | Segment table — General and administrative (2025 basis, as originally reported) | 18,389</t>
      </text>
    </comment>
    <comment ref="C68" authorId="0">
      <text>
        <t>DPZ 10-Q Q1 2026 (dpz-20260322.htm) | Segment Adjusted Income from Operations (Supply Chain) | 63,606</t>
      </text>
    </comment>
    <comment ref="D68" authorId="0">
      <text>
        <t>DPZ 10-Q Q2 2026 (dpz-20260614.htm) | Segment Adjusted Income from Operations (Supply Chain) | 64,658</t>
      </text>
    </comment>
    <comment ref="H68" authorId="0">
      <text>
        <t>DPZ 10-Q Q1 2026 (dpz-20260322.htm) | Segment Adjusted Income from Operations (Supply Chain) | 65,512</t>
      </text>
    </comment>
    <comment ref="I68" authorId="0">
      <text>
        <t>DPZ 10-Q Q2 2026 (dpz-20260614.htm) | Segment Adjusted Income from Operations (Supply Chain) | 76,361</t>
      </text>
    </comment>
  </commentList>
</comments>
</file>

<file path=xl/comments4.xml><?xml version="1.0" encoding="utf-8"?>
<comments xmlns="http://schemas.openxmlformats.org/spreadsheetml/2006/main">
  <authors>
    <author>Shortcut</author>
  </authors>
  <commentList>
    <comment ref="C10" authorId="0">
      <text>
        <t>DPZ 10-Q Q1 2025 (dpz-20250323.htm) | Store counts table | Store count at December 29, 2024 | 14,352</t>
      </text>
    </comment>
    <comment ref="C13" authorId="0">
      <text>
        <t>DPZ 10-Q Q1 2025 (dpz-20250323.htm) | Store counts table | 203</t>
      </text>
    </comment>
    <comment ref="D13" authorId="0">
      <text>
        <t>DPZ 10-Q Q2 2025 (dpz-20250615.htm) | Store counts table | 210</t>
      </text>
    </comment>
    <comment ref="E13" authorId="0">
      <text>
        <t>DPZ 10-Q Q3 2025 (dpz-20250907.htm) | Store counts table | 220</t>
      </text>
    </comment>
    <comment ref="F13" authorId="0">
      <text>
        <t>DPZ 8-K Ex.99.1 Q4 FY2025 release (dpz-ex99_1.htm, 2026-02-23) | Store counts table | 320</t>
      </text>
    </comment>
    <comment ref="H13" authorId="0">
      <text>
        <t>DPZ 10-Q Q1 2026 (dpz-20260322.htm) | Store counts table | 212</t>
      </text>
    </comment>
    <comment ref="I13" authorId="0">
      <text>
        <t>DPZ 10-Q Q2 2026 (dpz-20260614.htm) | Store counts table | 223</t>
      </text>
    </comment>
    <comment ref="C16" authorId="0">
      <text>
        <t>DPZ 10-Q Q1 2025 (dpz-20250323.htm) | Store counts table | (228)</t>
      </text>
    </comment>
    <comment ref="D16" authorId="0">
      <text>
        <t>DPZ 10-Q Q2 2025 (dpz-20250615.htm) | Store counts table | (62)</t>
      </text>
    </comment>
    <comment ref="E16" authorId="0">
      <text>
        <t>DPZ 10-Q Q3 2025 (dpz-20250907.htm) | Store counts table | (35)</t>
      </text>
    </comment>
    <comment ref="F16" authorId="0">
      <text>
        <t>DPZ 8-K Ex.99.1 Q4 FY2025 release (dpz-ex99_1.htm, 2026-02-23) | Store counts table | (24)</t>
      </text>
    </comment>
    <comment ref="H16" authorId="0">
      <text>
        <t>DPZ 10-Q Q1 2026 (dpz-20260322.htm) | Store counts table | (51)</t>
      </text>
    </comment>
    <comment ref="I16" authorId="0">
      <text>
        <t>DPZ 10-Q Q2 2026 (dpz-20260614.htm) | Store counts table | (40)</t>
      </text>
    </comment>
    <comment ref="C20" authorId="0">
      <text>
        <t>DPZ 10-Q Q1 2025 (dpz-20250323.htm) | Store counts table | 14,327</t>
      </text>
    </comment>
    <comment ref="D20" authorId="0">
      <text>
        <t>DPZ 10-Q Q2 2025 (dpz-20250615.htm) | Store counts table | 14,475</t>
      </text>
    </comment>
    <comment ref="E20" authorId="0">
      <text>
        <t>DPZ 10-Q Q3 2025 (dpz-20250907.htm) | Store counts table | 14,660</t>
      </text>
    </comment>
    <comment ref="F20" authorId="0">
      <text>
        <t>DPZ 8-K Ex.99.1 Q4 FY2025 release (dpz-ex99_1.htm, 2026-02-23) | Store counts table | 14,956</t>
      </text>
    </comment>
    <comment ref="H20" authorId="0">
      <text>
        <t>DPZ 10-Q Q1 2026 (dpz-20260322.htm) | Store counts table | 15,117</t>
      </text>
    </comment>
    <comment ref="I20" authorId="0">
      <text>
        <t>DPZ 10-Q Q2 2026 (dpz-20260614.htm) | Store counts table | 15,300</t>
      </text>
    </comment>
    <comment ref="C30" authorId="0">
      <text>
        <t>DPZ 10-Q Q1 2025 (dpz-20250323.htm) | Store counts table | 446</t>
      </text>
    </comment>
    <comment ref="D30" authorId="0">
      <text>
        <t>DPZ 10-Q Q2 2025 (dpz-20250615.htm) | Store counts table | 451</t>
      </text>
    </comment>
    <comment ref="E30" authorId="0">
      <text>
        <t>DPZ 10-Q Q3 2025 (dpz-20250907.htm) | Store counts table | 588</t>
      </text>
    </comment>
    <comment ref="F30" authorId="0">
      <text>
        <t>DPZ 8-K Ex.99.1 Q4 FY2025 release (dpz-ex99_1.htm, 2026-02-23) | Store counts table | 604</t>
      </text>
    </comment>
    <comment ref="C39" authorId="0">
      <text>
        <t>DPZ 10-Q Q1 2025 (dpz-20250323.htm) | Same store sales growth (versus prior year period) | + 3.7%</t>
      </text>
    </comment>
    <comment ref="D39" authorId="0">
      <text>
        <t>DPZ 10-Q Q2 2025 (dpz-20250615.htm) | Same store sales growth (versus prior year period) | + 2.4%</t>
      </text>
    </comment>
    <comment ref="E39" authorId="0">
      <text>
        <t>DPZ 10-Q Q3 2025 (dpz-20250907.htm) | Same store sales growth (versus prior year period) | + 1.7%</t>
      </text>
    </comment>
    <comment ref="F39" authorId="0">
      <text>
        <t>DPZ 8-K Ex.99.1 Q4 FY2025 release (dpz-ex99_1.htm, 2026-02-23) | Same store sales growth (versus prior year period) | + 0.7%</t>
      </text>
    </comment>
    <comment ref="G39" authorId="0">
      <text>
        <t>DPZ 8-K Ex.99.1 Q4 FY2025 release (dpz-ex99_1.htm, 2026-02-23) | Same store sales growth (versus prior year period) | + 1.9%</t>
      </text>
    </comment>
    <comment ref="H39" authorId="0">
      <text>
        <t>DPZ 10-Q Q1 2026 (dpz-20260322.htm) | Same store sales growth (versus prior year period) | (0.4)%</t>
      </text>
    </comment>
    <comment ref="I39" authorId="0">
      <text>
        <t>DPZ 10-Q Q2 2026 (dpz-20260614.htm) | Same store sales growth (versus prior year period) | (0.1)%</t>
      </text>
    </comment>
    <comment ref="C40" authorId="0">
      <text>
        <t>DPZ 10-Q Q1 2025 (dpz-20250323.htm) | Same store sales growth (versus prior year period) — prior-year column | + 0.9%</t>
      </text>
    </comment>
    <comment ref="D40" authorId="0">
      <text>
        <t>DPZ 10-Q Q2 2025 (dpz-20250615.htm) | Same store sales growth (versus prior year period) — prior-year column | + 2.1%</t>
      </text>
    </comment>
    <comment ref="E40" authorId="0">
      <text>
        <t>DPZ 10-Q Q3 2025 (dpz-20250907.htm) | Same store sales growth (versus prior year period) — prior-year column | + 0.8%</t>
      </text>
    </comment>
    <comment ref="F40" authorId="0">
      <text>
        <t>DPZ 8-K Ex.99.1 Q4 FY2025 release (dpz-ex99_1.htm, 2026-02-23) | Same store sales growth (versus prior year period) — prior-year column | + 2.7%</t>
      </text>
    </comment>
    <comment ref="C45" authorId="0">
      <text>
        <t>DPZ 10-Q Q1 2025 (dpz-20250323.htm) | Global retail sales (in millions of U.S. dollars) | 2,223.5</t>
      </text>
    </comment>
    <comment ref="D45" authorId="0">
      <text>
        <t>DPZ 10-Q Q2 2025 (dpz-20250615.htm) | Global retail sales (in millions of U.S. dollars) | 2,334.2</t>
      </text>
    </comment>
    <comment ref="E45" authorId="0">
      <text>
        <t>DPZ 10-Q Q3 2025 (dpz-20250907.htm) | Global retail sales (in millions of U.S. dollars) | 2,375.8</t>
      </text>
    </comment>
    <comment ref="F45" authorId="0">
      <text>
        <t>DPZ 8-K Ex.99.1 Q4 FY2025 release (dpz-ex99_1.htm, 2026-02-23) | Global retail sales (in millions of U.S. dollars) | 3,240.4</t>
      </text>
    </comment>
    <comment ref="H45" authorId="0">
      <text>
        <t>DPZ 10-Q Q1 2026 (dpz-20260322.htm) | Global retail sales (in millions of U.S. dollars) | 2,437.1</t>
      </text>
    </comment>
    <comment ref="I45" authorId="0">
      <text>
        <t>DPZ 10-Q Q2 2026 (dpz-20260614.htm) | Global retail sales (in millions of U.S. dollars) | 2,468.9</t>
      </text>
    </comment>
    <comment ref="C46" authorId="0">
      <text>
        <t>DPZ 10-Q Q1 2025 (dpz-20250323.htm) | Global retail sales (in millions of U.S. dollars) — prior-year column | 2,152.1</t>
      </text>
    </comment>
    <comment ref="D46" authorId="0">
      <text>
        <t>DPZ 10-Q Q2 2025 (dpz-20250615.htm) | Global retail sales (in millions of U.S. dollars) — prior-year column | 2,206.1</t>
      </text>
    </comment>
    <comment ref="E46" authorId="0">
      <text>
        <t>DPZ 10-Q Q3 2025 (dpz-20250907.htm) | Global retail sales (in millions of U.S. dollars) — prior-year column | 2,223.6</t>
      </text>
    </comment>
    <comment ref="F46" authorId="0">
      <text>
        <t>DPZ 8-K Ex.99.1 Q4 FY2025 release (dpz-ex99_1.htm, 2026-02-23) | Global retail sales (in millions of U.S. dollars) — prior-year column | 3,042.2</t>
      </text>
    </comment>
    <comment ref="C49" authorId="0">
      <text>
        <t>DPZ 10-Q Q1 2025 (dpz-20250323.htm) | Global retail sales growth (excluding foreign currency impact) — International stores | + 8.2%</t>
      </text>
    </comment>
    <comment ref="D49" authorId="0">
      <text>
        <t>DPZ 10-Q Q2 2025 (dpz-20250615.htm) | Global retail sales growth (excluding foreign currency impact) — International stores | + 6.0%</t>
      </text>
    </comment>
    <comment ref="E49" authorId="0">
      <text>
        <t>DPZ 10-Q Q3 2025 (dpz-20250907.htm) | Global retail sales growth (excluding foreign currency impact) — International stores | + 5.7%</t>
      </text>
    </comment>
    <comment ref="F49" authorId="0">
      <text>
        <t>DPZ 8-K Ex.99.1 Q4 FY2025 release (dpz-ex99_1.htm, 2026-02-23) | Global retail sales growth (excluding foreign currency impact) — International stores | + 4.5%</t>
      </text>
    </comment>
    <comment ref="G49" authorId="0">
      <text>
        <t>DPZ 8-K Ex.99.1 Q4 FY2025 release (dpz-ex99_1.htm, 2026-02-23) | Global retail sales growth (excluding foreign currency impact) — International stores | + 5.9%</t>
      </text>
    </comment>
    <comment ref="H49" authorId="0">
      <text>
        <t>DPZ 10-Q Q1 2026 (dpz-20260322.htm) | Global retail sales growth (excluding foreign currency impact) — International stores | + 4.0%</t>
      </text>
    </comment>
    <comment ref="I49" authorId="0">
      <text>
        <t>DPZ 10-Q Q2 2026 (dpz-20260614.htm) | Global retail sales growth (excluding foreign currency impact) — International stores | + 4.1%</t>
      </text>
    </comment>
    <comment ref="C67" authorId="0">
      <text>
        <t>DPZ 10-Q Q1 2025 (dpz-20250323.htm) | Condensed Consolidated Statements of Income | 75,559</t>
      </text>
    </comment>
    <comment ref="D67" authorId="0">
      <text>
        <t>DPZ 10-Q Q2 2025 (dpz-20250615.htm) | Condensed Consolidated Statements of Income | 77,164</t>
      </text>
    </comment>
    <comment ref="E67" authorId="0">
      <text>
        <t>DPZ 10-Q Q3 2025 (dpz-20250907.htm) | Condensed Consolidated Statements of Income | 78,549</t>
      </text>
    </comment>
    <comment ref="F67" authorId="0">
      <text>
        <t>DPZ 8-K Ex.99.1 Q4 FY2025 release (dpz-ex99_1.htm, 2026-02-23) | Condensed Consolidated Statements of Income (fiscal quarter) | 107,432</t>
      </text>
    </comment>
    <comment ref="H67" authorId="0">
      <text>
        <t>DPZ 10-Q Q1 2026 (dpz-20260322.htm) | Condensed Consolidated Statements of Income | 80,980</t>
      </text>
    </comment>
    <comment ref="I67" authorId="0">
      <text>
        <t>DPZ 10-Q Q2 2026 (dpz-20260614.htm) | Condensed Consolidated Statements of Income | 81,822</t>
      </text>
    </comment>
    <comment ref="C70" authorId="0">
      <text>
        <t>DPZ 10-Q Q1 2025 (dpz-20250323.htm) | impact of changes in foreign currency exchange rates on international franchise royalty revenues | negative impact of changes in foreign currency exchange rates of approximately $3.2 million in the first quarter of 2025</t>
      </text>
    </comment>
    <comment ref="D70" authorId="0">
      <text>
        <t>DPZ 10-Q Q2 2025 (dpz-20250615.htm) | impact of changes in foreign currency exchange rates on international franchise royalty revenues | negative impact ... approximately $0.2 million in the second quarter of 2025</t>
      </text>
    </comment>
    <comment ref="E70" authorId="0">
      <text>
        <t>DPZ 10-Q Q3 2025 (dpz-20250907.htm) | impact of changes in foreign currency exchange rates on international franchise royalty revenues | approximately positive $0.8 million in the third quarter of 2025</t>
      </text>
    </comment>
    <comment ref="F70" authorId="0">
      <text>
        <t>DPZ 8-K Ex.99.1 Q4 FY2025 release (dpz-ex99_1.htm, 2026-02-23) | impact of changes in foreign currency exchange rates on international franchise royalty revenues | the $1.9 million positive impact for fourth quarter</t>
      </text>
    </comment>
    <comment ref="H70" authorId="0">
      <text>
        <t>DPZ 10-Q Q1 2026 (dpz-20260322.htm) | impact of changes in foreign currency exchange rates on international franchise royalty revenues | positive impact of changes in foreign currency exchange rates of approximately $3.6 million</t>
      </text>
    </comment>
    <comment ref="I70" authorId="0">
      <text>
        <t>DPZ 10-Q Q2 2026 (dpz-20260614.htm) | impact of changes in foreign currency exchange rates on international franchise royalty revenues | positive impact of changes in foreign currency exchange rates of approximately $1.1 million in the second quarter of 2026</t>
      </text>
    </comment>
    <comment ref="C75" authorId="0">
      <text>
        <t>DPZ 10-Q Q1 2025 (dpz-20250323.htm) | Condensed Consolidated Statements of Income | 71,966</t>
      </text>
    </comment>
    <comment ref="D75" authorId="0">
      <text>
        <t>DPZ 10-Q Q2 2025 (dpz-20250615.htm) | Condensed Consolidated Statements of Income | 73,696</t>
      </text>
    </comment>
    <comment ref="E75" authorId="0">
      <text>
        <t>DPZ 10-Q Q3 2025 (dpz-20250907.htm) | Condensed Consolidated Statements of Income | 74,633</t>
      </text>
    </comment>
    <comment ref="F75" authorId="0">
      <text>
        <t>DPZ 8-K Ex.99.1 Q4 FY2025 release (dpz-ex99_1.htm, 2026-02-23) | Condensed Consolidated Statements of Income (fiscal quarter) | 98,396</t>
      </text>
    </comment>
    <comment ref="C76" authorId="0">
      <text>
        <t>DPZ 10-Q Q1 2026 (dpz-20260322.htm) | Segment table — General and administrative (2026 basis) | 11,815</t>
      </text>
    </comment>
    <comment ref="D76" authorId="0">
      <text>
        <t>DPZ 10-Q Q2 2026 (dpz-20260614.htm) | Segment table — General and administrative (2026 basis) | 11,794</t>
      </text>
    </comment>
    <comment ref="H76" authorId="0">
      <text>
        <t>DPZ 10-Q Q1 2026 (dpz-20260322.htm) | Segment table — General and administrative (2026 basis) | 11,474</t>
      </text>
    </comment>
    <comment ref="I76" authorId="0">
      <text>
        <t>DPZ 10-Q Q2 2026 (dpz-20260614.htm) | Segment table — General and administrative (2026 basis) | 13,506</t>
      </text>
    </comment>
    <comment ref="D82" authorId="0">
      <text>
        <t>DPZ 10-Q Q2 2025 (dpz-20250615.htm) | Segment table — General and administrative (2025 basis, as originally reported) | 11,600</t>
      </text>
    </comment>
    <comment ref="E82" authorId="0">
      <text>
        <t>DPZ 10-Q Q3 2025 (dpz-20250907.htm) | Segment table — General and administrative (2025 basis, as originally reported) | 11,252</t>
      </text>
    </comment>
    <comment ref="C83" authorId="0">
      <text>
        <t>DPZ 10-Q Q1 2026 (dpz-20260322.htm) | Segment Adjusted Income from Operations (International Franchise) | 63,744</t>
      </text>
    </comment>
    <comment ref="D83" authorId="0">
      <text>
        <t>DPZ 10-Q Q2 2026 (dpz-20260614.htm) | Segment Adjusted Income from Operations (International Franchise) | 65,370</t>
      </text>
    </comment>
    <comment ref="H83" authorId="0">
      <text>
        <t>DPZ 10-Q Q1 2026 (dpz-20260322.htm) | Segment Adjusted Income from Operations (International Franchise) | 69,506</t>
      </text>
    </comment>
    <comment ref="I83" authorId="0">
      <text>
        <t>DPZ 10-Q Q2 2026 (dpz-20260614.htm) | Segment Adjusted Income from Operations (International Franchise) | 68,316</t>
      </text>
    </comment>
  </commentList>
</comments>
</file>

<file path=xl/comments5.xml><?xml version="1.0" encoding="utf-8"?>
<comments xmlns="http://schemas.openxmlformats.org/spreadsheetml/2006/main">
  <authors>
    <author>Shortcut</author>
  </authors>
  <commentList>
    <comment ref="C33" authorId="0">
      <text>
        <t>DPZ 10-Q Q1 2025 (dpz-20250323.htm) | Condensed Consolidated Statements of Income | 109,077</t>
      </text>
    </comment>
    <comment ref="D33" authorId="0">
      <text>
        <t>DPZ 10-Q Q2 2025 (dpz-20250615.htm) | Condensed Consolidated Statements of Income | 107,608</t>
      </text>
    </comment>
    <comment ref="E33" authorId="0">
      <text>
        <t>DPZ 10-Q Q3 2025 (dpz-20250907.htm) | Condensed Consolidated Statements of Income | 105,092</t>
      </text>
    </comment>
    <comment ref="F33" authorId="0">
      <text>
        <t>DPZ 8-K Ex.99.1 Q4 FY2025 release (dpz-ex99_1.htm, 2026-02-23) | Condensed Consolidated Statements of Income (fiscal quarter) | 142,343</t>
      </text>
    </comment>
    <comment ref="H33" authorId="0">
      <text>
        <t>DPZ 10-Q Q1 2026 (dpz-20260322.htm) | Condensed Consolidated Statements of Income | 111,406</t>
      </text>
    </comment>
    <comment ref="I33" authorId="0">
      <text>
        <t>DPZ 10-Q Q2 2026 (dpz-20260614.htm) | Condensed Consolidated Statements of Income | 115,373</t>
      </text>
    </comment>
    <comment ref="C39" authorId="0">
      <text>
        <t>DPZ 10-Q Q1 2026 (dpz-20260322.htm) | Segment reconciliation — General and administrative - unallocated | 46,186</t>
      </text>
    </comment>
    <comment ref="D39" authorId="0">
      <text>
        <t>DPZ 10-Q Q2 2026 (dpz-20260614.htm) | Segment reconciliation — General and administrative - unallocated | 40,071</t>
      </text>
    </comment>
    <comment ref="H39" authorId="0">
      <text>
        <t>DPZ 10-Q Q1 2026 (dpz-20260322.htm) | Segment reconciliation — General and administrative - unallocated | 44,810</t>
      </text>
    </comment>
    <comment ref="I39" authorId="0">
      <text>
        <t>DPZ 10-Q Q2 2026 (dpz-20260614.htm) | Segment reconciliation — General and administrative - unallocated | 50,939</t>
      </text>
    </comment>
    <comment ref="C45" authorId="0">
      <text>
        <t>DPZ 10-Q Q1 2026 (dpz-20260322.htm) | Statements of Income (fiscal quarter ended March 23, 2025) | —</t>
      </text>
    </comment>
    <comment ref="D45" authorId="0">
      <text>
        <t>DPZ 10-Q Q2 2025 (dpz-20250615.htm) | Condensed Consolidated Statements of Income | (3,883)</t>
      </text>
    </comment>
    <comment ref="E45" authorId="0">
      <text>
        <t>DPZ 10-Q Q3 2025 (dpz-20250907.htm) | Condensed Consolidated Statements of Income | —</t>
      </text>
    </comment>
    <comment ref="F45" authorId="0">
      <text>
        <t>DPZ 8-K Ex.99.1 Q4 FY2025 release (dpz-ex99_1.htm, 2026-02-23) | Condensed Consolidated Statements of Income (fiscal quarter) | ((145)</t>
      </text>
    </comment>
    <comment ref="H45" authorId="0">
      <text>
        <t>DPZ 10-Q Q1 2026 (dpz-20260322.htm) | Statements of Income | —</t>
      </text>
    </comment>
    <comment ref="I45" authorId="0">
      <text>
        <t>DPZ 10-Q Q2 2026 (dpz-20260614.htm) | Condensed Consolidated Statements of Income | (4,087)</t>
      </text>
    </comment>
    <comment ref="C46" authorId="0">
      <text>
        <t>DPZ 10-Q Q1 2026 (dpz-20260322.htm) | Statements of Income | —</t>
      </text>
    </comment>
    <comment ref="D46" authorId="0">
      <text>
        <t>DPZ 10-Q Q2 2026 (dpz-20260614.htm) | Statements of Income | —</t>
      </text>
    </comment>
    <comment ref="E46" authorId="0">
      <text>
        <t>DPZ 10-Q Q3 2025 (dpz-20250907.htm) | Statements of Income | —</t>
      </text>
    </comment>
    <comment ref="F46" authorId="0">
      <text>
        <t>DPZ 8-K Ex.99.1 Q4 FY2025 release (dpz-ex99_1.htm, 2026-02-23) | Statements of Income | —</t>
      </text>
    </comment>
    <comment ref="H46" authorId="0">
      <text>
        <t>DPZ 10-Q Q1 2026 (dpz-20260322.htm) | Condensed Consolidated Statements of Income | (7,780)</t>
      </text>
    </comment>
    <comment ref="I46" authorId="0">
      <text>
        <t>DPZ 10-Q Q2 2026 (dpz-20260614.htm) | Condensed Consolidated Statements of Income | —</t>
      </text>
    </comment>
    <comment ref="C48" authorId="0">
      <text>
        <t>DPZ 10-Q Q1 2025 (dpz-20250323.htm) | Condensed Consolidated Statements of Income | 210,095</t>
      </text>
    </comment>
    <comment ref="D48" authorId="0">
      <text>
        <t>DPZ 10-Q Q2 2025 (dpz-20250615.htm) | Condensed Consolidated Statements of Income | 225,044</t>
      </text>
    </comment>
    <comment ref="E48" authorId="0">
      <text>
        <t>DPZ 10-Q Q3 2025 (dpz-20250907.htm) | Condensed Consolidated Statements of Income | 223,168</t>
      </text>
    </comment>
    <comment ref="F48" authorId="0">
      <text>
        <t>DPZ 8-K Ex.99.1 Q4 FY2025 release (dpz-ex99_1.htm, 2026-02-23) | Condensed Consolidated Statements of Income (fiscal quarter) | 295,667</t>
      </text>
    </comment>
    <comment ref="H48" authorId="0">
      <text>
        <t>DPZ 10-Q Q1 2026 (dpz-20260322.htm) | Condensed Consolidated Statements of Income | 230,357</t>
      </text>
    </comment>
    <comment ref="I48" authorId="0">
      <text>
        <t>DPZ 10-Q Q2 2026 (dpz-20260614.htm) | Condensed Consolidated Statements of Income | 232,039</t>
      </text>
    </comment>
    <comment ref="C57" authorId="0">
      <text>
        <t>DPZ 10-Q Q1 2025 (dpz-20250323.htm) | Statements of Income (Other income (expense)) | 24,027</t>
      </text>
    </comment>
    <comment ref="D57" authorId="0">
      <text>
        <t>DPZ 10-Q Q2 2025 (dpz-20250615.htm) | Condensed Consolidated Statements of Income | (15,974)</t>
      </text>
    </comment>
    <comment ref="E57" authorId="0">
      <text>
        <t>DPZ 10-Q Q3 2025 (dpz-20250907.htm) | Condensed Consolidated Statements of Income | (3,017)</t>
      </text>
    </comment>
    <comment ref="F57" authorId="0">
      <text>
        <t>DPZ 8-K Ex.99.1 Q4 FY2025 release (dpz-ex99_1.htm, 2026-02-23) | Condensed Consolidated Statements of Income (fiscal quarter) | ((7,580)</t>
      </text>
    </comment>
    <comment ref="H57" authorId="0">
      <text>
        <t>DPZ 10-Q Q1 2026 (dpz-20260322.htm) | Condensed Consolidated Statements of Income | (5,990)</t>
      </text>
    </comment>
    <comment ref="I57" authorId="0">
      <text>
        <t>DPZ 10-Q Q2 2026 (dpz-20260614.htm) | Condensed Consolidated Statements of Income | (12,366)</t>
      </text>
    </comment>
    <comment ref="J59" authorId="0">
      <text>
        <t>nz.finance.yahoo.com 1405.HK history | 12 Jun 2026 | 35.580</t>
      </text>
    </comment>
    <comment ref="C61" authorId="0">
      <text>
        <t>DPZ 10-Q Q1 2025 (dpz-20250323.htm) | Condensed Consolidated Statements of Income | 3,945</t>
      </text>
    </comment>
    <comment ref="D61" authorId="0">
      <text>
        <t>DPZ 10-Q Q2 2025 (dpz-20250615.htm) | Condensed Consolidated Statements of Income | 3,829</t>
      </text>
    </comment>
    <comment ref="E61" authorId="0">
      <text>
        <t>DPZ 10-Q Q3 2025 (dpz-20250907.htm) | Condensed Consolidated Statements of Income | 4,060</t>
      </text>
    </comment>
    <comment ref="H61" authorId="0">
      <text>
        <t>DPZ 10-Q Q1 2026 (dpz-20260322.htm) | Condensed Consolidated Statements of Income | 2,502</t>
      </text>
    </comment>
    <comment ref="I61" authorId="0">
      <text>
        <t>DPZ 10-Q Q2 2026 (dpz-20260614.htm) | Condensed Consolidated Statements of Income | 1,613</t>
      </text>
    </comment>
    <comment ref="C62" authorId="0">
      <text>
        <t>DPZ 10-Q Q1 2025 (dpz-20250323.htm) | Condensed Consolidated Statements of Income | (45,585)</t>
      </text>
    </comment>
    <comment ref="D62" authorId="0">
      <text>
        <t>DPZ 10-Q Q2 2025 (dpz-20250615.htm) | Condensed Consolidated Statements of Income | (44,648)</t>
      </text>
    </comment>
    <comment ref="E62" authorId="0">
      <text>
        <t>DPZ 10-Q Q3 2025 (dpz-20250907.htm) | Condensed Consolidated Statements of Income | (45,012)</t>
      </text>
    </comment>
    <comment ref="H62" authorId="0">
      <text>
        <t>DPZ 10-Q Q1 2026 (dpz-20260322.htm) | Condensed Consolidated Statements of Income | (46,227)</t>
      </text>
    </comment>
    <comment ref="I62" authorId="0">
      <text>
        <t>DPZ 10-Q Q2 2026 (dpz-20260614.htm) | Condensed Consolidated Statements of Income | (46,057)</t>
      </text>
    </comment>
    <comment ref="F70" authorId="0">
      <text>
        <t>DPZ 8-K Ex.99.1 Q4 FY2025 release (dpz-ex99_1.htm, 2026-02-23) | Condensed Consolidated Statements of Income (fiscal quarter) | ((57,681)</t>
      </text>
    </comment>
    <comment ref="G71" authorId="0">
      <text>
        <t>SEC XBRL companyconcept InterestExpense (CIK0001286681) | 10-K FY2025 (2024-12-30 to 2025-12-28) | 195972000</t>
      </text>
    </comment>
    <comment ref="C73" authorId="0">
      <text>
        <t>DPZ 10-Q Q1 2025 (dpz-20250323.htm) | Condensed Consolidated Statements of Income | 42,831</t>
      </text>
    </comment>
    <comment ref="D73" authorId="0">
      <text>
        <t>DPZ 10-Q Q2 2025 (dpz-20250615.htm) | Condensed Consolidated Statements of Income | 37,160</t>
      </text>
    </comment>
    <comment ref="E73" authorId="0">
      <text>
        <t>DPZ 10-Q Q3 2025 (dpz-20250907.htm) | Condensed Consolidated Statements of Income | 39,880</t>
      </text>
    </comment>
    <comment ref="F73" authorId="0">
      <text>
        <t>DPZ 8-K Ex.99.1 Q4 FY2025 release (dpz-ex99_1.htm, 2026-02-23) | Condensed Consolidated Statements of Income (fiscal quarter) | 48,763</t>
      </text>
    </comment>
    <comment ref="H73" authorId="0">
      <text>
        <t>DPZ 10-Q Q1 2026 (dpz-20260322.htm) | Condensed Consolidated Statements of Income | 40,831</t>
      </text>
    </comment>
    <comment ref="I73" authorId="0">
      <text>
        <t>DPZ 10-Q Q2 2026 (dpz-20260614.htm) | Condensed Consolidated Statements of Income | 39,479</t>
      </text>
    </comment>
    <comment ref="C80" authorId="0">
      <text>
        <t>DPZ 10-Q Q1 2025 (dpz-20250323.htm) | Condensed Consolidated Statements of Income | $149,651</t>
      </text>
    </comment>
    <comment ref="D80" authorId="0">
      <text>
        <t>DPZ 10-Q Q2 2025 (dpz-20250615.htm) | Condensed Consolidated Statements of Income | $131,091</t>
      </text>
    </comment>
    <comment ref="E80" authorId="0">
      <text>
        <t>DPZ 10-Q Q3 2025 (dpz-20250907.htm) | Condensed Consolidated Statements of Income | $139,319</t>
      </text>
    </comment>
    <comment ref="F80" authorId="0">
      <text>
        <t>DPZ 8-K Ex.99.1 Q4 FY2025 release (dpz-ex99_1.htm, 2026-02-23) | Condensed Consolidated Statements of Income (fiscal quarter) | 181,643</t>
      </text>
    </comment>
    <comment ref="H80" authorId="0">
      <text>
        <t>DPZ 10-Q Q1 2026 (dpz-20260322.htm) | Condensed Consolidated Statements of Income | $139,811</t>
      </text>
    </comment>
    <comment ref="I80" authorId="0">
      <text>
        <t>DPZ 10-Q Q2 2026 (dpz-20260614.htm) | Condensed Consolidated Statements of Income | $135,750</t>
      </text>
    </comment>
    <comment ref="C91" authorId="0">
      <text>
        <t>DPZ 10-Q Q1 2025 (dpz-20250323.htm) | Condensed Consolidated Statements of Income | $4.33</t>
      </text>
    </comment>
    <comment ref="D91" authorId="0">
      <text>
        <t>DPZ 10-Q Q2 2025 (dpz-20250615.htm) | Condensed Consolidated Statements of Income | $3.81</t>
      </text>
    </comment>
    <comment ref="E91" authorId="0">
      <text>
        <t>DPZ 10-Q Q3 2025 (dpz-20250907.htm) | Condensed Consolidated Statements of Income | $4.08</t>
      </text>
    </comment>
    <comment ref="F91" authorId="0">
      <text>
        <t>DPZ 8-K Ex.99.1 Q4 FY2025 release (dpz-ex99_1.htm, 2026-02-23) | Condensed Consolidated Statements of Income (fiscal quarter) | 5.35</t>
      </text>
    </comment>
    <comment ref="H91" authorId="0">
      <text>
        <t>DPZ 10-Q Q1 2026 (dpz-20260322.htm) | Condensed Consolidated Statements of Income | $4.13</t>
      </text>
    </comment>
    <comment ref="I91" authorId="0">
      <text>
        <t>DPZ 10-Q Q2 2026 (dpz-20260614.htm) | Condensed Consolidated Statements of Income | $4.07</t>
      </text>
    </comment>
    <comment ref="G91" authorId="0">
      <text>
        <t>DPZ 8-K Ex.99.1 Q4 FY2025 release (dpz-ex99_1.htm, 2026-02-23) | Statements of Income (fiscal year) — Common stock – diluted | 17.57</t>
      </text>
    </comment>
    <comment ref="G117" authorId="0">
      <text>
        <t>DPZ 8-K Ex.99.1 Q4 FY2025 release (dpz-ex99_1.htm, 2026-02-23) | Leverage ratio reconciliation | 1,085,268</t>
      </text>
    </comment>
    <comment ref="C120" authorId="0">
      <text>
        <t>DPZ 10-Q Q1 2025 (dpz-20250323.htm) | Condensed Consolidated Statements of Income | 210,413</t>
      </text>
    </comment>
    <comment ref="D120" authorId="0">
      <text>
        <t>DPZ 10-Q Q2 2025 (dpz-20250615.htm) | Condensed Consolidated Statements of Income | 196,103</t>
      </text>
    </comment>
    <comment ref="E120" authorId="0">
      <text>
        <t>DPZ 10-Q Q3 2025 (dpz-20250907.htm) | Condensed Consolidated Statements of Income | 198,831</t>
      </text>
    </comment>
    <comment ref="F120" authorId="0">
      <text>
        <t>DPZ 8-K Ex.99.1 Q4 FY2025 release (dpz-ex99_1.htm, 2026-02-23) | Condensed Consolidated Statements of Income (fiscal quarter) | 273,652</t>
      </text>
    </comment>
    <comment ref="C121" authorId="0">
      <text>
        <t>DPZ 10-Q Q1 2025 (dpz-20250323.htm) | Condensed Consolidated Statements of Income | $125,824</t>
      </text>
    </comment>
    <comment ref="D121" authorId="0">
      <text>
        <t>DPZ 10-Q Q2 2025 (dpz-20250615.htm) | Condensed Consolidated Statements of Income | $141,978</t>
      </text>
    </comment>
    <comment ref="E121" authorId="0">
      <text>
        <t>DPZ 10-Q Q3 2025 (dpz-20250907.htm) | Condensed Consolidated Statements of Income | $146,924</t>
      </text>
    </comment>
    <comment ref="F121" authorId="0">
      <text>
        <t>DPZ 8-K Ex.99.1 Q4 FY2025 release (dpz-ex99_1.htm, 2026-02-23) | Condensed Consolidated Statements of Income (fiscal quarter) | 169,444</t>
      </text>
    </comment>
    <comment ref="C122" authorId="0">
      <text>
        <t>DPZ 10-Q Q1 2025 (dpz-20250323.htm) | Condensed Consolidated Statements of Income | 101,024</t>
      </text>
    </comment>
    <comment ref="D122" authorId="0">
      <text>
        <t>DPZ 10-Q Q2 2025 (dpz-20250615.htm) | Condensed Consolidated Statements of Income | 115,947</t>
      </text>
    </comment>
    <comment ref="E122" authorId="0">
      <text>
        <t>DPZ 10-Q Q3 2025 (dpz-20250907.htm) | Condensed Consolidated Statements of Income | 103,991</t>
      </text>
    </comment>
    <comment ref="F122" authorId="0">
      <text>
        <t>DPZ 8-K Ex.99.1 Q4 FY2025 release (dpz-ex99_1.htm, 2026-02-23) | Condensed Consolidated Statements of Income (fiscal quarter) | 138,530</t>
      </text>
    </comment>
    <comment ref="C125" authorId="0">
      <text>
        <t>DPZ 10-Q Q1 2025 (dpz-20250323.htm) | Condensed Consolidated Statements of Income | $3.58</t>
      </text>
    </comment>
    <comment ref="D125" authorId="0">
      <text>
        <t>DPZ 10-Q Q2 2025 (dpz-20250615.htm) | Condensed Consolidated Statements of Income | $4.03</t>
      </text>
    </comment>
    <comment ref="E125" authorId="0">
      <text>
        <t>DPZ 10-Q Q3 2025 (dpz-20250907.htm) | Condensed Consolidated Statements of Income | $4.19</t>
      </text>
    </comment>
    <comment ref="F125" authorId="0">
      <text>
        <t>DPZ 8-K Ex.99.1 Q4 FY2025 release (dpz-ex99_1.htm, 2026-02-23) | Condensed Consolidated Statements of Income (fiscal quarter) | 4.89</t>
      </text>
    </comment>
    <comment ref="G125" authorId="0">
      <text>
        <t>DPZ 8-K Ex.99.1 Q4 FY2025 release (dpz-ex99_1.htm, 2026-02-23) | Fourth Quarter and Fiscal 2025 highlights — Diluted earnings per share (fiscal 2024) | $16.69</t>
      </text>
    </comment>
    <comment ref="G127" authorId="0">
      <text>
        <t>DPZ 8-K Ex.99.1 Q4 FY2025 release (dpz-ex99_1.htm, 2026-02-23) | Condensed Consolidated Statements of Income (fiscal year) | 4,939,994</t>
      </text>
    </comment>
    <comment ref="G128" authorId="0">
      <text>
        <t>DPZ 8-K Ex.99.1 Q4 FY2025 release (dpz-ex99_1.htm, 2026-02-23) | Condensed Consolidated Statements of Income (fiscal year) | 953,974</t>
      </text>
    </comment>
    <comment ref="G129" authorId="0">
      <text>
        <t>DPZ 8-K Ex.99.1 Q4 FY2025 release (dpz-ex99_1.htm, 2026-02-23) | Condensed Consolidated Statements of Income (fiscal year) | 601,704</t>
      </text>
    </comment>
  </commentList>
</comments>
</file>

<file path=xl/comments6.xml><?xml version="1.0" encoding="utf-8"?>
<comments xmlns="http://schemas.openxmlformats.org/spreadsheetml/2006/main">
  <authors>
    <author>Shortcut</author>
  </authors>
  <commentList>
    <comment ref="C10" authorId="0">
      <text>
        <t>DPZ 10-Q Q1 2025 (dpz-20250323.htm) | Condensed Consolidated Balance Sheets (March 23, 2025) | 304,320</t>
      </text>
    </comment>
    <comment ref="D10" authorId="0">
      <text>
        <t>DPZ 10-Q Q2 2025 (dpz-20250615.htm) | Condensed Consolidated Balance Sheets (June 15, 2025) | 272,859</t>
      </text>
    </comment>
    <comment ref="E10" authorId="0">
      <text>
        <t>DPZ 10-Q Q3 2025 (dpz-20250907.htm) | Condensed Consolidated Balance Sheets (September 7, 2025) | 139,728</t>
      </text>
    </comment>
    <comment ref="F10" authorId="0">
      <text>
        <t>DPZ 10-Q Q1 2026 (dpz-20260322.htm) | Condensed Consolidated Balance Sheets (December 28, 2025) | 125,675</t>
      </text>
    </comment>
    <comment ref="H10" authorId="0">
      <text>
        <t>DPZ 10-Q Q1 2026 (dpz-20260322.htm) | Condensed Consolidated Balance Sheets (March 22, 2026) | 232,922</t>
      </text>
    </comment>
    <comment ref="I10" authorId="0">
      <text>
        <t>DPZ 10-Q Q2 2026 (dpz-20260614.htm) | Condensed Consolidated Balance Sheets (June 14, 2026) | 164,836</t>
      </text>
    </comment>
    <comment ref="C11" authorId="0">
      <text>
        <t>DPZ 10-Q Q1 2025 (dpz-20250323.htm) | Condensed Consolidated Balance Sheets (March 23, 2025) | 197,412</t>
      </text>
    </comment>
    <comment ref="D11" authorId="0">
      <text>
        <t>DPZ 10-Q Q2 2025 (dpz-20250615.htm) | Condensed Consolidated Balance Sheets (June 15, 2025) | 211,734</t>
      </text>
    </comment>
    <comment ref="E11" authorId="0">
      <text>
        <t>DPZ 10-Q Q3 2025 (dpz-20250907.htm) | Condensed Consolidated Balance Sheets (September 7, 2025) | 202,501</t>
      </text>
    </comment>
    <comment ref="F11" authorId="0">
      <text>
        <t>DPZ 10-Q Q1 2026 (dpz-20260322.htm) | Condensed Consolidated Balance Sheets (December 28, 2025) | 216,110</t>
      </text>
    </comment>
    <comment ref="H11" authorId="0">
      <text>
        <t>DPZ 10-Q Q1 2026 (dpz-20260322.htm) | Condensed Consolidated Balance Sheets (March 22, 2026) | 183,628</t>
      </text>
    </comment>
    <comment ref="I11" authorId="0">
      <text>
        <t>DPZ 10-Q Q2 2026 (dpz-20260614.htm) | Condensed Consolidated Balance Sheets (June 14, 2026) | 187,885</t>
      </text>
    </comment>
    <comment ref="C12" authorId="0">
      <text>
        <t>DPZ 10-Q Q1 2025 (dpz-20250323.htm) | Condensed Consolidated Balance Sheets (March 23, 2025) | 302,837</t>
      </text>
    </comment>
    <comment ref="D12" authorId="0">
      <text>
        <t>DPZ 10-Q Q2 2025 (dpz-20250615.htm) | Condensed Consolidated Balance Sheets (June 15, 2025) | 284,606</t>
      </text>
    </comment>
    <comment ref="E12" authorId="0">
      <text>
        <t>DPZ 10-Q Q3 2025 (dpz-20250907.htm) | Condensed Consolidated Balance Sheets (September 7, 2025) | 277,175</t>
      </text>
    </comment>
    <comment ref="F12" authorId="0">
      <text>
        <t>DPZ 10-Q Q1 2026 (dpz-20260322.htm) | Condensed Consolidated Balance Sheets (December 28, 2025) | 315,958</t>
      </text>
    </comment>
    <comment ref="H12" authorId="0">
      <text>
        <t>DPZ 10-Q Q1 2026 (dpz-20260322.htm) | Condensed Consolidated Balance Sheets (March 22, 2026) | 306,098</t>
      </text>
    </comment>
    <comment ref="I12" authorId="0">
      <text>
        <t>DPZ 10-Q Q2 2026 (dpz-20260614.htm) | Condensed Consolidated Balance Sheets (June 14, 2026) | 303,182</t>
      </text>
    </comment>
    <comment ref="C13" authorId="0">
      <text>
        <t>DPZ 10-Q Q1 2025 (dpz-20250323.htm) | Condensed Consolidated Balance Sheets (March 23, 2025) | 73,236</t>
      </text>
    </comment>
    <comment ref="D13" authorId="0">
      <text>
        <t>DPZ 10-Q Q2 2025 (dpz-20250615.htm) | Condensed Consolidated Balance Sheets (June 15, 2025) | 69,705</t>
      </text>
    </comment>
    <comment ref="E13" authorId="0">
      <text>
        <t>DPZ 10-Q Q3 2025 (dpz-20250907.htm) | Condensed Consolidated Balance Sheets (September 7, 2025) | 71,155</t>
      </text>
    </comment>
    <comment ref="F13" authorId="0">
      <text>
        <t>DPZ 10-Q Q1 2026 (dpz-20260322.htm) | Condensed Consolidated Balance Sheets (December 28, 2025) | 79,189</t>
      </text>
    </comment>
    <comment ref="H13" authorId="0">
      <text>
        <t>DPZ 10-Q Q1 2026 (dpz-20260322.htm) | Condensed Consolidated Balance Sheets (March 22, 2026) | 69,154</t>
      </text>
    </comment>
    <comment ref="I13" authorId="0">
      <text>
        <t>DPZ 10-Q Q2 2026 (dpz-20260614.htm) | Condensed Consolidated Balance Sheets (June 14, 2026) | 75,057</t>
      </text>
    </comment>
    <comment ref="C14" authorId="0">
      <text>
        <t>DPZ 10-Q Q1 2025 (dpz-20250323.htm) | Condensed Consolidated Balance Sheets (March 23, 2025) | 38,528</t>
      </text>
    </comment>
    <comment ref="D14" authorId="0">
      <text>
        <t>DPZ 10-Q Q2 2025 (dpz-20250615.htm) | Condensed Consolidated Balance Sheets (June 15, 2025) | 45,556</t>
      </text>
    </comment>
    <comment ref="E14" authorId="0">
      <text>
        <t>DPZ 10-Q Q3 2025 (dpz-20250907.htm) | Condensed Consolidated Balance Sheets (September 7, 2025) | 41,349</t>
      </text>
    </comment>
    <comment ref="F14" authorId="0">
      <text>
        <t>DPZ 10-Q Q1 2026 (dpz-20260322.htm) | Condensed Consolidated Balance Sheets (December 28, 2025) | 39,767</t>
      </text>
    </comment>
    <comment ref="H14" authorId="0">
      <text>
        <t>DPZ 10-Q Q1 2026 (dpz-20260322.htm) | Condensed Consolidated Balance Sheets (March 22, 2026) | 41,377</t>
      </text>
    </comment>
    <comment ref="I14" authorId="0">
      <text>
        <t>DPZ 10-Q Q2 2026 (dpz-20260614.htm) | Condensed Consolidated Balance Sheets (June 14, 2026) | 55,049</t>
      </text>
    </comment>
    <comment ref="C15" authorId="0">
      <text>
        <t>DPZ 10-Q Q1 2025 (dpz-20250323.htm) | Condensed Consolidated Balance Sheets (March 23, 2025) | 99,601</t>
      </text>
    </comment>
    <comment ref="D15" authorId="0">
      <text>
        <t>DPZ 10-Q Q2 2025 (dpz-20250615.htm) | Condensed Consolidated Balance Sheets (June 15, 2025) | 123,098</t>
      </text>
    </comment>
    <comment ref="E15" authorId="0">
      <text>
        <t>DPZ 10-Q Q3 2025 (dpz-20250907.htm) | Condensed Consolidated Balance Sheets (September 7, 2025) | 135,826</t>
      </text>
    </comment>
    <comment ref="F15" authorId="0">
      <text>
        <t>DPZ 10-Q Q1 2026 (dpz-20260322.htm) | Condensed Consolidated Balance Sheets (December 28, 2025) | 117,502</t>
      </text>
    </comment>
    <comment ref="H15" authorId="0">
      <text>
        <t>DPZ 10-Q Q1 2026 (dpz-20260322.htm) | Condensed Consolidated Balance Sheets (March 22, 2026) | 115,814</t>
      </text>
    </comment>
    <comment ref="I15" authorId="0">
      <text>
        <t>DPZ 10-Q Q2 2026 (dpz-20260614.htm) | Condensed Consolidated Balance Sheets (June 14, 2026) | 119,410</t>
      </text>
    </comment>
    <comment ref="C17" authorId="0">
      <text>
        <t>DPZ 10-Q Q1 2025 (dpz-20250323.htm) | Condensed Consolidated Balance Sheets (March 23, 2025) | 294,926</t>
      </text>
    </comment>
    <comment ref="D17" authorId="0">
      <text>
        <t>DPZ 10-Q Q2 2025 (dpz-20250615.htm) | Condensed Consolidated Balance Sheets (June 15, 2025) | 290,270</t>
      </text>
    </comment>
    <comment ref="E17" authorId="0">
      <text>
        <t>DPZ 10-Q Q3 2025 (dpz-20250907.htm) | Condensed Consolidated Balance Sheets (September 7, 2025) | 290,653</t>
      </text>
    </comment>
    <comment ref="F17" authorId="0">
      <text>
        <t>DPZ 10-Q Q1 2026 (dpz-20260322.htm) | Condensed Consolidated Balance Sheets (December 28, 2025) | 324,022</t>
      </text>
    </comment>
    <comment ref="H17" authorId="0">
      <text>
        <t>DPZ 10-Q Q1 2026 (dpz-20260322.htm) | Condensed Consolidated Balance Sheets (March 22, 2026) | 386,730</t>
      </text>
    </comment>
    <comment ref="I17" authorId="0">
      <text>
        <t>DPZ 10-Q Q2 2026 (dpz-20260614.htm) | Condensed Consolidated Balance Sheets (June 14, 2026) | 374,446</t>
      </text>
    </comment>
    <comment ref="C18" authorId="0">
      <text>
        <t>DPZ 10-Q Q1 2025 (dpz-20250323.htm) | Condensed Consolidated Balance Sheets (March 23, 2025) | 217,097</t>
      </text>
    </comment>
    <comment ref="D18" authorId="0">
      <text>
        <t>DPZ 10-Q Q2 2025 (dpz-20250615.htm) | Condensed Consolidated Balance Sheets (June 15, 2025) | 222,676</t>
      </text>
    </comment>
    <comment ref="E18" authorId="0">
      <text>
        <t>DPZ 10-Q Q3 2025 (dpz-20250907.htm) | Condensed Consolidated Balance Sheets (September 7, 2025) | 223,540</t>
      </text>
    </comment>
    <comment ref="F18" authorId="0">
      <text>
        <t>DPZ 10-Q Q1 2026 (dpz-20260322.htm) | Condensed Consolidated Balance Sheets (December 28, 2025) | 219,485</t>
      </text>
    </comment>
    <comment ref="H18" authorId="0">
      <text>
        <t>DPZ 10-Q Q1 2026 (dpz-20260322.htm) | Condensed Consolidated Balance Sheets (March 22, 2026) | 238,908</t>
      </text>
    </comment>
    <comment ref="I18" authorId="0">
      <text>
        <t>DPZ 10-Q Q2 2026 (dpz-20260614.htm) | Condensed Consolidated Balance Sheets (June 14, 2026) | 227,793</t>
      </text>
    </comment>
    <comment ref="C19" authorId="0">
      <text>
        <t>DPZ 10-Q Q1 2025 (dpz-20250323.htm) | Condensed Consolidated Balance Sheets (March 23, 2025) | 12,117</t>
      </text>
    </comment>
    <comment ref="D19" authorId="0">
      <text>
        <t>DPZ 10-Q Q2 2025 (dpz-20250615.htm) | Condensed Consolidated Balance Sheets (June 15, 2025) | 10,764</t>
      </text>
    </comment>
    <comment ref="E19" authorId="0">
      <text>
        <t>DPZ 10-Q Q3 2025 (dpz-20250907.htm) | Condensed Consolidated Balance Sheets (September 7, 2025) | 10,764</t>
      </text>
    </comment>
    <comment ref="F19" authorId="0">
      <text>
        <t>DPZ 10-Q Q1 2026 (dpz-20260322.htm) | Condensed Consolidated Balance Sheets (December 28, 2025) | 10,726</t>
      </text>
    </comment>
    <comment ref="H19" authorId="0">
      <text>
        <t>DPZ 10-Q Q1 2026 (dpz-20260322.htm) | Condensed Consolidated Balance Sheets (March 22, 2026) | 10,689</t>
      </text>
    </comment>
    <comment ref="I19" authorId="0">
      <text>
        <t>DPZ 10-Q Q2 2026 (dpz-20260614.htm) | Condensed Consolidated Balance Sheets (June 14, 2026) | 7,870</t>
      </text>
    </comment>
    <comment ref="C20" authorId="0">
      <text>
        <t>DPZ 10-Q Q1 2025 (dpz-20250323.htm) | Condensed Consolidated Balance Sheets (March 23, 2025) | 156,119</t>
      </text>
    </comment>
    <comment ref="D20" authorId="0">
      <text>
        <t>DPZ 10-Q Q2 2025 (dpz-20250615.htm) | Condensed Consolidated Balance Sheets (June 15, 2025) | 158,166</t>
      </text>
    </comment>
    <comment ref="E20" authorId="0">
      <text>
        <t>DPZ 10-Q Q3 2025 (dpz-20250907.htm) | Condensed Consolidated Balance Sheets (September 7, 2025) | 159,238</t>
      </text>
    </comment>
    <comment ref="F20" authorId="0">
      <text>
        <t>DPZ 10-Q Q1 2026 (dpz-20260322.htm) | Condensed Consolidated Balance Sheets (December 28, 2025) | 159,256</t>
      </text>
    </comment>
    <comment ref="H20" authorId="0">
      <text>
        <t>DPZ 10-Q Q1 2026 (dpz-20260322.htm) | Condensed Consolidated Balance Sheets (March 22, 2026) | 158,768</t>
      </text>
    </comment>
    <comment ref="I20" authorId="0">
      <text>
        <t>DPZ 10-Q Q2 2026 (dpz-20260614.htm) | Condensed Consolidated Balance Sheets (June 14, 2026) | 161,277</t>
      </text>
    </comment>
    <comment ref="C21" authorId="0">
      <text>
        <t>DPZ 10-Q Q1 2025 (dpz-20250323.htm) | Condensed Consolidated Balance Sheets (March 23, 2025) | 106,726</t>
      </text>
    </comment>
    <comment ref="D21" authorId="0">
      <text>
        <t>DPZ 10-Q Q2 2025 (dpz-20250615.htm) | Condensed Consolidated Balance Sheets (June 15, 2025) | 46,667</t>
      </text>
    </comment>
    <comment ref="E21" authorId="0">
      <text>
        <t>DPZ 10-Q Q3 2025 (dpz-20250907.htm) | Condensed Consolidated Balance Sheets (September 7, 2025) | 43,650</t>
      </text>
    </comment>
    <comment ref="F21" authorId="0">
      <text>
        <t>DPZ 10-Q Q1 2026 (dpz-20260322.htm) | Condensed Consolidated Balance Sheets (December 28, 2025) | 36,070</t>
      </text>
    </comment>
    <comment ref="H21" authorId="0">
      <text>
        <t>DPZ 10-Q Q1 2026 (dpz-20260322.htm) | Condensed Consolidated Balance Sheets (March 22, 2026) | 30,080</t>
      </text>
    </comment>
    <comment ref="I21" authorId="0">
      <text>
        <t>DPZ 10-Q Q2 2026 (dpz-20260614.htm) | Condensed Consolidated Balance Sheets (June 14, 2026) | 17,714</t>
      </text>
    </comment>
    <comment ref="C22" authorId="0">
      <text>
        <t>DPZ 10-Q Q1 2025 (dpz-20250323.htm) | Condensed Consolidated Balance Sheets (March 23, 2025) | 25,722</t>
      </text>
    </comment>
    <comment ref="D22" authorId="0">
      <text>
        <t>DPZ 10-Q Q2 2025 (dpz-20250615.htm) | Condensed Consolidated Balance Sheets (June 15, 2025) | 26,135</t>
      </text>
    </comment>
    <comment ref="E22" authorId="0">
      <text>
        <t>DPZ 10-Q Q3 2025 (dpz-20250907.htm) | Condensed Consolidated Balance Sheets (September 7, 2025) | 14,178</t>
      </text>
    </comment>
    <comment ref="F22" authorId="0">
      <text>
        <t>DPZ 10-Q Q1 2026 (dpz-20260322.htm) | Condensed Consolidated Balance Sheets (December 28, 2025) | 22,101</t>
      </text>
    </comment>
    <comment ref="H22" authorId="0">
      <text>
        <t>DPZ 10-Q Q1 2026 (dpz-20260322.htm) | Condensed Consolidated Balance Sheets (March 22, 2026) | 18,634</t>
      </text>
    </comment>
    <comment ref="I22" authorId="0">
      <text>
        <t>DPZ 10-Q Q2 2026 (dpz-20260614.htm) | Condensed Consolidated Balance Sheets (June 14, 2026) | 16,805</t>
      </text>
    </comment>
    <comment ref="C23" authorId="0">
      <text>
        <t>DPZ 10-Q Q1 2025 (dpz-20250323.htm) | Condensed Consolidated Balance Sheets (March 23, 2025) | 48,978</t>
      </text>
    </comment>
    <comment ref="D23" authorId="0">
      <text>
        <t>DPZ 10-Q Q2 2025 (dpz-20250615.htm) | Condensed Consolidated Balance Sheets (June 15, 2025) | 49,057</t>
      </text>
    </comment>
    <comment ref="E23" authorId="0">
      <text>
        <t>DPZ 10-Q Q3 2025 (dpz-20250907.htm) | Condensed Consolidated Balance Sheets (September 7, 2025) | 50,520</t>
      </text>
    </comment>
    <comment ref="F23" authorId="0">
      <text>
        <t>DPZ 10-Q Q1 2026 (dpz-20260322.htm) | Condensed Consolidated Balance Sheets (December 28, 2025) | 50,598</t>
      </text>
    </comment>
    <comment ref="H23" authorId="0">
      <text>
        <t>DPZ 10-Q Q1 2026 (dpz-20260322.htm) | Condensed Consolidated Balance Sheets (March 22, 2026) | 51,686</t>
      </text>
    </comment>
    <comment ref="I23" authorId="0">
      <text>
        <t>DPZ 10-Q Q2 2026 (dpz-20260614.htm) | Condensed Consolidated Balance Sheets (June 14, 2026) | 51,998</t>
      </text>
    </comment>
    <comment ref="C25" authorId="0">
      <text>
        <t>DPZ 10-Q Q1 2025 (dpz-20250323.htm) | Condensed Consolidated Balance Sheets (March 23, 2025) | 1,877,619</t>
      </text>
    </comment>
    <comment ref="D25" authorId="0">
      <text>
        <t>DPZ 10-Q Q2 2025 (dpz-20250615.htm) | Condensed Consolidated Balance Sheets (June 15, 2025) | 1,811,293</t>
      </text>
    </comment>
    <comment ref="E25" authorId="0">
      <text>
        <t>DPZ 10-Q Q3 2025 (dpz-20250907.htm) | Condensed Consolidated Balance Sheets (September 7, 2025) | 1,660,277</t>
      </text>
    </comment>
    <comment ref="F25" authorId="0">
      <text>
        <t>DPZ 10-Q Q1 2026 (dpz-20260322.htm) | Condensed Consolidated Balance Sheets (December 28, 2025) | 1,716,459</t>
      </text>
    </comment>
    <comment ref="H25" authorId="0">
      <text>
        <t>DPZ 10-Q Q1 2026 (dpz-20260322.htm) | Condensed Consolidated Balance Sheets (March 22, 2026) | 1,844,488</t>
      </text>
    </comment>
    <comment ref="I25" authorId="0">
      <text>
        <t>DPZ 10-Q Q2 2026 (dpz-20260614.htm) | Condensed Consolidated Balance Sheets (June 14, 2026) | 1,763,322</t>
      </text>
    </comment>
    <comment ref="C28" authorId="0">
      <text>
        <t>DPZ 10-Q Q1 2025 (dpz-20250323.htm) | Condensed Consolidated Balance Sheets (March 23, 2025) | 1,149,764</t>
      </text>
    </comment>
    <comment ref="D28" authorId="0">
      <text>
        <t>DPZ 10-Q Q2 2025 (dpz-20250615.htm) | Condensed Consolidated Balance Sheets (June 15, 2025) | 1,149,989</t>
      </text>
    </comment>
    <comment ref="E28" authorId="0">
      <text>
        <t>DPZ 10-Q Q3 2025 (dpz-20250907.htm) | Condensed Consolidated Balance Sheets (September 7, 2025) | 5,521</t>
      </text>
    </comment>
    <comment ref="F28" authorId="0">
      <text>
        <t>DPZ 10-Q Q1 2026 (dpz-20260322.htm) | Condensed Consolidated Balance Sheets (December 28, 2025) | 6,131</t>
      </text>
    </comment>
    <comment ref="H28" authorId="0">
      <text>
        <t>DPZ 10-Q Q1 2026 (dpz-20260322.htm) | Condensed Consolidated Balance Sheets (March 22, 2026) | 7,411</t>
      </text>
    </comment>
    <comment ref="I28" authorId="0">
      <text>
        <t>DPZ 10-Q Q2 2026 (dpz-20260614.htm) | Condensed Consolidated Balance Sheets (June 14, 2026) | 7,423</t>
      </text>
    </comment>
    <comment ref="C29" authorId="0">
      <text>
        <t>DPZ 10-Q Q1 2025 (dpz-20250323.htm) | Condensed Consolidated Balance Sheets (March 23, 2025) | 123,086</t>
      </text>
    </comment>
    <comment ref="D29" authorId="0">
      <text>
        <t>DPZ 10-Q Q2 2025 (dpz-20250615.htm) | Condensed Consolidated Balance Sheets (June 15, 2025) | 131,088</t>
      </text>
    </comment>
    <comment ref="E29" authorId="0">
      <text>
        <t>DPZ 10-Q Q3 2025 (dpz-20250907.htm) | Condensed Consolidated Balance Sheets (September 7, 2025) | 113,071</t>
      </text>
    </comment>
    <comment ref="F29" authorId="0">
      <text>
        <t>DPZ 10-Q Q1 2026 (dpz-20260322.htm) | Condensed Consolidated Balance Sheets (December 28, 2025) | 135,029</t>
      </text>
    </comment>
    <comment ref="H29" authorId="0">
      <text>
        <t>DPZ 10-Q Q1 2026 (dpz-20260322.htm) | Condensed Consolidated Balance Sheets (March 22, 2026) | 124,376</t>
      </text>
    </comment>
    <comment ref="I29" authorId="0">
      <text>
        <t>DPZ 10-Q Q2 2026 (dpz-20260614.htm) | Condensed Consolidated Balance Sheets (June 14, 2026) | 137,429</t>
      </text>
    </comment>
    <comment ref="C30" authorId="0">
      <text>
        <t>DPZ 10-Q Q1 2025 (dpz-20250323.htm) | Condensed Consolidated Balance Sheets (March 23, 2025) | 42,194</t>
      </text>
    </comment>
    <comment ref="D30" authorId="0">
      <text>
        <t>DPZ 10-Q Q2 2025 (dpz-20250615.htm) | Condensed Consolidated Balance Sheets (June 15, 2025) | 43,003</t>
      </text>
    </comment>
    <comment ref="E30" authorId="0">
      <text>
        <t>DPZ 10-Q Q3 2025 (dpz-20250907.htm) | Condensed Consolidated Balance Sheets (September 7, 2025) | 45,163</t>
      </text>
    </comment>
    <comment ref="F30" authorId="0">
      <text>
        <t>DPZ 10-Q Q1 2026 (dpz-20260322.htm) | Condensed Consolidated Balance Sheets (December 28, 2025) | 47,553</t>
      </text>
    </comment>
    <comment ref="H30" authorId="0">
      <text>
        <t>DPZ 10-Q Q1 2026 (dpz-20260322.htm) | Condensed Consolidated Balance Sheets (March 22, 2026) | 49,490</t>
      </text>
    </comment>
    <comment ref="I30" authorId="0">
      <text>
        <t>DPZ 10-Q Q2 2026 (dpz-20260614.htm) | Condensed Consolidated Balance Sheets (June 14, 2026) | 45,964</t>
      </text>
    </comment>
    <comment ref="C31" authorId="0">
      <text>
        <t>DPZ 10-Q Q1 2025 (dpz-20250323.htm) | Condensed Consolidated Balance Sheets (March 23, 2025) | 24,646</t>
      </text>
    </comment>
    <comment ref="D31" authorId="0">
      <text>
        <t>DPZ 10-Q Q2 2025 (dpz-20250615.htm) | Condensed Consolidated Balance Sheets (June 15, 2025) | 24,880</t>
      </text>
    </comment>
    <comment ref="E31" authorId="0">
      <text>
        <t>DPZ 10-Q Q3 2025 (dpz-20250907.htm) | Condensed Consolidated Balance Sheets (September 7, 2025) | 24,824</t>
      </text>
    </comment>
    <comment ref="F31" authorId="0">
      <text>
        <t>DPZ 10-Q Q1 2026 (dpz-20260322.htm) | Condensed Consolidated Balance Sheets (December 28, 2025) | 26,169</t>
      </text>
    </comment>
    <comment ref="H31" authorId="0">
      <text>
        <t>DPZ 10-Q Q1 2026 (dpz-20260322.htm) | Condensed Consolidated Balance Sheets (March 22, 2026) | 26,304</t>
      </text>
    </comment>
    <comment ref="I31" authorId="0">
      <text>
        <t>DPZ 10-Q Q2 2026 (dpz-20260614.htm) | Condensed Consolidated Balance Sheets (June 14, 2026) | 25,895</t>
      </text>
    </comment>
    <comment ref="C32" authorId="0">
      <text>
        <t>DPZ 10-Q Q1 2025 (dpz-20250323.htm) | Condensed Consolidated Balance Sheets (March 23, 2025) | 61,429</t>
      </text>
    </comment>
    <comment ref="D32" authorId="0">
      <text>
        <t>DPZ 10-Q Q2 2025 (dpz-20250615.htm) | Condensed Consolidated Balance Sheets (June 15, 2025) | 61,246</t>
      </text>
    </comment>
    <comment ref="E32" authorId="0">
      <text>
        <t>DPZ 10-Q Q3 2025 (dpz-20250907.htm) | Condensed Consolidated Balance Sheets (September 7, 2025) | 61,183</t>
      </text>
    </comment>
    <comment ref="F32" authorId="0">
      <text>
        <t>DPZ 10-Q Q1 2026 (dpz-20260322.htm) | Condensed Consolidated Balance Sheets (December 28, 2025) | 2,714</t>
      </text>
    </comment>
    <comment ref="H32" authorId="0">
      <text>
        <t>DPZ 10-Q Q1 2026 (dpz-20260322.htm) | Condensed Consolidated Balance Sheets (March 22, 2026) | 68,533</t>
      </text>
    </comment>
    <comment ref="I32" authorId="0">
      <text>
        <t>DPZ 10-Q Q2 2026 (dpz-20260614.htm) | Condensed Consolidated Balance Sheets (June 14, 2026) | 67,912</t>
      </text>
    </comment>
    <comment ref="C33" authorId="0">
      <text>
        <t>DPZ 10-Q Q1 2025 (dpz-20250323.htm) | Condensed Consolidated Balance Sheets (March 23, 2025) | 97,403</t>
      </text>
    </comment>
    <comment ref="D33" authorId="0">
      <text>
        <t>DPZ 10-Q Q2 2025 (dpz-20250615.htm) | Condensed Consolidated Balance Sheets (June 15, 2025) | 120,790</t>
      </text>
    </comment>
    <comment ref="E33" authorId="0">
      <text>
        <t>DPZ 10-Q Q3 2025 (dpz-20250907.htm) | Condensed Consolidated Balance Sheets (September 7, 2025) | 132,705</t>
      </text>
    </comment>
    <comment ref="F33" authorId="0">
      <text>
        <t>DPZ 10-Q Q1 2026 (dpz-20260322.htm) | Condensed Consolidated Balance Sheets (December 28, 2025) | 115,412</t>
      </text>
    </comment>
    <comment ref="H33" authorId="0">
      <text>
        <t>DPZ 10-Q Q1 2026 (dpz-20260322.htm) | Condensed Consolidated Balance Sheets (March 22, 2026) | 113,449</t>
      </text>
    </comment>
    <comment ref="I33" authorId="0">
      <text>
        <t>DPZ 10-Q Q2 2026 (dpz-20260614.htm) | Condensed Consolidated Balance Sheets (June 14, 2026) | 117,830</t>
      </text>
    </comment>
    <comment ref="C34" authorId="0">
      <text>
        <t>DPZ 10-Q Q1 2025 (dpz-20250323.htm) | Condensed Consolidated Balance Sheets (March 23, 2025) | 198,238</t>
      </text>
    </comment>
    <comment ref="D34" authorId="0">
      <text>
        <t>DPZ 10-Q Q2 2025 (dpz-20250615.htm) | Condensed Consolidated Balance Sheets (June 15, 2025) | 157,185</t>
      </text>
    </comment>
    <comment ref="E34" authorId="0">
      <text>
        <t>DPZ 10-Q Q3 2025 (dpz-20250907.htm) | Condensed Consolidated Balance Sheets (September 7, 2025) | 156,686</t>
      </text>
    </comment>
    <comment ref="F34" authorId="0">
      <text>
        <t>DPZ 10-Q Q1 2026 (dpz-20260322.htm) | Condensed Consolidated Balance Sheets (December 28, 2025) | 208,613</t>
      </text>
    </comment>
    <comment ref="H34" authorId="0">
      <text>
        <t>DPZ 10-Q Q1 2026 (dpz-20260322.htm) | Condensed Consolidated Balance Sheets (March 22, 2026) | 202,437</t>
      </text>
    </comment>
    <comment ref="I34" authorId="0">
      <text>
        <t>DPZ 10-Q Q2 2026 (dpz-20260614.htm) | Condensed Consolidated Balance Sheets (June 14, 2026) | 186,217</t>
      </text>
    </comment>
    <comment ref="C36" authorId="0">
      <text>
        <t>DPZ 10-Q Q1 2025 (dpz-20250323.htm) | Condensed Consolidated Balance Sheets (March 23, 2025) | 3,825,995</t>
      </text>
    </comment>
    <comment ref="D36" authorId="0">
      <text>
        <t>DPZ 10-Q Q2 2025 (dpz-20250615.htm) | Condensed Consolidated Balance Sheets (June 15, 2025) | 3,825,847</t>
      </text>
    </comment>
    <comment ref="E36" authorId="0">
      <text>
        <t>DPZ 10-Q Q3 2025 (dpz-20250907.htm) | Condensed Consolidated Balance Sheets (September 7, 2025) | 4,810,274</t>
      </text>
    </comment>
    <comment ref="F36" authorId="0">
      <text>
        <t>DPZ 10-Q Q1 2026 (dpz-20260322.htm) | Condensed Consolidated Balance Sheets (December 28, 2025) | 4,810,683</t>
      </text>
    </comment>
    <comment ref="H36" authorId="0">
      <text>
        <t>DPZ 10-Q Q1 2026 (dpz-20260322.htm) | Condensed Consolidated Balance Sheets (March 22, 2026) | 4,876,122</t>
      </text>
    </comment>
    <comment ref="I36" authorId="0">
      <text>
        <t>DPZ 10-Q Q2 2026 (dpz-20260614.htm) | Condensed Consolidated Balance Sheets (June 14, 2026) | 4,876,221</t>
      </text>
    </comment>
    <comment ref="C37" authorId="0">
      <text>
        <t>DPZ 10-Q Q1 2025 (dpz-20250323.htm) | Condensed Consolidated Balance Sheets (March 23, 2025) | 188,547</t>
      </text>
    </comment>
    <comment ref="D37" authorId="0">
      <text>
        <t>DPZ 10-Q Q2 2025 (dpz-20250615.htm) | Condensed Consolidated Balance Sheets (June 15, 2025) | 192,739</t>
      </text>
    </comment>
    <comment ref="E37" authorId="0">
      <text>
        <t>DPZ 10-Q Q3 2025 (dpz-20250907.htm) | Condensed Consolidated Balance Sheets (September 7, 2025) | 190,757</t>
      </text>
    </comment>
    <comment ref="F37" authorId="0">
      <text>
        <t>DPZ 10-Q Q1 2026 (dpz-20260322.htm) | Condensed Consolidated Balance Sheets (December 28, 2025) | 183,917</t>
      </text>
    </comment>
    <comment ref="H37" authorId="0">
      <text>
        <t>DPZ 10-Q Q1 2026 (dpz-20260322.htm) | Condensed Consolidated Balance Sheets (March 22, 2026) | 202,750</t>
      </text>
    </comment>
    <comment ref="I37" authorId="0">
      <text>
        <t>DPZ 10-Q Q2 2026 (dpz-20260614.htm) | Condensed Consolidated Balance Sheets (June 14, 2026) | 193,245</t>
      </text>
    </comment>
    <comment ref="C38" authorId="0">
      <text>
        <t>DPZ 10-Q Q1 2025 (dpz-20250323.htm) | Condensed Consolidated Balance Sheets (March 23, 2025) | 32,667</t>
      </text>
    </comment>
    <comment ref="D38" authorId="0">
      <text>
        <t>DPZ 10-Q Q2 2025 (dpz-20250615.htm) | Condensed Consolidated Balance Sheets (June 15, 2025) | 33,148</t>
      </text>
    </comment>
    <comment ref="E38" authorId="0">
      <text>
        <t>DPZ 10-Q Q3 2025 (dpz-20250907.htm) | Condensed Consolidated Balance Sheets (September 7, 2025) | 34,757</t>
      </text>
    </comment>
    <comment ref="F38" authorId="0">
      <text>
        <t>DPZ 10-Q Q1 2026 (dpz-20260322.htm) | Condensed Consolidated Balance Sheets (December 28, 2025) | 32,959</t>
      </text>
    </comment>
    <comment ref="H38" authorId="0">
      <text>
        <t>DPZ 10-Q Q1 2026 (dpz-20260322.htm) | Condensed Consolidated Balance Sheets (March 22, 2026) | 33,614</t>
      </text>
    </comment>
    <comment ref="I38" authorId="0">
      <text>
        <t>DPZ 10-Q Q2 2026 (dpz-20260614.htm) | Condensed Consolidated Balance Sheets (June 14, 2026) | 36,722</t>
      </text>
    </comment>
    <comment ref="C39" authorId="0">
      <text>
        <t>DPZ 10-Q Q1 2025 (dpz-20250323.htm) | Condensed Consolidated Balance Sheets (March 23, 2025) | 46,338</t>
      </text>
    </comment>
    <comment ref="D39" authorId="0">
      <text>
        <t>DPZ 10-Q Q2 2025 (dpz-20250615.htm) | Condensed Consolidated Balance Sheets (June 15, 2025) | 46,005</t>
      </text>
    </comment>
    <comment ref="E39" authorId="0">
      <text>
        <t>DPZ 10-Q Q3 2025 (dpz-20250907.htm) | Condensed Consolidated Balance Sheets (September 7, 2025) | 47,295</t>
      </text>
    </comment>
    <comment ref="F39" authorId="0">
      <text>
        <t>DPZ 10-Q Q1 2026 (dpz-20260322.htm) | Condensed Consolidated Balance Sheets (December 28, 2025) | 48,421</t>
      </text>
    </comment>
    <comment ref="H39" authorId="0">
      <text>
        <t>DPZ 10-Q Q1 2026 (dpz-20260322.htm) | Condensed Consolidated Balance Sheets (March 22, 2026) | 46,775</t>
      </text>
    </comment>
    <comment ref="I39" authorId="0">
      <text>
        <t>DPZ 10-Q Q2 2026 (dpz-20260614.htm) | Condensed Consolidated Balance Sheets (June 14, 2026) | 50,895</t>
      </text>
    </comment>
    <comment ref="C43" authorId="0">
      <text>
        <t>DPZ 10-Q Q1 2025 (dpz-20250323.htm) | Condensed Consolidated Balance Sheets (March 23, 2025) | 342</t>
      </text>
    </comment>
    <comment ref="D43" authorId="0">
      <text>
        <t>DPZ 10-Q Q2 2025 (dpz-20250615.htm) | Condensed Consolidated Balance Sheets (June 15, 2025) | 339</t>
      </text>
    </comment>
    <comment ref="E43" authorId="0">
      <text>
        <t>DPZ 10-Q Q3 2025 (dpz-20250907.htm) | Condensed Consolidated Balance Sheets (September 7, 2025) | 338</t>
      </text>
    </comment>
    <comment ref="F43" authorId="0">
      <text>
        <t>DPZ 10-Q Q1 2026 (dpz-20260322.htm) | Condensed Consolidated Balance Sheets (December 28, 2025) | 336</t>
      </text>
    </comment>
    <comment ref="H43" authorId="0">
      <text>
        <t>DPZ 10-Q Q1 2026 (dpz-20260322.htm) | Condensed Consolidated Balance Sheets (March 22, 2026) | 335</t>
      </text>
    </comment>
    <comment ref="I43" authorId="0">
      <text>
        <t>DPZ 10-Q Q2 2026 (dpz-20260614.htm) | Condensed Consolidated Balance Sheets (June 14, 2026) | 331</t>
      </text>
    </comment>
    <comment ref="C44" authorId="0">
      <text>
        <t>DPZ 10-Q Q1 2025 (dpz-20250323.htm) | Condensed Consolidated Balance Sheets (March 23, 2025) | 892</t>
      </text>
    </comment>
    <comment ref="D44" authorId="0">
      <text>
        <t>DPZ 10-Q Q2 2025 (dpz-20250615.htm) | Condensed Consolidated Balance Sheets (June 15, 2025) | 843</t>
      </text>
    </comment>
    <comment ref="E44" authorId="0">
      <text>
        <t>DPZ 10-Q Q3 2025 (dpz-20250907.htm) | Condensed Consolidated Balance Sheets (September 7, 2025) | 619</t>
      </text>
    </comment>
    <comment ref="F44" authorId="0">
      <text>
        <t>DPZ 10-Q Q1 2026 (dpz-20260322.htm) | Condensed Consolidated Balance Sheets (December 28, 2025) | 1,910</t>
      </text>
    </comment>
    <comment ref="H44" authorId="0">
      <text>
        <t>DPZ 10-Q Q1 2026 (dpz-20260322.htm) | Condensed Consolidated Balance Sheets (March 22, 2026) | 161</t>
      </text>
    </comment>
    <comment ref="I44" authorId="0">
      <text>
        <t>DPZ 10-Q Q2 2026 (dpz-20260614.htm) | Condensed Consolidated Balance Sheets (June 14, 2026) | 841</t>
      </text>
    </comment>
    <comment ref="C45" authorId="0">
      <text>
        <t>DPZ 10-Q Q1 2025 (dpz-20250323.htm) | Condensed Consolidated Balance Sheets (March 23, 2025) | (3,906,833)</t>
      </text>
    </comment>
    <comment ref="D45" authorId="0">
      <text>
        <t>DPZ 10-Q Q2 2025 (dpz-20250615.htm) | Condensed Consolidated Balance Sheets (June 15, 2025) | (3,971,182)</t>
      </text>
    </comment>
    <comment ref="E45" authorId="0">
      <text>
        <t>DPZ 10-Q Q3 2025 (dpz-20250907.htm) | Condensed Consolidated Balance Sheets (September 7, 2025) | (3,957,671)</t>
      </text>
    </comment>
    <comment ref="F45" authorId="0">
      <text>
        <t>DPZ 10-Q Q1 2026 (dpz-20260322.htm) | Condensed Consolidated Balance Sheets (December 28, 2025) | (3,898,622)</t>
      </text>
    </comment>
    <comment ref="H45" authorId="0">
      <text>
        <t>DPZ 10-Q Q1 2026 (dpz-20260322.htm) | Condensed Consolidated Balance Sheets (March 22, 2026) | (3,902,172)</t>
      </text>
    </comment>
    <comment ref="I45" authorId="0">
      <text>
        <t>DPZ 10-Q Q2 2026 (dpz-20260614.htm) | Condensed Consolidated Balance Sheets (June 14, 2026) | (3,977,546)</t>
      </text>
    </comment>
    <comment ref="C46" authorId="0">
      <text>
        <t>DPZ 10-Q Q1 2025 (dpz-20250323.htm) | Condensed Consolidated Balance Sheets (March 23, 2025) | (7,089)</t>
      </text>
    </comment>
    <comment ref="D46" authorId="0">
      <text>
        <t>DPZ 10-Q Q2 2025 (dpz-20250615.htm) | Condensed Consolidated Balance Sheets (June 15, 2025) | (4,627)</t>
      </text>
    </comment>
    <comment ref="E46" authorId="0">
      <text>
        <t>DPZ 10-Q Q3 2025 (dpz-20250907.htm) | Condensed Consolidated Balance Sheets (September 7, 2025) | (5,245)</t>
      </text>
    </comment>
    <comment ref="F46" authorId="0">
      <text>
        <t>DPZ 10-Q Q1 2026 (dpz-20260322.htm) | Condensed Consolidated Balance Sheets (December 28, 2025) | (4,766)</t>
      </text>
    </comment>
    <comment ref="H46" authorId="0">
      <text>
        <t>DPZ 10-Q Q1 2026 (dpz-20260322.htm) | Condensed Consolidated Balance Sheets (March 22, 2026) | (5,097)</t>
      </text>
    </comment>
    <comment ref="I46" authorId="0">
      <text>
        <t>DPZ 10-Q Q2 2026 (dpz-20260614.htm) | Condensed Consolidated Balance Sheets (June 14, 2026) | (6,057)</t>
      </text>
    </comment>
    <comment ref="C48" authorId="0">
      <text>
        <t>DPZ 10-Q Q1 2025 (dpz-20250323.htm) | Condensed Consolidated Balance Sheets (March 23, 2025) | (3,912,688)</t>
      </text>
    </comment>
    <comment ref="D48" authorId="0">
      <text>
        <t>DPZ 10-Q Q2 2025 (dpz-20250615.htm) | Condensed Consolidated Balance Sheets (June 15, 2025) | (3,974,627)</t>
      </text>
    </comment>
    <comment ref="E48" authorId="0">
      <text>
        <t>DPZ 10-Q Q3 2025 (dpz-20250907.htm) | Condensed Consolidated Balance Sheets (September 7, 2025) | (3,961,959)</t>
      </text>
    </comment>
    <comment ref="F48" authorId="0">
      <text>
        <t>DPZ 10-Q Q1 2026 (dpz-20260322.htm) | Condensed Consolidated Balance Sheets (December 28, 2025) | (3,901,142)</t>
      </text>
    </comment>
    <comment ref="H48" authorId="0">
      <text>
        <t>DPZ 10-Q Q1 2026 (dpz-20260322.htm) | Condensed Consolidated Balance Sheets (March 22, 2026) | (3,906,773)</t>
      </text>
    </comment>
    <comment ref="I48" authorId="0">
      <text>
        <t>DPZ 10-Q Q2 2026 (dpz-20260614.htm) | Condensed Consolidated Balance Sheets (June 14, 2026) | (3,982,431)</t>
      </text>
    </comment>
    <comment ref="D54" authorId="0">
      <text>
        <t>DPZ 10-Q Q2 2026 (dpz-20260614.htm) | Leverage ratio (June 15, 2025 comparative) | 4.7</t>
      </text>
    </comment>
    <comment ref="F54" authorId="0">
      <text>
        <t>DPZ 8-K Ex.99.1 Q4 FY2025 release (dpz-ex99_1.htm, 2026-02-23) | Leverage ratio | 4.4x</t>
      </text>
    </comment>
    <comment ref="I54" authorId="0">
      <text>
        <t>DPZ 8-K Ex.99.1 Q2 2026 release (dpz-ex99_1.htm, 2026-07-20) | Leverage ratio | 4.3x</t>
      </text>
    </comment>
  </commentList>
</comments>
</file>

<file path=xl/comments7.xml><?xml version="1.0" encoding="utf-8"?>
<comments xmlns="http://schemas.openxmlformats.org/spreadsheetml/2006/main">
  <authors>
    <author>Shortcut</author>
  </authors>
  <commentList>
    <comment ref="C14" authorId="0">
      <text>
        <t>DPZ 10-Q Q1 2026 (dpz-20260322.htm) | Segment table — Segment depreciation and amortization (U.S. Stores) | 2,820</t>
      </text>
    </comment>
    <comment ref="D14" authorId="0">
      <text>
        <t>DPZ 10-Q Q2 2026 (dpz-20260614.htm) | Segment table — Segment depreciation and amortization (U.S. Stores) | 2,737</t>
      </text>
    </comment>
    <comment ref="H14" authorId="0">
      <text>
        <t>DPZ 10-Q Q1 2026 (dpz-20260322.htm) | Segment table — Segment depreciation and amortization (U.S. Stores) | 2,558</t>
      </text>
    </comment>
    <comment ref="I14" authorId="0">
      <text>
        <t>DPZ 10-Q Q2 2026 (dpz-20260614.htm) | Segment table — Segment depreciation and amortization (U.S. Stores) | 2,171</t>
      </text>
    </comment>
    <comment ref="C15" authorId="0">
      <text>
        <t>DPZ 10-Q Q1 2026 (dpz-20260322.htm) | Segment table — Segment depreciation and amortization (Supply Chain) | 9,212</t>
      </text>
    </comment>
    <comment ref="D15" authorId="0">
      <text>
        <t>DPZ 10-Q Q2 2026 (dpz-20260614.htm) | Segment table — Segment depreciation and amortization (Supply Chain) | 9,455</t>
      </text>
    </comment>
    <comment ref="H15" authorId="0">
      <text>
        <t>DPZ 10-Q Q1 2026 (dpz-20260322.htm) | Segment table — Segment depreciation and amortization (Supply Chain) | 9,753</t>
      </text>
    </comment>
    <comment ref="I15" authorId="0">
      <text>
        <t>DPZ 10-Q Q2 2026 (dpz-20260614.htm) | Segment table — Segment depreciation and amortization (Supply Chain) | 10,967</t>
      </text>
    </comment>
    <comment ref="C16" authorId="0">
      <text>
        <t>DPZ 10-Q Q1 2026 (dpz-20260322.htm) | Segment table — Segment depreciation and amortization (International Franchise) | 35</t>
      </text>
    </comment>
    <comment ref="D16" authorId="0">
      <text>
        <t>DPZ 10-Q Q2 2026 (dpz-20260614.htm) | Segment table — Segment depreciation and amortization (International Franchise) | 77</t>
      </text>
    </comment>
    <comment ref="H16" authorId="0">
      <text>
        <t>DPZ 10-Q Q1 2026 (dpz-20260322.htm) | Segment table — Segment depreciation and amortization (International Franchise) | 18</t>
      </text>
    </comment>
    <comment ref="I16" authorId="0">
      <text>
        <t>DPZ 10-Q Q2 2026 (dpz-20260614.htm) | Segment table — Segment depreciation and amortization (International Franchise) | 18</t>
      </text>
    </comment>
    <comment ref="C38" authorId="0">
      <text>
        <t>DPZ 10-Q Q1 2026 (dpz-20260322.htm) | Segment table — Segment capital expenditures (U.S. Stores) | 976</t>
      </text>
    </comment>
    <comment ref="D38" authorId="0">
      <text>
        <t>DPZ 10-Q Q2 2026 (dpz-20260614.htm) | Segment table — Segment capital expenditures (U.S. Stores) | 1,983</t>
      </text>
    </comment>
    <comment ref="E38" authorId="0">
      <text>
        <t>DPZ 10-Q Q3 2025 (dpz-20250907.htm) | Segment table — Segment capital expenditures (U.S. Stores) | 2,629</t>
      </text>
    </comment>
    <comment ref="H38" authorId="0">
      <text>
        <t>DPZ 10-Q Q1 2026 (dpz-20260322.htm) | Segment table — Segment capital expenditures (U.S. Stores) | 2,670</t>
      </text>
    </comment>
    <comment ref="I38" authorId="0">
      <text>
        <t>DPZ 10-Q Q2 2026 (dpz-20260614.htm) | Segment table — Segment capital expenditures (U.S. Stores) | 2,309</t>
      </text>
    </comment>
    <comment ref="C39" authorId="0">
      <text>
        <t>DPZ 10-Q Q1 2026 (dpz-20260322.htm) | Segment table — Segment capital expenditures (Supply Chain) | 5,510</t>
      </text>
    </comment>
    <comment ref="D39" authorId="0">
      <text>
        <t>DPZ 10-Q Q2 2026 (dpz-20260614.htm) | Segment table — Segment capital expenditures (Supply Chain) | 9,076</t>
      </text>
    </comment>
    <comment ref="E39" authorId="0">
      <text>
        <t>DPZ 10-Q Q3 2025 (dpz-20250907.htm) | Segment table — Segment capital expenditures (Supply Chain) | 8,248</t>
      </text>
    </comment>
    <comment ref="H39" authorId="0">
      <text>
        <t>DPZ 10-Q Q1 2026 (dpz-20260322.htm) | Segment table — Segment capital expenditures (Supply Chain) | 5,248</t>
      </text>
    </comment>
    <comment ref="I39" authorId="0">
      <text>
        <t>DPZ 10-Q Q2 2026 (dpz-20260614.htm) | Segment table — Segment capital expenditures (Supply Chain) | 9,908</t>
      </text>
    </comment>
    <comment ref="C40" authorId="0">
      <text>
        <t>DPZ 10-Q Q1 2026 (dpz-20260322.htm) | Segment table — Segment capital expenditures (International Franchise) | —</t>
      </text>
    </comment>
    <comment ref="D40" authorId="0">
      <text>
        <t>DPZ 10-Q Q2 2026 (dpz-20260614.htm) | Segment table — Segment capital expenditures (International Franchise) | —</t>
      </text>
    </comment>
    <comment ref="E40" authorId="0">
      <text>
        <t>DPZ 10-Q Q3 2025 (dpz-20250907.htm) | Segment table — Segment capital expenditures (International Franchise) | 139</t>
      </text>
    </comment>
    <comment ref="H40" authorId="0">
      <text>
        <t>DPZ 10-Q Q1 2026 (dpz-20260322.htm) | Segment table — Segment capital expenditures (International Franchise) | —</t>
      </text>
    </comment>
    <comment ref="I40" authorId="0">
      <text>
        <t>DPZ 10-Q Q2 2026 (dpz-20260614.htm) | Segment table — Segment capital expenditures (International Franchise) | —</t>
      </text>
    </comment>
    <comment ref="C64" authorId="0">
      <text>
        <t>DPZ 10-Q Q1 2026 (dpz-20260322.htm) | Statements of Cash Flows (beginning of period, fiscal 2025) | 462,424</t>
      </text>
    </comment>
    <comment ref="C81" authorId="0">
      <text>
        <t>DPZ 10-Q Q1 2026 (dpz-20260322.htm) | Statements of Cash Flows (fiscal quarter ended March 23, 2025 comparative) | 20,362</t>
      </text>
    </comment>
    <comment ref="D81" authorId="0">
      <text>
        <t>DPZ 10-Q Q2 2026 (dpz-20260614.htm) | Statements of Cash Flows (two fiscal quarters ended June 15, 2025 comparative) | 40,713</t>
      </text>
    </comment>
    <comment ref="E81" authorId="0">
      <text>
        <t>DPZ 10-Q Q3 2025 (dpz-20250907.htm) | Statements of Cash Flows (three fiscal quarters ended September 7, 2025) | 61,128</t>
      </text>
    </comment>
    <comment ref="F81" authorId="0">
      <text>
        <t>DPZ 8-K Ex.99.1 Q4 FY2025 release (dpz-ex99_1.htm, 2026-02-23) | Statements of Cash Flows (fiscal year ended December 28, 2025) | 88,827</t>
      </text>
    </comment>
    <comment ref="H81" authorId="0">
      <text>
        <t>DPZ 10-Q Q1 2026 (dpz-20260322.htm) | Statements of Cash Flows (fiscal quarter ended March 22, 2026) | 20,434</t>
      </text>
    </comment>
    <comment ref="I81" authorId="0">
      <text>
        <t>DPZ 10-Q Q2 2026 (dpz-20260614.htm) | Statements of Cash Flows (two fiscal quarters ended June 14, 2026) | 40,781</t>
      </text>
    </comment>
    <comment ref="C84" authorId="0">
      <text>
        <t>DPZ 10-Q Q1 2026 (dpz-20260322.htm) | Statements of Cash Flows (fiscal quarter ended March 23, 2025 comparative) | 266</t>
      </text>
    </comment>
    <comment ref="D84" authorId="0">
      <text>
        <t>DPZ 10-Q Q2 2026 (dpz-20260614.htm) | Statements of Cash Flows (two fiscal quarters ended June 15, 2025 comparative) | 612</t>
      </text>
    </comment>
    <comment ref="E84" authorId="0">
      <text>
        <t>DPZ 10-Q Q3 2025 (dpz-20250907.htm) | Statements of Cash Flows (three fiscal quarters ended September 7, 2025) | 703</t>
      </text>
    </comment>
    <comment ref="F84" authorId="0">
      <text>
        <t>DPZ 8-K Ex.99.1 Q4 FY2025 release (dpz-ex99_1.htm, 2026-02-23) | Statements of Cash Flows (fiscal year ended December 28, 2025) | 1,855</t>
      </text>
    </comment>
    <comment ref="H84" authorId="0">
      <text>
        <t>DPZ 10-Q Q1 2026 (dpz-20260322.htm) | Statements of Cash Flows (fiscal quarter ended March 22, 2026) | 357</t>
      </text>
    </comment>
    <comment ref="I84" authorId="0">
      <text>
        <t>DPZ 10-Q Q2 2026 (dpz-20260614.htm) | Statements of Cash Flows (two fiscal quarters ended June 14, 2026) | 496</t>
      </text>
    </comment>
    <comment ref="C85" authorId="0">
      <text>
        <t>DPZ 10-Q Q1 2026 (dpz-20260322.htm) | Statements of Cash Flows (fiscal quarter ended March 23, 2025 comparative) | 1,210</t>
      </text>
    </comment>
    <comment ref="D85" authorId="0">
      <text>
        <t>DPZ 10-Q Q2 2026 (dpz-20260614.htm) | Statements of Cash Flows (two fiscal quarters ended June 15, 2025 comparative) | 2,419</t>
      </text>
    </comment>
    <comment ref="E85" authorId="0">
      <text>
        <t>DPZ 10-Q Q3 2025 (dpz-20250907.htm) | Statements of Cash Flows (three fiscal quarters ended September 7, 2025) | 3,768</t>
      </text>
    </comment>
    <comment ref="F85" authorId="0">
      <text>
        <t>DPZ 8-K Ex.99.1 Q4 FY2025 release (dpz-ex99_1.htm, 2026-02-23) | Statements of Cash Flows (fiscal year ended December 28, 2025) | 5,748</t>
      </text>
    </comment>
    <comment ref="H85" authorId="0">
      <text>
        <t>DPZ 10-Q Q1 2026 (dpz-20260322.htm) | Statements of Cash Flows (fiscal quarter ended March 22, 2026) | 1,485</t>
      </text>
    </comment>
    <comment ref="I85" authorId="0">
      <text>
        <t>DPZ 10-Q Q2 2026 (dpz-20260614.htm) | Statements of Cash Flows (two fiscal quarters ended June 14, 2026) | 2,970</t>
      </text>
    </comment>
    <comment ref="C86" authorId="0">
      <text>
        <t>DPZ 10-Q Q1 2026 (dpz-20260322.htm) | Statements of Cash Flows (fiscal quarter ended March 23, 2025 comparative) | (2,290)</t>
      </text>
    </comment>
    <comment ref="D86" authorId="0">
      <text>
        <t>DPZ 10-Q Q2 2026 (dpz-20260614.htm) | Statements of Cash Flows (two fiscal quarters ended June 15, 2025 comparative) | (2,700)</t>
      </text>
    </comment>
    <comment ref="E86" authorId="0">
      <text>
        <t>DPZ 10-Q Q3 2025 (dpz-20250907.htm) | Statements of Cash Flows (three fiscal quarters ended September 7, 2025) | 9,255</t>
      </text>
    </comment>
    <comment ref="F86" authorId="0">
      <text>
        <t>DPZ 8-K Ex.99.1 Q4 FY2025 release (dpz-ex99_1.htm, 2026-02-23) | Statements of Cash Flows (fiscal year ended December 28, 2025) | 1,288</t>
      </text>
    </comment>
    <comment ref="H86" authorId="0">
      <text>
        <t>DPZ 10-Q Q1 2026 (dpz-20260322.htm) | Statements of Cash Flows (fiscal quarter ended March 22, 2026) | 3,319</t>
      </text>
    </comment>
    <comment ref="I86" authorId="0">
      <text>
        <t>DPZ 10-Q Q2 2026 (dpz-20260614.htm) | Statements of Cash Flows (two fiscal quarters ended June 14, 2026) | 5,150</t>
      </text>
    </comment>
    <comment ref="C87" authorId="0">
      <text>
        <t>DPZ 10-Q Q1 2026 (dpz-20260322.htm) | Statements of Cash Flows (fiscal quarter ended March 23, 2025 comparative) | 10,381</t>
      </text>
    </comment>
    <comment ref="D87" authorId="0">
      <text>
        <t>DPZ 10-Q Q2 2026 (dpz-20260614.htm) | Statements of Cash Flows (two fiscal quarters ended June 15, 2025 comparative) | 21,356</t>
      </text>
    </comment>
    <comment ref="E87" authorId="0">
      <text>
        <t>DPZ 10-Q Q3 2025 (dpz-20250907.htm) | Statements of Cash Flows (three fiscal quarters ended September 7, 2025) | 31,681</t>
      </text>
    </comment>
    <comment ref="F87" authorId="0">
      <text>
        <t>DPZ 8-K Ex.99.1 Q4 FY2025 release (dpz-ex99_1.htm, 2026-02-23) | Statements of Cash Flows (fiscal year ended December 28, 2025) | 44,640</t>
      </text>
    </comment>
    <comment ref="H87" authorId="0">
      <text>
        <t>DPZ 10-Q Q1 2026 (dpz-20260322.htm) | Statements of Cash Flows (fiscal quarter ended March 22, 2026) | 8,789</t>
      </text>
    </comment>
    <comment ref="I87" authorId="0">
      <text>
        <t>DPZ 10-Q Q2 2026 (dpz-20260614.htm) | Statements of Cash Flows (two fiscal quarters ended June 14, 2026) | 21,146</t>
      </text>
    </comment>
    <comment ref="C88" authorId="0">
      <text>
        <t>DPZ 10-Q Q1 2026 (dpz-20260322.htm) | Statements of Cash Flows (fiscal quarter ended March 23, 2025 comparative) | (1,569)</t>
      </text>
    </comment>
    <comment ref="D88" authorId="0">
      <text>
        <t>DPZ 10-Q Q2 2026 (dpz-20260614.htm) | Statements of Cash Flows (two fiscal quarters ended June 15, 2025 comparative) | (2,343)</t>
      </text>
    </comment>
    <comment ref="E88" authorId="0">
      <text>
        <t>DPZ 10-Q Q3 2025 (dpz-20250907.htm) | Statements of Cash Flows (three fiscal quarters ended September 7, 2025) | (2,751)</t>
      </text>
    </comment>
    <comment ref="F88" authorId="0">
      <text>
        <t>DPZ 8-K Ex.99.1 Q4 FY2025 release (dpz-ex99_1.htm, 2026-02-23) | Statements of Cash Flows (fiscal year ended December 28, 2025) | (3,158)</t>
      </text>
    </comment>
    <comment ref="H88" authorId="0">
      <text>
        <t>DPZ 10-Q Q1 2026 (dpz-20260322.htm) | Statements of Cash Flows (fiscal quarter ended March 22, 2026) | (463)</t>
      </text>
    </comment>
    <comment ref="I88" authorId="0">
      <text>
        <t>DPZ 10-Q Q2 2026 (dpz-20260614.htm) | Statements of Cash Flows (two fiscal quarters ended June 14, 2026) | (625)</t>
      </text>
    </comment>
    <comment ref="C89" authorId="0">
      <text>
        <t>DPZ 10-Q Q1 2026 (dpz-20260322.htm) | Statements of Cash Flows (fiscal quarter ended March 23, 2025 comparative) | (57)</t>
      </text>
    </comment>
    <comment ref="D89" authorId="0">
      <text>
        <t>DPZ 10-Q Q2 2026 (dpz-20260614.htm) | Statements of Cash Flows (two fiscal quarters ended June 15, 2025 comparative) | (4)</t>
      </text>
    </comment>
    <comment ref="E89" authorId="0">
      <text>
        <t>DPZ 10-Q Q3 2025 (dpz-20250907.htm) | Statements of Cash Flows (three fiscal quarters ended September 7, 2025) | (49)</t>
      </text>
    </comment>
    <comment ref="F89" authorId="0">
      <text>
        <t>DPZ 8-K Ex.99.1 Q4 FY2025 release (dpz-ex99_1.htm, 2026-02-23) | Statements of Cash Flows (fiscal year ended December 28, 2025) | (109)</t>
      </text>
    </comment>
    <comment ref="H89" authorId="0">
      <text>
        <t>DPZ 10-Q Q1 2026 (dpz-20260322.htm) | Statements of Cash Flows (fiscal quarter ended March 22, 2026) | 44</t>
      </text>
    </comment>
    <comment ref="I89" authorId="0">
      <text>
        <t>DPZ 10-Q Q2 2026 (dpz-20260614.htm) | Statements of Cash Flows (two fiscal quarters ended June 14, 2026) | 38</t>
      </text>
    </comment>
    <comment ref="C90" authorId="0">
      <text>
        <t>DPZ 10-Q Q1 2026 (dpz-20260322.htm) | Statements of Cash Flows (fiscal quarter ended March 23, 2025 comparative) | (24,027)</t>
      </text>
    </comment>
    <comment ref="D90" authorId="0">
      <text>
        <t>DPZ 10-Q Q2 2026 (dpz-20260614.htm) | Statements of Cash Flows (two fiscal quarters ended June 15, 2025 comparative) | (8,053)</t>
      </text>
    </comment>
    <comment ref="E90" authorId="0">
      <text>
        <t>DPZ 10-Q Q3 2025 (dpz-20250907.htm) | Statements of Cash Flows (three fiscal quarters ended September 7, 2025) | (5,036)</t>
      </text>
    </comment>
    <comment ref="F90" authorId="0">
      <text>
        <t>DPZ 8-K Ex.99.1 Q4 FY2025 release (dpz-ex99_1.htm, 2026-02-23) | Statements of Cash Flows (fiscal year ended December 28, 2025) | 2,544</t>
      </text>
    </comment>
    <comment ref="H90" authorId="0">
      <text>
        <t>DPZ 10-Q Q1 2026 (dpz-20260322.htm) | Statements of Cash Flows (fiscal quarter ended March 22, 2026) | 5,990</t>
      </text>
    </comment>
    <comment ref="I90" authorId="0">
      <text>
        <t>DPZ 10-Q Q2 2026 (dpz-20260614.htm) | Statements of Cash Flows (two fiscal quarters ended June 14, 2026) | 18,356</t>
      </text>
    </comment>
    <comment ref="C91" authorId="0">
      <text>
        <t>DPZ 10-Q Q1 2026 (dpz-20260322.htm) | Statements of Cash Flows (fiscal quarter ended March 23, 2025 comparative) | 34,244</t>
      </text>
    </comment>
    <comment ref="D91" authorId="0">
      <text>
        <t>DPZ 10-Q Q2 2026 (dpz-20260614.htm) | Statements of Cash Flows (two fiscal quarters ended June 15, 2025 comparative) | 19,663</t>
      </text>
    </comment>
    <comment ref="E91" authorId="0">
      <text>
        <t>DPZ 10-Q Q3 2025 (dpz-20250907.htm) | Statements of Cash Flows (three fiscal quarters ended September 7, 2025) | 10,242</t>
      </text>
    </comment>
    <comment ref="F91" authorId="0">
      <text>
        <t>DPZ 8-K Ex.99.1 Q4 FY2025 release (dpz-ex99_1.htm, 2026-02-23) | Statements of Cash Flows (fiscal year ended December 28, 2025) | 42,015</t>
      </text>
    </comment>
    <comment ref="H91" authorId="0">
      <text>
        <t>DPZ 10-Q Q1 2026 (dpz-20260322.htm) | Statements of Cash Flows (fiscal quarter ended March 22, 2026) | (370)</t>
      </text>
    </comment>
    <comment ref="I91" authorId="0">
      <text>
        <t>DPZ 10-Q Q2 2026 (dpz-20260614.htm) | Statements of Cash Flows (two fiscal quarters ended June 14, 2026) | (1,197)</t>
      </text>
    </comment>
    <comment ref="C92" authorId="0">
      <text>
        <t>DPZ 10-Q Q1 2026 (dpz-20260322.htm) | Statements of Cash Flows (fiscal quarter ended March 23, 2025 comparative) | (9,095)</t>
      </text>
    </comment>
    <comment ref="D92" authorId="0">
      <text>
        <t>DPZ 10-Q Q2 2026 (dpz-20260614.htm) | Statements of Cash Flows (two fiscal quarters ended June 15, 2025 comparative) | 18,338</t>
      </text>
    </comment>
    <comment ref="E92" authorId="0">
      <text>
        <t>DPZ 10-Q Q3 2025 (dpz-20250907.htm) | Statements of Cash Flows (three fiscal quarters ended September 7, 2025) | 27,137</t>
      </text>
    </comment>
    <comment ref="F92" authorId="0">
      <text>
        <t>DPZ 8-K Ex.99.1 Q4 FY2025 release (dpz-ex99_1.htm, 2026-02-23) | Statements of Cash Flows (fiscal year ended December 28, 2025) | 10,736</t>
      </text>
    </comment>
    <comment ref="H92" authorId="0">
      <text>
        <t>DPZ 10-Q Q1 2026 (dpz-20260322.htm) | Statements of Cash Flows (fiscal quarter ended March 22, 2026) | (9,661)</t>
      </text>
    </comment>
    <comment ref="I92" authorId="0">
      <text>
        <t>DPZ 10-Q Q2 2026 (dpz-20260614.htm) | Statements of Cash Flows (two fiscal quarters ended June 14, 2026) | 1,794</t>
      </text>
    </comment>
    <comment ref="C93" authorId="0">
      <text>
        <t>DPZ 10-Q Q1 2026 (dpz-20260322.htm) | Statements of Cash Flows (fiscal quarter ended March 23, 2025 comparative) | 179,076</t>
      </text>
    </comment>
    <comment ref="D93" authorId="0">
      <text>
        <t>DPZ 10-Q Q2 2026 (dpz-20260614.htm) | Statements of Cash Flows (two fiscal quarters ended June 15, 2025 comparative) | 366,860</t>
      </text>
    </comment>
    <comment ref="E93" authorId="0">
      <text>
        <t>DPZ 10-Q Q3 2025 (dpz-20250907.htm) | Statements of Cash Flows (three fiscal quarters ended September 7, 2025) | 552,256</t>
      </text>
    </comment>
    <comment ref="F93" authorId="0">
      <text>
        <t>DPZ 8-K Ex.99.1 Q4 FY2025 release (dpz-ex99_1.htm, 2026-02-23) | Statements of Cash Flows (fiscal year ended December 28, 2025) | 792,062</t>
      </text>
    </comment>
    <comment ref="H93" authorId="0">
      <text>
        <t>DPZ 10-Q Q1 2026 (dpz-20260322.htm) | Statements of Cash Flows (fiscal quarter ended March 22, 2026) | 161,955</t>
      </text>
    </comment>
    <comment ref="I93" authorId="0">
      <text>
        <t>DPZ 10-Q Q2 2026 (dpz-20260614.htm) | Statements of Cash Flows (two fiscal quarters ended June 14, 2026) | 352,603</t>
      </text>
    </comment>
    <comment ref="C94" authorId="0">
      <text>
        <t>DPZ 10-Q Q1 2026 (dpz-20260322.htm) | Statements of Cash Flows (fiscal quarter ended March 23, 2025 comparative) | (14,745)</t>
      </text>
    </comment>
    <comment ref="D94" authorId="0">
      <text>
        <t>DPZ 10-Q Q2 2026 (dpz-20260614.htm) | Statements of Cash Flows (two fiscal quarters ended June 15, 2025 comparative) | (35,231)</t>
      </text>
    </comment>
    <comment ref="E94" authorId="0">
      <text>
        <t>DPZ 10-Q Q3 2025 (dpz-20250907.htm) | Statements of Cash Flows (three fiscal quarters ended September 7, 2025) | (56,667)</t>
      </text>
    </comment>
    <comment ref="F94" authorId="0">
      <text>
        <t>DPZ 8-K Ex.99.1 Q4 FY2025 release (dpz-ex99_1.htm, 2026-02-23) | Statements of Cash Flows (fiscal year ended December 28, 2025) | (120,558)</t>
      </text>
    </comment>
    <comment ref="H94" authorId="0">
      <text>
        <t>DPZ 10-Q Q1 2026 (dpz-20260322.htm) | Statements of Cash Flows (fiscal quarter ended March 22, 2026) | (15,043)</t>
      </text>
    </comment>
    <comment ref="I94" authorId="0">
      <text>
        <t>DPZ 10-Q Q2 2026 (dpz-20260614.htm) | Statements of Cash Flows (two fiscal quarters ended June 14, 2026) | (39,008)</t>
      </text>
    </comment>
    <comment ref="C95" authorId="0">
      <text>
        <t>DPZ 10-Q Q1 2026 (dpz-20260322.htm) | Statements of Cash Flows (fiscal quarter ended March 23, 2025 comparative) | 0</t>
      </text>
    </comment>
    <comment ref="D95" authorId="0">
      <text>
        <t>DPZ 10-Q Q2 2026 (dpz-20260614.htm) | Statements of Cash Flows (two fiscal quarters ended June 15, 2025 comparative) | 8,458</t>
      </text>
    </comment>
    <comment ref="E95" authorId="0">
      <text>
        <t>DPZ 10-Q Q3 2025 (dpz-20250907.htm) | Statements of Cash Flows (three fiscal quarters ended September 7, 2025) | 8,458</t>
      </text>
    </comment>
    <comment ref="F95" authorId="0">
      <text>
        <t>DPZ 8-K Ex.99.1 Q4 FY2025 release (dpz-ex99_1.htm, 2026-02-23) | Statements of Cash Flows (fiscal year ended December 28, 2025) | 8,558</t>
      </text>
    </comment>
    <comment ref="H95" authorId="0">
      <text>
        <t>DPZ 10-Q Q1 2026 (dpz-20260322.htm) | Statements of Cash Flows (fiscal quarter ended March 22, 2026) | 7,780</t>
      </text>
    </comment>
    <comment ref="I95" authorId="0">
      <text>
        <t>DPZ 10-Q Q2 2026 (dpz-20260614.htm) | Statements of Cash Flows (two fiscal quarters ended June 14, 2026) | 15,184</t>
      </text>
    </comment>
    <comment ref="C96" authorId="0">
      <text>
        <t>DPZ 10-Q Q1 2026 (dpz-20260322.htm) | Statements of Cash Flows (fiscal quarter ended March 23, 2025 comparative) | 0</t>
      </text>
    </comment>
    <comment ref="D96" authorId="0">
      <text>
        <t>DPZ 10-Q Q2 2026 (dpz-20260614.htm) | Statements of Cash Flows (two fiscal quarters ended June 15, 2025 comparative) | 44,085</t>
      </text>
    </comment>
    <comment ref="E96" authorId="0">
      <text>
        <t>DPZ 10-Q Q3 2025 (dpz-20250907.htm) | Statements of Cash Flows (three fiscal quarters ended September 7, 2025) | 44,085</t>
      </text>
    </comment>
    <comment ref="F96" authorId="0">
      <text>
        <t>DPZ 8-K Ex.99.1 Q4 FY2025 release (dpz-ex99_1.htm, 2026-02-23) | Statements of Cash Flows (fiscal year ended December 28, 2025) | 44,085</t>
      </text>
    </comment>
    <comment ref="H96" authorId="0">
      <text>
        <t>DPZ 10-Q Q1 2026 (dpz-20260322.htm) | Statements of Cash Flows (fiscal quarter ended March 22, 2026) | 0</t>
      </text>
    </comment>
    <comment ref="I96" authorId="0">
      <text>
        <t>DPZ 10-Q Q2 2026 (dpz-20260614.htm) | Statements of Cash Flows (two fiscal quarters ended June 14, 2026) | 0</t>
      </text>
    </comment>
    <comment ref="C97" authorId="0">
      <text>
        <t>DPZ 10-Q Q1 2026 (dpz-20260322.htm) | Statements of Cash Flows (fiscal quarter ended March 23, 2025 comparative) | (1,225)</t>
      </text>
    </comment>
    <comment ref="D97" authorId="0">
      <text>
        <t>DPZ 10-Q Q2 2026 (dpz-20260614.htm) | Statements of Cash Flows (two fiscal quarters ended June 15, 2025 comparative) | (2,517)</t>
      </text>
    </comment>
    <comment ref="E97" authorId="0">
      <text>
        <t>DPZ 10-Q Q3 2025 (dpz-20250907.htm) | Statements of Cash Flows (three fiscal quarters ended September 7, 2025) | (1,939)</t>
      </text>
    </comment>
    <comment ref="F97" authorId="0">
      <text>
        <t>DPZ 8-K Ex.99.1 Q4 FY2025 release (dpz-ex99_1.htm, 2026-02-23) | Statements of Cash Flows (fiscal year ended December 28, 2025) | (2,275)</t>
      </text>
    </comment>
    <comment ref="H97" authorId="0">
      <text>
        <t>DPZ 10-Q Q1 2026 (dpz-20260322.htm) | Statements of Cash Flows (fiscal quarter ended March 22, 2026) | (804)</t>
      </text>
    </comment>
    <comment ref="I97" authorId="0">
      <text>
        <t>DPZ 10-Q Q2 2026 (dpz-20260614.htm) | Statements of Cash Flows (two fiscal quarters ended June 14, 2026) | (826)</t>
      </text>
    </comment>
    <comment ref="C98" authorId="0">
      <text>
        <t>DPZ 10-Q Q1 2026 (dpz-20260322.htm) | Statements of Cash Flows (fiscal quarter ended March 23, 2025 comparative) | (15,970)</t>
      </text>
    </comment>
    <comment ref="D98" authorId="0">
      <text>
        <t>DPZ 10-Q Q2 2026 (dpz-20260614.htm) | Statements of Cash Flows (two fiscal quarters ended June 15, 2025 comparative) | 14,795</t>
      </text>
    </comment>
    <comment ref="E98" authorId="0">
      <text>
        <t>DPZ 10-Q Q3 2025 (dpz-20250907.htm) | Statements of Cash Flows (three fiscal quarters ended September 7, 2025) | (6,063)</t>
      </text>
    </comment>
    <comment ref="F98" authorId="0">
      <text>
        <t>DPZ 8-K Ex.99.1 Q4 FY2025 release (dpz-ex99_1.htm, 2026-02-23) | Statements of Cash Flows (fiscal year ended December 28, 2025) | (70,190)</t>
      </text>
    </comment>
    <comment ref="H98" authorId="0">
      <text>
        <t>DPZ 10-Q Q1 2026 (dpz-20260322.htm) | Statements of Cash Flows (fiscal quarter ended March 22, 2026) | (8,067)</t>
      </text>
    </comment>
    <comment ref="I98" authorId="0">
      <text>
        <t>DPZ 10-Q Q2 2026 (dpz-20260614.htm) | Statements of Cash Flows (two fiscal quarters ended June 14, 2026) | (24,650)</t>
      </text>
    </comment>
    <comment ref="C99" authorId="0">
      <text>
        <t>DPZ 10-Q Q1 2026 (dpz-20260322.htm) | Statements of Cash Flows (fiscal quarter ended March 23, 2025 comparative) | 0</t>
      </text>
    </comment>
    <comment ref="D99" authorId="0">
      <text>
        <t>DPZ 10-Q Q2 2026 (dpz-20260614.htm) | Statements of Cash Flows (two fiscal quarters ended June 15, 2025 comparative) | 0</t>
      </text>
    </comment>
    <comment ref="E99" authorId="0">
      <text>
        <t>DPZ 10-Q Q3 2025 (dpz-20250907.htm) | Statements of Cash Flows (three fiscal quarters ended September 7, 2025) | 1,000,000</t>
      </text>
    </comment>
    <comment ref="F99" authorId="0">
      <text>
        <t>DPZ 8-K Ex.99.1 Q4 FY2025 release (dpz-ex99_1.htm, 2026-02-23) | Statements of Cash Flows (fiscal year ended December 28, 2025) | 1,000,000</t>
      </text>
    </comment>
    <comment ref="H99" authorId="0">
      <text>
        <t>DPZ 10-Q Q1 2026 (dpz-20260322.htm) | Statements of Cash Flows (fiscal quarter ended March 22, 2026) | 0</t>
      </text>
    </comment>
    <comment ref="I99" authorId="0">
      <text>
        <t>DPZ 10-Q Q2 2026 (dpz-20260614.htm) | Statements of Cash Flows (two fiscal quarters ended June 14, 2026) | 0</t>
      </text>
    </comment>
    <comment ref="C100" authorId="0">
      <text>
        <t>DPZ 10-Q Q1 2026 (dpz-20260322.htm) | Statements of Cash Flows (fiscal quarter ended March 23, 2025 comparative) | (646)</t>
      </text>
    </comment>
    <comment ref="D100" authorId="0">
      <text>
        <t>DPZ 10-Q Q2 2026 (dpz-20260614.htm) | Statements of Cash Flows (two fiscal quarters ended June 15, 2025 comparative) | (1,861)</t>
      </text>
    </comment>
    <comment ref="E100" authorId="0">
      <text>
        <t>DPZ 10-Q Q3 2025 (dpz-20250907.htm) | Statements of Cash Flows (three fiscal quarters ended September 7, 2025) | (1,147,773)</t>
      </text>
    </comment>
    <comment ref="F100" authorId="0">
      <text>
        <t>DPZ 8-K Ex.99.1 Q4 FY2025 release (dpz-ex99_1.htm, 2026-02-23) | Statements of Cash Flows (fiscal year ended December 28, 2025) | (1,149,528)</t>
      </text>
    </comment>
    <comment ref="H100" authorId="0">
      <text>
        <t>DPZ 10-Q Q1 2026 (dpz-20260322.htm) | Statements of Cash Flows (fiscal quarter ended March 22, 2026) | (840)</t>
      </text>
    </comment>
    <comment ref="I100" authorId="0">
      <text>
        <t>DPZ 10-Q Q2 2026 (dpz-20260614.htm) | Statements of Cash Flows (two fiscal quarters ended June 14, 2026) | (1,575)</t>
      </text>
    </comment>
    <comment ref="C101" authorId="0">
      <text>
        <t>DPZ 10-Q Q1 2026 (dpz-20260322.htm) | Statements of Cash Flows (fiscal quarter ended March 23, 2025 comparative) | 7,529</t>
      </text>
    </comment>
    <comment ref="D101" authorId="0">
      <text>
        <t>DPZ 10-Q Q2 2026 (dpz-20260614.htm) | Statements of Cash Flows (two fiscal quarters ended June 15, 2025 comparative) | 12,319</t>
      </text>
    </comment>
    <comment ref="E101" authorId="0">
      <text>
        <t>DPZ 10-Q Q3 2025 (dpz-20250907.htm) | Statements of Cash Flows (three fiscal quarters ended September 7, 2025) | 12,882</t>
      </text>
    </comment>
    <comment ref="F101" authorId="0">
      <text>
        <t>DPZ 8-K Ex.99.1 Q4 FY2025 release (dpz-ex99_1.htm, 2026-02-23) | Statements of Cash Flows (fiscal year ended December 28, 2025) | 18,792</t>
      </text>
    </comment>
    <comment ref="H101" authorId="0">
      <text>
        <t>DPZ 10-Q Q1 2026 (dpz-20260322.htm) | Statements of Cash Flows (fiscal quarter ended March 22, 2026) | 1,892</t>
      </text>
    </comment>
    <comment ref="I101" authorId="0">
      <text>
        <t>DPZ 10-Q Q2 2026 (dpz-20260614.htm) | Statements of Cash Flows (two fiscal quarters ended June 14, 2026) | 2,978</t>
      </text>
    </comment>
    <comment ref="C102" authorId="0">
      <text>
        <t>DPZ 10-Q Q1 2026 (dpz-20260322.htm) | Statements of Cash Flows (fiscal quarter ended March 23, 2025 comparative) | (50,000)</t>
      </text>
    </comment>
    <comment ref="D102" authorId="0">
      <text>
        <t>DPZ 10-Q Q2 2026 (dpz-20260614.htm) | Statements of Cash Flows (two fiscal quarters ended June 15, 2025 comparative) | (203,041)</t>
      </text>
    </comment>
    <comment ref="E102" authorId="0">
      <text>
        <t>DPZ 10-Q Q3 2025 (dpz-20250907.htm) | Statements of Cash Flows (three fiscal quarters ended September 7, 2025) | (277,698)</t>
      </text>
    </comment>
    <comment ref="F102" authorId="0">
      <text>
        <t>DPZ 8-K Ex.99.1 Q4 FY2025 release (dpz-ex99_1.htm, 2026-02-23) | Statements of Cash Flows (fiscal year ended December 28, 2025) | (357,697)</t>
      </text>
    </comment>
    <comment ref="H102" authorId="0">
      <text>
        <t>DPZ 10-Q Q1 2026 (dpz-20260322.htm) | Statements of Cash Flows (fiscal quarter ended March 22, 2026) | (75,098)</t>
      </text>
    </comment>
    <comment ref="I102" authorId="0">
      <text>
        <t>DPZ 10-Q Q2 2026 (dpz-20260614.htm) | Statements of Cash Flows (two fiscal quarters ended June 14, 2026) | (234,616)</t>
      </text>
    </comment>
    <comment ref="C103" authorId="0">
      <text>
        <t>DPZ 10-Q Q1 2026 (dpz-20260322.htm) | Statements of Cash Flows (fiscal quarter ended March 23, 2025 comparative) | (8,158)</t>
      </text>
    </comment>
    <comment ref="D103" authorId="0">
      <text>
        <t>DPZ 10-Q Q2 2026 (dpz-20260614.htm) | Statements of Cash Flows (two fiscal quarters ended June 15, 2025 comparative) | (8,472)</t>
      </text>
    </comment>
    <comment ref="E103" authorId="0">
      <text>
        <t>DPZ 10-Q Q3 2025 (dpz-20250907.htm) | Statements of Cash Flows (three fiscal quarters ended September 7, 2025) | (10,862)</t>
      </text>
    </comment>
    <comment ref="F103" authorId="0">
      <text>
        <t>DPZ 8-K Ex.99.1 Q4 FY2025 release (dpz-ex99_1.htm, 2026-02-23) | Statements of Cash Flows (fiscal year ended December 28, 2025) | (11,360)</t>
      </text>
    </comment>
    <comment ref="H103" authorId="0">
      <text>
        <t>DPZ 10-Q Q1 2026 (dpz-20260322.htm) | Statements of Cash Flows (fiscal quarter ended March 22, 2026) | (12,895)</t>
      </text>
    </comment>
    <comment ref="I103" authorId="0">
      <text>
        <t>DPZ 10-Q Q2 2026 (dpz-20260614.htm) | Statements of Cash Flows (two fiscal quarters ended June 14, 2026) | (12,863)</t>
      </text>
    </comment>
    <comment ref="C104" authorId="0">
      <text>
        <t>DPZ 10-Q Q1 2026 (dpz-20260322.htm) | Statements of Cash Flows (fiscal quarter ended March 23, 2025 comparative) | (617)</t>
      </text>
    </comment>
    <comment ref="D104" authorId="0">
      <text>
        <t>DPZ 10-Q Q2 2026 (dpz-20260614.htm) | Statements of Cash Flows (two fiscal quarters ended June 15, 2025 comparative) | (60,257)</t>
      </text>
    </comment>
    <comment ref="E104" authorId="0">
      <text>
        <t>DPZ 10-Q Q3 2025 (dpz-20250907.htm) | Statements of Cash Flows (three fiscal quarters ended September 7, 2025) | (119,503)</t>
      </text>
    </comment>
    <comment ref="F104" authorId="0">
      <text>
        <t>DPZ 8-K Ex.99.1 Q4 FY2025 release (dpz-ex99_1.htm, 2026-02-23) | Statements of Cash Flows (fiscal year ended December 28, 2025) | (236,861)</t>
      </text>
    </comment>
    <comment ref="H104" authorId="0">
      <text>
        <t>DPZ 10-Q Q1 2026 (dpz-20260322.htm) | Statements of Cash Flows (fiscal quarter ended March 22, 2026) | (1,459)</t>
      </text>
    </comment>
    <comment ref="I104" authorId="0">
      <text>
        <t>DPZ 10-Q Q2 2026 (dpz-20260614.htm) | Statements of Cash Flows (two fiscal quarters ended June 14, 2026) | (68,242)</t>
      </text>
    </comment>
    <comment ref="C105" authorId="0">
      <text>
        <t>DPZ 10-Q Q1 2026 (dpz-20260322.htm) | Statements of Cash Flows (fiscal quarter ended March 23, 2025 comparative) | 0</t>
      </text>
    </comment>
    <comment ref="D105" authorId="0">
      <text>
        <t>DPZ 10-Q Q2 2026 (dpz-20260614.htm) | Statements of Cash Flows (two fiscal quarters ended June 15, 2025 comparative) | 0</t>
      </text>
    </comment>
    <comment ref="E105" authorId="0">
      <text>
        <t>DPZ 10-Q Q3 2025 (dpz-20250907.htm) | Statements of Cash Flows (three fiscal quarters ended September 7, 2025) | (15,287)</t>
      </text>
    </comment>
    <comment ref="F105" authorId="0">
      <text>
        <t>DPZ 8-K Ex.99.1 Q4 FY2025 release (dpz-ex99_1.htm, 2026-02-23) | Statements of Cash Flows (fiscal year ended December 28, 2025) | (15,439)</t>
      </text>
    </comment>
    <comment ref="H105" authorId="0">
      <text>
        <t>DPZ 10-Q Q1 2026 (dpz-20260322.htm) | Statements of Cash Flows (fiscal quarter ended March 22, 2026) | 0</t>
      </text>
    </comment>
    <comment ref="I105" authorId="0">
      <text>
        <t>DPZ 10-Q Q2 2026 (dpz-20260614.htm) | Statements of Cash Flows (two fiscal quarters ended June 14, 2026) | 0</t>
      </text>
    </comment>
    <comment ref="C106" authorId="0">
      <text>
        <t>DPZ 10-Q Q1 2026 (dpz-20260322.htm) | Statements of Cash Flows (fiscal quarter ended March 23, 2025 comparative) | (51,892)</t>
      </text>
    </comment>
    <comment ref="D106" authorId="0">
      <text>
        <t>DPZ 10-Q Q2 2026 (dpz-20260614.htm) | Statements of Cash Flows (two fiscal quarters ended June 15, 2025 comparative) | (261,312)</t>
      </text>
    </comment>
    <comment ref="E106" authorId="0">
      <text>
        <t>DPZ 10-Q Q3 2025 (dpz-20250907.htm) | Statements of Cash Flows (three fiscal quarters ended September 7, 2025) | (558,241)</t>
      </text>
    </comment>
    <comment ref="F106" authorId="0">
      <text>
        <t>DPZ 8-K Ex.99.1 Q4 FY2025 release (dpz-ex99_1.htm, 2026-02-23) | Statements of Cash Flows (fiscal year ended December 28, 2025) | (752,093)</t>
      </text>
    </comment>
    <comment ref="H106" authorId="0">
      <text>
        <t>DPZ 10-Q Q1 2026 (dpz-20260322.htm) | Statements of Cash Flows (fiscal quarter ended March 22, 2026) | (88,400)</t>
      </text>
    </comment>
    <comment ref="I106" authorId="0">
      <text>
        <t>DPZ 10-Q Q2 2026 (dpz-20260614.htm) | Statements of Cash Flows (two fiscal quarters ended June 14, 2026) | (314,318)</t>
      </text>
    </comment>
    <comment ref="C107" authorId="0">
      <text>
        <t>DPZ 10-Q Q1 2026 (dpz-20260322.htm) | Statements of Cash Flows (fiscal quarter ended March 23, 2025 comparative) | 296</t>
      </text>
    </comment>
    <comment ref="D107" authorId="0">
      <text>
        <t>DPZ 10-Q Q2 2026 (dpz-20260614.htm) | Statements of Cash Flows (two fiscal quarters ended June 15, 2025 comparative) | 1,848</t>
      </text>
    </comment>
    <comment ref="E107" authorId="0">
      <text>
        <t>DPZ 10-Q Q3 2025 (dpz-20250907.htm) | Statements of Cash Flows (three fiscal quarters ended September 7, 2025) | 1,487</t>
      </text>
    </comment>
    <comment ref="F107" authorId="0">
      <text>
        <t>DPZ 8-K Ex.99.1 Q4 FY2025 release (dpz-ex99_1.htm, 2026-02-23) | Statements of Cash Flows (fiscal year ended December 28, 2025) | 1,782</t>
      </text>
    </comment>
    <comment ref="H107" authorId="0">
      <text>
        <t>DPZ 10-Q Q1 2026 (dpz-20260322.htm) | Statements of Cash Flows (fiscal quarter ended March 22, 2026) | (108)</t>
      </text>
    </comment>
    <comment ref="I107" authorId="0">
      <text>
        <t>DPZ 10-Q Q2 2026 (dpz-20260614.htm) | Statements of Cash Flows (two fiscal quarters ended June 14, 2026) | (820)</t>
      </text>
    </comment>
    <comment ref="C108" authorId="0">
      <text>
        <t>DPZ 10-Q Q1 2026 (dpz-20260322.htm) | Statements of Cash Flows (fiscal quarter ended March 23, 2025 comparative) | 111,510</t>
      </text>
    </comment>
    <comment ref="D108" authorId="0">
      <text>
        <t>DPZ 10-Q Q2 2026 (dpz-20260614.htm) | Statements of Cash Flows (two fiscal quarters ended June 15, 2025 comparative) | 122,191</t>
      </text>
    </comment>
    <comment ref="E108" authorId="0">
      <text>
        <t>DPZ 10-Q Q3 2025 (dpz-20250907.htm) | Statements of Cash Flows (three fiscal quarters ended September 7, 2025) | (10,561)</t>
      </text>
    </comment>
    <comment ref="F108" authorId="0">
      <text>
        <t>DPZ 8-K Ex.99.1 Q4 FY2025 release (dpz-ex99_1.htm, 2026-02-23) | Statements of Cash Flows (fiscal year ended December 28, 2025) | (28,439)</t>
      </text>
    </comment>
    <comment ref="H108" authorId="0">
      <text>
        <t>DPZ 10-Q Q1 2026 (dpz-20260322.htm) | Statements of Cash Flows (fiscal quarter ended March 22, 2026) | 65,380</t>
      </text>
    </comment>
    <comment ref="I108" authorId="0">
      <text>
        <t>DPZ 10-Q Q2 2026 (dpz-20260614.htm) | Statements of Cash Flows (two fiscal quarters ended June 14, 2026) | 12,815</t>
      </text>
    </comment>
    <comment ref="C111" authorId="0">
      <text>
        <t>DPZ 10-Q Q1 2026 (dpz-20260322.htm) | Statements of Cash Flows (fiscal quarter ended March 23, 2025 comparative) | 72,202</t>
      </text>
    </comment>
    <comment ref="D111" authorId="0">
      <text>
        <t>DPZ 10-Q Q2 2026 (dpz-20260614.htm) | Statements of Cash Flows (two fiscal quarters ended June 15, 2025 comparative) | 100,022</t>
      </text>
    </comment>
    <comment ref="E111" authorId="0">
      <text>
        <t>DPZ 10-Q Q3 2025 (dpz-20250907.htm) | Statements of Cash Flows (three fiscal quarters ended September 7, 2025) | 109,634</t>
      </text>
    </comment>
    <comment ref="F111" authorId="0">
      <text>
        <t>DPZ 8-K Ex.99.1 Q4 FY2025 release (dpz-ex99_1.htm, 2026-02-23) | Statements of Cash Flows (fiscal year ended December 28, 2025) | 92,200</t>
      </text>
    </comment>
    <comment ref="H111" authorId="0">
      <text>
        <t>DPZ 10-Q Q1 2026 (dpz-20260322.htm) | Statements of Cash Flows (fiscal quarter ended March 22, 2026) | 82,815</t>
      </text>
    </comment>
    <comment ref="I111" authorId="0">
      <text>
        <t>DPZ 10-Q Q2 2026 (dpz-20260614.htm) | Statements of Cash Flows (two fiscal quarters ended June 14, 2026) | 94,079</t>
      </text>
    </comment>
  </commentList>
</comments>
</file>

<file path=xl/comments8.xml><?xml version="1.0" encoding="utf-8"?>
<comments xmlns="http://schemas.openxmlformats.org/spreadsheetml/2006/main">
  <authors>
    <author>Shortcut</author>
  </authors>
  <commentList>
    <comment ref="C28" authorId="0">
      <text>
        <t>DPZ 10-Q Q1 2025 (dpz-20250323.htm) | Global retail sales growth (excluding foreign currency impact) — Total | + 4.7%</t>
      </text>
    </comment>
    <comment ref="D28" authorId="0">
      <text>
        <t>DPZ 10-Q Q2 2025 (dpz-20250615.htm) | Global retail sales growth (excluding foreign currency impact) — Total | + 5.6%</t>
      </text>
    </comment>
    <comment ref="E28" authorId="0">
      <text>
        <t>DPZ 10-Q Q3 2025 (dpz-20250907.htm) | Global retail sales growth (excluding foreign currency impact) — Total | + 6.3%</t>
      </text>
    </comment>
    <comment ref="F28" authorId="0">
      <text>
        <t>DPZ 8-K Ex.99.1 Q4 FY2025 release (dpz-ex99_1.htm, 2026-02-23) | Global retail sales growth (excluding foreign currency impact) — Total | + 4.9%</t>
      </text>
    </comment>
    <comment ref="G28" authorId="0">
      <text>
        <t>DPZ 8-K Ex.99.1 Q4 FY2025 release (dpz-ex99_1.htm, 2026-02-23) | Global retail sales growth (excluding foreign currency impact) — Total | + 5.4%</t>
      </text>
    </comment>
    <comment ref="H28" authorId="0">
      <text>
        <t>DPZ 10-Q Q1 2026 (dpz-20260322.htm) | Global retail sales growth (excluding foreign currency impact) — Total | + 3.4%</t>
      </text>
    </comment>
    <comment ref="I28" authorId="0">
      <text>
        <t>DPZ 10-Q Q2 2026 (dpz-20260614.htm) | Global retail sales growth (excluding foreign currency impact) — Total | + 3.0%</t>
      </text>
    </comment>
  </commentList>
</comments>
</file>

<file path=xl/comments9.xml><?xml version="1.0" encoding="utf-8"?>
<comments xmlns="http://schemas.openxmlformats.org/spreadsheetml/2006/main">
  <authors>
    <author>Shortcut</author>
  </authors>
  <commentList>
    <comment ref="C10" authorId="0">
      <text>
        <t>DPZ 10-Q Q1 2026 (dpz-20260322.htm) | Statements of Stockholders’ Deficit (Balance at December 29, 2024) | 34,281,927</t>
      </text>
    </comment>
    <comment ref="C11" authorId="0">
      <text>
        <t>DPZ 10-Q Q1 2026 (dpz-20260322.htm) | Statements of Stockholders’ Deficit — Purchases of common stock (shares) | (115,280)</t>
      </text>
    </comment>
    <comment ref="D11" authorId="0">
      <text>
        <t>DPZ 10-Q Q2 2026 (dpz-20260614.htm) | Statements of Stockholders’ Deficit — Purchases of common stock (shares) | (315,696)</t>
      </text>
    </comment>
    <comment ref="E11" authorId="0">
      <text>
        <t>DPZ 10-Q Q3 2025 (dpz-20250907.htm) | Statements of Stockholders’ Deficit — Purchases of common stock (shares) | (165,778)</t>
      </text>
    </comment>
    <comment ref="H11" authorId="0">
      <text>
        <t>DPZ 10-Q Q1 2026 (dpz-20260322.htm) | Statements of Stockholders’ Deficit — Purchases of common stock (shares) | (188,304)</t>
      </text>
    </comment>
    <comment ref="I11" authorId="0">
      <text>
        <t>DPZ 10-Q Q2 2026 (dpz-20260614.htm) | Statements of Stockholders’ Deficit — Purchases of common stock (shares) | (443,917)</t>
      </text>
    </comment>
    <comment ref="C17" authorId="0">
      <text>
        <t>DPZ 10-Q Q1 2026 (dpz-20260322.htm) | Statements of Stockholders’ Deficit — Balance (shares) | 34,230,813</t>
      </text>
    </comment>
    <comment ref="D17" authorId="0">
      <text>
        <t>DPZ 10-Q Q2 2026 (dpz-20260614.htm) | Statements of Stockholders’ Deficit — Balance (shares) | 33,937,222</t>
      </text>
    </comment>
    <comment ref="E17" authorId="0">
      <text>
        <t>DPZ 10-Q Q3 2025 (dpz-20250907.htm) | Statements of Stockholders’ Deficit — Balance (shares) | 33,785,145</t>
      </text>
    </comment>
    <comment ref="F17" authorId="0">
      <text>
        <t>DPZ 8-K Ex.99.1 Q4 FY2025 release (dpz-ex99_1.htm, 2026-02-23) | Statements of Stockholders’ Deficit — Balance (shares) | 33,627,992</t>
      </text>
    </comment>
    <comment ref="H17" authorId="0">
      <text>
        <t>DPZ 10-Q Q1 2026 (dpz-20260322.htm) | Statements of Stockholders’ Deficit — Balance (shares) | 33,503,323</t>
      </text>
    </comment>
    <comment ref="I17" authorId="0">
      <text>
        <t>DPZ 10-Q Q2 2026 (dpz-20260614.htm) | Statements of Stockholders’ Deficit — Balance (shares) | 33,068,845</t>
      </text>
    </comment>
    <comment ref="J20" authorId="0">
      <text>
        <t>DPZ 10-Q Q2 2026 (dpz-20260614.htm) | Cover page | 33,081,735</t>
      </text>
    </comment>
    <comment ref="C22" authorId="0">
      <text>
        <t>DPZ 10-Q Q1 2026 (dpz-20260322.htm) | Earnings per share note — Basic weighted average number of shares | 34,284,052</t>
      </text>
    </comment>
    <comment ref="D22" authorId="0">
      <text>
        <t>DPZ 10-Q Q2 2026 (dpz-20260614.htm) | Earnings per share note — Basic weighted average number of shares | 34,163,399</t>
      </text>
    </comment>
    <comment ref="E22" authorId="0">
      <text>
        <t>DPZ 10-Q Q3 2025 (dpz-20250907.htm) | Earnings per share note — Basic weighted average number of shares | 33,919,706</t>
      </text>
    </comment>
    <comment ref="H22" authorId="0">
      <text>
        <t>DPZ 10-Q Q1 2026 (dpz-20260322.htm) | Earnings per share note — Basic weighted average number of shares | 33,609,349</t>
      </text>
    </comment>
    <comment ref="I22" authorId="0">
      <text>
        <t>DPZ 10-Q Q2 2026 (dpz-20260614.htm) | Earnings per share note — Basic weighted average number of shares | 33,221,944</t>
      </text>
    </comment>
    <comment ref="G22" authorId="0">
      <text>
        <t>SEC XBRL companyconcept WeightedAverageNumberOfSharesOutstandingBasic (CIK0001286681) | 10-K FY2025 (2024-12-30 to 2025-12-28) | 34007071</t>
      </text>
    </comment>
    <comment ref="E25" authorId="0">
      <text>
        <t>DPZ 10-Q Q3 2025 (dpz-20250907.htm) | EPS note — Three Fiscal Quarters Ended September 7, 2025, basic | 34,122,385</t>
      </text>
    </comment>
    <comment ref="C29" authorId="0">
      <text>
        <t>DPZ 10-Q Q1 2026 (dpz-20260322.htm) | Earnings per share — Diluted weighted average number of shares | 34,553,820</t>
      </text>
    </comment>
    <comment ref="D29" authorId="0">
      <text>
        <t>DPZ 10-Q Q2 2026 (dpz-20260614.htm) | Earnings per share — Diluted weighted average number of shares | 34,401,016</t>
      </text>
    </comment>
    <comment ref="E29" authorId="0">
      <text>
        <t>DPZ 10-Q Q3 2025 (dpz-20250907.htm) | Earnings per share — Diluted weighted average number of shares | 34,146,418</t>
      </text>
    </comment>
    <comment ref="F29" authorId="0">
      <text>
        <t>DPZ 8-K Ex.99.1 Q4 FY2025 release (dpz-ex99_1.htm, 2026-02-23) | Earnings per share — Diluted weighted average number of shares | 33,958,449</t>
      </text>
    </comment>
    <comment ref="H29" authorId="0">
      <text>
        <t>DPZ 10-Q Q1 2026 (dpz-20260322.htm) | Earnings per share — Diluted weighted average number of shares | 33,815,028</t>
      </text>
    </comment>
    <comment ref="I29" authorId="0">
      <text>
        <t>DPZ 10-Q Q2 2026 (dpz-20260614.htm) | Earnings per share — Diluted weighted average number of shares | 33,318,244</t>
      </text>
    </comment>
    <comment ref="G29" authorId="0">
      <text>
        <t>DPZ 8-K Ex.99.1 Q4 FY2025 release (dpz-ex99_1.htm, 2026-02-23) | Statements of Income (fiscal year) — Weighted average diluted shares | 34,237,646</t>
      </text>
    </comment>
    <comment ref="C40" authorId="0">
      <text>
        <t>DPZ 10-Q Q1 2026 (dpz-20260322.htm) | Dividends declared on common stock and equivalents (per share) | $1.74 per share</t>
      </text>
    </comment>
    <comment ref="D40" authorId="0">
      <text>
        <t>DPZ 10-Q Q2 2026 (dpz-20260614.htm) | Dividends declared on common stock and equivalents (per share) | $1.74 per share</t>
      </text>
    </comment>
    <comment ref="E40" authorId="0">
      <text>
        <t>DPZ 10-Q Q3 2025 (dpz-20250907.htm) | Dividends declared on common stock and equivalents (per share) | $1.74 per share</t>
      </text>
    </comment>
    <comment ref="H40" authorId="0">
      <text>
        <t>DPZ 10-Q Q1 2026 (dpz-20260322.htm) | Dividends declared on common stock and equivalents (per share) | $1.99 per share</t>
      </text>
    </comment>
    <comment ref="I40" authorId="0">
      <text>
        <t>DPZ 10-Q Q2 2026 (dpz-20260614.htm) | Dividends declared on common stock and equivalents (per share) | $1.99 per share</t>
      </text>
    </comment>
    <comment ref="J40" authorId="0">
      <text>
        <t>DPZ 8-K Ex.99.1 Q2 2026 release (dpz-ex99_1.htm, 2026-07-20) | Quarterly Dividend | $1.99 per share</t>
      </text>
    </comment>
    <comment ref="C43" authorId="0">
      <text>
        <t>DPZ 10-Q Q1 2026 (dpz-20260322.htm) | Statements of Stockholders’ Deficit — Dividends declared on common stock and equivalents | 59,800</t>
      </text>
    </comment>
    <comment ref="D43" authorId="0">
      <text>
        <t>DPZ 10-Q Q2 2026 (dpz-20260614.htm) | Statements of Stockholders’ Deficit — Dividends declared on common stock and equivalents | 59,457</t>
      </text>
    </comment>
    <comment ref="E43" authorId="0">
      <text>
        <t>DPZ 10-Q Q3 2025 (dpz-20250907.htm) | Statements of Stockholders’ Deficit — Dividends declared on common stock and equivalents | 59,184</t>
      </text>
    </comment>
    <comment ref="H43" authorId="0">
      <text>
        <t>DPZ 10-Q Q1 2026 (dpz-20260322.htm) | Statements of Stockholders’ Deficit — Dividends declared on common stock and equivalents | 67,278</t>
      </text>
    </comment>
    <comment ref="I43" authorId="0">
      <text>
        <t>DPZ 10-Q Q2 2026 (dpz-20260614.htm) | Statements of Stockholders’ Deficit — Dividends declared on common stock and equivalents | 66,162</t>
      </text>
    </comment>
  </commentList>
</comments>
</file>

<file path=xl/comments10.xml><?xml version="1.0" encoding="utf-8"?>
<comments xmlns="http://schemas.openxmlformats.org/spreadsheetml/2006/main">
  <authors>
    <author>Shortcut</author>
  </authors>
  <commentList>
    <comment ref="C20" authorId="0">
      <text>
        <t>DPZ_consensus.json | summary_row.analysts_covering | 30</t>
      </text>
    </comment>
    <comment ref="C21" authorId="0">
      <text>
        <t>DPZ_consensus.json | summary_row.eps_normalized_mean | 4.38</t>
      </text>
    </comment>
    <comment ref="C22" authorId="0">
      <text>
        <t>DPZ_consensus.json | summary_row.eps_normalized_median | 4.37</t>
      </text>
    </comment>
    <comment ref="C23" authorId="0">
      <text>
        <t>DPZ_consensus.json | summary_row.eps_normalized_high | 4.71</t>
      </text>
    </comment>
    <comment ref="C24" authorId="0">
      <text>
        <t>DPZ_consensus.json | summary_row.eps_normalized_low | 4.18</t>
      </text>
    </comment>
    <comment ref="C25" authorId="0">
      <text>
        <t>DPZ_consensus.json | summary_row.eps_normalized_std_dev | 0.1</t>
      </text>
    </comment>
    <comment ref="C26" authorId="0">
      <text>
        <t>DPZ_consensus.json | summary_row.eps_normalized_n_est | 26</t>
      </text>
    </comment>
    <comment ref="C30" authorId="0">
      <text>
        <t>DPZ_consensus.json | summary_row.eps_gaap_mean | 4.39</t>
      </text>
    </comment>
    <comment ref="C31" authorId="0">
      <text>
        <t>DPZ_consensus.json | summary_row.eps_gaap_median | 4.37</t>
      </text>
    </comment>
    <comment ref="C32" authorId="0">
      <text>
        <t>DPZ_consensus.json | summary_row.eps_gaap_high | 4.71</t>
      </text>
    </comment>
    <comment ref="C33" authorId="0">
      <text>
        <t>DPZ_consensus.json | summary_row.eps_gaap_low | 4.2</t>
      </text>
    </comment>
    <comment ref="C34" authorId="0">
      <text>
        <t>DPZ_consensus.json | summary_row.eps_gaap_std_dev | 0.1</t>
      </text>
    </comment>
    <comment ref="C35" authorId="0">
      <text>
        <t>DPZ_consensus.json | summary_row.eps_gaap_n_est | 22</t>
      </text>
    </comment>
    <comment ref="C37" authorId="0">
      <text>
        <t>DPZ_consensus.json | summary_row.revenue_m_mean | 1172.63</t>
      </text>
    </comment>
    <comment ref="C38" authorId="0">
      <text>
        <t>DPZ_consensus.json | summary_row.revenue_m_median | 1172.91</t>
      </text>
    </comment>
    <comment ref="C39" authorId="0">
      <text>
        <t>DPZ_consensus.json | summary_row.revenue_m_high | 1209.5</t>
      </text>
    </comment>
    <comment ref="C40" authorId="0">
      <text>
        <t>DPZ_consensus.json | summary_row.revenue_m_low | 1149.0</t>
      </text>
    </comment>
    <comment ref="C41" authorId="0">
      <text>
        <t>DPZ_consensus.json | summary_row.revenue_m_std_dev | 12.28</t>
      </text>
    </comment>
    <comment ref="C42" authorId="0">
      <text>
        <t>DPZ_consensus.json | summary_row.revenue_m_n_est | 24</t>
      </text>
    </comment>
    <comment ref="C46" authorId="0">
      <text>
        <t>DPZ_consensus.json | summary_row.ebitda_m | 250.88</t>
      </text>
    </comment>
    <comment ref="C47" authorId="0">
      <text>
        <t>DPZ_consensus.json | summary_row.ebit_m | 230.12</t>
      </text>
    </comment>
    <comment ref="C48" authorId="0">
      <text>
        <t>DPZ_consensus.json | summary_row.ebt_excl_excep_m | 185.74</t>
      </text>
    </comment>
    <comment ref="C49" authorId="0">
      <text>
        <t>DPZ_consensus.json | summary_row.ebt_gaap_m | 186.05</t>
      </text>
    </comment>
    <comment ref="C50" authorId="0">
      <text>
        <t>DPZ_consensus.json | summary_row.net_income_excl_excep_m | 145.08</t>
      </text>
    </comment>
    <comment ref="C51" authorId="0">
      <text>
        <t>DPZ_consensus.json | summary_row.net_income_gaap_m | 145.26</t>
      </text>
    </comment>
    <comment ref="C54" authorId="0">
      <text>
        <t>DPZ_consensus.json | summary_row.d_and_a_m | 21.33</t>
      </text>
    </comment>
    <comment ref="C58" authorId="0">
      <text>
        <t>DPZ_consensus.json | summary_row.interest_expense_m | -43.75</t>
      </text>
    </comment>
    <comment ref="C59" authorId="0">
      <text>
        <t>DPZ_consensus.json | summary_row.net_debt_m | 4728.49</t>
      </text>
    </comment>
    <comment ref="C66" authorId="0">
      <text>
        <t>DPZ_consensus.json | summary_row.target_price_mean | 373.15</t>
      </text>
    </comment>
    <comment ref="C67" authorId="0">
      <text>
        <t>DPZ_consensus.json | summary_row.target_price_median | 372.0</t>
      </text>
    </comment>
    <comment ref="C68" authorId="0">
      <text>
        <t>DPZ_consensus.json | summary_row.target_price_high | 455.0</t>
      </text>
    </comment>
    <comment ref="C69" authorId="0">
      <text>
        <t>DPZ_consensus.json | summary_row.target_price_low | 260.0</t>
      </text>
    </comment>
    <comment ref="C70" authorId="0">
      <text>
        <t>DPZ_consensus.json | summary_row.target_price_std_dev | 45.56</t>
      </text>
    </comment>
    <comment ref="C71" authorId="0">
      <text>
        <t>DPZ_consensus.json | summary_row.target_price_n_est | 27</t>
      </text>
    </comment>
    <comment ref="C73" authorId="0">
      <text>
        <t>DPZ_consensus.json | summary_row.recommendation_score | 2.13</t>
      </text>
    </comment>
    <comment ref="C74" authorId="0">
      <text>
        <t>DPZ_consensus.json | summary_row.last_close_price | 309.36</t>
      </text>
    </comment>
    <comment ref="C81" authorId="0">
      <text>
        <t>DPZ_consensus.json | analyst_count | 26</t>
      </text>
    </comment>
    <comment ref="C82" authorId="0">
      <text>
        <t>DPZ_consensus.json | consensus_eps | 4.38</t>
      </text>
    </comment>
    <comment ref="C83" authorId="0">
      <text>
        <t>DPZ_consensus.json | consensus_revenue_m | 1172.63</t>
      </text>
    </comment>
    <comment ref="C89" authorId="0">
      <text>
        <t>DPZ_history.csv | row period_end_date=2025-03-31 | 4.07</t>
      </text>
    </comment>
    <comment ref="D89" authorId="0">
      <text>
        <t>DPZ_history.csv | row period_end_date=2025-06-30 | 3.96</t>
      </text>
    </comment>
    <comment ref="E89" authorId="0">
      <text>
        <t>DPZ_history.csv | row period_end_date=2025-09-30 | 3.96</t>
      </text>
    </comment>
    <comment ref="F89" authorId="0">
      <text>
        <t>DPZ_history.csv | row period_end_date=2025-12-31 | 5.38</t>
      </text>
    </comment>
    <comment ref="H89" authorId="0">
      <text>
        <t>DPZ_history.csv | row period_end_date=2026-03-31 | 4.27</t>
      </text>
    </comment>
    <comment ref="I89" authorId="0">
      <text>
        <t>DPZ_history.csv | row period_end_date=2026-06-30 | 4.17</t>
      </text>
    </comment>
    <comment ref="C90" authorId="0">
      <text>
        <t>DPZ_history.csv | row period_end_date=2025-03-31 | 4.33</t>
      </text>
    </comment>
    <comment ref="D90" authorId="0">
      <text>
        <t>DPZ_history.csv | row period_end_date=2025-06-30 | 3.81</t>
      </text>
    </comment>
    <comment ref="E90" authorId="0">
      <text>
        <t>DPZ_history.csv | row period_end_date=2025-09-30 | 4.08</t>
      </text>
    </comment>
    <comment ref="F90" authorId="0">
      <text>
        <t>DPZ_history.csv | row period_end_date=2025-12-31 | 5.35</t>
      </text>
    </comment>
    <comment ref="H90" authorId="0">
      <text>
        <t>DPZ_history.csv | row period_end_date=2026-03-31 | 4.13</t>
      </text>
    </comment>
    <comment ref="I90" authorId="0">
      <text>
        <t>DPZ_history.csv | row period_end_date=2026-06-30 | 4.07</t>
      </text>
    </comment>
    <comment ref="C91" authorId="0">
      <text>
        <t>DPZ_history.csv | row period_end_date=2025-03-31 | 4.07</t>
      </text>
    </comment>
    <comment ref="D91" authorId="0">
      <text>
        <t>DPZ_history.csv | row period_end_date=2025-06-30 | 3.95</t>
      </text>
    </comment>
    <comment ref="E91" authorId="0">
      <text>
        <t>DPZ_history.csv | row period_end_date=2025-09-30 | 3.96</t>
      </text>
    </comment>
    <comment ref="F91" authorId="0">
      <text>
        <t>DPZ_history.csv | row period_end_date=2025-12-31 | 5.39</t>
      </text>
    </comment>
    <comment ref="H91" authorId="0">
      <text>
        <t>DPZ_history.csv | row period_end_date=2026-03-31 | 4.27</t>
      </text>
    </comment>
    <comment ref="I91" authorId="0">
      <text>
        <t>DPZ_history.csv | row period_end_date=2026-06-30 | 4.17</t>
      </text>
    </comment>
    <comment ref="C92" authorId="0">
      <text>
        <t>DPZ_history.csv | row period_end_date=2025-03-31 | 4.33</t>
      </text>
    </comment>
    <comment ref="D92" authorId="0">
      <text>
        <t>DPZ_history.csv | row period_end_date=2025-06-30 | 3.81</t>
      </text>
    </comment>
    <comment ref="E92" authorId="0">
      <text>
        <t>DPZ_history.csv | row period_end_date=2025-09-30 | 4.08</t>
      </text>
    </comment>
    <comment ref="F92" authorId="0">
      <text>
        <t>DPZ_history.csv | row period_end_date=2025-12-31 | 5.35</t>
      </text>
    </comment>
    <comment ref="H92" authorId="0">
      <text>
        <t>DPZ_history.csv | row period_end_date=2026-03-31 | 4.13</t>
      </text>
    </comment>
    <comment ref="I92" authorId="0">
      <text>
        <t>DPZ_history.csv | row period_end_date=2026-06-30 | 4.07</t>
      </text>
    </comment>
    <comment ref="C93" authorId="0">
      <text>
        <t>DPZ_history.csv | row period_end_date=2025-03-31 | 1124.26</t>
      </text>
    </comment>
    <comment ref="D93" authorId="0">
      <text>
        <t>DPZ_history.csv | row period_end_date=2025-06-30 | 1145.86</t>
      </text>
    </comment>
    <comment ref="E93" authorId="0">
      <text>
        <t>DPZ_history.csv | row period_end_date=2025-09-30 | 1136.3</t>
      </text>
    </comment>
    <comment ref="F93" authorId="0">
      <text>
        <t>DPZ_history.csv | row period_end_date=2025-12-31 | 1518.73</t>
      </text>
    </comment>
    <comment ref="H93" authorId="0">
      <text>
        <t>DPZ_history.csv | row period_end_date=2026-03-31 | 1162.12</t>
      </text>
    </comment>
    <comment ref="I93" authorId="0">
      <text>
        <t>DPZ_history.csv | row period_end_date=2026-06-30 | 1179.25</t>
      </text>
    </comment>
    <comment ref="C94" authorId="0">
      <text>
        <t>DPZ_history.csv | row period_end_date=2025-03-31 | 1112.06</t>
      </text>
    </comment>
    <comment ref="D94" authorId="0">
      <text>
        <t>DPZ_history.csv | row period_end_date=2025-06-30 | 1145.14</t>
      </text>
    </comment>
    <comment ref="E94" authorId="0">
      <text>
        <t>DPZ_history.csv | row period_end_date=2025-09-30 | 1147.05</t>
      </text>
    </comment>
    <comment ref="F94" authorId="0">
      <text>
        <t>DPZ_history.csv | row period_end_date=2025-12-31 | 1535.74</t>
      </text>
    </comment>
    <comment ref="H94" authorId="0">
      <text>
        <t>DPZ_history.csv | row period_end_date=2026-03-31 | 1150.59</t>
      </text>
    </comment>
    <comment ref="I94" authorId="0">
      <text>
        <t>DPZ_history.csv | row period_end_date=2026-06-30 | 1194.43</t>
      </text>
    </comment>
    <comment ref="C102" authorId="0">
      <text>
        <t>stockanalysis.com/stocks/dpz/market-cap | Oct 9, 2026 | $10.23 billion</t>
      </text>
    </comment>
  </commentList>
</comments>
</file>

<file path=xl/sharedStrings.xml><?xml version="1.0" encoding="utf-8"?>
<sst xmlns="http://schemas.openxmlformats.org/spreadsheetml/2006/main" count="2751" uniqueCount="1058">
  <si>
    <t>Domino's Pizza, Inc. (NasdaqGS: DPZ)</t>
  </si>
  <si>
    <t>Cover — Company Model — built by Shortcut</t>
  </si>
  <si>
    <t>$ millions, except per share</t>
  </si>
  <si>
    <t>Period</t>
  </si>
  <si>
    <t>1Q25A</t>
  </si>
  <si>
    <t>2Q25A</t>
  </si>
  <si>
    <t>3Q25A</t>
  </si>
  <si>
    <t>4Q25A</t>
  </si>
  <si>
    <t>FY25A</t>
  </si>
  <si>
    <t>1Q26A</t>
  </si>
  <si>
    <t>2Q26A</t>
  </si>
  <si>
    <t>3Q26E</t>
  </si>
  <si>
    <t>Notes / source IDs</t>
  </si>
  <si>
    <t>Period end</t>
  </si>
  <si>
    <t>Days in period</t>
  </si>
  <si>
    <t>Q1–Q3 = 12 weeks (84 days); 4Q25 = 16 weeks (112 days); 4Q26 will be 17 weeks (53-week FY26). Q/Q changes into/out of Q4 reflect period length.</t>
  </si>
  <si>
    <t>Period band (rows 5–7) applies to period-column tables only; the company details and the captioned 3Q26E blocks below are not period columns.</t>
  </si>
  <si>
    <t>Company Model — built by Shortcut</t>
  </si>
  <si>
    <t xml:space="preserve">  Company</t>
  </si>
  <si>
    <t>Domino's Pizza, Inc.</t>
  </si>
  <si>
    <t xml:space="preserve">  Ticker</t>
  </si>
  <si>
    <t>DPZ</t>
  </si>
  <si>
    <t xml:space="preserve">  Exchange</t>
  </si>
  <si>
    <t>Nasdaq Global Select Market (NasdaqGS:DPZ)</t>
  </si>
  <si>
    <t xml:space="preserve">  Fiscal year end</t>
  </si>
  <si>
    <t>Sunday closest to Dec 31 (FY2025 ended 2025-12-28; FY2026 ends 2027-01-03, 53 weeks)</t>
  </si>
  <si>
    <t xml:space="preserve">  Currency</t>
  </si>
  <si>
    <t>USD</t>
  </si>
  <si>
    <t xml:space="preserve">  EPS basis</t>
  </si>
  <si>
    <t>CapIQ normalized diluted EPS per common share — equals GAAP diluted EPS (DPZ reports no non-GAAP EPS)</t>
  </si>
  <si>
    <t xml:space="preserve">  Forecast period</t>
  </si>
  <si>
    <t>FQ3 2026: 12 weeks ended 2026-09-06 (supplied label 2026-09-30 is month-end shorthand)</t>
  </si>
  <si>
    <t xml:space="preserve">  Information cutoff</t>
  </si>
  <si>
    <t>2026-10-11 22:24 UTC</t>
  </si>
  <si>
    <t xml:space="preserve">  Expected report date</t>
  </si>
  <si>
    <t>2026-10-13, 06:05 America/New_York (S32)</t>
  </si>
  <si>
    <t xml:space="preserve">  Author</t>
  </si>
  <si>
    <t>Shortcut</t>
  </si>
  <si>
    <t>Headline (3Q26E): Shortcut estimate vs consensus at cutoff vs Shortcut-derived guidance path</t>
  </si>
  <si>
    <t>Revenue ($M) — Shortcut estimate</t>
  </si>
  <si>
    <t xml:space="preserve">  Consensus at cutoff (CapIQ, 2026-10-11)</t>
  </si>
  <si>
    <t xml:space="preserve">  Variance vs consensus</t>
  </si>
  <si>
    <t xml:space="preserve">  Variance vs consensus (%)</t>
  </si>
  <si>
    <t xml:space="preserve">  Issuer quarterly guidance (DPZ gives annual outlook only)</t>
  </si>
  <si>
    <t>n/a (not guided)</t>
  </si>
  <si>
    <t xml:space="preserve">  Prior-year quarter (3Q25A)</t>
  </si>
  <si>
    <t xml:space="preserve">  % Y/Y</t>
  </si>
  <si>
    <t>Net income, consensus basis ($M) — Shortcut estimate</t>
  </si>
  <si>
    <t xml:space="preserve">  Shortcut-derived from FY2026 op-income guide (not issuer guidance)</t>
  </si>
  <si>
    <t>Diluted EPS, consensus basis (normalized = GAAP) — Shortcut estimate</t>
  </si>
  <si>
    <t>GAAP diluted EPS — Shortcut estimate (same as consensus basis)</t>
  </si>
  <si>
    <t xml:space="preserve">  CapIQ GAAP EPS consensus (memo)</t>
  </si>
  <si>
    <t>P(beat consensus EPS)</t>
  </si>
  <si>
    <t>Confidence</t>
  </si>
  <si>
    <t>Overall model check (inline check rows; text or error = FAIL)</t>
  </si>
  <si>
    <t>PASS scope. Independent ties: modelled − reported history; CapIQ EPS (Inputs row 100); IS G118 and G130 FY25 ties; BS equity row 47 vs reported row 48. Internal consistency only: BS J50. Structural identities (true by construction, not independent): CF J69, Geo J24/J52, Supply Chain J28, Revenue summary G68. Excluded as n/a: Supply Chain F28:G28, IS E40:G40, J40. Residuals are assumptions, not PASS evidence.</t>
  </si>
  <si>
    <t xml:space="preserve">  Cover ties to statements: |Cover − Income Statement| (revenue + NI + EPS)</t>
  </si>
  <si>
    <t>Key 3Q26E drivers (linked)</t>
  </si>
  <si>
    <t xml:space="preserve">  U.S. same store sales</t>
  </si>
  <si>
    <t xml:space="preserve">  International same store sales (ex-FX)</t>
  </si>
  <si>
    <t xml:space="preserve">  U.S. net store growth (stores)</t>
  </si>
  <si>
    <t xml:space="preserve">  International net store growth (stores)</t>
  </si>
  <si>
    <t xml:space="preserve">  Food basket pricing change</t>
  </si>
  <si>
    <t xml:space="preserve">  Supply chain gross margin</t>
  </si>
  <si>
    <t xml:space="preserve">  Company-owned store gross margin</t>
  </si>
  <si>
    <t xml:space="preserve">  G&amp;A growth Y/Y</t>
  </si>
  <si>
    <t xml:space="preserve">  Operating margin</t>
  </si>
  <si>
    <t xml:space="preserve">  DPC Dash remeasurement ($M)</t>
  </si>
  <si>
    <t xml:space="preserve">  Effective tax rate</t>
  </si>
  <si>
    <t xml:space="preserve">  Diluted shares (millions)</t>
  </si>
  <si>
    <t>Revenue summary</t>
  </si>
  <si>
    <t>Revenue by reported line and segment (linked from segment tabs)</t>
  </si>
  <si>
    <t xml:space="preserve">    U.S. Company-owned stores</t>
  </si>
  <si>
    <t xml:space="preserve">      Prior-year period</t>
  </si>
  <si>
    <t xml:space="preserve">      % Y/Y</t>
  </si>
  <si>
    <t xml:space="preserve">      % Q/Q</t>
  </si>
  <si>
    <t>n/a</t>
  </si>
  <si>
    <t>F/H Q/Q cross the 16-week 4Q25 (row 7); applies to all % Q/Q rows</t>
  </si>
  <si>
    <t xml:space="preserve">      % of total revenue</t>
  </si>
  <si>
    <t xml:space="preserve">      FX impact</t>
  </si>
  <si>
    <t xml:space="preserve">      M&amp;A / scope impact</t>
  </si>
  <si>
    <t>unavailable</t>
  </si>
  <si>
    <t>Refranchising scope effect not quantified</t>
  </si>
  <si>
    <t xml:space="preserve">      Organic growth</t>
  </si>
  <si>
    <t>Unavailable (scope not disclosed)</t>
  </si>
  <si>
    <t xml:space="preserve">    U.S. franchise royalties and fees</t>
  </si>
  <si>
    <t xml:space="preserve">    U.S. franchise advertising</t>
  </si>
  <si>
    <t xml:space="preserve">  U.S. Stores segment</t>
  </si>
  <si>
    <t xml:space="preserve">    Prior-year period</t>
  </si>
  <si>
    <t xml:space="preserve">    % Y/Y</t>
  </si>
  <si>
    <t xml:space="preserve">    % Q/Q</t>
  </si>
  <si>
    <t xml:space="preserve">    % of total revenue</t>
  </si>
  <si>
    <t xml:space="preserve">    FX impact</t>
  </si>
  <si>
    <t xml:space="preserve">    M&amp;A / scope impact</t>
  </si>
  <si>
    <t xml:space="preserve">    Organic growth</t>
  </si>
  <si>
    <t xml:space="preserve">  Supply Chain segment</t>
  </si>
  <si>
    <t>Not disclosed (Canada)</t>
  </si>
  <si>
    <t>Not quantified</t>
  </si>
  <si>
    <t>Unavailable</t>
  </si>
  <si>
    <t xml:space="preserve">  International Franchise segment</t>
  </si>
  <si>
    <t>Total revenues</t>
  </si>
  <si>
    <t xml:space="preserve">  Prior-year period total revenues</t>
  </si>
  <si>
    <t>F61/H61 cross the 16-week 4Q25 (112 days): reflects period length, not trend</t>
  </si>
  <si>
    <t xml:space="preserve">    FX impact (international royalties only, as disclosed)</t>
  </si>
  <si>
    <t>Refranchising/scope effect not quantified</t>
  </si>
  <si>
    <t>Unavailable: issuer does not define organic growth</t>
  </si>
  <si>
    <t xml:space="preserve">    Total revenue growth ex-disclosed FX</t>
  </si>
  <si>
    <t xml:space="preserve">  Total revenues — as reported</t>
  </si>
  <si>
    <t>S3–S10</t>
  </si>
  <si>
    <t xml:space="preserve">  Check: segments sum − reported total (should be 0)</t>
  </si>
  <si>
    <t>Geography: U.S. and international revenue/retail sales split is shown on the Geo tab.</t>
  </si>
  <si>
    <t>Segment - U.S. Stores</t>
  </si>
  <si>
    <t>Store ladder — U.S. Company-owned stores</t>
  </si>
  <si>
    <t xml:space="preserve">  Opening store count</t>
  </si>
  <si>
    <t>S3/S6</t>
  </si>
  <si>
    <t xml:space="preserve">    Opening store count — change Y/Y (abs.)</t>
  </si>
  <si>
    <t xml:space="preserve">    Opening store count — sequential change (abs.)</t>
  </si>
  <si>
    <t xml:space="preserve">  Gross openings</t>
  </si>
  <si>
    <t>S3–S10; 3Q26E assumption</t>
  </si>
  <si>
    <t xml:space="preserve">    Gross openings — change Y/Y (abs.)</t>
  </si>
  <si>
    <t xml:space="preserve">    Gross openings — sequential change (abs.)</t>
  </si>
  <si>
    <t xml:space="preserve">  Closures</t>
  </si>
  <si>
    <t xml:space="preserve">    Closures — change Y/Y (abs.)</t>
  </si>
  <si>
    <t xml:space="preserve">    Closures — sequential change (abs.)</t>
  </si>
  <si>
    <t xml:space="preserve">  Transfers (Company-owned ↔ franchise)</t>
  </si>
  <si>
    <t xml:space="preserve">    Transfers (Company-owned ↔ franchise) — change Y/Y (abs.)</t>
  </si>
  <si>
    <t xml:space="preserve">    Transfers (Company-owned ↔ franchise) — sequential change (abs.)</t>
  </si>
  <si>
    <t xml:space="preserve">  Closing store count</t>
  </si>
  <si>
    <t xml:space="preserve">    Reported closing store count</t>
  </si>
  <si>
    <t xml:space="preserve">    Check: modelled − reported (should be 0)</t>
  </si>
  <si>
    <t xml:space="preserve">    Closing store count — change Y/Y (abs.)</t>
  </si>
  <si>
    <t xml:space="preserve">  Net store growth (openings + closures)</t>
  </si>
  <si>
    <t xml:space="preserve">    Net store growth — change Y/Y (abs.)</t>
  </si>
  <si>
    <t xml:space="preserve">    Net store growth — sequential change (abs.)</t>
  </si>
  <si>
    <t xml:space="preserve">  Average store count</t>
  </si>
  <si>
    <t xml:space="preserve">    Average store count — % Y/Y</t>
  </si>
  <si>
    <t xml:space="preserve">    Average store count — sequential change (abs.)</t>
  </si>
  <si>
    <t xml:space="preserve">    Closing count — sequential change (abs.)</t>
  </si>
  <si>
    <t>Store ladder — U.S. franchise stores</t>
  </si>
  <si>
    <t>Store ladder — Total U.S.</t>
  </si>
  <si>
    <t xml:space="preserve">  Net store growth</t>
  </si>
  <si>
    <t xml:space="preserve">  Net store growth, trailing four quarters (= Y/Y change in count)</t>
  </si>
  <si>
    <t>S3–S6 reported; 2026 summed</t>
  </si>
  <si>
    <t xml:space="preserve">    Closing store count — % Y/Y</t>
  </si>
  <si>
    <t xml:space="preserve">    Closing store count — sequential change (abs.)</t>
  </si>
  <si>
    <t xml:space="preserve">  Franchise mix (% of U.S. stores)</t>
  </si>
  <si>
    <t xml:space="preserve">    Franchise mix — change Y/Y (bp)</t>
  </si>
  <si>
    <t xml:space="preserve">    Franchise mix — sequential change (bp)</t>
  </si>
  <si>
    <t xml:space="preserve">  Closure rate (% of opening count)</t>
  </si>
  <si>
    <t xml:space="preserve">    Closure rate — change Y/Y (bp)</t>
  </si>
  <si>
    <t xml:space="preserve">    Closure rate — sequential change (bp)</t>
  </si>
  <si>
    <t xml:space="preserve">  Gross opening rate (% of opening count)</t>
  </si>
  <si>
    <t xml:space="preserve">    Gross opening rate — change Y/Y (bp)</t>
  </si>
  <si>
    <t xml:space="preserve">    Gross opening rate — sequential change (bp)</t>
  </si>
  <si>
    <t>Same store sales (comparable sales) growth</t>
  </si>
  <si>
    <t xml:space="preserve">  U.S. Company-owned stores SSS</t>
  </si>
  <si>
    <t>S3–S10; 3Q26E assumption (S14–S17)</t>
  </si>
  <si>
    <t xml:space="preserve">    U.S. Company-owned stores SSS — change Y/Y (bp)</t>
  </si>
  <si>
    <t xml:space="preserve">    U.S. Company-owned stores SSS — sequential change (bp)</t>
  </si>
  <si>
    <t xml:space="preserve">  U.S. franchise stores SSS</t>
  </si>
  <si>
    <t xml:space="preserve">    U.S. franchise stores SSS — change Y/Y (bp)</t>
  </si>
  <si>
    <t xml:space="preserve">    U.S. franchise stores SSS — sequential change (bp)</t>
  </si>
  <si>
    <t xml:space="preserve">  U.S. stores SSS (total)</t>
  </si>
  <si>
    <t xml:space="preserve">    Prior-year period U.S. SSS (as reported)</t>
  </si>
  <si>
    <t>S3–S6. FY24 U.S. SSS +3.2% per S6 fiscal-year table; not entered (frozen-input scope), so FY change/two-year stack (G96, G98) show n/a</t>
  </si>
  <si>
    <t xml:space="preserve">    U.S. SSS — change Y/Y (bp)</t>
  </si>
  <si>
    <t xml:space="preserve">    U.S. SSS — sequential change (bp)</t>
  </si>
  <si>
    <t xml:space="preserve">    U.S. SSS — two-year stack</t>
  </si>
  <si>
    <t>U.S. retail sales (system-wide, statistical)</t>
  </si>
  <si>
    <t>U.S. retail sales</t>
  </si>
  <si>
    <t>S3–S10; FY = sum of quarters (reported FY 9,952.9)</t>
  </si>
  <si>
    <t xml:space="preserve">  Prior-year period U.S. retail sales (as reported)</t>
  </si>
  <si>
    <t>S3–S6</t>
  </si>
  <si>
    <t xml:space="preserve">    U.S. retail sales — % Y/Y</t>
  </si>
  <si>
    <t xml:space="preserve">    U.S. retail sales — sequential change ($)</t>
  </si>
  <si>
    <t xml:space="preserve">  U.S. retail sales growth (reported, %)</t>
  </si>
  <si>
    <t xml:space="preserve">    U.S. retail sales growth — change Y/Y (bp)</t>
  </si>
  <si>
    <t xml:space="preserve">    U.S. retail sales growth — sequential change (bp)</t>
  </si>
  <si>
    <t xml:space="preserve">  Non-comp (store-growth) contribution to U.S. retail growth</t>
  </si>
  <si>
    <t>3Q26E assumption ≈ 2Q26 derived 1.8%</t>
  </si>
  <si>
    <t xml:space="preserve">    Non-comp contribution — change Y/Y (bp)</t>
  </si>
  <si>
    <t xml:space="preserve">    Non-comp contribution — sequential change (bp)</t>
  </si>
  <si>
    <t>U.S. franchise retail sales (U.S. retail less Company-owned store sales)</t>
  </si>
  <si>
    <t xml:space="preserve">  Prior-year period U.S. franchise retail sales</t>
  </si>
  <si>
    <t xml:space="preserve">    U.S. franchise retail sales — % Y/Y</t>
  </si>
  <si>
    <t xml:space="preserve">    U.S. franchise retail sales — sequential change ($)</t>
  </si>
  <si>
    <t>Unit economics</t>
  </si>
  <si>
    <t xml:space="preserve">  Weeks in period</t>
  </si>
  <si>
    <t xml:space="preserve">  Company-owned sales per average store-week ($000)</t>
  </si>
  <si>
    <t>2Q26 inflated: 77-store refranchising late in quarter vs simple average; 3Q26E = 3Q25 × (1+SSS)</t>
  </si>
  <si>
    <t xml:space="preserve">    Company-owned sales per store-week — % Y/Y</t>
  </si>
  <si>
    <t xml:space="preserve">    Company-owned sales per store-week — sequential change ($000)</t>
  </si>
  <si>
    <t xml:space="preserve">  Franchise retail sales per average store-week ($000)</t>
  </si>
  <si>
    <t xml:space="preserve">    Franchise retail sales per store-week — % Y/Y</t>
  </si>
  <si>
    <t xml:space="preserve">    Franchise retail sales per store-week — sequential change ($000)</t>
  </si>
  <si>
    <t>Realised rates on franchise retail sales</t>
  </si>
  <si>
    <t xml:space="preserve">  U.S. royalties &amp; fees as % of franchise retail sales</t>
  </si>
  <si>
    <t>3Q26E = 3Q25 rate + avg 1H26 Y/Y bp change</t>
  </si>
  <si>
    <t xml:space="preserve">    Prior-year period rate</t>
  </si>
  <si>
    <t xml:space="preserve">    Royalty &amp; fee rate — change Y/Y (bp)</t>
  </si>
  <si>
    <t xml:space="preserve">    Royalty &amp; fee rate — sequential change (bp)</t>
  </si>
  <si>
    <t xml:space="preserve">  U.S. advertising contributions as % of franchise retail sales</t>
  </si>
  <si>
    <t xml:space="preserve">    Advertising rate — change Y/Y (bp)</t>
  </si>
  <si>
    <t xml:space="preserve">    Advertising rate — sequential change (bp)</t>
  </si>
  <si>
    <t>Revenue build — U.S. Stores segment</t>
  </si>
  <si>
    <t>U.S. Company-owned stores revenue</t>
  </si>
  <si>
    <t>S3–S10; 3Q26E = avg stores × weeks × sales/store-week</t>
  </si>
  <si>
    <t xml:space="preserve">    % Y/Y (total)</t>
  </si>
  <si>
    <t xml:space="preserve">    Sequential change ($)</t>
  </si>
  <si>
    <t xml:space="preserve">    FX impact (% of prior-year revenue)</t>
  </si>
  <si>
    <t>USD-denominated; no translation effect</t>
  </si>
  <si>
    <t>Refranchising/scope effect not quantified by issuer</t>
  </si>
  <si>
    <t xml:space="preserve">    Organic growth = (1+Y/Y)/((1+M&amp;A)×(1+FX))−1</t>
  </si>
  <si>
    <t>Unavailable: M&amp;A/scope component not disclosed</t>
  </si>
  <si>
    <t>U.S. franchise royalties and fees</t>
  </si>
  <si>
    <t>S3–S10; 3Q26E = franchise retail × rate</t>
  </si>
  <si>
    <t>U.S. franchise advertising revenue</t>
  </si>
  <si>
    <t>U.S. Stores segment revenue</t>
  </si>
  <si>
    <t>Prior-year comparatives (as reported in 2025 filings)</t>
  </si>
  <si>
    <t xml:space="preserve">  U.S. Company-owned stores — prior-year period</t>
  </si>
  <si>
    <t>S3–S6 (2024 comparatives)</t>
  </si>
  <si>
    <t xml:space="preserve">  U.S. franchise royalties and fees — prior-year period</t>
  </si>
  <si>
    <t xml:space="preserve">  U.S. franchise advertising — prior-year period</t>
  </si>
  <si>
    <t xml:space="preserve">  U.S. Company-owned store cost of sales — prior-year period</t>
  </si>
  <si>
    <t xml:space="preserve">  U.S. Stores segment revenue — prior-year period</t>
  </si>
  <si>
    <t>Company-owned store profitability</t>
  </si>
  <si>
    <t>U.S. Company-owned store cost of sales</t>
  </si>
  <si>
    <t xml:space="preserve">    Company-owned store cost of sales — % Y/Y</t>
  </si>
  <si>
    <t xml:space="preserve">    Company-owned store cost of sales — sequential change ($)</t>
  </si>
  <si>
    <t xml:space="preserve">  of which: food</t>
  </si>
  <si>
    <t>S3–S10 segment note; 4Q25 unavailable; not forecast separately</t>
  </si>
  <si>
    <t xml:space="preserve">    Food cost — % Y/Y</t>
  </si>
  <si>
    <t xml:space="preserve">    Food cost — sequential change ($)</t>
  </si>
  <si>
    <t xml:space="preserve">    Food cost % of Company-owned store sales</t>
  </si>
  <si>
    <t xml:space="preserve">      Food cost % — change Y/Y (bp)</t>
  </si>
  <si>
    <t xml:space="preserve">      Food cost % — sequential change (bp)</t>
  </si>
  <si>
    <t xml:space="preserve">  of which: labor</t>
  </si>
  <si>
    <t xml:space="preserve">    Labor cost — % Y/Y</t>
  </si>
  <si>
    <t xml:space="preserve">    Labor cost — sequential change ($)</t>
  </si>
  <si>
    <t xml:space="preserve">    Labor cost % of Company-owned store sales</t>
  </si>
  <si>
    <t xml:space="preserve">      Labor cost % — change Y/Y (bp)</t>
  </si>
  <si>
    <t xml:space="preserve">      Labor cost % — sequential change (bp)</t>
  </si>
  <si>
    <t xml:space="preserve">  of which: other (occupancy, delivery, insurance; residual)</t>
  </si>
  <si>
    <t>U.S. Company-owned store gross margin ($)</t>
  </si>
  <si>
    <t xml:space="preserve">  Company-owned store gross margin %</t>
  </si>
  <si>
    <t>3Q26E assumption (2Q26 11.4%, 3Q25 16.3%)</t>
  </si>
  <si>
    <t xml:space="preserve">    Prior-year period margin</t>
  </si>
  <si>
    <t xml:space="preserve">    Company-owned store margin — change Y/Y (bp)</t>
  </si>
  <si>
    <t xml:space="preserve">    Company-owned store margin — sequential change (bp)</t>
  </si>
  <si>
    <t>U.S. Stores gross profit (store margin + royalties; advertising is pass-through)</t>
  </si>
  <si>
    <t>Segment G&amp;A (2026 segment basis)</t>
  </si>
  <si>
    <t>3Q25/4Q25 not restated on 2026 basis; total G&amp;A forecast on Income Statement</t>
  </si>
  <si>
    <t xml:space="preserve">  Segment G&amp;A % of segment revenue</t>
  </si>
  <si>
    <t xml:space="preserve">    Segment G&amp;A % — change Y/Y (bp)</t>
  </si>
  <si>
    <t xml:space="preserve">    Segment G&amp;A % — sequential change (bp)</t>
  </si>
  <si>
    <t xml:space="preserve">    Segment G&amp;A — % Y/Y</t>
  </si>
  <si>
    <t xml:space="preserve">    Segment G&amp;A — sequential change ($)</t>
  </si>
  <si>
    <t xml:space="preserve">  Memo: segment G&amp;A, 2025 basis as originally reported (not comparable)</t>
  </si>
  <si>
    <t>S4/S5</t>
  </si>
  <si>
    <t>Segment Adjusted Income from Operations (2026 basis)</t>
  </si>
  <si>
    <t>3Q25/4Q25 not restated on 2026 basis in filings available; not forecast</t>
  </si>
  <si>
    <t xml:space="preserve">  Segment margin (% of segment revenue)</t>
  </si>
  <si>
    <t xml:space="preserve">    Segment margin — change Y/Y (bp)</t>
  </si>
  <si>
    <t xml:space="preserve">    Segment margin — sequential change (bp)</t>
  </si>
  <si>
    <t>Segment - Supply Chain</t>
  </si>
  <si>
    <t>Pricing and volume drivers</t>
  </si>
  <si>
    <t xml:space="preserve">  Food basket pricing change to stores (% Y/Y)</t>
  </si>
  <si>
    <t>S3–S10; 3Q26E assumption (cheese −11%, flour +24% per S14)</t>
  </si>
  <si>
    <t xml:space="preserve">    Food basket pricing — change Y/Y (bp)</t>
  </si>
  <si>
    <t xml:space="preserve">    Food basket pricing — sequential change (bp)</t>
  </si>
  <si>
    <t>Supply chain revenue incl. intersegment (gross)</t>
  </si>
  <si>
    <t>4Q25 segment split not in filings fetched (10-K segment note truncated)</t>
  </si>
  <si>
    <t xml:space="preserve">  Prior-year period gross supply chain revenue</t>
  </si>
  <si>
    <t>S3–S5</t>
  </si>
  <si>
    <t xml:space="preserve">    Gross supply chain revenue — % Y/Y</t>
  </si>
  <si>
    <t xml:space="preserve">    Gross supply chain revenue — sequential change ($)</t>
  </si>
  <si>
    <t xml:space="preserve">  Volume / mix growth (derived: gross growth net of basket pricing)</t>
  </si>
  <si>
    <t>3Q26E assumption: +2.0% volume is a discretionary judgment informed by U.S. SSS +0.7% and net store growth +1.8% (arithmetic compounding ≈ +2.5%); it is not an exact sum of those components. Original assumption retained.</t>
  </si>
  <si>
    <t xml:space="preserve">    Volume / mix — change Y/Y (bp)</t>
  </si>
  <si>
    <t xml:space="preserve">    Volume / mix — sequential change (bp)</t>
  </si>
  <si>
    <t xml:space="preserve">  Less: intersegment sales to U.S. Company-owned stores</t>
  </si>
  <si>
    <t xml:space="preserve">    Prior-year period intersegment sales</t>
  </si>
  <si>
    <t xml:space="preserve">    Intersegment sales — % Y/Y</t>
  </si>
  <si>
    <t xml:space="preserve">    Intersegment sales — sequential change ($)</t>
  </si>
  <si>
    <t xml:space="preserve">    Intersegment sales per Company-owned store-week ($000)</t>
  </si>
  <si>
    <t>2Q26 inflated by late-quarter refranchising (simple average); 3Q26E = 3Q25 × (1 + basket)</t>
  </si>
  <si>
    <t xml:space="preserve">      Intersegment sales per store-week — % Y/Y</t>
  </si>
  <si>
    <t xml:space="preserve">      Intersegment sales per store-week — sequential change ($000)</t>
  </si>
  <si>
    <t>Supply chain revenue (external, as reported)</t>
  </si>
  <si>
    <t xml:space="preserve">  Check: gross + intersegment − external (should be 0)</t>
  </si>
  <si>
    <t xml:space="preserve">    Food basket pricing contribution (issuer disclosure)</t>
  </si>
  <si>
    <t>Canadian supply chain FX not quantified by issuer</t>
  </si>
  <si>
    <t>2025 equipment &amp; supplies transition and refranchising mix not quantified</t>
  </si>
  <si>
    <t>Unavailable: FX and scope components not disclosed</t>
  </si>
  <si>
    <t xml:space="preserve">  Prior-year period supply chain revenue (external)</t>
  </si>
  <si>
    <t>Supply chain gross margin</t>
  </si>
  <si>
    <t>Supply chain cost of sales</t>
  </si>
  <si>
    <t xml:space="preserve">    Supply chain cost of sales — % Y/Y</t>
  </si>
  <si>
    <t xml:space="preserve">    Supply chain cost of sales — sequential change ($)</t>
  </si>
  <si>
    <t>S3–S10 segment note; 4Q25 unavailable</t>
  </si>
  <si>
    <t xml:space="preserve">  of which: other (incl. D&amp;A, delivery, occupancy; residual)</t>
  </si>
  <si>
    <t xml:space="preserve">    Food cost % of supply chain revenue</t>
  </si>
  <si>
    <t xml:space="preserve">    Food cost % — change Y/Y (bp)</t>
  </si>
  <si>
    <t xml:space="preserve">    Food cost % — sequential change (bp)</t>
  </si>
  <si>
    <t xml:space="preserve">    Labor cost % of supply chain revenue</t>
  </si>
  <si>
    <t xml:space="preserve">    Labor cost % — change Y/Y (bp)</t>
  </si>
  <si>
    <t xml:space="preserve">    Labor cost % — sequential change (bp)</t>
  </si>
  <si>
    <t>Supply chain gross margin ($)</t>
  </si>
  <si>
    <t xml:space="preserve">  Supply chain gross margin %</t>
  </si>
  <si>
    <t>3Q26E = 3Q25 + assumed bp change</t>
  </si>
  <si>
    <t xml:space="preserve">    Supply chain gross margin — change Y/Y (bp)</t>
  </si>
  <si>
    <t>3Q26E assumption +25 bp (1Q26 +60, 2Q26 +20; easing cheese, higher fuel)</t>
  </si>
  <si>
    <t xml:space="preserve">    Supply chain gross margin — sequential change (bp)</t>
  </si>
  <si>
    <t xml:space="preserve">  Prior-year period supply chain cost of sales</t>
  </si>
  <si>
    <t xml:space="preserve">  Prior-year period supply chain gross margin ($)</t>
  </si>
  <si>
    <t xml:space="preserve">  Prior-year period supply chain gross margin %</t>
  </si>
  <si>
    <t>3Q25/4Q25 not restated on 2026 basis; not forecast</t>
  </si>
  <si>
    <t>Segment - International Franchise</t>
  </si>
  <si>
    <t>Store ladder — International stores</t>
  </si>
  <si>
    <t>International same store sales (excluding FX)</t>
  </si>
  <si>
    <t xml:space="preserve">  International SSS (ex-FX)</t>
  </si>
  <si>
    <t>S3–S10; 3Q26E assumption (World Cup benefit; DPE drag, S26)</t>
  </si>
  <si>
    <t xml:space="preserve">    Prior-year period international SSS (as reported)</t>
  </si>
  <si>
    <t>S3–S6. FY24 international SSS +1.6% per S6 fiscal-year table; not entered (frozen-input scope), so FY change/two-year stack (G41, G43) show n/a</t>
  </si>
  <si>
    <t xml:space="preserve">    International SSS — change Y/Y (bp)</t>
  </si>
  <si>
    <t xml:space="preserve">    International SSS — sequential change (bp)</t>
  </si>
  <si>
    <t xml:space="preserve">    International SSS — two-year stack</t>
  </si>
  <si>
    <t>International retail sales (USD, statistical)</t>
  </si>
  <si>
    <t>International retail sales (USD)</t>
  </si>
  <si>
    <t>S3–S10; FY = sum (reported FY 10,173.9)</t>
  </si>
  <si>
    <t xml:space="preserve">  Prior-year period international retail sales</t>
  </si>
  <si>
    <t xml:space="preserve">    International retail sales — % Y/Y (USD)</t>
  </si>
  <si>
    <t xml:space="preserve">    International retail sales — sequential change ($)</t>
  </si>
  <si>
    <t xml:space="preserve">  International retail sales growth ex-FX (reported)</t>
  </si>
  <si>
    <t>S3–S10; 3Q26E = (1+SSS)×(1+non-comp)−1</t>
  </si>
  <si>
    <t xml:space="preserve">    Retail growth ex-FX — change Y/Y (bp)</t>
  </si>
  <si>
    <t xml:space="preserve">    Retail growth ex-FX — sequential change (bp)</t>
  </si>
  <si>
    <t xml:space="preserve">  Implied FX translation effect on retail sales</t>
  </si>
  <si>
    <t>3Q26E assumption −1.0% (DXY ~+2% Y/Y in Jun–Sep, S27; WF ~neutral, S14)</t>
  </si>
  <si>
    <t xml:space="preserve">    FX effect — change Y/Y (bp)</t>
  </si>
  <si>
    <t xml:space="preserve">    FX effect — sequential change (bp)</t>
  </si>
  <si>
    <t xml:space="preserve">  Non-comp (store-growth) contribution ex-FX</t>
  </si>
  <si>
    <t>3Q26E assumption ≈ 2Q26 derived 4.2%</t>
  </si>
  <si>
    <t xml:space="preserve">  Retail sales per average store-week ($000, USD)</t>
  </si>
  <si>
    <t xml:space="preserve">    Retail sales per store-week — % Y/Y</t>
  </si>
  <si>
    <t xml:space="preserve">    Retail sales per store-week — sequential change ($000)</t>
  </si>
  <si>
    <t>Royalty rate and revenue build</t>
  </si>
  <si>
    <t xml:space="preserve">  International royalties &amp; fees as % of retail sales</t>
  </si>
  <si>
    <t xml:space="preserve">    Royalty rate — change Y/Y (bp)</t>
  </si>
  <si>
    <t xml:space="preserve">    Royalty rate — sequential change (bp)</t>
  </si>
  <si>
    <t>International franchise royalties and fees</t>
  </si>
  <si>
    <t>S3–S10; 3Q26E = retail sales × rate</t>
  </si>
  <si>
    <t xml:space="preserve">    FX impact on royalties ($, issuer measure)</t>
  </si>
  <si>
    <t>S3–S10 (FY sum −0.7 vs reported −0.6, rounding)</t>
  </si>
  <si>
    <t>No international acquisitions/divestitures disclosed in 10-Qs (S3–S10)</t>
  </si>
  <si>
    <t xml:space="preserve">    Growth ex-FX (issuer method: (revenue − FX)/prior-year − 1)</t>
  </si>
  <si>
    <t xml:space="preserve">  Prior-year period international royalties and fees</t>
  </si>
  <si>
    <t>Income Statement</t>
  </si>
  <si>
    <t>Revenues (linked from segment tabs)</t>
  </si>
  <si>
    <t xml:space="preserve">  U.S. Company-owned stores</t>
  </si>
  <si>
    <t xml:space="preserve">  U.S. franchise royalties and fees</t>
  </si>
  <si>
    <t xml:space="preserve">  Supply chain</t>
  </si>
  <si>
    <t xml:space="preserve">  International franchise royalties and fees</t>
  </si>
  <si>
    <t xml:space="preserve">  U.S. franchise advertising</t>
  </si>
  <si>
    <t>F17/H17 cross the 16-week 4Q25 (112 days, row 7): reflects period length, not trend</t>
  </si>
  <si>
    <t>Cost of sales</t>
  </si>
  <si>
    <t>Total cost of sales</t>
  </si>
  <si>
    <t xml:space="preserve">    Total cost of sales — % Y/Y</t>
  </si>
  <si>
    <t>2025 Y/Y vs 2024: cost of sales = U.S. Stores row 160 + Supply Chain row 58; revenue row 123 (rows 25, 29, 31)</t>
  </si>
  <si>
    <t xml:space="preserve">    Total cost of sales — sequential change ($)</t>
  </si>
  <si>
    <t>Gross margin</t>
  </si>
  <si>
    <t>Issuer label 'Gross margin' = revenues − cost of sales; verified in S10 MD&amp;A ("Consolidated gross margin (which we define as revenues less cost of sales)") → gross_profit target</t>
  </si>
  <si>
    <t xml:space="preserve">  Gross margin %</t>
  </si>
  <si>
    <t>Gross margin / total revenues → gross_margin target; S10 MD&amp;A states consolidated gross margin 40.0% of revenues in 2Q26 (verified; matches I28)</t>
  </si>
  <si>
    <t xml:space="preserve">    Gross margin — change Y/Y (bp)</t>
  </si>
  <si>
    <t xml:space="preserve">    Gross margin — sequential change (bp)</t>
  </si>
  <si>
    <t xml:space="preserve">    Gross margin $ — % Y/Y</t>
  </si>
  <si>
    <t>Operating expenses</t>
  </si>
  <si>
    <t xml:space="preserve">  General and administrative</t>
  </si>
  <si>
    <t>S3–S10; 3Q26E = 3Q25 × (1 + growth)</t>
  </si>
  <si>
    <t xml:space="preserve">    G&amp;A — % Y/Y</t>
  </si>
  <si>
    <t>3Q26E assumption +4.0% (3Q25 benefited from investment timing; WF G&amp;A ~2.3% of system sales, S14)</t>
  </si>
  <si>
    <t xml:space="preserve">    G&amp;A — sequential change ($)</t>
  </si>
  <si>
    <t xml:space="preserve">    of which: U.S. Stores segment G&amp;A</t>
  </si>
  <si>
    <t xml:space="preserve">    of which: Supply Chain segment G&amp;A</t>
  </si>
  <si>
    <t xml:space="preserve">    of which: International Franchise segment G&amp;A</t>
  </si>
  <si>
    <t xml:space="preserve">    of which: unallocated corporate G&amp;A</t>
  </si>
  <si>
    <t>2026 segment basis; 3Q25/4Q25 unavailable</t>
  </si>
  <si>
    <t xml:space="preserve">    Check: segment + unallocated G&amp;A − total (should be 0)</t>
  </si>
  <si>
    <t xml:space="preserve">    G&amp;A % of revenue</t>
  </si>
  <si>
    <t xml:space="preserve">    G&amp;A % of revenue — change Y/Y (bp)</t>
  </si>
  <si>
    <t>2025 Y/Y vs 2024 comparatives: G&amp;A row 122 / revenue row 123</t>
  </si>
  <si>
    <t xml:space="preserve">    G&amp;A % of revenue — sequential change (bp)</t>
  </si>
  <si>
    <t xml:space="preserve">  U.S. franchise advertising (expense = revenue)</t>
  </si>
  <si>
    <t xml:space="preserve">  Refranchising (gain) loss</t>
  </si>
  <si>
    <t>3Q26E assumption: none announced</t>
  </si>
  <si>
    <t xml:space="preserve">  Gain on sale of assets (corporate aircraft, 1Q26)</t>
  </si>
  <si>
    <t>3Q26E assumption: none</t>
  </si>
  <si>
    <t>Income from operations</t>
  </si>
  <si>
    <t xml:space="preserve">  Income from operations — as reported</t>
  </si>
  <si>
    <t xml:space="preserve">  Check: modelled − reported (should be 0)</t>
  </si>
  <si>
    <t xml:space="preserve">  Operating margin %</t>
  </si>
  <si>
    <t>Income from operations / total revenues → operating_margin target. Issuer does not use the term 'operating margin' in S9/S10 (its line is 'Income from operations'), but S10 MD&amp;A presents income from operations as 19.4% of total revenues for 2Q26 (matches I50).</t>
  </si>
  <si>
    <t xml:space="preserve">    Operating margin — change Y/Y (bp)</t>
  </si>
  <si>
    <t xml:space="preserve">    Operating margin — sequential change (bp)</t>
  </si>
  <si>
    <t xml:space="preserve">    Income from operations — % Y/Y</t>
  </si>
  <si>
    <t xml:space="preserve">  Income from operations ex-FX, refranchising and asset-sale gains (guidance basis)</t>
  </si>
  <si>
    <t xml:space="preserve">    Guidance-basis growth vs prior-year (ex refranchising/asset gains)</t>
  </si>
  <si>
    <t>Non-operating items</t>
  </si>
  <si>
    <t xml:space="preserve">  Other (expense) income — DPC Dash remeasurement</t>
  </si>
  <si>
    <t>3Q26E = carrying value × (HK$ price change)</t>
  </si>
  <si>
    <t xml:space="preserve">    DPC Dash carrying value at start of quarter ($M)</t>
  </si>
  <si>
    <t xml:space="preserve">    DPC Dash (1405.HK) close 2026-06-12 (HK$)</t>
  </si>
  <si>
    <t>S21</t>
  </si>
  <si>
    <t xml:space="preserve">    DPC Dash (1405.HK) est. close 2026-09-04 (HK$)</t>
  </si>
  <si>
    <t>S22: insider buys 2–3 Sep 2026 at HK$31.00/30.84; assumption</t>
  </si>
  <si>
    <t xml:space="preserve">  Interest income</t>
  </si>
  <si>
    <t>4Q25 derived (net reported − expense); 3Q26E assumption (lower cash)</t>
  </si>
  <si>
    <t xml:space="preserve">  Interest expense</t>
  </si>
  <si>
    <t>4Q25 = FY (10-K) − 9M; 3Q26E = 2Q26 run-rate</t>
  </si>
  <si>
    <t xml:space="preserve">    Interest income — % Y/Y</t>
  </si>
  <si>
    <t xml:space="preserve">    Interest income — sequential change ($)</t>
  </si>
  <si>
    <t xml:space="preserve">    Interest expense — % Y/Y</t>
  </si>
  <si>
    <t xml:space="preserve">    Interest expense — sequential change ($)</t>
  </si>
  <si>
    <t xml:space="preserve">  Interest expense, net</t>
  </si>
  <si>
    <t xml:space="preserve">    Interest expense, net — % Y/Y</t>
  </si>
  <si>
    <t xml:space="preserve">    Interest expense, net — sequential change ($)</t>
  </si>
  <si>
    <t xml:space="preserve">    Memo: 4Q25 interest expense, net — as reported</t>
  </si>
  <si>
    <t>S6</t>
  </si>
  <si>
    <t xml:space="preserve">    Memo: FY25 interest expense — as reported (10-K)</t>
  </si>
  <si>
    <t>S12</t>
  </si>
  <si>
    <t>Income before provision for income taxes</t>
  </si>
  <si>
    <t xml:space="preserve">  Provision for income taxes</t>
  </si>
  <si>
    <t xml:space="preserve">    Effective tax rate</t>
  </si>
  <si>
    <t>3Q26E assumption 22.4% (1H26 22.6%, 3Q25 22.3%)</t>
  </si>
  <si>
    <t xml:space="preserve">    Provision for income taxes — % Y/Y</t>
  </si>
  <si>
    <t xml:space="preserve">    Provision for income taxes — sequential change ($)</t>
  </si>
  <si>
    <t xml:space="preserve">    Effective tax rate — change Y/Y (bp)</t>
  </si>
  <si>
    <t xml:space="preserve">    Effective tax rate — sequential change (bp)</t>
  </si>
  <si>
    <t>Net income (attributable to common stockholders)</t>
  </si>
  <si>
    <t xml:space="preserve">  Net income — as reported</t>
  </si>
  <si>
    <t xml:space="preserve">  Net margin %</t>
  </si>
  <si>
    <t xml:space="preserve">    Net margin — change Y/Y (bp)</t>
  </si>
  <si>
    <t xml:space="preserve">    Net margin — sequential change (bp)</t>
  </si>
  <si>
    <t xml:space="preserve">    Net income — % Y/Y</t>
  </si>
  <si>
    <t>Per share (GAAP)</t>
  </si>
  <si>
    <t xml:space="preserve">  Weighted average basic shares (millions)</t>
  </si>
  <si>
    <t xml:space="preserve">  Weighted average diluted shares (millions)</t>
  </si>
  <si>
    <t xml:space="preserve">  Basic EPS</t>
  </si>
  <si>
    <t>Diluted EPS (GAAP)</t>
  </si>
  <si>
    <t xml:space="preserve">  Diluted EPS — as reported</t>
  </si>
  <si>
    <t xml:space="preserve">  Check: |modelled − reported| &lt; $0.005 (TRUE = pass)</t>
  </si>
  <si>
    <t xml:space="preserve">    Diluted EPS — % Y/Y</t>
  </si>
  <si>
    <t xml:space="preserve">    Diluted EPS — change Y/Y ($)</t>
  </si>
  <si>
    <t>GAAP to consensus-basis (CapIQ normalized) bridge</t>
  </si>
  <si>
    <t xml:space="preserve">  GAAP net income</t>
  </si>
  <si>
    <t xml:space="preserve">  Adj.: refranchising gain — CapIQ normalized treatment</t>
  </si>
  <si>
    <t>Not excluded: CapIQ normalized actual = GAAP diluted EPS in all six history rows (S2)</t>
  </si>
  <si>
    <t xml:space="preserve">  Adj.: gain on sale of assets — CapIQ normalized treatment</t>
  </si>
  <si>
    <t xml:space="preserve">  Adj.: DPC Dash remeasurement — CapIQ normalized treatment</t>
  </si>
  <si>
    <t xml:space="preserve">  Adj.: tax effect of adjustments</t>
  </si>
  <si>
    <t>Net income — consensus basis (normalized)</t>
  </si>
  <si>
    <t>Diluted EPS — consensus basis (normalized)</t>
  </si>
  <si>
    <t xml:space="preserve">  CapIQ normalized EPS actual (Inputs history)</t>
  </si>
  <si>
    <t>S2 (DPZ_history.csv)</t>
  </si>
  <si>
    <t xml:space="preserve">  Check: |consensus-basis EPS − CapIQ actual| &lt; $0.005</t>
  </si>
  <si>
    <t xml:space="preserve">  Memo: pre-tax items (refranchising gain + asset-sale gain + DPC Dash)</t>
  </si>
  <si>
    <t xml:space="preserve">  Memo: analytical net income ex-items (taxed at period ETR)</t>
  </si>
  <si>
    <t xml:space="preserve">  Memo: analytical diluted EPS ex-items (not the consensus basis)</t>
  </si>
  <si>
    <t>Consolidated Adjusted EBITDA (issuer indenture definition; quarterly derived)</t>
  </si>
  <si>
    <t xml:space="preserve">  Depreciation and amortization</t>
  </si>
  <si>
    <t xml:space="preserve">  Non-cash equity-based compensation</t>
  </si>
  <si>
    <t xml:space="preserve">  Loss on sale/disposal of assets</t>
  </si>
  <si>
    <t>Consolidated Adjusted EBITDA</t>
  </si>
  <si>
    <t xml:space="preserve">  EBITDA margin %</t>
  </si>
  <si>
    <t xml:space="preserve">    EBITDA margin — change Y/Y (bp)</t>
  </si>
  <si>
    <t xml:space="preserve">    EBITDA margin — sequential change (bp)</t>
  </si>
  <si>
    <t xml:space="preserve">    EBITDA — % Y/Y</t>
  </si>
  <si>
    <t xml:space="preserve">  Memo: FY25 trailing-four-quarter Consolidated Adjusted EBITDA — as reported</t>
  </si>
  <si>
    <t xml:space="preserve">  Check: FY25 derived − reported (small residual = definition rounding)</t>
  </si>
  <si>
    <t xml:space="preserve">  Income from operations — prior-year period</t>
  </si>
  <si>
    <t xml:space="preserve">  Net income — prior-year period</t>
  </si>
  <si>
    <t xml:space="preserve">  General and administrative — prior-year period</t>
  </si>
  <si>
    <t xml:space="preserve">  Total revenues — prior-year period</t>
  </si>
  <si>
    <t xml:space="preserve">  Operating margin — prior-year period</t>
  </si>
  <si>
    <t xml:space="preserve">  Diluted EPS — prior-year period</t>
  </si>
  <si>
    <t>FY25 reconciliation to reported annual figures (sum of quarters vs FY release)</t>
  </si>
  <si>
    <t xml:space="preserve">  Total revenues — FY25 reported</t>
  </si>
  <si>
    <t xml:space="preserve">  Income from operations — FY25 reported</t>
  </si>
  <si>
    <t xml:space="preserve">  Net income — FY25 reported</t>
  </si>
  <si>
    <t xml:space="preserve">  Check: Σ quarters − FY reported (revenue, EBIT, NI; all 0)</t>
  </si>
  <si>
    <t>Balance Sheet</t>
  </si>
  <si>
    <t>Assets</t>
  </si>
  <si>
    <t xml:space="preserve">  Cash and cash equivalents</t>
  </si>
  <si>
    <t>S3–S10; 3Q26E roll-forward from Cash Flow / Income Statement</t>
  </si>
  <si>
    <t xml:space="preserve">  Restricted cash and cash equivalents</t>
  </si>
  <si>
    <t>S3–S10; 3Q26E held flat (no working-capital change assumed)</t>
  </si>
  <si>
    <t xml:space="preserve">  Accounts receivable, net</t>
  </si>
  <si>
    <t xml:space="preserve">  Inventories</t>
  </si>
  <si>
    <t xml:space="preserve">  Prepaid expenses and other</t>
  </si>
  <si>
    <t xml:space="preserve">  Advertising fund assets, restricted</t>
  </si>
  <si>
    <t>Total current assets</t>
  </si>
  <si>
    <t xml:space="preserve">  Property, plant and equipment, net</t>
  </si>
  <si>
    <t>S3–S10; 3Q26E roll-forward from Cash Flow / Income Statement. Simplification: all 3Q26E capex and D&amp;A run through PP&amp;E; capitalized software (row 20) held flat (no EPS effect).</t>
  </si>
  <si>
    <t xml:space="preserve">  Operating lease right-of-use assets</t>
  </si>
  <si>
    <t>S3–S10; 3Q26E held flat (assumption)</t>
  </si>
  <si>
    <t xml:space="preserve">  Goodwill</t>
  </si>
  <si>
    <t xml:space="preserve">  Capitalized software, net</t>
  </si>
  <si>
    <t xml:space="preserve">  Investment in DPC Dash</t>
  </si>
  <si>
    <t xml:space="preserve">  Deferred income tax assets, net</t>
  </si>
  <si>
    <t xml:space="preserve">  Other assets</t>
  </si>
  <si>
    <t>Total assets</t>
  </si>
  <si>
    <t xml:space="preserve">  Total assets — as reported</t>
  </si>
  <si>
    <t xml:space="preserve">  Check: modelled − reported total assets (should be 0)</t>
  </si>
  <si>
    <t>Liabilities</t>
  </si>
  <si>
    <t xml:space="preserve">  Current portion of long-term debt</t>
  </si>
  <si>
    <t xml:space="preserve">  Accounts payable</t>
  </si>
  <si>
    <t xml:space="preserve">  Operating lease liabilities</t>
  </si>
  <si>
    <t xml:space="preserve">  Insurance reserves</t>
  </si>
  <si>
    <t xml:space="preserve">  Dividends payable</t>
  </si>
  <si>
    <t xml:space="preserve">  Advertising fund liabilities</t>
  </si>
  <si>
    <t xml:space="preserve">  Other accrued liabilities</t>
  </si>
  <si>
    <t>Total current liabilities</t>
  </si>
  <si>
    <t xml:space="preserve">  Long-term debt, less current portion</t>
  </si>
  <si>
    <t>Total long-term liabilities</t>
  </si>
  <si>
    <t>Total liabilities</t>
  </si>
  <si>
    <t>Stockholders’ deficit</t>
  </si>
  <si>
    <t xml:space="preserve">  Common stock</t>
  </si>
  <si>
    <t xml:space="preserve">  Additional paid-in capital</t>
  </si>
  <si>
    <t xml:space="preserve">  Retained deficit</t>
  </si>
  <si>
    <t xml:space="preserve">  Accumulated other comprehensive loss</t>
  </si>
  <si>
    <t>Total stockholders’ deficit</t>
  </si>
  <si>
    <t xml:space="preserve">  Total stockholders’ deficit — as reported</t>
  </si>
  <si>
    <t>S3–S10; row 47 vs row 48 tie (C–F, H–I) included in Cover C46</t>
  </si>
  <si>
    <t>Total liabilities and stockholders’ deficit</t>
  </si>
  <si>
    <t>Check: assets − liabilities − equity (should be 0)</t>
  </si>
  <si>
    <t>Leverage memo</t>
  </si>
  <si>
    <t xml:space="preserve">  Total debt (current + long-term, carrying value)</t>
  </si>
  <si>
    <t xml:space="preserve">  Net debt (total debt − unrestricted cash)</t>
  </si>
  <si>
    <t xml:space="preserve">  Leverage ratio (securitized debt / TTM Consolidated Adjusted EBITDA, reported)</t>
  </si>
  <si>
    <t>S6/S9</t>
  </si>
  <si>
    <t>Cash Flow Statement</t>
  </si>
  <si>
    <t>Operating activities (quarterly = difference of reported year-to-date figures)</t>
  </si>
  <si>
    <t xml:space="preserve">  Net income</t>
  </si>
  <si>
    <t>S3–S10 (YTD block below)</t>
  </si>
  <si>
    <t>3Q26E assumption (1Q26 20.4, 2Q26 20.3)</t>
  </si>
  <si>
    <t xml:space="preserve">    Depreciation and amortization — % Y/Y</t>
  </si>
  <si>
    <t xml:space="preserve">    Depreciation and amortization — sequential change ($)</t>
  </si>
  <si>
    <t xml:space="preserve">    of which: U.S. Stores segment D&amp;A</t>
  </si>
  <si>
    <t>S3–S10 segment note; undisclosed quarters unavailable; not forecast by segment</t>
  </si>
  <si>
    <t xml:space="preserve">    of which: Supply Chain segment D&amp;A</t>
  </si>
  <si>
    <t xml:space="preserve">    of which: International Franchise segment D&amp;A</t>
  </si>
  <si>
    <t xml:space="preserve">    of which: other / unallocated D&amp;A (residual)</t>
  </si>
  <si>
    <t xml:space="preserve">  Gain on sale of assets</t>
  </si>
  <si>
    <t xml:space="preserve">  Amortization of debt issuance costs</t>
  </si>
  <si>
    <t>3Q26E assumption (run-rate)</t>
  </si>
  <si>
    <t xml:space="preserve">  Provision (benefit) for deferred income taxes</t>
  </si>
  <si>
    <t xml:space="preserve">  Non-cash equity-based compensation expense</t>
  </si>
  <si>
    <t>3Q26E assumption (3Q25 10.3)</t>
  </si>
  <si>
    <t xml:space="preserve">    Non-cash equity-based compensation expense — % Y/Y</t>
  </si>
  <si>
    <t xml:space="preserve">    Non-cash equity-based compensation expense — sequential change ($)</t>
  </si>
  <si>
    <t xml:space="preserve">  Excess tax benefits from equity-based compensation</t>
  </si>
  <si>
    <t xml:space="preserve">  Provision (benefit) for losses on accounts and notes receivable</t>
  </si>
  <si>
    <t xml:space="preserve">  Unrealized and realized loss (gain) on investments, net</t>
  </si>
  <si>
    <t>DPC Dash remeasurement add-back</t>
  </si>
  <si>
    <t xml:space="preserve">  Changes in operating assets and liabilities</t>
  </si>
  <si>
    <t>3Q26E assumption: zero (not forecast)</t>
  </si>
  <si>
    <t xml:space="preserve">  Changes in advertising fund assets and liabilities, restricted</t>
  </si>
  <si>
    <t>3Q26E assumption: zero</t>
  </si>
  <si>
    <t>Net cash provided by operating activities</t>
  </si>
  <si>
    <t xml:space="preserve">  As reported (from YTD)</t>
  </si>
  <si>
    <t>Investing activities</t>
  </si>
  <si>
    <t xml:space="preserve">  Capital expenditures</t>
  </si>
  <si>
    <t>3Q26E assumption (3Q25 21.4; 2Q26 24.0)</t>
  </si>
  <si>
    <t xml:space="preserve">    Capital expenditures — % Y/Y</t>
  </si>
  <si>
    <t xml:space="preserve">    Capital expenditures — sequential change ($)</t>
  </si>
  <si>
    <t xml:space="preserve">    of which: U.S. Stores segment capex</t>
  </si>
  <si>
    <t xml:space="preserve">    of which: Supply Chain segment capex</t>
  </si>
  <si>
    <t xml:space="preserve">    of which: International Franchise segment capex</t>
  </si>
  <si>
    <t xml:space="preserve">    of which: other / unallocated capex (residual)</t>
  </si>
  <si>
    <t xml:space="preserve">  Proceeds from sale of assets</t>
  </si>
  <si>
    <t xml:space="preserve">  Sale of investments</t>
  </si>
  <si>
    <t xml:space="preserve">  Other investing</t>
  </si>
  <si>
    <t>Net cash used in investing activities</t>
  </si>
  <si>
    <t>Financing activities</t>
  </si>
  <si>
    <t xml:space="preserve">  Proceeds from issuance of long-term debt</t>
  </si>
  <si>
    <t xml:space="preserve">  Repayments of long-term debt and finance lease obligations</t>
  </si>
  <si>
    <t xml:space="preserve">  Proceeds from exercise of stock options</t>
  </si>
  <si>
    <t xml:space="preserve">  Purchases of common stock</t>
  </si>
  <si>
    <t>Share Count assumption</t>
  </si>
  <si>
    <t xml:space="preserve">  Tax payments for restricted stock upon vesting</t>
  </si>
  <si>
    <t>S3–S10. 2Q26 +0.032 = 1H26 YTD (−12.863) − 1Q26 YTD (−12.895) as filed; likely a YTD revision/reclassification, not proof of a sign error. Source limitation retained; no 3Q26E effect.</t>
  </si>
  <si>
    <t xml:space="preserve">  Payments of common stock dividends and equivalents</t>
  </si>
  <si>
    <t>Pays 2Q26 dividends payable (declared Apr, paid Jun 30)</t>
  </si>
  <si>
    <t xml:space="preserve">  Cash paid for financing costs</t>
  </si>
  <si>
    <t>Net cash used in financing activities</t>
  </si>
  <si>
    <t xml:space="preserve">  Effect of exchange rate changes on cash</t>
  </si>
  <si>
    <t>Change in cash, restricted cash and ad-fund cash</t>
  </si>
  <si>
    <t>Cash reconciliation to Balance Sheet</t>
  </si>
  <si>
    <t xml:space="preserve">  Cash, restricted cash and ad-fund cash — beginning of period</t>
  </si>
  <si>
    <t>S8</t>
  </si>
  <si>
    <t xml:space="preserve">  Cash, restricted cash and ad-fund cash — end of period</t>
  </si>
  <si>
    <t xml:space="preserve">    of which: cash and cash equivalents</t>
  </si>
  <si>
    <t>S3–S10; 3Q26E = plug from cash flow</t>
  </si>
  <si>
    <t xml:space="preserve">    of which: restricted cash and cash equivalents</t>
  </si>
  <si>
    <t>S3–S10; 3Q26E restricted &amp; ad-fund cash held flat</t>
  </si>
  <si>
    <t xml:space="preserve">    of which: cash in advertising fund assets, restricted</t>
  </si>
  <si>
    <t>Check: beginning cash + change in cash − Balance Sheet cash, restricted cash and ad-fund cash (should be 0)</t>
  </si>
  <si>
    <t>Free cash flow (issuer definition: operating cash flow − capital expenditures)</t>
  </si>
  <si>
    <t>Free cash flow</t>
  </si>
  <si>
    <t xml:space="preserve">  FCF conversion (% of net income)</t>
  </si>
  <si>
    <t xml:space="preserve">    FCF conversion — change Y/Y (bp)</t>
  </si>
  <si>
    <t xml:space="preserve">    FCF conversion — sequential change (bp)</t>
  </si>
  <si>
    <t xml:space="preserve">  Capital expenditures % of revenue</t>
  </si>
  <si>
    <t xml:space="preserve">    Capex % of revenue — change Y/Y (bp)</t>
  </si>
  <si>
    <t xml:space="preserve">    Capex % of revenue — sequential change (bp)</t>
  </si>
  <si>
    <t>Reported year-to-date cash flows (column = period end: 1Q25 3M, 2Q25 6M, 3Q25 9M, 4Q25 12M, 1Q26 3M, 2Q26 6M). As filed except rows 80, 82 and 83, which are linked cumulative Income Statement quarters (validated via reported CFO, row 93).</t>
  </si>
  <si>
    <t xml:space="preserve">  Net income (YTD)</t>
  </si>
  <si>
    <t>Linked: cumulative Income Statement quarters</t>
  </si>
  <si>
    <t xml:space="preserve">  Depreciation and amortization (YTD)</t>
  </si>
  <si>
    <t>S3–S10 YTD</t>
  </si>
  <si>
    <t xml:space="preserve">  Refranchising (gain) loss (YTD)</t>
  </si>
  <si>
    <t xml:space="preserve">  Gain on sale of assets (YTD)</t>
  </si>
  <si>
    <t xml:space="preserve">  Loss on sale/disposal of assets (YTD)</t>
  </si>
  <si>
    <t xml:space="preserve">  Amortization of debt issuance costs (YTD)</t>
  </si>
  <si>
    <t xml:space="preserve">  Provision (benefit) for deferred income taxes (YTD)</t>
  </si>
  <si>
    <t xml:space="preserve">  Non-cash equity-based compensation expense (YTD)</t>
  </si>
  <si>
    <t xml:space="preserve">  Excess tax benefits from equity-based compensation (YTD)</t>
  </si>
  <si>
    <t xml:space="preserve">  Provision (benefit) for losses on accounts and notes receivable (YTD)</t>
  </si>
  <si>
    <t xml:space="preserve">  Unrealized and realized loss (gain) on investments, net (YTD)</t>
  </si>
  <si>
    <t xml:space="preserve">  Changes in operating assets and liabilities (YTD)</t>
  </si>
  <si>
    <t xml:space="preserve">  Changes in advertising fund assets and liabilities, restricted (YTD)</t>
  </si>
  <si>
    <t xml:space="preserve">  Net cash provided by operating activities (as reported) (YTD)</t>
  </si>
  <si>
    <t xml:space="preserve">  Capital expenditures (YTD)</t>
  </si>
  <si>
    <t xml:space="preserve">  Proceeds from sale of assets (YTD)</t>
  </si>
  <si>
    <t xml:space="preserve">  Sale of investments (YTD)</t>
  </si>
  <si>
    <t xml:space="preserve">  Other investing (YTD)</t>
  </si>
  <si>
    <t xml:space="preserve">  Net cash (used in) provided by investing activities (as reported) (YTD)</t>
  </si>
  <si>
    <t xml:space="preserve">  Proceeds from issuance of long-term debt (YTD)</t>
  </si>
  <si>
    <t xml:space="preserve">  Repayments of long-term debt and finance lease obligations (YTD)</t>
  </si>
  <si>
    <t xml:space="preserve">  Proceeds from exercise of stock options (YTD)</t>
  </si>
  <si>
    <t xml:space="preserve">  Purchases of common stock (YTD)</t>
  </si>
  <si>
    <t xml:space="preserve">  Tax payments for restricted stock upon vesting (YTD)</t>
  </si>
  <si>
    <t xml:space="preserve">  Payments of common stock dividends and equivalents (YTD)</t>
  </si>
  <si>
    <t xml:space="preserve">  Cash paid for financing costs (YTD)</t>
  </si>
  <si>
    <t xml:space="preserve">  Net cash used in financing activities (as reported) (YTD)</t>
  </si>
  <si>
    <t xml:space="preserve">  Effect of exchange rate changes on cash (YTD)</t>
  </si>
  <si>
    <t xml:space="preserve">  Change in cash, restricted cash and ad-fund cash (as reported) (YTD)</t>
  </si>
  <si>
    <t xml:space="preserve">  Cash and cash equivalents, end of period (YTD)</t>
  </si>
  <si>
    <t>Linked: Balance Sheet (point-in-time)</t>
  </si>
  <si>
    <t xml:space="preserve">  Restricted cash and cash equivalents, end of period (YTD)</t>
  </si>
  <si>
    <t xml:space="preserve">  Cash included in advertising fund assets, restricted, end of period (YTD)</t>
  </si>
  <si>
    <t>Geo — retail sales and revenue by geography</t>
  </si>
  <si>
    <t>Retail sales by geography (statistical; drives royalties and supply chain volume)</t>
  </si>
  <si>
    <t xml:space="preserve">  U.S. retail sales</t>
  </si>
  <si>
    <t xml:space="preserve">  International retail sales (USD)</t>
  </si>
  <si>
    <t xml:space="preserve">    % Y/Y (USD)</t>
  </si>
  <si>
    <t>Global retail sales</t>
  </si>
  <si>
    <t xml:space="preserve">  Prior-year period global retail sales</t>
  </si>
  <si>
    <t>F17/H17 cross the 16-week 4Q25 (112 days): reflects period length, not trend</t>
  </si>
  <si>
    <t xml:space="preserve">  U.S. share of global retail sales</t>
  </si>
  <si>
    <t xml:space="preserve">    U.S. share — change Y/Y (bp)</t>
  </si>
  <si>
    <t xml:space="preserve">    U.S. share — sequential change (bp)</t>
  </si>
  <si>
    <t xml:space="preserve">  International share of global retail sales</t>
  </si>
  <si>
    <t xml:space="preserve">    International share — change Y/Y (bp)</t>
  </si>
  <si>
    <t xml:space="preserve">    International share — sequential change (bp)</t>
  </si>
  <si>
    <t xml:space="preserve">  Check: U.S. + international − global (should be 0)</t>
  </si>
  <si>
    <t>Retail sales growth excluding FX (issuer statistic)</t>
  </si>
  <si>
    <t xml:space="preserve">  U.S. stores</t>
  </si>
  <si>
    <t xml:space="preserve">  International stores (ex-FX)</t>
  </si>
  <si>
    <t xml:space="preserve">  Total (ex-FX)</t>
  </si>
  <si>
    <t>S3–S10; 3Q26E derived</t>
  </si>
  <si>
    <t xml:space="preserve">    Total ex-FX growth — change Y/Y (bp)</t>
  </si>
  <si>
    <t xml:space="preserve">    Total ex-FX growth — sequential change (bp)</t>
  </si>
  <si>
    <t>Revenue by geography (issuer reports no quarterly country split; segment-based)</t>
  </si>
  <si>
    <t xml:space="preserve">  U.S. &amp; Canada (U.S. Stores + Supply Chain segments)</t>
  </si>
  <si>
    <t>Supply chain includes Canadian centers; split not disclosed</t>
  </si>
  <si>
    <t>U.S. revenue is USD; Canadian supply chain FX not disclosed</t>
  </si>
  <si>
    <t>Refranchising scope not quantified</t>
  </si>
  <si>
    <t xml:space="preserve">  International (International Franchise segment)</t>
  </si>
  <si>
    <t>Check: geographies − Income Statement total revenues (should be 0)</t>
  </si>
  <si>
    <t>Share Count</t>
  </si>
  <si>
    <t>Common shares outstanding (millions)</t>
  </si>
  <si>
    <t xml:space="preserve">  Shares outstanding — beginning of period</t>
  </si>
  <si>
    <t xml:space="preserve">  Shares repurchased and retired</t>
  </si>
  <si>
    <t>4Q25 split not in filings fetched; 3Q26E = $ / price</t>
  </si>
  <si>
    <t xml:space="preserve">  Issuance (option exercises, vesting), net of tax withholding</t>
  </si>
  <si>
    <t>3Q26E = 10-Q cover count (2026-07-13) − 2026-06-14 count; weighted 100% in J22 (original simplification, immaterial)</t>
  </si>
  <si>
    <t xml:space="preserve">    Shares repurchased — change Y/Y (millions)</t>
  </si>
  <si>
    <t xml:space="preserve">    Shares repurchased — sequential change (millions)</t>
  </si>
  <si>
    <t xml:space="preserve">    Issuance — change Y/Y (millions)</t>
  </si>
  <si>
    <t xml:space="preserve">    Issuance — sequential change (millions)</t>
  </si>
  <si>
    <t xml:space="preserve">  Shares outstanding — end of period</t>
  </si>
  <si>
    <t xml:space="preserve">    Net change in shares outstanding</t>
  </si>
  <si>
    <t xml:space="preserve">    Shares outstanding — % Y/Y</t>
  </si>
  <si>
    <t xml:space="preserve">  Memo: shares outstanding at 2026-07-13 (10-Q cover)</t>
  </si>
  <si>
    <t>S10</t>
  </si>
  <si>
    <t>Weighted average shares (millions)</t>
  </si>
  <si>
    <t xml:space="preserve">  Weighted average basic shares</t>
  </si>
  <si>
    <t>4Q25 derived from FY (S13) and 9M (S5); 3Q26E roll-forward</t>
  </si>
  <si>
    <t xml:space="preserve">    Basic shares — % Y/Y</t>
  </si>
  <si>
    <t xml:space="preserve">    Basic shares — sequential change (millions)</t>
  </si>
  <si>
    <t xml:space="preserve">    Memo: 9M25 weighted basic shares (Q3 10-Q YTD)</t>
  </si>
  <si>
    <t>S5</t>
  </si>
  <si>
    <t xml:space="preserve">  Dilutive securities (options, RSUs)</t>
  </si>
  <si>
    <t>3Q26E assumption (2Q26 0.096; lower share price)</t>
  </si>
  <si>
    <t xml:space="preserve">    Dilutive securities — change Y/Y (millions)</t>
  </si>
  <si>
    <t xml:space="preserve">    Dilutive securities — sequential change (millions)</t>
  </si>
  <si>
    <t>Weighted average diluted shares (EPS denominator)</t>
  </si>
  <si>
    <t>S3–S10; 3Q26E = basic + dilutive</t>
  </si>
  <si>
    <t xml:space="preserve">    Diluted shares — % Y/Y</t>
  </si>
  <si>
    <t xml:space="preserve">    Diluted shares — sequential change (millions)</t>
  </si>
  <si>
    <t>Buybacks and dividends</t>
  </si>
  <si>
    <t xml:space="preserve">  Share repurchases — cash paid ($M)</t>
  </si>
  <si>
    <t>3Q26E assumption $100M ($1.23B authorization remaining, S9)</t>
  </si>
  <si>
    <t xml:space="preserve">  Average repurchase price ($/share, approx. = cash paid / shares)</t>
  </si>
  <si>
    <t>3Q26E assumption (DPZ ~$300–$340 in Jun–Sep 2026, S23)</t>
  </si>
  <si>
    <t xml:space="preserve">    Repurchases — change Y/Y ($M)</t>
  </si>
  <si>
    <t xml:space="preserve">    Repurchases — sequential change ($M)</t>
  </si>
  <si>
    <t xml:space="preserve">    Average repurchase price — % Y/Y</t>
  </si>
  <si>
    <t xml:space="preserve">    Average repurchase price — sequential change ($)</t>
  </si>
  <si>
    <t xml:space="preserve">  Buyback weighting factor (share of quarter outstanding)</t>
  </si>
  <si>
    <t>3Q26E assumption: mid-quarter (0.5, original judgment retained). Unresolved: J20 (2026-07-13) &gt; I17 implies no net buyback in first 29 of 84 days; uniform buying over remaining 55 days → ~0.33 weight (EPS ≈ −$0.007). Not applied.</t>
  </si>
  <si>
    <t xml:space="preserve">  Dividend declared per share ($)</t>
  </si>
  <si>
    <t>not entered</t>
  </si>
  <si>
    <t>S3–S10; Jul 14, 2026 declaration (S9). FY25 $6.96/share per S7 MD&amp;A Liquidity (4Q25 derivable as FY less 1Q–3Q = $1.74); not entered — frozen-input scope, memo only (no EPS effect)</t>
  </si>
  <si>
    <t xml:space="preserve">    Dividend per share — % Y/Y</t>
  </si>
  <si>
    <t xml:space="preserve">    Dividend per share — sequential change ($)</t>
  </si>
  <si>
    <t xml:space="preserve">  Dividends declared ($M)</t>
  </si>
  <si>
    <t>3Q26E = DPS × shares at declaration. FY25 declared $237.3M per S7 MD&amp;A Liquidity (4Q25 derivable as FY less 1Q–3Q ≈ $58.9M); not entered — frozen-input scope, memo only (no EPS effect)</t>
  </si>
  <si>
    <t>Diluted share count behind 3Q26E EPS (millions)</t>
  </si>
  <si>
    <t>Guidance</t>
  </si>
  <si>
    <t>Period band (rows 5–7) applies to period-column tables only; blocks below carry their own column captions.</t>
  </si>
  <si>
    <t>Guidance item (DPZ gives annual outlook only; no quarterly guidance)</t>
  </si>
  <si>
    <t>Date given</t>
  </si>
  <si>
    <t>Low</t>
  </si>
  <si>
    <t>High</t>
  </si>
  <si>
    <t>Midpoint</t>
  </si>
  <si>
    <t>Actual</t>
  </si>
  <si>
    <t>Beat / miss</t>
  </si>
  <si>
    <t xml:space="preserve">  U.S. same store sales growth</t>
  </si>
  <si>
    <t>FY2025</t>
  </si>
  <si>
    <t>S31</t>
  </si>
  <si>
    <t xml:space="preserve">  International same store sales growth (ex-FX)</t>
  </si>
  <si>
    <t xml:space="preserve">  Global retail sales growth (ex-FX), ~6%</t>
  </si>
  <si>
    <t xml:space="preserve">  Income from operations growth (ex-FX), ~8%</t>
  </si>
  <si>
    <t>S31; actual per S6 (+8.6% ex-FX)</t>
  </si>
  <si>
    <t xml:space="preserve">  U.S. net store growth (175+)</t>
  </si>
  <si>
    <t xml:space="preserve">  U.S. same store sales growth (~3%) — superseded 2026-04-27</t>
  </si>
  <si>
    <t>FY2026</t>
  </si>
  <si>
    <t>pending</t>
  </si>
  <si>
    <t>S29</t>
  </si>
  <si>
    <t xml:space="preserve">  International same store sales growth (1–2%) — superseded</t>
  </si>
  <si>
    <t xml:space="preserve">  Global retail sales growth ex-FX (~6%) — superseded</t>
  </si>
  <si>
    <t xml:space="preserve">  Income from operations growth ex-FX (~8%) — superseded</t>
  </si>
  <si>
    <t xml:space="preserve">  U.S. same store sales growth: low single digits (read as 1–3%)</t>
  </si>
  <si>
    <t>S30; reaffirmed 2026-07-20 (S11)</t>
  </si>
  <si>
    <t xml:space="preserve">  International SSS: low single digits (read as 1–3%)</t>
  </si>
  <si>
    <t>S30; reaffirmed S11</t>
  </si>
  <si>
    <t xml:space="preserve">  Global retail sales growth ex-FX: mid single digits (read as 4–6%)</t>
  </si>
  <si>
    <t xml:space="preserve">  Op. income growth ex-FX/refranchising/aircraft gain: mid-to-high single digits (5–9%), ex-53rd week</t>
  </si>
  <si>
    <t xml:space="preserve">  U.S. net store growth ~175 (from 175+)</t>
  </si>
  <si>
    <t>S11</t>
  </si>
  <si>
    <t xml:space="preserve">  International net store growth ~800</t>
  </si>
  <si>
    <t xml:space="preserve">  Quarterly revenue / EPS guidance for 3Q26</t>
  </si>
  <si>
    <t>—</t>
  </si>
  <si>
    <t>3Q26</t>
  </si>
  <si>
    <t>Not provided by issuer (S9, S11)</t>
  </si>
  <si>
    <t xml:space="preserve">  Memo: 1H26 U.S. SSS (tracking vs FY2026 LSD guide)</t>
  </si>
  <si>
    <t>Average of two 12-week quarters (reported 1H26 +0.5%)</t>
  </si>
  <si>
    <t>Guidance-implied 3Q26 (derived by Shortcut from the FY2026 operating-income guide; not company guidance)</t>
  </si>
  <si>
    <t>3Q26E (derived)</t>
  </si>
  <si>
    <t xml:space="preserve">  FY2026 op-income growth guidance midpoint</t>
  </si>
  <si>
    <t xml:space="preserve">  3Q25 income from operations ($M)</t>
  </si>
  <si>
    <t xml:space="preserve">  Implied 3Q26 income from operations ex-FX ($M)</t>
  </si>
  <si>
    <t xml:space="preserve">  Plus Shortcut FX on international royalties ($M)</t>
  </si>
  <si>
    <t xml:space="preserve">  Implied 3Q26 income from operations ($M)</t>
  </si>
  <si>
    <t xml:space="preserve">  Shortcut non-operating items (interest, DPC Dash) ($M)</t>
  </si>
  <si>
    <t xml:space="preserve">  Implied pre-tax income ($M)</t>
  </si>
  <si>
    <t xml:space="preserve">  Implied net income at Shortcut tax rate ($M)</t>
  </si>
  <si>
    <t xml:space="preserve">  Implied diluted EPS at Shortcut share count</t>
  </si>
  <si>
    <t xml:space="preserve">  Revenue guidance</t>
  </si>
  <si>
    <t>Record vs own guidance (FY2025): mixed — op-income guide beaten, U.S. stores and global retail sales below; 2026 outlook cut on 2026-04-27</t>
  </si>
  <si>
    <t>Inputs — CapIQ export and prior calibration</t>
  </si>
  <si>
    <t>Period band (rows 5–7) applies to period-column tables only (section B); other blocks carry their own column captions.</t>
  </si>
  <si>
    <t>A. CapIQ consensus snapshot — complete raw summary row (DPZ_consensus.json; blanks preserved as empty cells)</t>
  </si>
  <si>
    <t>Value</t>
  </si>
  <si>
    <t xml:space="preserve">  ticker</t>
  </si>
  <si>
    <t>S1</t>
  </si>
  <si>
    <t xml:space="preserve">  company_name</t>
  </si>
  <si>
    <t xml:space="preserve">  exchange_ticker</t>
  </si>
  <si>
    <t>NasdaqGS:DPZ</t>
  </si>
  <si>
    <t xml:space="preserve">  capiq_company_id</t>
  </si>
  <si>
    <t xml:space="preserve">  sp500_member</t>
  </si>
  <si>
    <t>Y</t>
  </si>
  <si>
    <t xml:space="preserve">  market_cap_usd_m</t>
  </si>
  <si>
    <t>S1 (blank in export)</t>
  </si>
  <si>
    <t xml:space="preserve">  fiscal_quarter</t>
  </si>
  <si>
    <t>FQ3 2026 - Sep 2026</t>
  </si>
  <si>
    <t xml:space="preserve">  quarter_end_date</t>
  </si>
  <si>
    <t xml:space="preserve">  expected_report_date</t>
  </si>
  <si>
    <t>S1 (CapIQ raw value retained). Issuer notice S32 announces 2026-10-13 06:05 ET, which governs report timing (Cover C18).</t>
  </si>
  <si>
    <t xml:space="preserve">  fiscal_year_end</t>
  </si>
  <si>
    <t>Dec-31</t>
  </si>
  <si>
    <t xml:space="preserve">  analysts_covering</t>
  </si>
  <si>
    <t xml:space="preserve">  eps_normalized_mean</t>
  </si>
  <si>
    <t xml:space="preserve">  eps_normalized_median</t>
  </si>
  <si>
    <t xml:space="preserve">  eps_normalized_high</t>
  </si>
  <si>
    <t xml:space="preserve">  eps_normalized_low</t>
  </si>
  <si>
    <t xml:space="preserve">  eps_normalized_std_dev</t>
  </si>
  <si>
    <t xml:space="preserve">  eps_normalized_n_est</t>
  </si>
  <si>
    <t xml:space="preserve">  eps_normalized_guidance</t>
  </si>
  <si>
    <t xml:space="preserve">  eps_normalized_guidance_low</t>
  </si>
  <si>
    <t xml:space="preserve">  eps_normalized_guidance_high</t>
  </si>
  <si>
    <t xml:space="preserve">  eps_gaap_mean</t>
  </si>
  <si>
    <t xml:space="preserve">  eps_gaap_median</t>
  </si>
  <si>
    <t xml:space="preserve">  eps_gaap_high</t>
  </si>
  <si>
    <t xml:space="preserve">  eps_gaap_low</t>
  </si>
  <si>
    <t xml:space="preserve">  eps_gaap_std_dev</t>
  </si>
  <si>
    <t xml:space="preserve">  eps_gaap_n_est</t>
  </si>
  <si>
    <t xml:space="preserve">  eps_gaap_guidance</t>
  </si>
  <si>
    <t xml:space="preserve">  revenue_m_mean</t>
  </si>
  <si>
    <t xml:space="preserve">  revenue_m_median</t>
  </si>
  <si>
    <t xml:space="preserve">  revenue_m_high</t>
  </si>
  <si>
    <t xml:space="preserve">  revenue_m_low</t>
  </si>
  <si>
    <t xml:space="preserve">  revenue_m_std_dev</t>
  </si>
  <si>
    <t xml:space="preserve">  revenue_m_n_est</t>
  </si>
  <si>
    <t xml:space="preserve">  revenue_m_guidance</t>
  </si>
  <si>
    <t xml:space="preserve">  revenue_m_guidance_low</t>
  </si>
  <si>
    <t xml:space="preserve">  revenue_m_guidance_high</t>
  </si>
  <si>
    <t xml:space="preserve">  ebitda_m</t>
  </si>
  <si>
    <t xml:space="preserve">  ebit_m</t>
  </si>
  <si>
    <t xml:space="preserve">  ebt_excl_excep_m</t>
  </si>
  <si>
    <t xml:space="preserve">  ebt_gaap_m</t>
  </si>
  <si>
    <t xml:space="preserve">  net_income_excl_excep_m</t>
  </si>
  <si>
    <t xml:space="preserve">  net_income_gaap_m</t>
  </si>
  <si>
    <t xml:space="preserve">  gross_margin_pct</t>
  </si>
  <si>
    <t xml:space="preserve">  effective_tax_rate_pct</t>
  </si>
  <si>
    <t xml:space="preserve">  d_and_a_m</t>
  </si>
  <si>
    <t xml:space="preserve">  capex_m</t>
  </si>
  <si>
    <t xml:space="preserve">  cfo_m</t>
  </si>
  <si>
    <t xml:space="preserve">  fcf_m</t>
  </si>
  <si>
    <t xml:space="preserve">  interest_expense_m</t>
  </si>
  <si>
    <t xml:space="preserve">  net_debt_m</t>
  </si>
  <si>
    <t xml:space="preserve">  cfps</t>
  </si>
  <si>
    <t xml:space="preserve">  bvps</t>
  </si>
  <si>
    <t xml:space="preserve">  dps</t>
  </si>
  <si>
    <t xml:space="preserve">  nav_m</t>
  </si>
  <si>
    <t xml:space="preserve">  navps</t>
  </si>
  <si>
    <t xml:space="preserve">  roe_pct</t>
  </si>
  <si>
    <t xml:space="preserve">  target_price_mean</t>
  </si>
  <si>
    <t xml:space="preserve">  target_price_median</t>
  </si>
  <si>
    <t xml:space="preserve">  target_price_high</t>
  </si>
  <si>
    <t xml:space="preserve">  target_price_low</t>
  </si>
  <si>
    <t xml:space="preserve">  target_price_std_dev</t>
  </si>
  <si>
    <t xml:space="preserve">  target_price_n_est</t>
  </si>
  <si>
    <t xml:space="preserve">  recommendation</t>
  </si>
  <si>
    <t>Outperform</t>
  </si>
  <si>
    <t xml:space="preserve">  recommendation_score</t>
  </si>
  <si>
    <t xml:space="preserve">  last_close_price</t>
  </si>
  <si>
    <t xml:space="preserve">  wk52_high_low</t>
  </si>
  <si>
    <t>442.35/282.00</t>
  </si>
  <si>
    <t xml:space="preserve">  currency</t>
  </si>
  <si>
    <t xml:space="preserve">  units</t>
  </si>
  <si>
    <t>per-share in USD; revenue and income in USD millions</t>
  </si>
  <si>
    <t xml:space="preserve">  estimates_captured_at</t>
  </si>
  <si>
    <t xml:space="preserve">  notes</t>
  </si>
  <si>
    <t xml:space="preserve">  as_of_date (top-level)</t>
  </si>
  <si>
    <t xml:space="preserve">  analyst_count (top-level)</t>
  </si>
  <si>
    <t xml:space="preserve">  consensus_eps (top-level)</t>
  </si>
  <si>
    <t xml:space="preserve">  consensus_revenue_m (top-level)</t>
  </si>
  <si>
    <t xml:space="preserve">  summary_sha256 (top-level)</t>
  </si>
  <si>
    <t>edbf949d984075e582c0427440965f3f2b24f43d8e9ef3ba40bd5d158b8c8d16</t>
  </si>
  <si>
    <t xml:space="preserve">  captured_precision (top-level)</t>
  </si>
  <si>
    <t>date only, user confirmed</t>
  </si>
  <si>
    <t>B. CapIQ six-quarter history (DPZ_history.csv), mapped to period columns</t>
  </si>
  <si>
    <t xml:space="preserve">  period_end_date</t>
  </si>
  <si>
    <t>S2 (CapIQ month-end label; issuer quarter ends earlier)</t>
  </si>
  <si>
    <t xml:space="preserve">  report_date</t>
  </si>
  <si>
    <t>S2</t>
  </si>
  <si>
    <t xml:space="preserve">  eps_normalized_consensus</t>
  </si>
  <si>
    <t xml:space="preserve">  eps_normalized_actual</t>
  </si>
  <si>
    <t xml:space="preserve">  eps_gaap_consensus</t>
  </si>
  <si>
    <t xml:space="preserve">  eps_gaap_actual</t>
  </si>
  <si>
    <t xml:space="preserve">  revenue_m_consensus</t>
  </si>
  <si>
    <t xml:space="preserve">  revenue_m_actual</t>
  </si>
  <si>
    <t xml:space="preserve">  Strict beat (normalized actual &gt; consensus)</t>
  </si>
  <si>
    <t xml:space="preserve">  EPS surprise ($ per share, actual − consensus)</t>
  </si>
  <si>
    <t xml:space="preserve">  EPS surprise (% of consensus)</t>
  </si>
  <si>
    <t xml:space="preserve">  Revenue surprise ($M, actual − consensus)</t>
  </si>
  <si>
    <t xml:space="preserve">  Basis check: normalized actual = GAAP actual (TRUE = same basis)</t>
  </si>
  <si>
    <t xml:space="preserve">  Check: CapIQ actual − Income Statement reported diluted EPS (should be 0)</t>
  </si>
  <si>
    <t>C. Size-aware starting probability (playbook v2) and evidence updates</t>
  </si>
  <si>
    <t xml:space="preserve">  Market capitalisation ($M, 2026-10-09 close)</t>
  </si>
  <si>
    <t>S23 (CapIQ field blank)</t>
  </si>
  <si>
    <t xml:space="preserve">  Size bucket (small $0.3–2B, mid $2–10B, large &gt;$10B)</t>
  </si>
  <si>
    <t xml:space="preserve">  S&amp;P 500 member (CapIQ summary row)</t>
  </si>
  <si>
    <t xml:space="preserve">  Cohort prior (0.78 large or S&amp;P 500; 0.70 mid; 0.60 small; applied once)</t>
  </si>
  <si>
    <t xml:space="preserve">  b = strict beats in six history pairs</t>
  </si>
  <si>
    <t xml:space="preserve">  n = valid pairs (same basis; none excluded)</t>
  </si>
  <si>
    <t xml:space="preserve">  Pseudo-observations (fixed playbook weight)</t>
  </si>
  <si>
    <t>forecasting-playbook.md §7</t>
  </si>
  <si>
    <t xml:space="preserve">  Starting P(beat) = (8 × prior + b) / (8 + n)</t>
  </si>
  <si>
    <t xml:space="preserve">  Update: DPC Dash mark-to-market loss (HK$35.58 → ~30.90) not in CapIQ EBT</t>
  </si>
  <si>
    <t>S21/S22; CapIQ EBT GAAP vs excl. differ by only 0.3</t>
  </si>
  <si>
    <t xml:space="preserve">  Update: Shortcut model EPS below consensus (vs ~$0.15 historical surprise s.d.)</t>
  </si>
  <si>
    <t>Model output (Income Statement). Possible partial overlap with C110: DPC Dash after-tax ≈ $0.055/sh of the −$0.097 gap; both updates retained (original judgment), unresolved.</t>
  </si>
  <si>
    <t xml:space="preserve">  Update: sell-side previews see U.S. comps above Street; easing cheese</t>
  </si>
  <si>
    <t>S14, S17, S18</t>
  </si>
  <si>
    <t xml:space="preserve">  Update: card-spend slowdown (−120 bp q/q) and record fuel prices</t>
  </si>
  <si>
    <t>S14, S24</t>
  </si>
  <si>
    <t>Final P(beat consensus EPS) = ROUND(start + updates, 2)</t>
  </si>
  <si>
    <t>low</t>
  </si>
  <si>
    <t>Point estimate within ~1 s.d. of consensus; DPC Dash price and buyback pace uncertain</t>
  </si>
  <si>
    <t xml:space="preserve">  Historical EPS surprise — mean ($)</t>
  </si>
  <si>
    <t xml:space="preserve">  Historical EPS surprise — standard deviation ($)</t>
  </si>
  <si>
    <t xml:space="preserve">  Historical EPS surprise — mean absolute ($)</t>
  </si>
  <si>
    <t xml:space="preserve">  Year-ago 3Q25 surprise ($, seasonal comparable)</t>
  </si>
  <si>
    <t>D. Frozen consensus used for scoring (unchanged) and newer published figures (recorded separately)</t>
  </si>
  <si>
    <t xml:space="preserve">  Frozen consensus normalized EPS (CapIQ mean, 2026-10-11)</t>
  </si>
  <si>
    <t>S1; n est = 26</t>
  </si>
  <si>
    <t xml:space="preserve">  Frozen consensus revenue ($M)</t>
  </si>
  <si>
    <t xml:space="preserve">  Frozen consensus net income excl. exceptionals ($M)</t>
  </si>
  <si>
    <t xml:space="preserve">  Frozen consensus GAAP EPS (CapIQ mean)</t>
  </si>
  <si>
    <t xml:space="preserve">  Zacks consensus EPS (2026-10-08) — memo only</t>
  </si>
  <si>
    <t>S16</t>
  </si>
  <si>
    <t xml:space="preserve">  TradingView consensus EPS (2026-10-06) — memo only</t>
  </si>
  <si>
    <t xml:space="preserve">  Benzinga consensus EPS (2026-09-29) — memo only</t>
  </si>
  <si>
    <t>S19</t>
  </si>
  <si>
    <t xml:space="preserve">  Wells Fargo 3Q26 EPS estimate (2026-10-06) — memo only</t>
  </si>
  <si>
    <t>S14</t>
  </si>
  <si>
    <t>Sources</t>
  </si>
  <si>
    <t>Period band (rows 5–7) does not apply to this tab; see the column headers in row 9.</t>
  </si>
  <si>
    <t>ID — document</t>
  </si>
  <si>
    <t>Published</t>
  </si>
  <si>
    <t>Publisher</t>
  </si>
  <si>
    <t>URL or file</t>
  </si>
  <si>
    <t>S1 — CapIQ consensus snapshot (DPZ_consensus.json)</t>
  </si>
  <si>
    <t>S&amp;P Capital IQ (attached)</t>
  </si>
  <si>
    <t>workspace/DPZ_consensus.json</t>
  </si>
  <si>
    <t>Cover consensus; Inputs A/D</t>
  </si>
  <si>
    <t>S2 — CapIQ six-quarter history (DPZ_history.csv)</t>
  </si>
  <si>
    <t>workspace/DPZ_history.csv</t>
  </si>
  <si>
    <t>Inputs B; prior calibration; EPS basis check</t>
  </si>
  <si>
    <t>S3 — Form 10-Q Q1 2025 (dpz-20250323.htm)</t>
  </si>
  <si>
    <t>Domino’s Pizza / SEC EDGAR</t>
  </si>
  <si>
    <t>https://www.sec.gov/Archives/edgar/data/1286681/000095017025058940/dpz-20250323.htm</t>
  </si>
  <si>
    <t>1Q25 BS, stores, SSS, KPIs; 1Q24 comparatives</t>
  </si>
  <si>
    <t>S4 — Form 10-Q Q2 2025 (dpz-20250615.htm)</t>
  </si>
  <si>
    <t>https://www.sec.gov/Archives/edgar/data/1286681/000095017025097064/dpz-20250615.htm</t>
  </si>
  <si>
    <t>2Q25 BS, stores, SSS; 2Q24 comparatives</t>
  </si>
  <si>
    <t>S5 — Form 10-Q Q3 2025 (dpz-20250907.htm)</t>
  </si>
  <si>
    <t>https://www.sec.gov/Archives/edgar/data/1286681/000119312525237878/dpz-20250907.htm</t>
  </si>
  <si>
    <t>3Q25 IS/BS/CF, segment, stores; 3Q24</t>
  </si>
  <si>
    <t>S6 — 8-K Ex.99.1 Q4 &amp; FY2025 results (dpz-ex99_1.htm)</t>
  </si>
  <si>
    <t>https://www.sec.gov/Archives/edgar/data/1286681/000119312526062313/dpz-ex99_1.htm</t>
  </si>
  <si>
    <t>4Q25 IS, FY25 CF, stores, SSS, FX, EBITDA</t>
  </si>
  <si>
    <t>S7 — Form 10-K FY2025 (dpz-20251228.htm) — fetched; financial statements truncated in fetch</t>
  </si>
  <si>
    <t>https://www.sec.gov/Archives/edgar/data/1286681/000119312526062321/dpz-20251228.htm</t>
  </si>
  <si>
    <t>Checked; 4Q25 segment split unavailable</t>
  </si>
  <si>
    <t>S8 — Form 10-Q Q1 2026 (dpz-20260322.htm)</t>
  </si>
  <si>
    <t>https://www.sec.gov/Archives/edgar/data/1286681/000128668126000025/dpz-20260322.htm</t>
  </si>
  <si>
    <t>1Q26 and 1Q25 (2026 segment basis), 4Q25 BS</t>
  </si>
  <si>
    <t>S9 — 8-K Ex.99.1 Q2 2026 results</t>
  </si>
  <si>
    <t>https://www.sec.gov/Archives/edgar/data/1286681/000128668126000034/dpz-ex99_1.htm</t>
  </si>
  <si>
    <t>Leverage, dividend, buyback authorization</t>
  </si>
  <si>
    <t>S10 — Form 10-Q Q2 2026 (dpz-20260614.htm)</t>
  </si>
  <si>
    <t>https://www.sec.gov/Archives/edgar/data/1286681/000128668126000035/dpz-20260614.htm</t>
  </si>
  <si>
    <t>2Q26 IS/BS/CF, segment, stores, shares</t>
  </si>
  <si>
    <t>S11 — Q2 2026 earnings call transcript</t>
  </si>
  <si>
    <t>StockAnalysis.com</t>
  </si>
  <si>
    <t>https://stockanalysis.com/stocks/dpz/transcripts/655664-q2-2026/</t>
  </si>
  <si>
    <t>2026 outlook; Q3 marketing calendar</t>
  </si>
  <si>
    <t>S12 — XBRL companyconcept InterestExpense</t>
  </si>
  <si>
    <t>SEC data.sec.gov</t>
  </si>
  <si>
    <t>https://data.sec.gov/api/xbrl/companyconcept/CIK0001286681/us-gaap/InterestExpense.json</t>
  </si>
  <si>
    <t>FY25 interest expense → 4Q25 split</t>
  </si>
  <si>
    <t>S13 — XBRL companyconcept WeightedAverageNumberOfSharesOutstandingBasic</t>
  </si>
  <si>
    <t>https://data.sec.gov/api/xbrl/companyconcept/CIK0001286681/us-gaap/WeightedAverageNumberOfSharesOutstandingBasic.json</t>
  </si>
  <si>
    <t>FY25 basic shares → 4Q25 basic</t>
  </si>
  <si>
    <t>S14 — Wells Fargo 3Q26 preview (Z. Fadem)</t>
  </si>
  <si>
    <t>StreetInsider</t>
  </si>
  <si>
    <t>https://www.streetinsider.com/Analyst+Comments/Wells+Fargo+Reiterates+Equal+Weight+Rating+on+Dominos+Pizza+%28DPZ%29/27151104.html</t>
  </si>
  <si>
    <t>Comps, commodity basket, DPC Dash, EBIT margin</t>
  </si>
  <si>
    <t>S15 — Wells Fargo preview summary</t>
  </si>
  <si>
    <t>Investing.com</t>
  </si>
  <si>
    <t>https://www.investing.com/news/analyst-ratings/dominos-pizza-stock-price-target-held-at-350-by-wells-fargo-93CH-4933886</t>
  </si>
  <si>
    <t>Corroborates S14</t>
  </si>
  <si>
    <t>S16 — Zacks key-metric consensus preview</t>
  </si>
  <si>
    <t>Yahoo Finance / Zacks</t>
  </si>
  <si>
    <t>https://finance.yahoo.com/markets/stocks/articles/analyst-projections-key-metrics-reveal-121521174.html</t>
  </si>
  <si>
    <t>Store-count and SSS consensus; memo EPS</t>
  </si>
  <si>
    <t>S17 — UBS 3Q26 preview summary</t>
  </si>
  <si>
    <t>Hilo Research (xxquant)</t>
  </si>
  <si>
    <t>https://www.xxquant.com/en/institution/institutional-research/8778bd0cec6ed5e2f90893a035ec1805</t>
  </si>
  <si>
    <t>U.S. SSS consensus 0.2%, UBS 0.5%</t>
  </si>
  <si>
    <t>S18 — BofA price target / preview</t>
  </si>
  <si>
    <t>Business Insider (TheFly)</t>
  </si>
  <si>
    <t>https://markets.businessinsider.com/news/stocks/domino-s-pizza-price-target-raised-to-455-from-450-at-bofa-1036613175</t>
  </si>
  <si>
    <t>Qualitative: stronger comps, easing commodities</t>
  </si>
  <si>
    <t>S19 — Analyst revisions roundup</t>
  </si>
  <si>
    <t>Benzinga</t>
  </si>
  <si>
    <t>https://www.benzinga.com/analyst-stock-ratings/price-target/26/09/62045107/top-wall-street-forecasters-revamp-dominos-expectations-ahead-of-q3-earnings</t>
  </si>
  <si>
    <t>Memo consensus $4.40</t>
  </si>
  <si>
    <t>S20 — “The Domino” personal pizza launch (nationwide Aug 31)</t>
  </si>
  <si>
    <t>Domino’s Pizza / PR Newswire</t>
  </si>
  <si>
    <t>https://ir.dominos.com/news-releases/news-release-details/after-more-65-years-dominosr-launch-first-pizza-worthy-its-name</t>
  </si>
  <si>
    <t>Q3 launch timing (1 week in quarter)</t>
  </si>
  <si>
    <t>S21 — DPC Dash (1405.HK) daily prices to Jun 2026</t>
  </si>
  <si>
    <t>Yahoo Finance NZ / Webb-site</t>
  </si>
  <si>
    <t>https://nz.finance.yahoo.com/quote/1405.HK/history/</t>
  </si>
  <si>
    <t>Jun 12 close HK$35.58</t>
  </si>
  <si>
    <t>S22 — DPC Dash insider purchases Sep 2–3, 2026 (HK$31.00 / 30.84)</t>
  </si>
  <si>
    <t>etnet / Simply Wall St</t>
  </si>
  <si>
    <t>https://www.etnet.com.hk/www/eng/stocks/realtime/quote_ca_sdi.php?code=1405</t>
  </si>
  <si>
    <t>Quarter-end DPC Dash price estimate</t>
  </si>
  <si>
    <t>S23 — DPZ market capitalisation $10.23B (Oct 9, 2026)</t>
  </si>
  <si>
    <t>https://stockanalysis.com/stocks/dpz/market-cap/</t>
  </si>
  <si>
    <t>Size bucket; buyback price assumption</t>
  </si>
  <si>
    <t>S24 — Placer.ai August 2026 Retail &amp; Dining Index</t>
  </si>
  <si>
    <t>Placer.ai</t>
  </si>
  <si>
    <t>https://www.placer.ai/anchor/articles/august-2026-retail-and-dining-index-retail-finds-bright-spots-as-dining-slips-nationwide</t>
  </si>
  <si>
    <t>Industry traffic context</t>
  </si>
  <si>
    <t>S25 — Papa John’s Q2 2026 results (NA comps −8.3%)</t>
  </si>
  <si>
    <t>Papa John’s / SEC</t>
  </si>
  <si>
    <t>https://www.sec.gov/Archives/edgar/data/901491/000162828026053810/pzza-62826xpressrelease.htm</t>
  </si>
  <si>
    <t>Peer read-across</t>
  </si>
  <si>
    <t>S26 — Domino’s Pizza Enterprises FY26 results (SSS −4.1%)</t>
  </si>
  <si>
    <t>ASX</t>
  </si>
  <si>
    <t>https://announcements.asx.com.au/asxpdf/20260826/pdf/0737mmzqz6rk1c.pdf</t>
  </si>
  <si>
    <t>International SSS drag</t>
  </si>
  <si>
    <t>S27 — US Dollar Index daily history (Aug–Sep 2026)</t>
  </si>
  <si>
    <t>https://www.investing.com/indices/usdollar-historical-data</t>
  </si>
  <si>
    <t>FX assumption</t>
  </si>
  <si>
    <t>S28 — CME cheddar block prices (Aug 2025 ~$1.80; Aug 2026 ~$1.49–1.58)</t>
  </si>
  <si>
    <t>USDA AMS / Brownfield</t>
  </si>
  <si>
    <t>https://www.brownfieldagnews.com/market-news/butter-nonfat-dry-milk-rise-while-cheese-slips-at-cme-friday/</t>
  </si>
  <si>
    <t>Food basket assumption</t>
  </si>
  <si>
    <t>S29 — Q4 2025 call — 2026 outlook (3% U.S. comps, ~8% EBIT growth)</t>
  </si>
  <si>
    <t>MarketBeat / Seeking Alpha</t>
  </si>
  <si>
    <t>https://www.marketbeat.com/earnings/reports/2026-2-23-dominos-pizza-inc-stock/</t>
  </si>
  <si>
    <t>Guidance tab</t>
  </si>
  <si>
    <t>S30 — Q1 2026 call — outlook cut to LSD comps, MSD–HSD EBIT</t>
  </si>
  <si>
    <t>CNBC / Roic.ai transcript</t>
  </si>
  <si>
    <t>https://www.roic.ai/quote/DPZ/transcripts/2026-year/1-quarter</t>
  </si>
  <si>
    <t>S31 — 2025 outlook (3% U.S. comps, 1–2% intl, ~8% EBIT)</t>
  </si>
  <si>
    <t>Investing.com (UBS note)</t>
  </si>
  <si>
    <t>https://www.investing.com/news/analyst-ratings/ubs-maintains-buy-on-dominos-pizza-stock-with-540-target-93CH-3891146</t>
  </si>
  <si>
    <t>S32 — Q3 2026 earnings webcast notice (Oct 13, 6:05 ET release)</t>
  </si>
  <si>
    <t>Domino’s Pizza</t>
  </si>
  <si>
    <t>https://dominos.gcs-web.com/news-releases/news-release-details/dominosr-announces-q3-2026-earnings-webcast</t>
  </si>
  <si>
    <t>Expected report date</t>
  </si>
  <si>
    <t>Retrieval and exclusions</t>
  </si>
  <si>
    <t>All web sources retrieved 2026-10-12 01:09–01:25 UTC via web_fetch/web search; all publication dates precede the 2026-10-11 22:24 UTC cutoff.</t>
  </si>
  <si>
    <t>Documented limitation: retrieval timestamps follow the cutoff; live pages reflect retrieval-time content and no archived cutoff-time snapshots exist. Distinct from the post-cutoff sources excluded in B44.</t>
  </si>
  <si>
    <t>Excluded (post-cutoff): Polymarket odds page (timestamp 2026-10-12 01:15 UTC) and Placer.ai September 2026 index (published 2026-10-12). No target-quarter actuals were seen.</t>
  </si>
  <si>
    <t>Tabs: all standard tabs carry content; none omitted (Geo built from issuer U.S./international disclosures, S3–S10).</t>
  </si>
  <si>
    <t>OpenStocks forecasts were not used. Target-price fields in S1 are not used as model inputs.</t>
  </si>
</sst>
</file>

<file path=xl/styles.xml><?xml version="1.0" encoding="utf-8"?>
<styleSheet xmlns="http://schemas.openxmlformats.org/spreadsheetml/2006/main">
  <numFmts count="12">
    <numFmt numFmtId="164" formatCode="#,##0.0_);(#,##0.0);&quot;–&quot;_)"/>
    <numFmt numFmtId="165" formatCode="$0.00_);($0.00);&quot;–&quot;_)"/>
    <numFmt numFmtId="166" formatCode="0.0%_);(0.0%);&quot;–&quot;_)"/>
    <numFmt numFmtId="167" formatCode="yyyy-mm-dd"/>
    <numFmt numFmtId="168" formatCode="General"/>
    <numFmt numFmtId="169" formatCode="#,##0.000_);(#,##0.000);&quot;–&quot;_)"/>
    <numFmt numFmtId="170" formatCode="#,##0_);(#,##0);&quot;–&quot;_)"/>
    <numFmt numFmtId="171" formatCode="#,##0&quot; bp&quot;_);(#,##0&quot; bp&quot;);&quot;–&quot;_)"/>
    <numFmt numFmtId="172" formatCode="#,##0.00_);(#,##0.00);&quot;–&quot;_)"/>
    <numFmt numFmtId="173" formatCode="0.0x"/>
    <numFmt numFmtId="174" formatCode="$#,##0.00_);($#,##0.00);&quot;–&quot;_)"/>
    <numFmt numFmtId="175" formatCode="&quot;HK$&quot;#,##0.00"/>
  </numFmts>
  <fonts count="27">
    <font>
      <sz val="11"/>
      <color theme="1"/>
      <name val="Calibri"/>
      <family val="2"/>
      <scheme val="minor"/>
    </font>
    <font>
      <b val="0"/>
      <i val="0"/>
      <strike val="0"/>
      <sz val="10"/>
      <color rgb="FF000000"/>
      <name val="Arial"/>
    </font>
    <font>
      <b val="0"/>
      <i val="0"/>
      <strike val="0"/>
      <sz val="10"/>
      <color rgb="FF006100"/>
      <name val="Arial"/>
    </font>
    <font>
      <b val="0"/>
      <i/>
      <strike val="0"/>
      <sz val="10"/>
      <color rgb="FF000000"/>
      <name val="Arial"/>
    </font>
    <font>
      <b val="0"/>
      <i/>
      <strike val="0"/>
      <sz val="10"/>
      <color rgb="FF006100"/>
      <name val="Arial"/>
    </font>
    <font>
      <b/>
      <i val="0"/>
      <strike val="0"/>
      <sz val="10"/>
      <color rgb="FF006100"/>
      <name val="Arial"/>
    </font>
    <font>
      <b/>
      <i val="0"/>
      <strike val="0"/>
      <sz val="10"/>
      <color rgb="FF000000"/>
      <name val="Arial"/>
    </font>
    <font>
      <b val="0"/>
      <i val="0"/>
      <strike val="0"/>
      <sz val="10"/>
      <color rgb="FF0000FF"/>
      <name val="Arial"/>
    </font>
    <font>
      <b/>
      <i val="0"/>
      <strike val="0"/>
      <sz val="10"/>
      <color rgb="FF0000FF"/>
      <name val="Arial"/>
    </font>
    <font>
      <b val="0"/>
      <i val="0"/>
      <strike val="0"/>
      <sz val="10"/>
      <color rgb="FF595959"/>
      <name val="Arial"/>
    </font>
    <font>
      <b val="0"/>
      <i/>
      <strike val="0"/>
      <sz val="10"/>
      <color rgb="FF0000FF"/>
      <name val="Arial"/>
    </font>
    <font>
      <b/>
      <i/>
      <strike val="0"/>
      <sz val="10"/>
      <color rgb="FF000000"/>
      <name val="Arial"/>
    </font>
    <font>
      <b/>
      <i val="0"/>
      <strike val="0"/>
      <sz val="12"/>
      <color rgb="FF000000"/>
      <name val="Arial"/>
    </font>
    <font>
      <b/>
      <i/>
      <strike val="0"/>
      <sz val="10"/>
      <color rgb="FF006100"/>
      <name val="Arial"/>
    </font>
    <font>
      <b val="0"/>
      <i/>
      <strike val="0"/>
      <sz val="10"/>
      <color rgb="FF595959"/>
      <name val="Arial"/>
      <family val="2"/>
      <scheme val="minor"/>
    </font>
    <font>
      <b/>
      <i val="0"/>
      <strike val="0"/>
      <sz val="10"/>
      <color rgb="FF000000"/>
      <name val="Arial"/>
      <family val="2"/>
      <scheme val="minor"/>
    </font>
    <font>
      <b val="0"/>
      <i val="0"/>
      <strike val="0"/>
      <sz val="10"/>
      <color rgb="FF595959"/>
      <name val="Arial"/>
      <family val="2"/>
      <scheme val="minor"/>
    </font>
    <font>
      <b val="0"/>
      <i val="0"/>
      <strike val="0"/>
      <sz val="10"/>
      <color rgb="FF000000"/>
      <name val="Arial"/>
      <family val="2"/>
      <scheme val="minor"/>
    </font>
    <font>
      <b val="0"/>
      <i/>
      <strike val="0"/>
      <sz val="10"/>
      <color rgb="FF000000"/>
      <name val="Arial"/>
      <family val="2"/>
      <scheme val="minor"/>
    </font>
    <font>
      <b val="0"/>
      <i val="0"/>
      <strike val="0"/>
      <sz val="10"/>
      <color rgb="FF595959"/>
      <name val="Arial"/>
      <family val="2"/>
      <scheme val="minor"/>
    </font>
    <font>
      <b val="0"/>
      <i val="0"/>
      <strike val="0"/>
      <sz val="10"/>
      <color rgb="FF000000"/>
      <name val="Arial"/>
      <family val="2"/>
      <scheme val="minor"/>
    </font>
    <font>
      <b/>
      <i val="0"/>
      <strike val="0"/>
      <sz val="10"/>
      <color rgb="FF000000"/>
      <name val="Arial"/>
      <family val="2"/>
      <scheme val="minor"/>
    </font>
    <font>
      <b/>
      <i/>
      <strike val="0"/>
      <sz val="10"/>
      <color rgb="FF000000"/>
      <name val="Arial"/>
      <family val="2"/>
      <scheme val="minor"/>
    </font>
    <font>
      <b val="0"/>
      <i/>
      <strike val="0"/>
      <sz val="10"/>
      <color rgb="FF006100"/>
      <name val="Arial"/>
      <family val="2"/>
      <scheme val="minor"/>
    </font>
    <font>
      <b val="0"/>
      <i val="0"/>
      <strike val="0"/>
      <sz val="10"/>
      <color rgb="FF000000"/>
      <name val="Arial"/>
      <family val="2"/>
      <scheme val="minor"/>
    </font>
    <font>
      <b/>
      <i val="0"/>
      <strike val="0"/>
      <sz val="10"/>
      <color rgb="FF000000"/>
      <name val="Arial"/>
      <family val="2"/>
      <scheme val="minor"/>
    </font>
    <font>
      <b val="0"/>
      <i/>
      <strike val="0"/>
      <sz val="10"/>
      <color rgb="FF000000"/>
      <name val="Arial"/>
      <family val="2"/>
      <scheme val="minor"/>
    </font>
  </fonts>
  <fills count="6">
    <fill>
      <patternFill patternType="none"/>
    </fill>
    <fill>
      <patternFill patternType="gray125"/>
    </fill>
    <fill>
      <patternFill patternType="none"/>
    </fill>
    <fill>
      <patternFill patternType="solid">
        <fgColor rgb="FFF2F2F2"/>
      </patternFill>
    </fill>
    <fill>
      <patternFill patternType="solid">
        <fgColor rgb="FFDCE6F2"/>
      </patternFill>
    </fill>
    <fill>
      <patternFill patternType="solid">
        <fgColor rgb="FFEEF3FA"/>
      </patternFill>
    </fill>
  </fills>
  <borders count="5">
    <border/>
    <border>
      <bottom style="thin">
        <color rgb="FF808080"/>
      </bottom>
    </border>
    <border>
      <top style="thin">
        <color rgb="FF808080"/>
      </top>
    </border>
    <border>
      <top style="thin">
        <color rgb="FF000000"/>
      </top>
    </border>
    <border>
      <top style="thin">
        <color rgb="FF808080"/>
      </top>
      <bottom style="thin">
        <color rgb="FF808080"/>
      </bottom>
    </border>
  </borders>
  <cellStyleXfs count="1">
    <xf numFmtId="0" fontId="0" fillId="0" borderId="0"/>
  </cellStyleXfs>
  <cellXfs count="168">
    <xf numFmtId="0" fontId="0" fillId="0" borderId="0" xfId="0"/>
    <xf numFmtId="0" fontId="1" fillId="2" borderId="0" xfId="0" applyFont="1" applyFill="1" applyAlignment="1" applyProtection="1">
      <alignment horizontal="general" vertical="bottom"/>
      <protection locked="1" hidden="0"/>
    </xf>
    <xf numFmtId="0" fontId="1" fillId="2" borderId="0" xfId="0" applyFont="1" applyFill="1" applyAlignment="1" applyProtection="1">
      <alignment horizontal="left" vertical="bottom" indent="1"/>
      <protection locked="1" hidden="0"/>
    </xf>
    <xf numFmtId="164" fontId="1" fillId="2" borderId="0" xfId="0" applyNumberFormat="1" applyFont="1" applyFill="1" applyAlignment="1" applyProtection="1">
      <alignment horizontal="right" vertical="bottom"/>
      <protection locked="1" hidden="0"/>
    </xf>
    <xf numFmtId="165" fontId="2" fillId="2" borderId="0" xfId="0" applyNumberFormat="1" applyFont="1" applyFill="1" applyAlignment="1" applyProtection="1">
      <alignment horizontal="right" vertical="bottom"/>
      <protection locked="1" hidden="0"/>
    </xf>
    <xf numFmtId="0" fontId="1" fillId="3" borderId="1" xfId="0" applyFont="1" applyFill="1" applyBorder="1" applyAlignment="1" applyProtection="1">
      <alignment horizontal="left" vertical="bottom"/>
      <protection locked="1" hidden="0"/>
    </xf>
    <xf numFmtId="0" fontId="3" fillId="2" borderId="0" xfId="0" applyFont="1" applyFill="1" applyAlignment="1" applyProtection="1">
      <alignment horizontal="left" vertical="bottom" indent="1"/>
      <protection locked="1" hidden="0"/>
    </xf>
    <xf numFmtId="0" fontId="1" fillId="2" borderId="0" xfId="0" applyFont="1" applyFill="1" applyAlignment="1" applyProtection="1">
      <alignment horizontal="left" vertical="bottom"/>
      <protection locked="1" hidden="0"/>
    </xf>
    <xf numFmtId="0" fontId="1" fillId="2" borderId="0" xfId="0" applyFont="1" applyFill="1" applyAlignment="1" applyProtection="1">
      <alignment horizontal="left" vertical="top" wrapText="1" indent="1"/>
      <protection locked="1" hidden="0"/>
    </xf>
    <xf numFmtId="166" fontId="4" fillId="2" borderId="0" xfId="0" applyNumberFormat="1" applyFont="1" applyFill="1" applyAlignment="1" applyProtection="1">
      <alignment horizontal="right" vertical="bottom"/>
      <protection locked="1" hidden="0"/>
    </xf>
    <xf numFmtId="167" fontId="1" fillId="3" borderId="0" xfId="0" applyNumberFormat="1" applyFont="1" applyFill="1" applyAlignment="1" applyProtection="1">
      <alignment horizontal="right" vertical="bottom"/>
      <protection locked="1" hidden="0"/>
    </xf>
    <xf numFmtId="164" fontId="5" fillId="2" borderId="0" xfId="0" applyNumberFormat="1" applyFont="1" applyFill="1" applyAlignment="1" applyProtection="1">
      <alignment horizontal="right" vertical="bottom"/>
      <protection locked="1" hidden="0"/>
    </xf>
    <xf numFmtId="166" fontId="3" fillId="2" borderId="0" xfId="0" applyNumberFormat="1" applyFont="1" applyFill="1" applyAlignment="1" applyProtection="1">
      <alignment horizontal="right" vertical="bottom"/>
      <protection locked="1" hidden="0"/>
    </xf>
    <xf numFmtId="0" fontId="6" fillId="2" borderId="0" xfId="0" applyFont="1" applyFill="1" applyAlignment="1" applyProtection="1">
      <alignment horizontal="left" vertical="bottom"/>
      <protection locked="1" hidden="0"/>
    </xf>
    <xf numFmtId="168" fontId="6" fillId="4" borderId="2" xfId="0" applyNumberFormat="1" applyFont="1" applyFill="1" applyBorder="1" applyAlignment="1" applyProtection="1">
      <alignment horizontal="right" vertical="bottom"/>
      <protection locked="1" hidden="0"/>
    </xf>
    <xf numFmtId="0" fontId="3" fillId="2" borderId="0" xfId="0" applyFont="1" applyFill="1" applyAlignment="1" applyProtection="1">
      <alignment horizontal="left" vertical="top" wrapText="1" indent="1"/>
      <protection locked="1" hidden="0"/>
    </xf>
    <xf numFmtId="168" fontId="6" fillId="3" borderId="2" xfId="0" applyNumberFormat="1" applyFont="1" applyFill="1" applyBorder="1" applyAlignment="1" applyProtection="1">
      <alignment horizontal="right" vertical="bottom"/>
      <protection locked="1" hidden="0"/>
    </xf>
    <xf numFmtId="169" fontId="2" fillId="2"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left" vertical="bottom" indent="2"/>
      <protection locked="1" hidden="0"/>
    </xf>
    <xf numFmtId="170" fontId="1" fillId="4" borderId="1" xfId="0" applyNumberFormat="1" applyFont="1" applyFill="1" applyBorder="1" applyAlignment="1" applyProtection="1">
      <alignment horizontal="right" vertical="bottom"/>
      <protection locked="1" hidden="0"/>
    </xf>
    <xf numFmtId="164" fontId="7" fillId="2" borderId="0" xfId="0" applyNumberFormat="1" applyFont="1" applyFill="1" applyAlignment="1" applyProtection="1">
      <alignment horizontal="right" vertical="bottom"/>
      <protection locked="1" hidden="0"/>
    </xf>
    <xf numFmtId="171" fontId="3" fillId="2" borderId="0" xfId="0" applyNumberFormat="1" applyFont="1" applyFill="1" applyAlignment="1" applyProtection="1">
      <alignment horizontal="right" vertical="bottom"/>
      <protection locked="1" hidden="0"/>
    </xf>
    <xf numFmtId="170" fontId="1" fillId="2" borderId="0" xfId="0" applyNumberFormat="1" applyFont="1" applyFill="1" applyAlignment="1" applyProtection="1">
      <alignment horizontal="right" vertical="bottom"/>
      <protection locked="1" hidden="0"/>
    </xf>
    <xf numFmtId="172" fontId="1" fillId="2" borderId="0" xfId="0" applyNumberFormat="1" applyFont="1" applyFill="1" applyAlignment="1" applyProtection="1">
      <alignment horizontal="right" vertical="bottom"/>
      <protection locked="1" hidden="0"/>
    </xf>
    <xf numFmtId="0" fontId="1" fillId="5" borderId="0" xfId="0" applyFont="1" applyFill="1" applyAlignment="1" applyProtection="1">
      <alignment horizontal="general" vertical="bottom"/>
      <protection locked="1" hidden="0"/>
    </xf>
    <xf numFmtId="170" fontId="3" fillId="2" borderId="0" xfId="0" applyNumberFormat="1" applyFont="1" applyFill="1" applyAlignment="1" applyProtection="1">
      <alignment horizontal="right" vertical="bottom"/>
      <protection locked="1" hidden="0"/>
    </xf>
    <xf numFmtId="164" fontId="8" fillId="2" borderId="3" xfId="0" applyNumberFormat="1" applyFont="1" applyFill="1" applyBorder="1" applyAlignment="1" applyProtection="1">
      <alignment horizontal="right" vertical="bottom"/>
      <protection locked="1" hidden="0"/>
    </xf>
    <xf numFmtId="164" fontId="2" fillId="2" borderId="0" xfId="0" applyNumberFormat="1" applyFont="1" applyFill="1" applyAlignment="1" applyProtection="1">
      <alignment horizontal="right" vertical="bottom"/>
      <protection locked="1" hidden="0"/>
    </xf>
    <xf numFmtId="170" fontId="1" fillId="3" borderId="1" xfId="0" applyNumberFormat="1" applyFont="1" applyFill="1" applyBorder="1" applyAlignment="1" applyProtection="1">
      <alignment horizontal="right" vertical="bottom"/>
      <protection locked="1" hidden="0"/>
    </xf>
    <xf numFmtId="0" fontId="3" fillId="2" borderId="0" xfId="0" applyFont="1" applyFill="1" applyAlignment="1" applyProtection="1">
      <alignment horizontal="left" vertical="top" wrapText="1" indent="2"/>
      <protection locked="1" hidden="0"/>
    </xf>
    <xf numFmtId="0" fontId="9" fillId="2" borderId="0" xfId="0" applyFont="1" applyFill="1" applyAlignment="1" applyProtection="1">
      <alignment horizontal="left" vertical="bottom"/>
      <protection locked="1" hidden="0"/>
    </xf>
    <xf numFmtId="168" fontId="1" fillId="2" borderId="0" xfId="0" applyNumberFormat="1" applyFont="1" applyFill="1" applyAlignment="1" applyProtection="1">
      <alignment horizontal="left" vertical="bottom"/>
      <protection locked="1" hidden="0"/>
    </xf>
    <xf numFmtId="170" fontId="7" fillId="2" borderId="0" xfId="0" applyNumberFormat="1" applyFont="1" applyFill="1" applyAlignment="1" applyProtection="1">
      <alignment horizontal="right" vertical="bottom"/>
      <protection locked="1" hidden="0"/>
    </xf>
    <xf numFmtId="170" fontId="6" fillId="2" borderId="3" xfId="0" applyNumberFormat="1" applyFont="1" applyFill="1" applyBorder="1" applyAlignment="1" applyProtection="1">
      <alignment horizontal="right" vertical="bottom"/>
      <protection locked="1" hidden="0"/>
    </xf>
    <xf numFmtId="0" fontId="9" fillId="3" borderId="0" xfId="0" applyFont="1" applyFill="1" applyAlignment="1" applyProtection="1">
      <alignment horizontal="left" vertical="bottom"/>
      <protection locked="1" hidden="0"/>
    </xf>
    <xf numFmtId="172" fontId="3" fillId="5" borderId="0" xfId="0" applyNumberFormat="1" applyFont="1" applyFill="1" applyAlignment="1" applyProtection="1">
      <alignment horizontal="right" vertical="bottom"/>
      <protection locked="1" hidden="0"/>
    </xf>
    <xf numFmtId="166" fontId="10" fillId="2" borderId="0" xfId="0" applyNumberFormat="1" applyFont="1" applyFill="1" applyAlignment="1" applyProtection="1">
      <alignment horizontal="right" vertical="bottom"/>
      <protection locked="1" hidden="0"/>
    </xf>
    <xf numFmtId="164" fontId="3" fillId="2" borderId="0" xfId="0" applyNumberFormat="1" applyFont="1" applyFill="1" applyAlignment="1" applyProtection="1">
      <alignment horizontal="right" vertical="bottom"/>
      <protection locked="1" hidden="0"/>
    </xf>
    <xf numFmtId="164" fontId="6" fillId="5" borderId="3" xfId="0" applyNumberFormat="1" applyFont="1" applyFill="1" applyBorder="1" applyAlignment="1" applyProtection="1">
      <alignment horizontal="right" vertical="bottom"/>
      <protection locked="1" hidden="0"/>
    </xf>
    <xf numFmtId="165" fontId="1" fillId="2" borderId="0" xfId="0" applyNumberFormat="1" applyFont="1" applyFill="1" applyAlignment="1" applyProtection="1">
      <alignment horizontal="right" vertical="bottom"/>
      <protection locked="1" hidden="0"/>
    </xf>
    <xf numFmtId="164" fontId="1" fillId="5" borderId="0" xfId="0" applyNumberFormat="1" applyFont="1" applyFill="1" applyAlignment="1" applyProtection="1">
      <alignment horizontal="right" vertical="bottom"/>
      <protection locked="1" hidden="0"/>
    </xf>
    <xf numFmtId="168" fontId="1" fillId="2" borderId="0" xfId="0" applyNumberFormat="1" applyFont="1" applyFill="1" applyAlignment="1" applyProtection="1">
      <alignment horizontal="left" vertical="top" wrapText="1"/>
      <protection locked="1" hidden="0"/>
    </xf>
    <xf numFmtId="164" fontId="8" fillId="2" borderId="0" xfId="0" applyNumberFormat="1" applyFont="1" applyFill="1" applyAlignment="1" applyProtection="1">
      <alignment horizontal="right" vertical="bottom"/>
      <protection locked="1" hidden="0"/>
    </xf>
    <xf numFmtId="173" fontId="1" fillId="2" borderId="0" xfId="0" applyNumberFormat="1" applyFont="1" applyFill="1" applyAlignment="1" applyProtection="1">
      <alignment horizontal="right" vertical="bottom"/>
      <protection locked="1" hidden="0"/>
    </xf>
    <xf numFmtId="166" fontId="3" fillId="5" borderId="0" xfId="0" applyNumberFormat="1" applyFont="1" applyFill="1" applyAlignment="1" applyProtection="1">
      <alignment horizontal="right" vertical="bottom"/>
      <protection locked="1" hidden="0"/>
    </xf>
    <xf numFmtId="0" fontId="1" fillId="2" borderId="0" xfId="0" applyFont="1" applyFill="1" applyAlignment="1" applyProtection="1">
      <alignment horizontal="left" vertical="top" wrapText="1"/>
      <protection locked="1" hidden="0"/>
    </xf>
    <xf numFmtId="171" fontId="3" fillId="5" borderId="0" xfId="0" applyNumberFormat="1" applyFont="1" applyFill="1" applyAlignment="1" applyProtection="1">
      <alignment horizontal="right" vertical="bottom"/>
      <protection locked="1" hidden="0"/>
    </xf>
    <xf numFmtId="0" fontId="1" fillId="2" borderId="0" xfId="0" applyFont="1" applyFill="1" applyAlignment="1" applyProtection="1">
      <alignment horizontal="left" vertical="bottom" indent="2"/>
      <protection locked="1" hidden="0"/>
    </xf>
    <xf numFmtId="167" fontId="7" fillId="2" borderId="0" xfId="0" applyNumberFormat="1" applyFont="1" applyFill="1" applyAlignment="1" applyProtection="1">
      <alignment horizontal="right" vertical="bottom"/>
      <protection locked="1" hidden="0"/>
    </xf>
    <xf numFmtId="0" fontId="1" fillId="3" borderId="0" xfId="0" applyFont="1" applyFill="1" applyAlignment="1" applyProtection="1">
      <alignment horizontal="left" vertical="bottom"/>
      <protection locked="1" hidden="0"/>
    </xf>
    <xf numFmtId="0" fontId="9" fillId="3" borderId="2" xfId="0" applyFont="1" applyFill="1" applyBorder="1" applyAlignment="1" applyProtection="1">
      <alignment horizontal="left" vertical="bottom"/>
      <protection locked="1" hidden="0"/>
    </xf>
    <xf numFmtId="164" fontId="6" fillId="2" borderId="3" xfId="0" applyNumberFormat="1" applyFont="1" applyFill="1" applyBorder="1" applyAlignment="1" applyProtection="1">
      <alignment horizontal="right" vertical="bottom"/>
      <protection locked="1" hidden="0"/>
    </xf>
    <xf numFmtId="0" fontId="3" fillId="2" borderId="0" xfId="0" applyFont="1" applyFill="1" applyAlignment="1" applyProtection="1">
      <alignment horizontal="left" vertical="top" wrapText="1"/>
      <protection locked="1" hidden="0"/>
    </xf>
    <xf numFmtId="164" fontId="11" fillId="5" borderId="0" xfId="0" applyNumberFormat="1" applyFont="1" applyFill="1" applyAlignment="1" applyProtection="1">
      <alignment horizontal="right" vertical="bottom"/>
      <protection locked="1" hidden="0"/>
    </xf>
    <xf numFmtId="167" fontId="1" fillId="4" borderId="0" xfId="0" applyNumberFormat="1" applyFont="1" applyFill="1" applyAlignment="1" applyProtection="1">
      <alignment horizontal="right" vertical="bottom"/>
      <protection locked="1" hidden="0"/>
    </xf>
    <xf numFmtId="168" fontId="6" fillId="3" borderId="4" xfId="0" applyNumberFormat="1" applyFont="1" applyFill="1" applyBorder="1" applyAlignment="1" applyProtection="1">
      <alignment horizontal="left" vertical="bottom"/>
      <protection locked="1" hidden="0"/>
    </xf>
    <xf numFmtId="0" fontId="1" fillId="3" borderId="2" xfId="0" applyFont="1" applyFill="1" applyBorder="1" applyAlignment="1" applyProtection="1">
      <alignment horizontal="left" vertical="bottom"/>
      <protection locked="1" hidden="0"/>
    </xf>
    <xf numFmtId="165" fontId="5" fillId="2" borderId="0" xfId="0" applyNumberFormat="1" applyFont="1" applyFill="1" applyAlignment="1" applyProtection="1">
      <alignment horizontal="right" vertical="bottom"/>
      <protection locked="1" hidden="0"/>
    </xf>
    <xf numFmtId="164" fontId="2" fillId="5" borderId="0" xfId="0" applyNumberFormat="1" applyFont="1" applyFill="1" applyAlignment="1" applyProtection="1">
      <alignment horizontal="right" vertical="bottom"/>
      <protection locked="1" hidden="0"/>
    </xf>
    <xf numFmtId="0" fontId="6" fillId="2" borderId="0" xfId="0" applyFont="1" applyFill="1" applyAlignment="1" applyProtection="1">
      <alignment horizontal="left" vertical="top" wrapText="1"/>
      <protection locked="1" hidden="0"/>
    </xf>
    <xf numFmtId="164" fontId="11" fillId="2" borderId="0" xfId="0" applyNumberFormat="1" applyFont="1" applyFill="1" applyAlignment="1" applyProtection="1">
      <alignment horizontal="right" vertical="bottom"/>
      <protection locked="1" hidden="0"/>
    </xf>
    <xf numFmtId="0" fontId="12" fillId="2" borderId="0" xfId="0" applyFont="1" applyFill="1" applyAlignment="1" applyProtection="1">
      <alignment horizontal="left" vertical="bottom"/>
      <protection locked="1" hidden="0"/>
    </xf>
    <xf numFmtId="170" fontId="3" fillId="5" borderId="0" xfId="0" applyNumberFormat="1" applyFont="1" applyFill="1" applyAlignment="1" applyProtection="1">
      <alignment horizontal="right" vertical="bottom"/>
      <protection locked="1" hidden="0"/>
    </xf>
    <xf numFmtId="164" fontId="3" fillId="5" borderId="0" xfId="0" applyNumberFormat="1" applyFont="1" applyFill="1" applyAlignment="1" applyProtection="1">
      <alignment horizontal="right" vertical="bottom"/>
      <protection locked="1" hidden="0"/>
    </xf>
    <xf numFmtId="172" fontId="3" fillId="2" borderId="0" xfId="0" applyNumberFormat="1" applyFont="1" applyFill="1" applyAlignment="1" applyProtection="1">
      <alignment horizontal="right" vertical="bottom"/>
      <protection locked="1" hidden="0"/>
    </xf>
    <xf numFmtId="168" fontId="5" fillId="2" borderId="0" xfId="0" applyNumberFormat="1" applyFont="1" applyFill="1" applyAlignment="1" applyProtection="1">
      <alignment horizontal="right" vertical="bottom"/>
      <protection locked="1" hidden="0"/>
    </xf>
    <xf numFmtId="166" fontId="10" fillId="5" borderId="0" xfId="0" applyNumberFormat="1" applyFont="1" applyFill="1" applyAlignment="1" applyProtection="1">
      <alignment horizontal="right" vertical="bottom"/>
      <protection locked="1" hidden="0"/>
    </xf>
    <xf numFmtId="170" fontId="2" fillId="2" borderId="0" xfId="0" applyNumberFormat="1" applyFont="1" applyFill="1" applyAlignment="1" applyProtection="1">
      <alignment horizontal="right" vertical="bottom"/>
      <protection locked="1" hidden="0"/>
    </xf>
    <xf numFmtId="166" fontId="13" fillId="2" borderId="0" xfId="0" applyNumberFormat="1" applyFont="1" applyFill="1" applyAlignment="1" applyProtection="1">
      <alignment horizontal="right" vertical="bottom"/>
      <protection locked="1" hidden="0"/>
    </xf>
    <xf numFmtId="173" fontId="1" fillId="5"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left" vertical="bottom"/>
      <protection locked="1" hidden="0"/>
    </xf>
    <xf numFmtId="173" fontId="7" fillId="2" borderId="0" xfId="0" applyNumberFormat="1" applyFont="1" applyFill="1" applyAlignment="1" applyProtection="1">
      <alignment horizontal="right" vertical="bottom"/>
      <protection locked="1" hidden="0"/>
    </xf>
    <xf numFmtId="170" fontId="6" fillId="5" borderId="3" xfId="0" applyNumberFormat="1" applyFont="1" applyFill="1" applyBorder="1" applyAlignment="1" applyProtection="1">
      <alignment horizontal="right" vertical="bottom"/>
      <protection locked="1" hidden="0"/>
    </xf>
    <xf numFmtId="170" fontId="1" fillId="5" borderId="0" xfId="0" applyNumberFormat="1" applyFont="1" applyFill="1" applyAlignment="1" applyProtection="1">
      <alignment horizontal="right" vertical="bottom"/>
      <protection locked="1" hidden="0"/>
    </xf>
    <xf numFmtId="0" fontId="6" fillId="2" borderId="0" xfId="0" applyFont="1" applyFill="1" applyAlignment="1" applyProtection="1">
      <alignment horizontal="left" vertical="bottom" indent="1"/>
      <protection locked="1" hidden="0"/>
    </xf>
    <xf numFmtId="0" fontId="9" fillId="3" borderId="1" xfId="0" applyFont="1" applyFill="1" applyBorder="1" applyAlignment="1" applyProtection="1">
      <alignment horizontal="left" vertical="bottom"/>
      <protection locked="1" hidden="0"/>
    </xf>
    <xf numFmtId="164" fontId="1" fillId="2" borderId="0" xfId="0" applyNumberFormat="1" applyFont="1" applyFill="1" applyAlignment="1" applyProtection="1">
      <alignment horizontal="left" vertical="bottom"/>
      <protection locked="1" hidden="0"/>
    </xf>
    <xf numFmtId="166" fontId="4" fillId="5" borderId="0" xfId="0" applyNumberFormat="1" applyFont="1" applyFill="1" applyAlignment="1" applyProtection="1">
      <alignment horizontal="right" vertical="bottom"/>
      <protection locked="1" hidden="0"/>
    </xf>
    <xf numFmtId="0" fontId="11" fillId="2" borderId="0" xfId="0" applyFont="1" applyFill="1" applyAlignment="1" applyProtection="1">
      <alignment horizontal="left" vertical="bottom"/>
      <protection locked="1" hidden="0"/>
    </xf>
    <xf numFmtId="164" fontId="13" fillId="2" borderId="0" xfId="0" applyNumberFormat="1" applyFont="1" applyFill="1" applyAlignment="1" applyProtection="1">
      <alignment horizontal="right" vertical="bottom"/>
      <protection locked="1" hidden="0"/>
    </xf>
    <xf numFmtId="172" fontId="4" fillId="2" borderId="0" xfId="0" applyNumberFormat="1" applyFont="1" applyFill="1" applyAlignment="1" applyProtection="1">
      <alignment horizontal="right" vertical="bottom"/>
      <protection locked="1" hidden="0"/>
    </xf>
    <xf numFmtId="172" fontId="1" fillId="5" borderId="0" xfId="0" applyNumberFormat="1" applyFont="1" applyFill="1" applyAlignment="1" applyProtection="1">
      <alignment horizontal="right" vertical="bottom"/>
      <protection locked="1" hidden="0"/>
    </xf>
    <xf numFmtId="0" fontId="1" fillId="2" borderId="0" xfId="0" applyFont="1" applyFill="1" applyAlignment="1" applyProtection="1">
      <alignment horizontal="left" vertical="top" wrapText="1" indent="2"/>
      <protection locked="1" hidden="0"/>
    </xf>
    <xf numFmtId="164" fontId="6" fillId="5" borderId="0" xfId="0" applyNumberFormat="1" applyFont="1" applyFill="1" applyAlignment="1" applyProtection="1">
      <alignment horizontal="right" vertical="bottom"/>
      <protection locked="1" hidden="0"/>
    </xf>
    <xf numFmtId="170" fontId="7" fillId="5" borderId="0" xfId="0" applyNumberFormat="1" applyFont="1" applyFill="1" applyAlignment="1" applyProtection="1">
      <alignment horizontal="right" vertical="bottom"/>
      <protection locked="1" hidden="0"/>
    </xf>
    <xf numFmtId="164" fontId="6" fillId="2" borderId="0" xfId="0" applyNumberFormat="1" applyFont="1" applyFill="1" applyAlignment="1" applyProtection="1">
      <alignment horizontal="right" vertical="bottom"/>
      <protection locked="1" hidden="0"/>
    </xf>
    <xf numFmtId="0" fontId="11" fillId="2" borderId="0" xfId="0" applyFont="1" applyFill="1" applyAlignment="1" applyProtection="1">
      <alignment horizontal="left" vertical="top" wrapText="1"/>
      <protection locked="1" hidden="0"/>
    </xf>
    <xf numFmtId="164" fontId="13" fillId="5" borderId="0" xfId="0" applyNumberFormat="1" applyFont="1" applyFill="1" applyAlignment="1" applyProtection="1">
      <alignment horizontal="right" vertical="bottom"/>
      <protection locked="1" hidden="0"/>
    </xf>
    <xf numFmtId="169" fontId="1" fillId="2" borderId="0" xfId="0" applyNumberFormat="1" applyFont="1" applyFill="1" applyAlignment="1" applyProtection="1">
      <alignment horizontal="right" vertical="bottom"/>
      <protection locked="1" hidden="0"/>
    </xf>
    <xf numFmtId="174" fontId="3" fillId="2" borderId="0" xfId="0" applyNumberFormat="1" applyFont="1" applyFill="1" applyAlignment="1" applyProtection="1">
      <alignment horizontal="right" vertical="bottom"/>
      <protection locked="1" hidden="0"/>
    </xf>
    <xf numFmtId="169" fontId="3" fillId="2" borderId="0" xfId="0" applyNumberFormat="1" applyFont="1" applyFill="1" applyAlignment="1" applyProtection="1">
      <alignment horizontal="right" vertical="bottom"/>
      <protection locked="1" hidden="0"/>
    </xf>
    <xf numFmtId="169" fontId="7" fillId="2" borderId="0" xfId="0" applyNumberFormat="1" applyFont="1" applyFill="1" applyAlignment="1" applyProtection="1">
      <alignment horizontal="right" vertical="bottom"/>
      <protection locked="1" hidden="0"/>
    </xf>
    <xf numFmtId="169" fontId="8" fillId="2" borderId="3" xfId="0" applyNumberFormat="1" applyFont="1" applyFill="1" applyBorder="1" applyAlignment="1" applyProtection="1">
      <alignment horizontal="right" vertical="bottom"/>
      <protection locked="1" hidden="0"/>
    </xf>
    <xf numFmtId="174" fontId="7" fillId="5" borderId="0" xfId="0" applyNumberFormat="1" applyFont="1" applyFill="1" applyAlignment="1" applyProtection="1">
      <alignment horizontal="right" vertical="bottom"/>
      <protection locked="1" hidden="0"/>
    </xf>
    <xf numFmtId="174" fontId="3" fillId="5" borderId="0" xfId="0" applyNumberFormat="1" applyFont="1" applyFill="1" applyAlignment="1" applyProtection="1">
      <alignment horizontal="right" vertical="bottom"/>
      <protection locked="1" hidden="0"/>
    </xf>
    <xf numFmtId="169" fontId="3" fillId="5" borderId="0" xfId="0" applyNumberFormat="1" applyFont="1" applyFill="1" applyAlignment="1" applyProtection="1">
      <alignment horizontal="right" vertical="bottom"/>
      <protection locked="1" hidden="0"/>
    </xf>
    <xf numFmtId="174" fontId="1" fillId="2" borderId="0" xfId="0" applyNumberFormat="1" applyFont="1" applyFill="1" applyAlignment="1" applyProtection="1">
      <alignment horizontal="right" vertical="bottom"/>
      <protection locked="1" hidden="0"/>
    </xf>
    <xf numFmtId="169" fontId="1" fillId="5" borderId="0" xfId="0" applyNumberFormat="1" applyFont="1" applyFill="1" applyAlignment="1" applyProtection="1">
      <alignment horizontal="right" vertical="bottom"/>
      <protection locked="1" hidden="0"/>
    </xf>
    <xf numFmtId="172" fontId="2" fillId="2" borderId="0" xfId="0" applyNumberFormat="1" applyFont="1" applyFill="1" applyAlignment="1" applyProtection="1">
      <alignment horizontal="right" vertical="bottom"/>
      <protection locked="1" hidden="0"/>
    </xf>
    <xf numFmtId="174" fontId="7" fillId="2" borderId="0" xfId="0" applyNumberFormat="1" applyFont="1" applyFill="1" applyAlignment="1" applyProtection="1">
      <alignment horizontal="right" vertical="bottom"/>
      <protection locked="1" hidden="0"/>
    </xf>
    <xf numFmtId="164" fontId="5" fillId="2" borderId="3" xfId="0" applyNumberFormat="1" applyFont="1" applyFill="1" applyBorder="1" applyAlignment="1" applyProtection="1">
      <alignment horizontal="right" vertical="bottom"/>
      <protection locked="1" hidden="0"/>
    </xf>
    <xf numFmtId="165" fontId="7" fillId="2"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left" vertical="bottom" indent="3"/>
      <protection locked="1" hidden="0"/>
    </xf>
    <xf numFmtId="168" fontId="3" fillId="2" borderId="0" xfId="0" applyNumberFormat="1" applyFont="1" applyFill="1" applyAlignment="1" applyProtection="1">
      <alignment horizontal="right" vertical="bottom"/>
      <protection locked="1" hidden="0"/>
    </xf>
    <xf numFmtId="164" fontId="7" fillId="5" borderId="0" xfId="0" applyNumberFormat="1" applyFont="1" applyFill="1" applyAlignment="1" applyProtection="1">
      <alignment horizontal="right" vertical="bottom"/>
      <protection locked="1" hidden="0"/>
    </xf>
    <xf numFmtId="166" fontId="7" fillId="2" borderId="0" xfId="0" applyNumberFormat="1" applyFont="1" applyFill="1" applyAlignment="1" applyProtection="1">
      <alignment horizontal="right" vertical="bottom"/>
      <protection locked="1" hidden="0"/>
    </xf>
    <xf numFmtId="165" fontId="4" fillId="2" borderId="0" xfId="0" applyNumberFormat="1" applyFont="1" applyFill="1" applyAlignment="1" applyProtection="1">
      <alignment horizontal="right" vertical="bottom"/>
      <protection locked="1" hidden="0"/>
    </xf>
    <xf numFmtId="172" fontId="7" fillId="2" borderId="0" xfId="0" applyNumberFormat="1" applyFont="1" applyFill="1" applyAlignment="1" applyProtection="1">
      <alignment horizontal="right" vertical="bottom"/>
      <protection locked="1" hidden="0"/>
    </xf>
    <xf numFmtId="166" fontId="1" fillId="2" borderId="0" xfId="0" applyNumberFormat="1" applyFont="1" applyFill="1" applyAlignment="1" applyProtection="1">
      <alignment horizontal="left" vertical="bottom"/>
      <protection locked="1" hidden="0"/>
    </xf>
    <xf numFmtId="166" fontId="2" fillId="2" borderId="0" xfId="0" applyNumberFormat="1" applyFont="1" applyFill="1" applyAlignment="1" applyProtection="1">
      <alignment horizontal="right" vertical="bottom"/>
      <protection locked="1" hidden="0"/>
    </xf>
    <xf numFmtId="0" fontId="6" fillId="2" borderId="0" xfId="0" applyFont="1" applyFill="1" applyAlignment="1" applyProtection="1">
      <alignment horizontal="left" vertical="top" wrapText="1" indent="1"/>
      <protection locked="1" hidden="0"/>
    </xf>
    <xf numFmtId="166" fontId="1" fillId="2" borderId="0" xfId="0" applyNumberFormat="1" applyFont="1" applyFill="1" applyAlignment="1" applyProtection="1">
      <alignment horizontal="right" vertical="bottom"/>
      <protection locked="1" hidden="0"/>
    </xf>
    <xf numFmtId="169" fontId="6" fillId="5" borderId="3" xfId="0" applyNumberFormat="1" applyFont="1" applyFill="1" applyBorder="1" applyAlignment="1" applyProtection="1">
      <alignment horizontal="right" vertical="bottom"/>
      <protection locked="1" hidden="0"/>
    </xf>
    <xf numFmtId="0" fontId="1" fillId="2" borderId="0" xfId="0" applyFont="1" applyFill="1" applyAlignment="1" applyProtection="1">
      <alignment horizontal="left" vertical="bottom" indent="3"/>
      <protection locked="1" hidden="0"/>
    </xf>
    <xf numFmtId="168" fontId="7" fillId="2" borderId="0" xfId="0" applyNumberFormat="1" applyFont="1" applyFill="1" applyAlignment="1" applyProtection="1">
      <alignment horizontal="left" vertical="bottom"/>
      <protection locked="1" hidden="0"/>
    </xf>
    <xf numFmtId="164" fontId="5" fillId="5" borderId="3" xfId="0" applyNumberFormat="1" applyFont="1" applyFill="1" applyBorder="1" applyAlignment="1" applyProtection="1">
      <alignment horizontal="right" vertical="bottom"/>
      <protection locked="1" hidden="0"/>
    </xf>
    <xf numFmtId="171" fontId="10" fillId="5" borderId="0" xfId="0" applyNumberFormat="1" applyFont="1" applyFill="1" applyAlignment="1" applyProtection="1">
      <alignment horizontal="right" vertical="bottom"/>
      <protection locked="1" hidden="0"/>
    </xf>
    <xf numFmtId="169" fontId="7" fillId="5" borderId="0" xfId="0" applyNumberFormat="1" applyFont="1" applyFill="1" applyAlignment="1" applyProtection="1">
      <alignment horizontal="right" vertical="bottom"/>
      <protection locked="1" hidden="0"/>
    </xf>
    <xf numFmtId="170" fontId="1" fillId="2" borderId="0" xfId="0" applyNumberFormat="1" applyFont="1" applyFill="1" applyAlignment="1" applyProtection="1">
      <alignment horizontal="left" vertical="bottom"/>
      <protection locked="1" hidden="0"/>
    </xf>
    <xf numFmtId="169" fontId="6" fillId="2" borderId="3" xfId="0" applyNumberFormat="1" applyFont="1" applyFill="1" applyBorder="1" applyAlignment="1" applyProtection="1">
      <alignment horizontal="right" vertical="bottom"/>
      <protection locked="1" hidden="0"/>
    </xf>
    <xf numFmtId="165" fontId="5" fillId="2" borderId="3" xfId="0" applyNumberFormat="1" applyFont="1" applyFill="1" applyBorder="1" applyAlignment="1" applyProtection="1">
      <alignment horizontal="right" vertical="bottom"/>
      <protection locked="1" hidden="0"/>
    </xf>
    <xf numFmtId="165" fontId="6" fillId="2" borderId="3" xfId="0" applyNumberFormat="1" applyFont="1" applyFill="1" applyBorder="1" applyAlignment="1" applyProtection="1">
      <alignment horizontal="right" vertical="bottom"/>
      <protection locked="1" hidden="0"/>
    </xf>
    <xf numFmtId="165" fontId="3" fillId="2" borderId="0" xfId="0" applyNumberFormat="1" applyFont="1" applyFill="1" applyAlignment="1" applyProtection="1">
      <alignment horizontal="right" vertical="bottom"/>
      <protection locked="1" hidden="0"/>
    </xf>
    <xf numFmtId="165" fontId="1" fillId="5" borderId="0" xfId="0" applyNumberFormat="1" applyFont="1" applyFill="1" applyAlignment="1" applyProtection="1">
      <alignment horizontal="right" vertical="bottom"/>
      <protection locked="1" hidden="0"/>
    </xf>
    <xf numFmtId="168" fontId="8" fillId="2" borderId="0" xfId="0" applyNumberFormat="1" applyFont="1" applyFill="1" applyAlignment="1" applyProtection="1">
      <alignment horizontal="left" vertical="bottom"/>
      <protection locked="1" hidden="0"/>
    </xf>
    <xf numFmtId="168" fontId="1" fillId="2" borderId="0" xfId="0" applyNumberFormat="1" applyFont="1" applyFill="1" applyAlignment="1" applyProtection="1">
      <alignment horizontal="right" vertical="bottom"/>
      <protection locked="1" hidden="0"/>
    </xf>
    <xf numFmtId="175" fontId="7" fillId="5" borderId="0" xfId="0" applyNumberFormat="1" applyFont="1" applyFill="1" applyAlignment="1" applyProtection="1">
      <alignment horizontal="right" vertical="bottom"/>
      <protection locked="1" hidden="0"/>
    </xf>
    <xf numFmtId="166" fontId="11" fillId="2" borderId="0" xfId="0" applyNumberFormat="1" applyFont="1" applyFill="1" applyAlignment="1" applyProtection="1">
      <alignment horizontal="right" vertical="bottom"/>
      <protection locked="1" hidden="0"/>
    </xf>
    <xf numFmtId="165" fontId="6" fillId="5" borderId="3" xfId="0" applyNumberFormat="1" applyFont="1" applyFill="1" applyBorder="1" applyAlignment="1" applyProtection="1">
      <alignment horizontal="right" vertical="bottom"/>
      <protection locked="1" hidden="0"/>
    </xf>
    <xf numFmtId="169" fontId="2" fillId="5" borderId="0" xfId="0" applyNumberFormat="1" applyFont="1" applyFill="1" applyAlignment="1" applyProtection="1">
      <alignment horizontal="right" vertical="bottom"/>
      <protection locked="1" hidden="0"/>
    </xf>
    <xf numFmtId="165" fontId="3" fillId="5" borderId="0" xfId="0" applyNumberFormat="1" applyFont="1" applyFill="1" applyAlignment="1" applyProtection="1">
      <alignment horizontal="right" vertical="bottom"/>
      <protection locked="1" hidden="0"/>
    </xf>
    <xf numFmtId="168" fontId="14" fillId="0" borderId="0" xfId="0" applyNumberFormat="1" applyFont="1" applyFill="1" applyAlignment="1" applyProtection="1">
      <alignment horizontal="left" vertical="bottom" textRotation="0" indent="0" readingOrder="0"/>
      <protection locked="1" hidden="0"/>
    </xf>
    <xf numFmtId="168" fontId="15" fillId="3" borderId="1" xfId="0" applyNumberFormat="1" applyFont="1" applyFill="1" applyBorder="1" applyAlignment="1" applyProtection="1">
      <alignment horizontal="right" vertical="bottom" textRotation="0" indent="0" readingOrder="0"/>
      <protection locked="1" hidden="0"/>
    </xf>
    <xf numFmtId="168" fontId="16" fillId="0" borderId="0" xfId="0" applyNumberFormat="1" applyFont="1" applyFill="1" applyAlignment="1" applyProtection="1">
      <alignment horizontal="left" vertical="bottom" textRotation="0" indent="0" readingOrder="0"/>
      <protection locked="1" hidden="0"/>
    </xf>
    <xf numFmtId="164" fontId="17" fillId="0" borderId="0" xfId="0" applyNumberFormat="1" applyFont="1" applyFill="1" applyAlignment="1" applyProtection="1">
      <alignment horizontal="right" vertical="bottom" textRotation="0" indent="0" readingOrder="0"/>
      <protection locked="1" hidden="0"/>
    </xf>
    <xf numFmtId="168" fontId="15" fillId="3" borderId="4" xfId="0" applyNumberFormat="1" applyFont="1" applyFill="1" applyBorder="1" applyAlignment="1" applyProtection="1">
      <alignment horizontal="right" vertical="bottom" textRotation="0" indent="0" readingOrder="0"/>
      <protection locked="1" hidden="0"/>
    </xf>
    <xf numFmtId="170" fontId="17" fillId="0" borderId="0" xfId="0" applyNumberFormat="1" applyFont="1" applyFill="1" applyAlignment="1" applyProtection="1">
      <alignment horizontal="right" vertical="bottom" textRotation="0" indent="0" readingOrder="0"/>
      <protection locked="1" hidden="0"/>
    </xf>
    <xf numFmtId="166" fontId="17" fillId="0" borderId="0" xfId="0" applyNumberFormat="1" applyFont="1" applyFill="1" applyAlignment="1" applyProtection="1">
      <alignment horizontal="right" vertical="bottom" textRotation="0" indent="0" readingOrder="0"/>
      <protection locked="1" hidden="0"/>
    </xf>
    <xf numFmtId="168" fontId="17" fillId="0" borderId="0" xfId="0" applyNumberFormat="1" applyFont="1" applyFill="1" applyAlignment="1" applyProtection="1">
      <alignment horizontal="right" vertical="bottom" textRotation="0" indent="0" readingOrder="0"/>
      <protection locked="1" hidden="0"/>
    </xf>
    <xf numFmtId="168" fontId="15" fillId="3" borderId="1" xfId="0" applyNumberFormat="1" applyFont="1" applyFill="1" applyBorder="1" applyAlignment="1" applyProtection="1">
      <alignment horizontal="left" vertical="bottom" textRotation="0" indent="0" readingOrder="0"/>
      <protection locked="1" hidden="0"/>
    </xf>
    <xf numFmtId="168" fontId="18" fillId="0" borderId="0" xfId="0" applyNumberFormat="1" applyFont="1" applyFill="1" applyAlignment="1" applyProtection="1">
      <alignment horizontal="left" vertical="bottom" textRotation="0" wrapText="1" indent="1" readingOrder="0"/>
      <protection locked="1" hidden="0"/>
    </xf>
    <xf numFmtId="168" fontId="19" fillId="0" borderId="0" xfId="0" applyNumberFormat="1" applyFont="1" applyFill="1" applyAlignment="1" applyProtection="1">
      <alignment horizontal="left" vertical="bottom" textRotation="0" wrapText="1" indent="0" readingOrder="0"/>
      <protection locked="1" hidden="0"/>
    </xf>
    <xf numFmtId="168" fontId="20" fillId="0" borderId="0" xfId="0" applyNumberFormat="1" applyFont="1" applyFill="1" applyAlignment="1" applyProtection="1">
      <alignment horizontal="left" vertical="bottom" textRotation="0" wrapText="1" indent="0" readingOrder="0"/>
      <protection locked="1" hidden="0"/>
    </xf>
    <xf numFmtId="168" fontId="21" fillId="0" borderId="0" xfId="0" applyNumberFormat="1" applyFont="1" applyFill="1" applyAlignment="1" applyProtection="1">
      <alignment horizontal="left" vertical="bottom" textRotation="0" wrapText="1" indent="0" readingOrder="0"/>
      <protection locked="1" hidden="0"/>
    </xf>
    <xf numFmtId="168" fontId="20" fillId="0" borderId="0" xfId="0" applyNumberFormat="1" applyFont="1" applyFill="1" applyAlignment="1" applyProtection="1">
      <alignment horizontal="left" vertical="bottom" textRotation="0" wrapText="1" indent="1" readingOrder="0"/>
      <protection locked="1" hidden="0"/>
    </xf>
    <xf numFmtId="168" fontId="19" fillId="3" borderId="2" xfId="0" applyNumberFormat="1" applyFont="1" applyFill="1" applyBorder="1" applyAlignment="1" applyProtection="1">
      <alignment horizontal="left" vertical="bottom" textRotation="0" wrapText="1" indent="0" readingOrder="0"/>
      <protection locked="1" hidden="0"/>
    </xf>
    <xf numFmtId="170" fontId="20" fillId="0" borderId="0" xfId="0" applyNumberFormat="1" applyFont="1" applyFill="1" applyAlignment="1" applyProtection="1">
      <alignment horizontal="left" vertical="bottom" textRotation="0" indent="1" readingOrder="0"/>
      <protection locked="1" hidden="0"/>
    </xf>
    <xf numFmtId="166" fontId="20" fillId="0" borderId="0" xfId="0" applyNumberFormat="1" applyFont="1" applyFill="1" applyAlignment="1" applyProtection="1">
      <alignment horizontal="left" vertical="bottom" textRotation="0" indent="1" readingOrder="0"/>
      <protection locked="1" hidden="0"/>
    </xf>
    <xf numFmtId="168" fontId="18" fillId="0" borderId="0" xfId="0" applyNumberFormat="1" applyFont="1" applyFill="1" applyAlignment="1" applyProtection="1">
      <alignment horizontal="left" vertical="bottom" textRotation="0" wrapText="1" indent="0" readingOrder="0"/>
      <protection locked="1" hidden="0"/>
    </xf>
    <xf numFmtId="168" fontId="19" fillId="3" borderId="1" xfId="0" applyNumberFormat="1" applyFont="1" applyFill="1" applyBorder="1" applyAlignment="1" applyProtection="1">
      <alignment horizontal="left" vertical="bottom" textRotation="0" wrapText="1" indent="0" readingOrder="0"/>
      <protection locked="1" hidden="0"/>
    </xf>
    <xf numFmtId="168" fontId="21" fillId="0" borderId="0" xfId="0" applyNumberFormat="1" applyFont="1" applyFill="1" applyAlignment="1" applyProtection="1">
      <alignment horizontal="left" vertical="bottom" textRotation="0" wrapText="1" indent="1" readingOrder="0"/>
      <protection locked="1" hidden="0"/>
    </xf>
    <xf numFmtId="168" fontId="21" fillId="3" borderId="4" xfId="0" applyNumberFormat="1" applyFont="1" applyFill="1" applyBorder="1" applyAlignment="1" applyProtection="1">
      <alignment horizontal="left" vertical="bottom" textRotation="0" indent="1" readingOrder="0"/>
      <protection locked="1" hidden="0"/>
    </xf>
    <xf numFmtId="168" fontId="19" fillId="0" borderId="0" xfId="0" applyNumberFormat="1" applyFont="1" applyFill="1" applyAlignment="1" applyProtection="1">
      <alignment horizontal="general" vertical="bottom" textRotation="0" wrapText="1" indent="0" readingOrder="0"/>
      <protection locked="1" hidden="0"/>
    </xf>
    <xf numFmtId="168" fontId="20" fillId="0" borderId="0" xfId="0" applyNumberFormat="1" applyFont="1" applyFill="1" applyAlignment="1" applyProtection="1">
      <alignment horizontal="left" vertical="bottom" textRotation="0" indent="1" readingOrder="0"/>
      <protection locked="1" hidden="0"/>
    </xf>
    <xf numFmtId="168" fontId="18" fillId="0" borderId="0" xfId="0" applyNumberFormat="1" applyFont="1" applyFill="1" applyAlignment="1" applyProtection="1">
      <alignment horizontal="left" vertical="bottom" textRotation="0" wrapText="1" indent="2" readingOrder="0"/>
      <protection locked="1" hidden="0"/>
    </xf>
    <xf numFmtId="168" fontId="20" fillId="0" borderId="0" xfId="0" applyNumberFormat="1" applyFont="1" applyFill="1" applyAlignment="1" applyProtection="1">
      <alignment horizontal="left" vertical="bottom" textRotation="0" wrapText="1" indent="2" readingOrder="0"/>
      <protection locked="1" hidden="0"/>
    </xf>
    <xf numFmtId="168" fontId="22" fillId="0" borderId="0" xfId="0" applyNumberFormat="1" applyFont="1" applyFill="1" applyAlignment="1" applyProtection="1">
      <alignment horizontal="left" vertical="bottom" textRotation="0" wrapText="1" indent="0" readingOrder="0"/>
      <protection locked="1" hidden="0"/>
    </xf>
    <xf numFmtId="166" fontId="23" fillId="0" borderId="0" xfId="0" applyNumberFormat="1" applyFont="1" applyFill="1" applyAlignment="1" applyProtection="1">
      <alignment horizontal="right" vertical="bottom" textRotation="0" indent="0" readingOrder="0"/>
      <protection locked="1" hidden="0"/>
    </xf>
    <xf numFmtId="171" fontId="23" fillId="0" borderId="0" xfId="0" applyNumberFormat="1" applyFont="1" applyFill="1" applyAlignment="1" applyProtection="1">
      <alignment horizontal="right" vertical="bottom" textRotation="0" indent="0" readingOrder="0"/>
      <protection locked="1" hidden="0"/>
    </xf>
    <xf numFmtId="168" fontId="24" fillId="0" borderId="0" xfId="0" applyNumberFormat="1" applyFont="1" applyFill="1" applyAlignment="1" applyProtection="1">
      <alignment horizontal="left" vertical="bottom" textRotation="0" wrapText="1" indent="0" readingOrder="0"/>
      <protection locked="1" hidden="0"/>
    </xf>
    <xf numFmtId="170" fontId="24" fillId="0" borderId="0" xfId="0" applyNumberFormat="1" applyFont="1" applyFill="1" applyAlignment="1" applyProtection="1">
      <alignment horizontal="right" vertical="bottom" textRotation="0" indent="0" readingOrder="0"/>
      <protection locked="1" hidden="0"/>
    </xf>
    <xf numFmtId="168" fontId="25" fillId="3" borderId="4" xfId="0" applyNumberFormat="1" applyFont="1" applyFill="1" applyBorder="1" applyAlignment="1" applyProtection="1">
      <alignment horizontal="right" vertical="bottom" textRotation="0" indent="0" readingOrder="0"/>
      <protection locked="1" hidden="0"/>
    </xf>
    <xf numFmtId="166" fontId="24" fillId="0" borderId="0" xfId="0" applyNumberFormat="1" applyFont="1" applyFill="1" applyAlignment="1" applyProtection="1">
      <alignment horizontal="right" vertical="bottom" textRotation="0" indent="0" readingOrder="0"/>
      <protection locked="1" hidden="0"/>
    </xf>
    <xf numFmtId="168" fontId="24" fillId="0" borderId="0" xfId="0" applyNumberFormat="1" applyFont="1" applyFill="1" applyAlignment="1" applyProtection="1">
      <alignment horizontal="right" vertical="bottom" textRotation="0" indent="0" readingOrder="0"/>
      <protection locked="1" hidden="0"/>
    </xf>
    <xf numFmtId="168" fontId="25" fillId="3" borderId="1" xfId="0" applyNumberFormat="1" applyFont="1" applyFill="1" applyBorder="1" applyAlignment="1" applyProtection="1">
      <alignment horizontal="right" vertical="bottom" textRotation="0" indent="0" readingOrder="0"/>
      <protection locked="1" hidden="0"/>
    </xf>
    <xf numFmtId="164" fontId="24" fillId="0" borderId="0" xfId="0" applyNumberFormat="1" applyFont="1" applyFill="1" applyAlignment="1" applyProtection="1">
      <alignment horizontal="right" vertical="bottom" textRotation="0" indent="0" readingOrder="0"/>
      <protection locked="1" hidden="0"/>
    </xf>
    <xf numFmtId="166" fontId="26" fillId="0" borderId="0" xfId="0" applyNumberFormat="1" applyFont="1" applyFill="1" applyAlignment="1" applyProtection="1">
      <alignment horizontal="right" vertical="bottom" textRotation="0" indent="0" readingOrder="0"/>
      <protection locked="1" hidden="0"/>
    </xf>
    <xf numFmtId="168" fontId="24" fillId="0" borderId="0" xfId="0" applyNumberFormat="1" applyFont="1" applyFill="1" applyAlignment="1" applyProtection="1">
      <alignment horizontal="general" vertical="bottom" textRotation="0" indent="0"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styles" Target="styles.xml"/><Relationship Id="rId15" Type="http://schemas.openxmlformats.org/officeDocument/2006/relationships/theme" Target="theme/theme1.xml"/><Relationship Id="rId1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38100</xdr:colOff>
      <xdr:row>0</xdr:row>
      <xdr:rowOff>19050</xdr:rowOff>
    </xdr:from>
    <xdr:ext cx="571500" cy="571500"/>
    <xdr:pic>
      <xdr:nvPicPr>
        <xdr:cNvPr id="2" name="Shortcut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dimension ref="A1:K63"/>
  <sheetViews>
    <sheetView showGridLines="0" tabSelected="1" workbookViewId="0"/>
  </sheetViews>
  <sheetFormatPr defaultColWidth="8.42578125" defaultRowHeight="15"/>
  <cols>
    <col min="1" max="1" width="10" customWidth="1"/>
    <col min="2" max="2" width="32" customWidth="1"/>
    <col min="3" max="10" width="12" customWidth="1"/>
    <col min="11" max="11" width="60" customWidth="1"/>
  </cols>
  <sheetData>
    <row r="1" ht="16.5">
      <c r="A1" s="1"/>
      <c r="B1" s="61" t="s">
        <v>0</v>
      </c>
      <c r="C1" s="1"/>
      <c r="D1" s="1"/>
      <c r="E1" s="1"/>
      <c r="F1" s="1"/>
      <c r="G1" s="1"/>
      <c r="H1" s="1"/>
      <c r="I1" s="1"/>
      <c r="J1" s="1"/>
      <c r="K1" s="1"/>
    </row>
    <row r="2" ht="16.5">
      <c r="A2" s="1"/>
      <c r="B2" s="13" t="s">
        <v>1</v>
      </c>
      <c r="C2" s="1"/>
      <c r="D2" s="1"/>
      <c r="E2" s="1"/>
      <c r="F2" s="1"/>
      <c r="G2" s="1"/>
      <c r="H2" s="1"/>
      <c r="I2" s="1"/>
      <c r="J2" s="1"/>
      <c r="K2" s="1"/>
    </row>
    <row r="3" ht="16.5">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31" t="s">
        <v>16</v>
      </c>
      <c r="C8" s="1"/>
      <c r="D8" s="1"/>
      <c r="E8" s="1"/>
      <c r="F8" s="1"/>
      <c r="G8" s="1"/>
      <c r="H8" s="1"/>
      <c r="I8" s="1"/>
      <c r="J8" s="1"/>
      <c r="K8" s="1"/>
    </row>
    <row r="9">
      <c r="A9" s="1"/>
      <c r="B9" s="7" t="s">
        <v>17</v>
      </c>
      <c r="C9" s="1"/>
      <c r="D9" s="1"/>
      <c r="E9" s="1"/>
      <c r="F9" s="1"/>
      <c r="G9" s="1"/>
      <c r="H9" s="1"/>
      <c r="I9" s="1"/>
      <c r="J9" s="1"/>
      <c r="K9" s="1"/>
    </row>
    <row r="10">
      <c r="A10" s="1"/>
      <c r="B10" s="2" t="s">
        <v>18</v>
      </c>
      <c r="C10" s="31" t="s">
        <v>19</v>
      </c>
      <c r="D10" s="1"/>
      <c r="E10" s="1"/>
      <c r="F10" s="1"/>
      <c r="G10" s="1"/>
      <c r="H10" s="1"/>
      <c r="I10" s="1"/>
      <c r="J10" s="1"/>
      <c r="K10" s="1"/>
    </row>
    <row r="11">
      <c r="A11" s="1"/>
      <c r="B11" s="2" t="s">
        <v>20</v>
      </c>
      <c r="C11" s="31" t="s">
        <v>21</v>
      </c>
      <c r="D11" s="1"/>
      <c r="E11" s="1"/>
      <c r="F11" s="1"/>
      <c r="G11" s="1"/>
      <c r="H11" s="1"/>
      <c r="I11" s="1"/>
      <c r="J11" s="1"/>
      <c r="K11" s="1"/>
    </row>
    <row r="12">
      <c r="A12" s="1"/>
      <c r="B12" s="2" t="s">
        <v>22</v>
      </c>
      <c r="C12" s="31" t="s">
        <v>23</v>
      </c>
      <c r="D12" s="1"/>
      <c r="E12" s="1"/>
      <c r="F12" s="1"/>
      <c r="G12" s="1"/>
      <c r="H12" s="1"/>
      <c r="I12" s="1"/>
      <c r="J12" s="1"/>
      <c r="K12" s="1"/>
    </row>
    <row r="13">
      <c r="A13" s="1"/>
      <c r="B13" s="2" t="s">
        <v>24</v>
      </c>
      <c r="C13" s="31" t="s">
        <v>25</v>
      </c>
      <c r="D13" s="1"/>
      <c r="E13" s="1"/>
      <c r="F13" s="1"/>
      <c r="G13" s="1"/>
      <c r="H13" s="1"/>
      <c r="I13" s="1"/>
      <c r="J13" s="1"/>
      <c r="K13" s="1"/>
    </row>
    <row r="14">
      <c r="A14" s="1"/>
      <c r="B14" s="2" t="s">
        <v>26</v>
      </c>
      <c r="C14" s="31" t="s">
        <v>27</v>
      </c>
      <c r="D14" s="1"/>
      <c r="E14" s="1"/>
      <c r="F14" s="1"/>
      <c r="G14" s="1"/>
      <c r="H14" s="1"/>
      <c r="I14" s="1"/>
      <c r="J14" s="1"/>
      <c r="K14" s="1"/>
    </row>
    <row r="15">
      <c r="A15" s="1"/>
      <c r="B15" s="2" t="s">
        <v>28</v>
      </c>
      <c r="C15" s="31" t="s">
        <v>29</v>
      </c>
      <c r="D15" s="1"/>
      <c r="E15" s="1"/>
      <c r="F15" s="1"/>
      <c r="G15" s="1"/>
      <c r="H15" s="1"/>
      <c r="I15" s="1"/>
      <c r="J15" s="1"/>
      <c r="K15" s="1"/>
    </row>
    <row r="16">
      <c r="A16" s="1"/>
      <c r="B16" s="2" t="s">
        <v>30</v>
      </c>
      <c r="C16" s="31" t="s">
        <v>31</v>
      </c>
      <c r="D16" s="1"/>
      <c r="E16" s="1"/>
      <c r="F16" s="1"/>
      <c r="G16" s="1"/>
      <c r="H16" s="1"/>
      <c r="I16" s="1"/>
      <c r="J16" s="1"/>
      <c r="K16" s="1"/>
    </row>
    <row r="17">
      <c r="A17" s="1"/>
      <c r="B17" s="2" t="s">
        <v>32</v>
      </c>
      <c r="C17" s="31" t="s">
        <v>33</v>
      </c>
      <c r="D17" s="1"/>
      <c r="E17" s="1"/>
      <c r="F17" s="1"/>
      <c r="G17" s="1"/>
      <c r="H17" s="1"/>
      <c r="I17" s="1"/>
      <c r="J17" s="1"/>
      <c r="K17" s="1"/>
    </row>
    <row r="18">
      <c r="A18" s="1"/>
      <c r="B18" s="2" t="s">
        <v>34</v>
      </c>
      <c r="C18" s="31" t="s">
        <v>35</v>
      </c>
      <c r="D18" s="1"/>
      <c r="E18" s="1"/>
      <c r="F18" s="1"/>
      <c r="G18" s="1"/>
      <c r="H18" s="1"/>
      <c r="I18" s="1"/>
      <c r="J18" s="1"/>
      <c r="K18" s="1"/>
    </row>
    <row r="19">
      <c r="A19" s="1"/>
      <c r="B19" s="2" t="s">
        <v>36</v>
      </c>
      <c r="C19" s="31" t="s">
        <v>37</v>
      </c>
      <c r="D19" s="1"/>
      <c r="E19" s="1"/>
      <c r="F19" s="1"/>
      <c r="G19" s="1"/>
      <c r="H19" s="1"/>
      <c r="I19" s="1"/>
      <c r="J19" s="1"/>
      <c r="K19" s="1"/>
    </row>
    <row r="20" ht="40.5">
      <c r="A20" s="1"/>
      <c r="B20" s="142" t="s">
        <v>38</v>
      </c>
      <c r="C20" s="132" t="s">
        <v>11</v>
      </c>
      <c r="D20" s="1"/>
      <c r="E20" s="1"/>
      <c r="F20" s="1"/>
      <c r="G20" s="1"/>
      <c r="H20" s="1"/>
      <c r="I20" s="1"/>
      <c r="J20" s="1"/>
      <c r="K20" s="1"/>
    </row>
    <row r="21">
      <c r="A21" s="1"/>
      <c r="B21" s="13" t="s">
        <v>39</v>
      </c>
      <c r="C21" s="11">
        <f>'Income Statement'!J15</f>
        <v>1173.4343397000493</v>
      </c>
      <c r="D21" s="1"/>
      <c r="E21" s="1"/>
      <c r="F21" s="1"/>
      <c r="G21" s="1"/>
      <c r="H21" s="1"/>
      <c r="I21" s="1"/>
      <c r="J21" s="1"/>
      <c r="K21" s="1"/>
    </row>
    <row r="22" ht="27.75">
      <c r="A22" s="1"/>
      <c r="B22" s="144" t="s">
        <v>40</v>
      </c>
      <c r="C22" s="27">
        <f>Inputs!C122</f>
        <v>1172.63</v>
      </c>
      <c r="D22" s="1"/>
      <c r="E22" s="1"/>
      <c r="F22" s="1"/>
      <c r="G22" s="1"/>
      <c r="H22" s="1"/>
      <c r="I22" s="1"/>
      <c r="J22" s="1"/>
      <c r="K22" s="1"/>
    </row>
    <row r="23">
      <c r="A23" s="1"/>
      <c r="B23" s="2" t="s">
        <v>41</v>
      </c>
      <c r="C23" s="3">
        <f>C21-C22</f>
        <v>0.8043397000492405</v>
      </c>
      <c r="D23" s="1"/>
      <c r="E23" s="1"/>
      <c r="F23" s="1"/>
      <c r="G23" s="1"/>
      <c r="H23" s="1"/>
      <c r="I23" s="1"/>
      <c r="J23" s="1"/>
      <c r="K23" s="1"/>
    </row>
    <row r="24">
      <c r="A24" s="1"/>
      <c r="B24" s="6" t="s">
        <v>42</v>
      </c>
      <c r="C24" s="12">
        <f>C21/C22-1</f>
        <v>0.0006859279568569576</v>
      </c>
      <c r="D24" s="1"/>
      <c r="E24" s="1"/>
      <c r="F24" s="1"/>
      <c r="G24" s="1"/>
      <c r="H24" s="1"/>
      <c r="I24" s="1"/>
      <c r="J24" s="1"/>
      <c r="K24" s="1"/>
    </row>
    <row r="25" ht="27.75">
      <c r="A25" s="1"/>
      <c r="B25" s="144" t="s">
        <v>43</v>
      </c>
      <c r="C25" s="134" t="s">
        <v>44</v>
      </c>
      <c r="D25" s="1"/>
      <c r="E25" s="1"/>
      <c r="F25" s="1"/>
      <c r="G25" s="1"/>
      <c r="H25" s="1"/>
      <c r="I25" s="1"/>
      <c r="J25" s="1"/>
      <c r="K25" s="1"/>
    </row>
    <row r="26">
      <c r="A26" s="1"/>
      <c r="B26" s="2" t="s">
        <v>45</v>
      </c>
      <c r="C26" s="27">
        <f>'Income Statement'!E15</f>
        <v>1147.054</v>
      </c>
      <c r="D26" s="1"/>
      <c r="E26" s="1"/>
      <c r="F26" s="1"/>
      <c r="G26" s="1"/>
      <c r="H26" s="1"/>
      <c r="I26" s="1"/>
      <c r="J26" s="1"/>
      <c r="K26" s="1"/>
    </row>
    <row r="27">
      <c r="A27" s="1"/>
      <c r="B27" s="6" t="s">
        <v>46</v>
      </c>
      <c r="C27" s="12">
        <f>C21/C26-1</f>
        <v>0.022998341577684434</v>
      </c>
      <c r="D27" s="1"/>
      <c r="E27" s="1"/>
      <c r="F27" s="1"/>
      <c r="G27" s="1"/>
      <c r="H27" s="1"/>
      <c r="I27" s="1"/>
      <c r="J27" s="1"/>
      <c r="K27" s="1"/>
    </row>
    <row r="28" ht="27.75">
      <c r="A28" s="1"/>
      <c r="B28" s="143" t="s">
        <v>47</v>
      </c>
      <c r="C28" s="11">
        <f>'Income Statement'!J101</f>
        <v>141.3723236527331</v>
      </c>
      <c r="D28" s="1"/>
      <c r="E28" s="1"/>
      <c r="F28" s="1"/>
      <c r="G28" s="1"/>
      <c r="H28" s="1"/>
      <c r="I28" s="1"/>
      <c r="J28" s="1"/>
      <c r="K28" s="1"/>
    </row>
    <row r="29" ht="27.75">
      <c r="A29" s="1"/>
      <c r="B29" s="144" t="s">
        <v>40</v>
      </c>
      <c r="C29" s="27">
        <f>Inputs!C123</f>
        <v>145.08</v>
      </c>
      <c r="D29" s="1"/>
      <c r="E29" s="1"/>
      <c r="F29" s="1"/>
      <c r="G29" s="1"/>
      <c r="H29" s="1"/>
      <c r="I29" s="1"/>
      <c r="J29" s="1"/>
      <c r="K29" s="1"/>
    </row>
    <row r="30">
      <c r="A30" s="1"/>
      <c r="B30" s="2" t="s">
        <v>41</v>
      </c>
      <c r="C30" s="3">
        <f>C28-C29</f>
        <v>-3.7076763472669256</v>
      </c>
      <c r="D30" s="1"/>
      <c r="E30" s="1"/>
      <c r="F30" s="1"/>
      <c r="G30" s="1"/>
      <c r="H30" s="1"/>
      <c r="I30" s="1"/>
      <c r="J30" s="1"/>
      <c r="K30" s="1"/>
    </row>
    <row r="31">
      <c r="A31" s="1"/>
      <c r="B31" s="6" t="s">
        <v>42</v>
      </c>
      <c r="C31" s="12">
        <f>C28/C29-1</f>
        <v>-0.025556081798090213</v>
      </c>
      <c r="D31" s="1"/>
      <c r="E31" s="1"/>
      <c r="F31" s="1"/>
      <c r="G31" s="1"/>
      <c r="H31" s="1"/>
      <c r="I31" s="1"/>
      <c r="J31" s="1"/>
      <c r="K31" s="1"/>
    </row>
    <row r="32" ht="40.5">
      <c r="A32" s="1"/>
      <c r="B32" s="144" t="s">
        <v>48</v>
      </c>
      <c r="C32" s="27">
        <f>Guidance!C35</f>
        <v>148.2840704503613</v>
      </c>
      <c r="D32" s="1"/>
      <c r="E32" s="1"/>
      <c r="F32" s="1"/>
      <c r="G32" s="1"/>
      <c r="H32" s="1"/>
      <c r="I32" s="1"/>
      <c r="J32" s="1"/>
      <c r="K32" s="1"/>
    </row>
    <row r="33">
      <c r="A33" s="1"/>
      <c r="B33" s="2" t="s">
        <v>45</v>
      </c>
      <c r="C33" s="27">
        <f>'Income Statement'!E79</f>
        <v>139.31900000000007</v>
      </c>
      <c r="D33" s="1"/>
      <c r="E33" s="1"/>
      <c r="F33" s="1"/>
      <c r="G33" s="1"/>
      <c r="H33" s="1"/>
      <c r="I33" s="1"/>
      <c r="J33" s="1"/>
      <c r="K33" s="1"/>
    </row>
    <row r="34">
      <c r="A34" s="1"/>
      <c r="B34" s="6" t="s">
        <v>46</v>
      </c>
      <c r="C34" s="12">
        <f>C28/C33-1</f>
        <v>0.014738288767023988</v>
      </c>
      <c r="D34" s="1"/>
      <c r="E34" s="1"/>
      <c r="F34" s="1"/>
      <c r="G34" s="1"/>
      <c r="H34" s="1"/>
      <c r="I34" s="1"/>
      <c r="J34" s="1"/>
      <c r="K34" s="1"/>
    </row>
    <row r="35" ht="40.5">
      <c r="A35" s="1"/>
      <c r="B35" s="143" t="s">
        <v>49</v>
      </c>
      <c r="C35" s="57">
        <f>'Income Statement'!J102</f>
        <v>4.282649093242134</v>
      </c>
      <c r="D35" s="1"/>
      <c r="E35" s="1"/>
      <c r="F35" s="1"/>
      <c r="G35" s="1"/>
      <c r="H35" s="1"/>
      <c r="I35" s="1"/>
      <c r="J35" s="1"/>
      <c r="K35" s="1"/>
    </row>
    <row r="36" ht="27.75">
      <c r="A36" s="1"/>
      <c r="B36" s="144" t="s">
        <v>40</v>
      </c>
      <c r="C36" s="4">
        <f>Inputs!C121</f>
        <v>4.38</v>
      </c>
      <c r="D36" s="1"/>
      <c r="E36" s="1"/>
      <c r="F36" s="1"/>
      <c r="G36" s="1"/>
      <c r="H36" s="1"/>
      <c r="I36" s="1"/>
      <c r="J36" s="1"/>
      <c r="K36" s="1"/>
    </row>
    <row r="37">
      <c r="A37" s="1"/>
      <c r="B37" s="2" t="s">
        <v>41</v>
      </c>
      <c r="C37" s="39">
        <f>C35-C36</f>
        <v>-0.09735090675786573</v>
      </c>
      <c r="D37" s="1"/>
      <c r="E37" s="1"/>
      <c r="F37" s="1"/>
      <c r="G37" s="1"/>
      <c r="H37" s="1"/>
      <c r="I37" s="1"/>
      <c r="J37" s="1"/>
      <c r="K37" s="1"/>
    </row>
    <row r="38">
      <c r="A38" s="1"/>
      <c r="B38" s="6" t="s">
        <v>42</v>
      </c>
      <c r="C38" s="12">
        <f>C35/C36-1</f>
        <v>-0.02222623441960403</v>
      </c>
      <c r="D38" s="1"/>
      <c r="E38" s="1"/>
      <c r="F38" s="1"/>
      <c r="G38" s="1"/>
      <c r="H38" s="1"/>
      <c r="I38" s="1"/>
      <c r="J38" s="1"/>
      <c r="K38" s="1"/>
    </row>
    <row r="39" ht="40.5">
      <c r="A39" s="1"/>
      <c r="B39" s="144" t="s">
        <v>48</v>
      </c>
      <c r="C39" s="4">
        <f>Guidance!C36</f>
        <v>4.49202944005098</v>
      </c>
      <c r="D39" s="1"/>
      <c r="E39" s="1"/>
      <c r="F39" s="1"/>
      <c r="G39" s="1"/>
      <c r="H39" s="1"/>
      <c r="I39" s="1"/>
      <c r="J39" s="1"/>
      <c r="K39" s="1"/>
    </row>
    <row r="40">
      <c r="A40" s="1"/>
      <c r="B40" s="2" t="s">
        <v>45</v>
      </c>
      <c r="C40" s="4">
        <f>'Income Statement'!E90</f>
        <v>4.080047283436877</v>
      </c>
      <c r="D40" s="1"/>
      <c r="E40" s="1"/>
      <c r="F40" s="1"/>
      <c r="G40" s="1"/>
      <c r="H40" s="1"/>
      <c r="I40" s="1"/>
      <c r="J40" s="1"/>
      <c r="K40" s="1"/>
    </row>
    <row r="41">
      <c r="A41" s="1"/>
      <c r="B41" s="6" t="s">
        <v>46</v>
      </c>
      <c r="C41" s="12">
        <f>C35/C40-1</f>
        <v>0.04965673084910738</v>
      </c>
      <c r="D41" s="1"/>
      <c r="E41" s="1"/>
      <c r="F41" s="1"/>
      <c r="G41" s="1"/>
      <c r="H41" s="1"/>
      <c r="I41" s="1"/>
      <c r="J41" s="1"/>
      <c r="K41" s="1"/>
    </row>
    <row r="42" ht="40.5">
      <c r="A42" s="1"/>
      <c r="B42" s="143" t="s">
        <v>50</v>
      </c>
      <c r="C42" s="57">
        <f>'Income Statement'!J90</f>
        <v>4.282649093242134</v>
      </c>
      <c r="D42" s="1"/>
      <c r="E42" s="1"/>
      <c r="F42" s="1"/>
      <c r="G42" s="1"/>
      <c r="H42" s="1"/>
      <c r="I42" s="1"/>
      <c r="J42" s="1"/>
      <c r="K42" s="1"/>
    </row>
    <row r="43">
      <c r="A43" s="1"/>
      <c r="B43" s="2" t="s">
        <v>51</v>
      </c>
      <c r="C43" s="4">
        <f>Inputs!C124</f>
        <v>4.39</v>
      </c>
      <c r="D43" s="1"/>
      <c r="E43" s="1"/>
      <c r="F43" s="1"/>
      <c r="G43" s="1"/>
      <c r="H43" s="1"/>
      <c r="I43" s="1"/>
      <c r="J43" s="1"/>
      <c r="K43" s="1"/>
    </row>
    <row r="44">
      <c r="A44" s="1"/>
      <c r="B44" s="78" t="s">
        <v>52</v>
      </c>
      <c r="C44" s="68">
        <f>Inputs!C114</f>
        <v>0.42</v>
      </c>
      <c r="D44" s="1"/>
      <c r="E44" s="1"/>
      <c r="F44" s="1"/>
      <c r="G44" s="1"/>
      <c r="H44" s="1"/>
      <c r="I44" s="1"/>
      <c r="J44" s="1"/>
      <c r="K44" s="1"/>
    </row>
    <row r="45">
      <c r="A45" s="1"/>
      <c r="B45" s="13" t="s">
        <v>53</v>
      </c>
      <c r="C45" s="65" t="str">
        <f>Inputs!C115</f>
        <v>low</v>
      </c>
      <c r="D45" s="1"/>
      <c r="E45" s="1"/>
      <c r="F45" s="1"/>
      <c r="G45" s="1"/>
      <c r="H45" s="1"/>
      <c r="I45" s="1"/>
      <c r="J45" s="1"/>
      <c r="K45" s="1"/>
    </row>
    <row r="46" ht="91.5">
      <c r="A46" s="1"/>
      <c r="B46" s="143" t="s">
        <v>54</v>
      </c>
      <c r="C46" s="65" t="str">
        <f>IFERROR(IF(AND(ABS('Revenue summary'!C68)&lt;0.001,ABS('Revenue summary'!D68)&lt;0.001,ABS('Revenue summary'!E68)&lt;0.001,ABS('Revenue summary'!F68)&lt;0.001,ABS('Revenue summary'!H68)&lt;0.001,ABS('Revenue summary'!I68)&lt;0.001,ABS('Revenue summary'!G68)&lt;0.001,ABS('Balance Sheet'!C50)&lt;0.001,ABS('Balance Sheet'!D50)&lt;0.001,ABS('Balance Sheet'!E50)&lt;0.001,ABS('Balance Sheet'!F50)&lt;0.001,ABS('Balance Sheet'!G50)&lt;0.001,ABS('Balance Sheet'!H50)&lt;0.001,ABS('Balance Sheet'!I50)&lt;0.001,ABS('Balance Sheet'!J50)&lt;0.001,ABS('Balance Sheet'!C26)&lt;0.001,ABS('Balance Sheet'!D26)&lt;0.001,ABS('Balance Sheet'!E26)&lt;0.001,ABS('Balance Sheet'!F26)&lt;0.001,ABS('Balance Sheet'!H26)&lt;0.001,ABS('Balance Sheet'!I26)&lt;0.001,ABS('Balance Sheet'!G26)&lt;0.001,ABS('Income Statement'!C40)&lt;0.001,ABS('Income Statement'!D40)&lt;0.001,ABS('Income Statement'!H40)&lt;0.001,ABS('Income Statement'!I40)&lt;0.001,ABS('Segment - Supply Chain'!C28)&lt;0.001,ABS('Segment - Supply Chain'!D28)&lt;0.001,ABS('Segment - Supply Chain'!E28)&lt;0.001,ABS('Segment - Supply Chain'!H28)&lt;0.001,ABS('Segment - Supply Chain'!I28)&lt;0.001,ABS('Segment - Supply Chain'!J28)&lt;0.001,ABS('Cash Flow Statement'!C69)&lt;0.001,ABS('Cash Flow Statement'!D69)&lt;0.001,ABS('Cash Flow Statement'!E69)&lt;0.001,ABS('Cash Flow Statement'!F69)&lt;0.001,ABS('Cash Flow Statement'!G69)&lt;0.001,ABS('Cash Flow Statement'!H69)&lt;0.001,ABS('Cash Flow Statement'!I69)&lt;0.001,ABS('Cash Flow Statement'!J69)&lt;0.001,ABS('Cash Flow Statement'!C33)&lt;0.001,ABS('Cash Flow Statement'!D33)&lt;0.001,ABS('Cash Flow Statement'!E33)&lt;0.001,ABS('Cash Flow Statement'!F33)&lt;0.001,ABS('Cash Flow Statement'!H33)&lt;0.001,ABS('Cash Flow Statement'!I33)&lt;0.001,ABS('Cash Flow Statement'!G33)&lt;0.001,ABS('Cash Flow Statement'!C58)&lt;0.001,ABS('Cash Flow Statement'!D58)&lt;0.001,ABS('Cash Flow Statement'!E58)&lt;0.001,ABS('Cash Flow Statement'!F58)&lt;0.001,ABS('Cash Flow Statement'!H58)&lt;0.001,ABS('Cash Flow Statement'!I58)&lt;0.001,ABS('Cash Flow Statement'!G58)&lt;0.001,ABS('Cash Flow Statement'!C47)&lt;0.001,ABS('Cash Flow Statement'!D47)&lt;0.001,ABS('Cash Flow Statement'!E47)&lt;0.001,ABS('Cash Flow Statement'!F47)&lt;0.001,ABS('Cash Flow Statement'!H47)&lt;0.001,ABS('Cash Flow Statement'!I47)&lt;0.001,ABS('Cash Flow Statement'!G47)&lt;0.001,ABS('Cash Flow Statement'!C62)&lt;0.001,ABS('Cash Flow Statement'!D62)&lt;0.001,ABS('Cash Flow Statement'!E62)&lt;0.001,ABS('Cash Flow Statement'!F62)&lt;0.001,ABS('Cash Flow Statement'!H62)&lt;0.001,ABS('Cash Flow Statement'!I62)&lt;0.001,ABS('Cash Flow Statement'!G62)&lt;0.001,ABS(Geo!C52)&lt;0.001,ABS(Geo!D52)&lt;0.001,ABS(Geo!E52)&lt;0.001,ABS(Geo!F52)&lt;0.001,ABS(Geo!G52)&lt;0.001,ABS(Geo!H52)&lt;0.001,ABS(Geo!I52)&lt;0.001,ABS(Geo!J52)&lt;0.001,ABS(Geo!C24)&lt;0.001,ABS(Geo!D24)&lt;0.001,ABS(Geo!E24)&lt;0.001,ABS(Geo!F24)&lt;0.001,ABS(Geo!G24)&lt;0.001,ABS(Geo!H24)&lt;0.001,ABS(Geo!I24)&lt;0.001,ABS(Geo!J24)&lt;0.001,ABS('Income Statement'!C49)&lt;0.001,ABS('Income Statement'!D49)&lt;0.001,ABS('Income Statement'!E49)&lt;0.001,ABS('Income Statement'!F49)&lt;0.001,ABS('Income Statement'!H49)&lt;0.001,ABS('Income Statement'!I49)&lt;0.001,ABS('Income Statement'!G49)&lt;0.001,ABS('Income Statement'!C81)&lt;0.001,ABS('Income Statement'!D81)&lt;0.001,ABS('Income Statement'!E81)&lt;0.001,ABS('Income Statement'!F81)&lt;0.001,ABS('Income Statement'!H81)&lt;0.001,ABS('Income Statement'!I81)&lt;0.001,ABS('Income Statement'!G81)&lt;0.001,'Income Statement'!C92=TRUE,'Income Statement'!D92=TRUE,'Income Statement'!E92=TRUE,'Income Statement'!F92=TRUE,'Income Statement'!H92=TRUE,'Income Statement'!I92=TRUE,'Income Statement'!G92=TRUE,'Income Statement'!C104=TRUE,'Income Statement'!D104=TRUE,'Income Statement'!E104=TRUE,'Income Statement'!F104=TRUE,'Income Statement'!H104=TRUE,'Income Statement'!I104=TRUE,ABS('Income Statement'!G130)&lt;0.001,ABS('Segment - U.S. Stores'!C24)&lt;0.001,ABS('Segment - U.S. Stores'!D24)&lt;0.001,ABS('Segment - U.S. Stores'!E24)&lt;0.001,ABS('Segment - U.S. Stores'!F24)&lt;0.001,ABS('Segment - U.S. Stores'!H24)&lt;0.001,ABS('Segment - U.S. Stores'!I24)&lt;0.001,ABS('Segment - U.S. Stores'!C48)&lt;0.001,ABS('Segment - U.S. Stores'!D48)&lt;0.001,ABS('Segment - U.S. Stores'!E48)&lt;0.001,ABS('Segment - U.S. Stores'!F48)&lt;0.001,ABS('Segment - U.S. Stores'!H48)&lt;0.001,ABS('Segment - U.S. Stores'!I48)&lt;0.001,ABS('Segment - International'!C21)&lt;0.001,ABS('Segment - International'!D21)&lt;0.001,ABS('Segment - International'!E21)&lt;0.001,ABS('Segment - International'!F21)&lt;0.001,ABS('Segment - International'!H21)&lt;0.001,ABS('Segment - International'!I21)&lt;0.001,ABS(Cover!C47)&lt;0.001,ABS('Income Statement'!G118)&lt;0.001,ABS(Inputs!C100)&lt;0.001,ABS(Inputs!D100)&lt;0.001,ABS(Inputs!E100)&lt;0.001,ABS(Inputs!F100)&lt;0.001,ABS(Inputs!H100)&lt;0.001,ABS(Inputs!I100)&lt;0.001,ABS('Balance Sheet'!C47-'Balance Sheet'!C48)&lt;0.001,ABS('Balance Sheet'!D47-'Balance Sheet'!D48)&lt;0.001,ABS('Balance Sheet'!E47-'Balance Sheet'!E48)&lt;0.001,ABS('Balance Sheet'!F47-'Balance Sheet'!F48)&lt;0.001,ABS('Balance Sheet'!H47-'Balance Sheet'!H48)&lt;0.001,ABS('Balance Sheet'!I47-'Balance Sheet'!I48)&lt;0.001),"PASS","FAIL"),"FAIL")</f>
        <v>PASS</v>
      </c>
      <c r="D46" s="1"/>
      <c r="E46" s="1"/>
      <c r="F46" s="1"/>
      <c r="G46" s="1"/>
      <c r="H46" s="1"/>
      <c r="I46" s="1"/>
      <c r="J46" s="1"/>
      <c r="K46" s="141" t="s">
        <v>55</v>
      </c>
    </row>
    <row r="47" ht="40.5">
      <c r="A47" s="1"/>
      <c r="B47" s="140" t="s">
        <v>56</v>
      </c>
      <c r="C47" s="80">
        <f>ABS(C21-'Income Statement'!J15)+ABS(C28-'Income Statement'!J101)+ABS(C35-'Income Statement'!J102)</f>
        <v>0</v>
      </c>
      <c r="D47" s="1"/>
      <c r="E47" s="1"/>
      <c r="F47" s="1"/>
      <c r="G47" s="1"/>
      <c r="H47" s="1"/>
      <c r="I47" s="1"/>
      <c r="J47" s="1"/>
      <c r="K47" s="1"/>
    </row>
    <row r="48">
      <c r="A48" s="1"/>
      <c r="B48" s="7" t="s">
        <v>57</v>
      </c>
      <c r="C48" s="132" t="s">
        <v>11</v>
      </c>
      <c r="D48" s="1"/>
      <c r="E48" s="1"/>
      <c r="F48" s="1"/>
      <c r="G48" s="1"/>
      <c r="H48" s="1"/>
      <c r="I48" s="1"/>
      <c r="J48" s="1"/>
      <c r="K48" s="1"/>
    </row>
    <row r="49">
      <c r="A49" s="1"/>
      <c r="B49" s="6" t="s">
        <v>58</v>
      </c>
      <c r="C49" s="9">
        <f>'Segment - U.S. Stores'!J94</f>
        <v>0.007</v>
      </c>
      <c r="D49" s="1"/>
      <c r="E49" s="1"/>
      <c r="F49" s="1"/>
      <c r="G49" s="1"/>
      <c r="H49" s="1"/>
      <c r="I49" s="1"/>
      <c r="J49" s="1"/>
      <c r="K49" s="1"/>
    </row>
    <row r="50" ht="27.75">
      <c r="A50" s="1"/>
      <c r="B50" s="140" t="s">
        <v>59</v>
      </c>
      <c r="C50" s="9">
        <f>'Segment - International'!J39</f>
        <v>0.006</v>
      </c>
      <c r="D50" s="1"/>
      <c r="E50" s="1"/>
      <c r="F50" s="1"/>
      <c r="G50" s="1"/>
      <c r="H50" s="1"/>
      <c r="I50" s="1"/>
      <c r="J50" s="1"/>
      <c r="K50" s="1"/>
    </row>
    <row r="51">
      <c r="A51" s="1"/>
      <c r="B51" s="2" t="s">
        <v>60</v>
      </c>
      <c r="C51" s="67">
        <f>'Segment - U.S. Stores'!J71</f>
        <v>32</v>
      </c>
      <c r="D51" s="1"/>
      <c r="E51" s="1"/>
      <c r="F51" s="1"/>
      <c r="G51" s="1"/>
      <c r="H51" s="1"/>
      <c r="I51" s="1"/>
      <c r="J51" s="1"/>
      <c r="K51" s="1"/>
    </row>
    <row r="52" ht="27.75">
      <c r="A52" s="1"/>
      <c r="B52" s="144" t="s">
        <v>61</v>
      </c>
      <c r="C52" s="67">
        <f>'Segment - International'!J23</f>
        <v>177</v>
      </c>
      <c r="D52" s="1"/>
      <c r="E52" s="1"/>
      <c r="F52" s="1"/>
      <c r="G52" s="1"/>
      <c r="H52" s="1"/>
      <c r="I52" s="1"/>
      <c r="J52" s="1"/>
      <c r="K52" s="1"/>
    </row>
    <row r="53">
      <c r="A53" s="1"/>
      <c r="B53" s="6" t="s">
        <v>62</v>
      </c>
      <c r="C53" s="9">
        <f>'Segment - Supply Chain'!J10</f>
        <v>0.015</v>
      </c>
      <c r="D53" s="1"/>
      <c r="E53" s="1"/>
      <c r="F53" s="1"/>
      <c r="G53" s="1"/>
      <c r="H53" s="1"/>
      <c r="I53" s="1"/>
      <c r="J53" s="1"/>
      <c r="K53" s="1"/>
    </row>
    <row r="54">
      <c r="A54" s="1"/>
      <c r="B54" s="6" t="s">
        <v>63</v>
      </c>
      <c r="C54" s="9">
        <f>'Segment - Supply Chain'!J55</f>
        <v>0.11594282805731765</v>
      </c>
      <c r="D54" s="1"/>
      <c r="E54" s="1"/>
      <c r="F54" s="1"/>
      <c r="G54" s="1"/>
      <c r="H54" s="1"/>
      <c r="I54" s="1"/>
      <c r="J54" s="1"/>
      <c r="K54" s="1"/>
    </row>
    <row r="55">
      <c r="A55" s="1"/>
      <c r="B55" s="6" t="s">
        <v>64</v>
      </c>
      <c r="C55" s="9">
        <f>'Segment - U.S. Stores'!J180</f>
        <v>0.12</v>
      </c>
      <c r="D55" s="1"/>
      <c r="E55" s="1"/>
      <c r="F55" s="1"/>
      <c r="G55" s="1"/>
      <c r="H55" s="1"/>
      <c r="I55" s="1"/>
      <c r="J55" s="1"/>
      <c r="K55" s="1"/>
    </row>
    <row r="56">
      <c r="A56" s="1"/>
      <c r="B56" s="6" t="s">
        <v>65</v>
      </c>
      <c r="C56" s="9">
        <f>'Income Statement'!J34</f>
        <v>0.04</v>
      </c>
      <c r="D56" s="1"/>
      <c r="E56" s="1"/>
      <c r="F56" s="1"/>
      <c r="G56" s="1"/>
      <c r="H56" s="1"/>
      <c r="I56" s="1"/>
      <c r="J56" s="1"/>
      <c r="K56" s="1"/>
    </row>
    <row r="57">
      <c r="A57" s="1"/>
      <c r="B57" s="6" t="s">
        <v>66</v>
      </c>
      <c r="C57" s="9">
        <f>'Income Statement'!J50</f>
        <v>0.1952114618365723</v>
      </c>
      <c r="D57" s="1"/>
      <c r="E57" s="1"/>
      <c r="F57" s="1"/>
      <c r="G57" s="1"/>
      <c r="H57" s="1"/>
      <c r="I57" s="1"/>
      <c r="J57" s="1"/>
      <c r="K57" s="1"/>
    </row>
    <row r="58">
      <c r="A58" s="1"/>
      <c r="B58" s="2" t="s">
        <v>67</v>
      </c>
      <c r="C58" s="27">
        <f>'Income Statement'!J57</f>
        <v>-2.330003372681282</v>
      </c>
      <c r="D58" s="1"/>
      <c r="E58" s="1"/>
      <c r="F58" s="1"/>
      <c r="G58" s="1"/>
      <c r="H58" s="1"/>
      <c r="I58" s="1"/>
      <c r="J58" s="1"/>
      <c r="K58" s="1"/>
    </row>
    <row r="59">
      <c r="A59" s="1"/>
      <c r="B59" s="6" t="s">
        <v>68</v>
      </c>
      <c r="C59" s="9">
        <f>'Income Statement'!J74</f>
        <v>0.224</v>
      </c>
      <c r="D59" s="1"/>
      <c r="E59" s="1"/>
      <c r="F59" s="1"/>
      <c r="G59" s="1"/>
      <c r="H59" s="1"/>
      <c r="I59" s="1"/>
      <c r="J59" s="1"/>
      <c r="K59" s="1"/>
    </row>
    <row r="60">
      <c r="A60" s="1"/>
      <c r="B60" s="2" t="s">
        <v>69</v>
      </c>
      <c r="C60" s="17">
        <f>'Share Count'!J29</f>
        <v>33.010485</v>
      </c>
      <c r="D60" s="1"/>
      <c r="E60" s="1"/>
      <c r="F60" s="1"/>
      <c r="G60" s="1"/>
      <c r="H60" s="1"/>
      <c r="I60" s="1"/>
      <c r="J60" s="1"/>
      <c r="K60" s="1"/>
    </row>
    <row r="61">
      <c r="A61" s="1"/>
      <c r="B61" s="1"/>
      <c r="C61" s="1"/>
      <c r="D61" s="1"/>
      <c r="E61" s="1"/>
      <c r="F61" s="1"/>
      <c r="G61" s="1"/>
      <c r="H61" s="1"/>
      <c r="I61" s="1"/>
      <c r="J61" s="1"/>
      <c r="K61" s="1"/>
    </row>
    <row r="62">
      <c r="A62" s="1"/>
      <c r="B62" s="1"/>
      <c r="C62" s="1"/>
      <c r="D62" s="1"/>
      <c r="E62" s="1"/>
      <c r="F62" s="1"/>
      <c r="G62" s="1"/>
      <c r="H62" s="1"/>
      <c r="I62" s="1"/>
      <c r="J62" s="1"/>
      <c r="K62" s="1"/>
    </row>
    <row r="63">
      <c r="A63" s="1"/>
      <c r="B63" s="1"/>
      <c r="C63" s="1"/>
      <c r="D63" s="1"/>
      <c r="E63" s="1"/>
      <c r="F63" s="1"/>
      <c r="G63" s="1"/>
      <c r="H63" s="1"/>
      <c r="I63" s="1"/>
      <c r="J63" s="1"/>
      <c r="K63" s="1"/>
    </row>
  </sheetData>
  <drawing r:id="rId1"/>
</worksheet>
</file>

<file path=xl/worksheets/sheet2.xml><?xml version="1.0" encoding="utf-8"?>
<worksheet xmlns="http://schemas.openxmlformats.org/spreadsheetml/2006/main" xmlns:r="http://schemas.openxmlformats.org/officeDocument/2006/relationships">
  <dimension ref="A1:K72"/>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70</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ht="40.5">
      <c r="A9" s="1"/>
      <c r="B9" s="142" t="s">
        <v>71</v>
      </c>
      <c r="C9" s="1"/>
      <c r="D9" s="1"/>
      <c r="E9" s="1"/>
      <c r="F9" s="1"/>
      <c r="G9" s="1"/>
      <c r="H9" s="1"/>
      <c r="I9" s="1"/>
      <c r="J9" s="24"/>
      <c r="K9" s="1"/>
    </row>
    <row r="10">
      <c r="A10" s="1"/>
      <c r="B10" s="47" t="s">
        <v>72</v>
      </c>
      <c r="C10" s="27">
        <f>'Segment - U.S. Stores'!C132</f>
        <v>91.598</v>
      </c>
      <c r="D10" s="27">
        <f>'Segment - U.S. Stores'!D132</f>
        <v>92.456</v>
      </c>
      <c r="E10" s="27">
        <f>'Segment - U.S. Stores'!E132</f>
        <v>82.749</v>
      </c>
      <c r="F10" s="27">
        <f>'Segment - U.S. Stores'!F132</f>
        <v>108.35</v>
      </c>
      <c r="G10" s="27">
        <f>'Segment - U.S. Stores'!G132</f>
        <v>375.153</v>
      </c>
      <c r="H10" s="27">
        <f>'Segment - U.S. Stores'!H132</f>
        <v>82.098</v>
      </c>
      <c r="I10" s="27">
        <f>'Segment - U.S. Stores'!I132</f>
        <v>81.82900000000001</v>
      </c>
      <c r="J10" s="58">
        <f>'Segment - U.S. Stores'!J132</f>
        <v>60.16363490733589</v>
      </c>
      <c r="K10" s="1"/>
    </row>
    <row r="11">
      <c r="A11" s="1"/>
      <c r="B11" s="113" t="s">
        <v>73</v>
      </c>
      <c r="C11" s="27">
        <f>'Segment - U.S. Stores'!C157</f>
        <v>92.649</v>
      </c>
      <c r="D11" s="27">
        <f>'Segment - U.S. Stores'!D157</f>
        <v>92.264</v>
      </c>
      <c r="E11" s="27">
        <f>'Segment - U.S. Stores'!E157</f>
        <v>89.173</v>
      </c>
      <c r="F11" s="27">
        <f>'Segment - U.S. Stores'!F157</f>
        <v>119.812</v>
      </c>
      <c r="G11" s="27">
        <f>'Segment - U.S. Stores'!G157</f>
        <v>393.898</v>
      </c>
      <c r="H11" s="1"/>
      <c r="I11" s="1"/>
      <c r="J11" s="24"/>
      <c r="K11" s="1"/>
    </row>
    <row r="12">
      <c r="A12" s="1"/>
      <c r="B12" s="102" t="s">
        <v>74</v>
      </c>
      <c r="C12" s="12">
        <f>IFERROR(C10/C11-1,"n/a")</f>
        <v>-0.011343889302636856</v>
      </c>
      <c r="D12" s="12">
        <f>IFERROR(D10/D11-1,"n/a")</f>
        <v>0.0020809849995664376</v>
      </c>
      <c r="E12" s="12">
        <f>IFERROR(E10/E11-1,"n/a")</f>
        <v>-0.07203974297152738</v>
      </c>
      <c r="F12" s="12">
        <f>IFERROR(F10/F11-1,"n/a")</f>
        <v>-0.09566654425266252</v>
      </c>
      <c r="G12" s="12">
        <f>IFERROR(G10/G11-1,"n/a")</f>
        <v>-0.04758846198762112</v>
      </c>
      <c r="H12" s="12">
        <f>IFERROR(H10/C10-1,"n/a")</f>
        <v>-0.10371405489202823</v>
      </c>
      <c r="I12" s="12">
        <f>IFERROR(I10/D10-1,"n/a")</f>
        <v>-0.11494116120100362</v>
      </c>
      <c r="J12" s="44">
        <f>IFERROR(J10/E10-1,"n/a")</f>
        <v>-0.2729382239382241</v>
      </c>
      <c r="K12" s="1"/>
    </row>
    <row r="13" ht="27.75">
      <c r="A13" s="1"/>
      <c r="B13" s="102" t="s">
        <v>75</v>
      </c>
      <c r="C13" s="12" t="s">
        <v>76</v>
      </c>
      <c r="D13" s="12">
        <f>IFERROR(D10/C10-1,"n/a")</f>
        <v>0.009367016747090506</v>
      </c>
      <c r="E13" s="12">
        <f>IFERROR(E10/D10-1,"n/a")</f>
        <v>-0.10499048195898597</v>
      </c>
      <c r="F13" s="12">
        <f>IFERROR(F10/E10-1,"n/a")</f>
        <v>0.30938138225235345</v>
      </c>
      <c r="G13" s="12" t="s">
        <v>76</v>
      </c>
      <c r="H13" s="12">
        <f>IFERROR(H10/F10-1,"n/a")</f>
        <v>-0.24228887863405624</v>
      </c>
      <c r="I13" s="12">
        <f>IFERROR(I10/H10-1,"n/a")</f>
        <v>-0.0032765719018732486</v>
      </c>
      <c r="J13" s="44">
        <f>IFERROR(J10/I10-1,"n/a")</f>
        <v>-0.2647638990170247</v>
      </c>
      <c r="K13" s="141" t="s">
        <v>77</v>
      </c>
    </row>
    <row r="14">
      <c r="A14" s="1"/>
      <c r="B14" s="102" t="s">
        <v>78</v>
      </c>
      <c r="C14" s="12">
        <f>IFERROR(C10/C58,"n/a")</f>
        <v>0.08236815412173489</v>
      </c>
      <c r="D14" s="12">
        <f>IFERROR(D10/D58,"n/a")</f>
        <v>0.08073744437380802</v>
      </c>
      <c r="E14" s="12">
        <f>IFERROR(E10/E58,"n/a")</f>
        <v>0.07214045720602516</v>
      </c>
      <c r="F14" s="12">
        <f>IFERROR(F10/F58,"n/a")</f>
        <v>0.07055230703113807</v>
      </c>
      <c r="G14" s="12">
        <f>IFERROR(G10/G58,"n/a")</f>
        <v>0.07594199507124909</v>
      </c>
      <c r="H14" s="12">
        <f>IFERROR(H10/H58,"n/a")</f>
        <v>0.0713527099915348</v>
      </c>
      <c r="I14" s="12">
        <f>IFERROR(I10/I58,"n/a")</f>
        <v>0.06850900055005454</v>
      </c>
      <c r="J14" s="44">
        <f>IFERROR(J10/J58,"n/a")</f>
        <v>0.05127141150711064</v>
      </c>
      <c r="K14" s="1"/>
    </row>
    <row r="15">
      <c r="A15" s="1"/>
      <c r="B15" s="102" t="s">
        <v>79</v>
      </c>
      <c r="C15" s="9">
        <f>'Segment - U.S. Stores'!C135</f>
        <v>0</v>
      </c>
      <c r="D15" s="9">
        <f>'Segment - U.S. Stores'!D135</f>
        <v>0</v>
      </c>
      <c r="E15" s="9">
        <f>'Segment - U.S. Stores'!E135</f>
        <v>0</v>
      </c>
      <c r="F15" s="9">
        <f>'Segment - U.S. Stores'!F135</f>
        <v>0</v>
      </c>
      <c r="G15" s="9">
        <f>'Segment - U.S. Stores'!G135</f>
        <v>0</v>
      </c>
      <c r="H15" s="9">
        <f>'Segment - U.S. Stores'!H135</f>
        <v>0</v>
      </c>
      <c r="I15" s="9">
        <f>'Segment - U.S. Stores'!I135</f>
        <v>0</v>
      </c>
      <c r="J15" s="77">
        <f>'Segment - U.S. Stores'!J135</f>
        <v>0</v>
      </c>
      <c r="K15" s="1"/>
    </row>
    <row r="16">
      <c r="A16" s="1"/>
      <c r="B16" s="102" t="s">
        <v>80</v>
      </c>
      <c r="C16" s="12" t="s">
        <v>81</v>
      </c>
      <c r="D16" s="12" t="s">
        <v>81</v>
      </c>
      <c r="E16" s="12" t="s">
        <v>81</v>
      </c>
      <c r="F16" s="12" t="s">
        <v>81</v>
      </c>
      <c r="G16" s="12" t="s">
        <v>81</v>
      </c>
      <c r="H16" s="12" t="s">
        <v>81</v>
      </c>
      <c r="I16" s="12" t="s">
        <v>81</v>
      </c>
      <c r="J16" s="44" t="s">
        <v>81</v>
      </c>
      <c r="K16" s="141" t="s">
        <v>82</v>
      </c>
    </row>
    <row r="17">
      <c r="A17" s="1"/>
      <c r="B17" s="102" t="s">
        <v>83</v>
      </c>
      <c r="C17" s="12" t="s">
        <v>81</v>
      </c>
      <c r="D17" s="12" t="s">
        <v>81</v>
      </c>
      <c r="E17" s="12" t="s">
        <v>81</v>
      </c>
      <c r="F17" s="12" t="s">
        <v>81</v>
      </c>
      <c r="G17" s="12" t="s">
        <v>81</v>
      </c>
      <c r="H17" s="12" t="s">
        <v>81</v>
      </c>
      <c r="I17" s="12" t="s">
        <v>81</v>
      </c>
      <c r="J17" s="44" t="s">
        <v>81</v>
      </c>
      <c r="K17" s="141" t="s">
        <v>84</v>
      </c>
    </row>
    <row r="18">
      <c r="A18" s="1"/>
      <c r="B18" s="47" t="s">
        <v>85</v>
      </c>
      <c r="C18" s="27">
        <f>'Segment - U.S. Stores'!C138</f>
        <v>151</v>
      </c>
      <c r="D18" s="27">
        <f>'Segment - U.S. Stores'!D138</f>
        <v>156.261</v>
      </c>
      <c r="E18" s="27">
        <f>'Segment - U.S. Stores'!E138</f>
        <v>157.155</v>
      </c>
      <c r="F18" s="27">
        <f>'Segment - U.S. Stores'!F138</f>
        <v>212.698</v>
      </c>
      <c r="G18" s="27">
        <f>'Segment - U.S. Stores'!G138</f>
        <v>677.114</v>
      </c>
      <c r="H18" s="27">
        <f>'Segment - U.S. Stores'!H138</f>
        <v>158.014</v>
      </c>
      <c r="I18" s="27">
        <f>'Segment - U.S. Stores'!I138</f>
        <v>164.165</v>
      </c>
      <c r="J18" s="58">
        <f>'Segment - U.S. Stores'!J138</f>
        <v>165.89623594838955</v>
      </c>
      <c r="K18" s="1"/>
    </row>
    <row r="19">
      <c r="A19" s="1"/>
      <c r="B19" s="113" t="s">
        <v>73</v>
      </c>
      <c r="C19" s="27">
        <f>'Segment - U.S. Stores'!C158</f>
        <v>150.518</v>
      </c>
      <c r="D19" s="27">
        <f>'Segment - U.S. Stores'!D158</f>
        <v>147.576</v>
      </c>
      <c r="E19" s="27">
        <f>'Segment - U.S. Stores'!E158</f>
        <v>144.074</v>
      </c>
      <c r="F19" s="27">
        <f>'Segment - U.S. Stores'!F158</f>
        <v>196.025</v>
      </c>
      <c r="G19" s="27">
        <f>'Segment - U.S. Stores'!G158</f>
        <v>638.193</v>
      </c>
      <c r="H19" s="1"/>
      <c r="I19" s="1"/>
      <c r="J19" s="24"/>
      <c r="K19" s="1"/>
    </row>
    <row r="20">
      <c r="A20" s="1"/>
      <c r="B20" s="102" t="s">
        <v>74</v>
      </c>
      <c r="C20" s="12">
        <f>IFERROR(C18/C19-1,"n/a")</f>
        <v>0.0032022748109861165</v>
      </c>
      <c r="D20" s="12">
        <f>IFERROR(D18/D19-1,"n/a")</f>
        <v>0.0588510326882421</v>
      </c>
      <c r="E20" s="12">
        <f>IFERROR(E18/E19-1,"n/a")</f>
        <v>0.09079361994530588</v>
      </c>
      <c r="F20" s="12">
        <f>IFERROR(F18/F19-1,"n/a")</f>
        <v>0.08505547761765087</v>
      </c>
      <c r="G20" s="12">
        <f>IFERROR(G18/G19-1,"n/a")</f>
        <v>0.06098625337476293</v>
      </c>
      <c r="H20" s="12">
        <f>IFERROR(H18/C18-1,"n/a")</f>
        <v>0.04645033112582797</v>
      </c>
      <c r="I20" s="12">
        <f>IFERROR(I18/D18-1,"n/a")</f>
        <v>0.050582039024452685</v>
      </c>
      <c r="J20" s="44">
        <f>IFERROR(J18/E18-1,"n/a")</f>
        <v>0.05562174890006388</v>
      </c>
      <c r="K20" s="1"/>
    </row>
    <row r="21">
      <c r="A21" s="1"/>
      <c r="B21" s="102" t="s">
        <v>75</v>
      </c>
      <c r="C21" s="12" t="s">
        <v>76</v>
      </c>
      <c r="D21" s="12">
        <f>IFERROR(D18/C18-1,"n/a")</f>
        <v>0.03484105960264894</v>
      </c>
      <c r="E21" s="12">
        <f>IFERROR(E18/D18-1,"n/a")</f>
        <v>0.005721197227715136</v>
      </c>
      <c r="F21" s="12">
        <f>IFERROR(F18/E18-1,"n/a")</f>
        <v>0.35342814418885826</v>
      </c>
      <c r="G21" s="12" t="s">
        <v>76</v>
      </c>
      <c r="H21" s="12">
        <f>IFERROR(H18/F18-1,"n/a")</f>
        <v>-0.2570969167552116</v>
      </c>
      <c r="I21" s="12">
        <f>IFERROR(I18/H18-1,"n/a")</f>
        <v>0.03892693052514318</v>
      </c>
      <c r="J21" s="44">
        <f>IFERROR(J18/I18-1,"n/a")</f>
        <v>0.01054570674863431</v>
      </c>
      <c r="K21" s="1"/>
    </row>
    <row r="22">
      <c r="A22" s="1"/>
      <c r="B22" s="102" t="s">
        <v>78</v>
      </c>
      <c r="C22" s="12">
        <f>IFERROR(C18/C58,"n/a")</f>
        <v>0.13578452883667733</v>
      </c>
      <c r="D22" s="12">
        <f>IFERROR(D18/D58,"n/a")</f>
        <v>0.1364553278888943</v>
      </c>
      <c r="E22" s="12">
        <f>IFERROR(E18/E58,"n/a")</f>
        <v>0.13700749921102232</v>
      </c>
      <c r="F22" s="12">
        <f>IFERROR(F18/F58,"n/a")</f>
        <v>0.1384987042077435</v>
      </c>
      <c r="G22" s="12">
        <f>IFERROR(G18/G58,"n/a")</f>
        <v>0.13706777781511478</v>
      </c>
      <c r="H22" s="12">
        <f>IFERROR(H18/H58,"n/a")</f>
        <v>0.13733254301691128</v>
      </c>
      <c r="I22" s="12">
        <f>IFERROR(I18/I58,"n/a")</f>
        <v>0.13744247241564364</v>
      </c>
      <c r="J22" s="44">
        <f>IFERROR(J18/J58,"n/a")</f>
        <v>0.14137666704964127</v>
      </c>
      <c r="K22" s="1"/>
    </row>
    <row r="23">
      <c r="A23" s="1"/>
      <c r="B23" s="102" t="s">
        <v>79</v>
      </c>
      <c r="C23" s="9">
        <f>'Segment - U.S. Stores'!C141</f>
        <v>0</v>
      </c>
      <c r="D23" s="9">
        <f>'Segment - U.S. Stores'!D141</f>
        <v>0</v>
      </c>
      <c r="E23" s="9">
        <f>'Segment - U.S. Stores'!E141</f>
        <v>0</v>
      </c>
      <c r="F23" s="9">
        <f>'Segment - U.S. Stores'!F141</f>
        <v>0</v>
      </c>
      <c r="G23" s="9">
        <f>'Segment - U.S. Stores'!G141</f>
        <v>0</v>
      </c>
      <c r="H23" s="9">
        <f>'Segment - U.S. Stores'!H141</f>
        <v>0</v>
      </c>
      <c r="I23" s="9">
        <f>'Segment - U.S. Stores'!I141</f>
        <v>0</v>
      </c>
      <c r="J23" s="77">
        <f>'Segment - U.S. Stores'!J141</f>
        <v>0</v>
      </c>
      <c r="K23" s="1"/>
    </row>
    <row r="24">
      <c r="A24" s="1"/>
      <c r="B24" s="102" t="s">
        <v>80</v>
      </c>
      <c r="C24" s="12" t="s">
        <v>81</v>
      </c>
      <c r="D24" s="12" t="s">
        <v>81</v>
      </c>
      <c r="E24" s="12" t="s">
        <v>81</v>
      </c>
      <c r="F24" s="12" t="s">
        <v>81</v>
      </c>
      <c r="G24" s="12" t="s">
        <v>81</v>
      </c>
      <c r="H24" s="12" t="s">
        <v>81</v>
      </c>
      <c r="I24" s="12" t="s">
        <v>81</v>
      </c>
      <c r="J24" s="44" t="s">
        <v>81</v>
      </c>
      <c r="K24" s="141" t="s">
        <v>82</v>
      </c>
    </row>
    <row r="25">
      <c r="A25" s="1"/>
      <c r="B25" s="102" t="s">
        <v>83</v>
      </c>
      <c r="C25" s="12" t="s">
        <v>81</v>
      </c>
      <c r="D25" s="12" t="s">
        <v>81</v>
      </c>
      <c r="E25" s="12" t="s">
        <v>81</v>
      </c>
      <c r="F25" s="12" t="s">
        <v>81</v>
      </c>
      <c r="G25" s="12" t="s">
        <v>81</v>
      </c>
      <c r="H25" s="12" t="s">
        <v>81</v>
      </c>
      <c r="I25" s="12" t="s">
        <v>81</v>
      </c>
      <c r="J25" s="44" t="s">
        <v>81</v>
      </c>
      <c r="K25" s="141" t="s">
        <v>84</v>
      </c>
    </row>
    <row r="26">
      <c r="A26" s="1"/>
      <c r="B26" s="47" t="s">
        <v>86</v>
      </c>
      <c r="C26" s="27">
        <f>'Segment - U.S. Stores'!C144</f>
        <v>123.975</v>
      </c>
      <c r="D26" s="27">
        <f>'Segment - U.S. Stores'!D144</f>
        <v>132.201</v>
      </c>
      <c r="E26" s="27">
        <f>'Segment - U.S. Stores'!E144</f>
        <v>131.642</v>
      </c>
      <c r="F26" s="27">
        <f>'Segment - U.S. Stores'!F144</f>
        <v>171.67600000000002</v>
      </c>
      <c r="G26" s="27">
        <f>'Segment - U.S. Stores'!G144</f>
        <v>559.494</v>
      </c>
      <c r="H26" s="27">
        <f>'Segment - U.S. Stores'!H144</f>
        <v>130.529</v>
      </c>
      <c r="I26" s="27">
        <f>'Segment - U.S. Stores'!I144</f>
        <v>134.903</v>
      </c>
      <c r="J26" s="58">
        <f>'Segment - U.S. Stores'!J144</f>
        <v>137.36963072646444</v>
      </c>
      <c r="K26" s="1"/>
    </row>
    <row r="27">
      <c r="A27" s="1"/>
      <c r="B27" s="113" t="s">
        <v>73</v>
      </c>
      <c r="C27" s="27">
        <f>'Segment - U.S. Stores'!C159</f>
        <v>110.3</v>
      </c>
      <c r="D27" s="27">
        <f>'Segment - U.S. Stores'!D159</f>
        <v>124.956</v>
      </c>
      <c r="E27" s="27">
        <f>'Segment - U.S. Stores'!E159</f>
        <v>120.925</v>
      </c>
      <c r="F27" s="27">
        <f>'Segment - U.S. Stores'!F159</f>
        <v>153.672</v>
      </c>
      <c r="G27" s="27">
        <f>'Segment - U.S. Stores'!G159</f>
        <v>509.853</v>
      </c>
      <c r="H27" s="1"/>
      <c r="I27" s="1"/>
      <c r="J27" s="24"/>
      <c r="K27" s="1"/>
    </row>
    <row r="28">
      <c r="A28" s="1"/>
      <c r="B28" s="102" t="s">
        <v>74</v>
      </c>
      <c r="C28" s="12">
        <f>IFERROR(C26/C27-1,"n/a")</f>
        <v>0.1239800543970988</v>
      </c>
      <c r="D28" s="12">
        <f>IFERROR(D26/D27-1,"n/a")</f>
        <v>0.05798040910400459</v>
      </c>
      <c r="E28" s="12">
        <f>IFERROR(E26/E27-1,"n/a")</f>
        <v>0.08862518089725024</v>
      </c>
      <c r="F28" s="12">
        <f>IFERROR(F26/F27-1,"n/a")</f>
        <v>0.11715862356187223</v>
      </c>
      <c r="G28" s="12">
        <f>IFERROR(G26/G27-1,"n/a")</f>
        <v>0.09736335767368254</v>
      </c>
      <c r="H28" s="12">
        <f>IFERROR(H26/C26-1,"n/a")</f>
        <v>0.05286549707602339</v>
      </c>
      <c r="I28" s="12">
        <f>IFERROR(I26/D26-1,"n/a")</f>
        <v>0.020438574594745962</v>
      </c>
      <c r="J28" s="44">
        <f>IFERROR(J26/E26-1,"n/a")</f>
        <v>0.04350914393935401</v>
      </c>
      <c r="K28" s="1"/>
    </row>
    <row r="29">
      <c r="A29" s="1"/>
      <c r="B29" s="102" t="s">
        <v>75</v>
      </c>
      <c r="C29" s="12" t="s">
        <v>76</v>
      </c>
      <c r="D29" s="12">
        <f>IFERROR(D26/C26-1,"n/a")</f>
        <v>0.06635208711433749</v>
      </c>
      <c r="E29" s="12">
        <f>IFERROR(E26/D26-1,"n/a")</f>
        <v>-0.0042284097699715195</v>
      </c>
      <c r="F29" s="12">
        <f>IFERROR(F26/E26-1,"n/a")</f>
        <v>0.30411266920891533</v>
      </c>
      <c r="G29" s="12" t="s">
        <v>76</v>
      </c>
      <c r="H29" s="12">
        <f>IFERROR(H26/F26-1,"n/a")</f>
        <v>-0.23967823108646524</v>
      </c>
      <c r="I29" s="12">
        <f>IFERROR(I26/H26-1,"n/a")</f>
        <v>0.033509794758253</v>
      </c>
      <c r="J29" s="44">
        <f>IFERROR(J26/I26-1,"n/a")</f>
        <v>0.018284476449481835</v>
      </c>
      <c r="K29" s="1"/>
    </row>
    <row r="30">
      <c r="A30" s="1"/>
      <c r="B30" s="102" t="s">
        <v>78</v>
      </c>
      <c r="C30" s="12">
        <f>IFERROR(C26/C58,"n/a")</f>
        <v>0.11148269511607331</v>
      </c>
      <c r="D30" s="12">
        <f>IFERROR(D26/D58,"n/a")</f>
        <v>0.11544486981549917</v>
      </c>
      <c r="E30" s="12">
        <f>IFERROR(E26/E58,"n/a")</f>
        <v>0.1147653031156336</v>
      </c>
      <c r="F30" s="12">
        <f>IFERROR(F26/F58,"n/a")</f>
        <v>0.11178715147095213</v>
      </c>
      <c r="G30" s="12">
        <f>IFERROR(G26/G58,"n/a")</f>
        <v>0.11325803229720523</v>
      </c>
      <c r="H30" s="12">
        <f>IFERROR(H26/H58,"n/a")</f>
        <v>0.11344488151337483</v>
      </c>
      <c r="I30" s="12">
        <f>IFERROR(I26/I58,"n/a")</f>
        <v>0.11294369601490922</v>
      </c>
      <c r="J30" s="44">
        <f>IFERROR(J26/J58,"n/a")</f>
        <v>0.11706631217352864</v>
      </c>
      <c r="K30" s="1"/>
    </row>
    <row r="31">
      <c r="A31" s="1"/>
      <c r="B31" s="102" t="s">
        <v>79</v>
      </c>
      <c r="C31" s="9">
        <f>'Segment - U.S. Stores'!C147</f>
        <v>0</v>
      </c>
      <c r="D31" s="9">
        <f>'Segment - U.S. Stores'!D147</f>
        <v>0</v>
      </c>
      <c r="E31" s="9">
        <f>'Segment - U.S. Stores'!E147</f>
        <v>0</v>
      </c>
      <c r="F31" s="9">
        <f>'Segment - U.S. Stores'!F147</f>
        <v>0</v>
      </c>
      <c r="G31" s="9">
        <f>'Segment - U.S. Stores'!G147</f>
        <v>0</v>
      </c>
      <c r="H31" s="9">
        <f>'Segment - U.S. Stores'!H147</f>
        <v>0</v>
      </c>
      <c r="I31" s="9">
        <f>'Segment - U.S. Stores'!I147</f>
        <v>0</v>
      </c>
      <c r="J31" s="77">
        <f>'Segment - U.S. Stores'!J147</f>
        <v>0</v>
      </c>
      <c r="K31" s="1"/>
    </row>
    <row r="32">
      <c r="A32" s="1"/>
      <c r="B32" s="102" t="s">
        <v>80</v>
      </c>
      <c r="C32" s="12" t="s">
        <v>81</v>
      </c>
      <c r="D32" s="12" t="s">
        <v>81</v>
      </c>
      <c r="E32" s="12" t="s">
        <v>81</v>
      </c>
      <c r="F32" s="12" t="s">
        <v>81</v>
      </c>
      <c r="G32" s="12" t="s">
        <v>81</v>
      </c>
      <c r="H32" s="12" t="s">
        <v>81</v>
      </c>
      <c r="I32" s="12" t="s">
        <v>81</v>
      </c>
      <c r="J32" s="44" t="s">
        <v>81</v>
      </c>
      <c r="K32" s="141" t="s">
        <v>82</v>
      </c>
    </row>
    <row r="33">
      <c r="A33" s="1"/>
      <c r="B33" s="102" t="s">
        <v>83</v>
      </c>
      <c r="C33" s="12" t="s">
        <v>81</v>
      </c>
      <c r="D33" s="12" t="s">
        <v>81</v>
      </c>
      <c r="E33" s="12" t="s">
        <v>81</v>
      </c>
      <c r="F33" s="12" t="s">
        <v>81</v>
      </c>
      <c r="G33" s="12" t="s">
        <v>81</v>
      </c>
      <c r="H33" s="12" t="s">
        <v>81</v>
      </c>
      <c r="I33" s="12" t="s">
        <v>81</v>
      </c>
      <c r="J33" s="44" t="s">
        <v>81</v>
      </c>
      <c r="K33" s="141" t="s">
        <v>84</v>
      </c>
    </row>
    <row r="34">
      <c r="A34" s="1"/>
      <c r="B34" s="74" t="s">
        <v>87</v>
      </c>
      <c r="C34" s="100">
        <f>'Segment - U.S. Stores'!C150</f>
        <v>366.573</v>
      </c>
      <c r="D34" s="100">
        <f>'Segment - U.S. Stores'!D150</f>
        <v>380.918</v>
      </c>
      <c r="E34" s="100">
        <f>'Segment - U.S. Stores'!E150</f>
        <v>371.546</v>
      </c>
      <c r="F34" s="100">
        <f>'Segment - U.S. Stores'!F150</f>
        <v>492.72400000000005</v>
      </c>
      <c r="G34" s="100">
        <f>'Segment - U.S. Stores'!G150</f>
        <v>1611.761</v>
      </c>
      <c r="H34" s="100">
        <f>'Segment - U.S. Stores'!H150</f>
        <v>370.641</v>
      </c>
      <c r="I34" s="100">
        <f>'Segment - U.S. Stores'!I150</f>
        <v>380.897</v>
      </c>
      <c r="J34" s="115">
        <f>'Segment - U.S. Stores'!J150</f>
        <v>363.42950158218986</v>
      </c>
      <c r="K34" s="1"/>
    </row>
    <row r="35">
      <c r="A35" s="1"/>
      <c r="B35" s="47" t="s">
        <v>88</v>
      </c>
      <c r="C35" s="27">
        <f>'Segment - U.S. Stores'!C161</f>
        <v>353.467</v>
      </c>
      <c r="D35" s="27">
        <f>'Segment - U.S. Stores'!D161</f>
        <v>364.796</v>
      </c>
      <c r="E35" s="27">
        <f>'Segment - U.S. Stores'!E161</f>
        <v>354.172</v>
      </c>
      <c r="F35" s="27">
        <f>'Segment - U.S. Stores'!F161</f>
        <v>469.509</v>
      </c>
      <c r="G35" s="27">
        <f>'Segment - U.S. Stores'!G161</f>
        <v>1541.944</v>
      </c>
      <c r="H35" s="1"/>
      <c r="I35" s="1"/>
      <c r="J35" s="24"/>
      <c r="K35" s="1"/>
    </row>
    <row r="36">
      <c r="A36" s="1"/>
      <c r="B36" s="18" t="s">
        <v>89</v>
      </c>
      <c r="C36" s="12">
        <f>IFERROR(C34/C35-1,"n/a")</f>
        <v>0.03707842599167677</v>
      </c>
      <c r="D36" s="12">
        <f>IFERROR(D34/D35-1,"n/a")</f>
        <v>0.044194563536881004</v>
      </c>
      <c r="E36" s="12">
        <f>IFERROR(E34/E35-1,"n/a")</f>
        <v>0.0490552612854771</v>
      </c>
      <c r="F36" s="12">
        <f>IFERROR(F34/F35-1,"n/a")</f>
        <v>0.04944527154964029</v>
      </c>
      <c r="G36" s="12">
        <f>IFERROR(G34/G35-1,"n/a")</f>
        <v>0.04527855745733955</v>
      </c>
      <c r="H36" s="12">
        <f>IFERROR(H34/C34-1,"n/a")</f>
        <v>0.01109738033079366</v>
      </c>
      <c r="I36" s="12">
        <f>IFERROR(I34/D34-1,"n/a")</f>
        <v>-0.000055129975480294746</v>
      </c>
      <c r="J36" s="44">
        <f>IFERROR(J34/E34-1,"n/a")</f>
        <v>-0.021845204679393992</v>
      </c>
      <c r="K36" s="1"/>
    </row>
    <row r="37">
      <c r="A37" s="1"/>
      <c r="B37" s="18" t="s">
        <v>90</v>
      </c>
      <c r="C37" s="12" t="s">
        <v>76</v>
      </c>
      <c r="D37" s="12">
        <f>IFERROR(D34/C34-1,"n/a")</f>
        <v>0.03913272390492484</v>
      </c>
      <c r="E37" s="12">
        <f>IFERROR(E34/D34-1,"n/a")</f>
        <v>-0.02460372048577386</v>
      </c>
      <c r="F37" s="12">
        <f>IFERROR(F34/E34-1,"n/a")</f>
        <v>0.3261453494318336</v>
      </c>
      <c r="G37" s="12" t="s">
        <v>76</v>
      </c>
      <c r="H37" s="12">
        <f>IFERROR(H34/F34-1,"n/a")</f>
        <v>-0.24777157191449983</v>
      </c>
      <c r="I37" s="12">
        <f>IFERROR(I34/H34-1,"n/a")</f>
        <v>0.027670980814318957</v>
      </c>
      <c r="J37" s="44">
        <f>IFERROR(J34/I34-1,"n/a")</f>
        <v>-0.04585885007708157</v>
      </c>
      <c r="K37" s="1"/>
    </row>
    <row r="38">
      <c r="A38" s="1"/>
      <c r="B38" s="18" t="s">
        <v>91</v>
      </c>
      <c r="C38" s="12">
        <f>IFERROR(C34/C58,"n/a")</f>
        <v>0.3296353780744855</v>
      </c>
      <c r="D38" s="12">
        <f>IFERROR(D34/D58,"n/a")</f>
        <v>0.3326376420782015</v>
      </c>
      <c r="E38" s="12">
        <f>IFERROR(E34/E58,"n/a")</f>
        <v>0.3239132595326811</v>
      </c>
      <c r="F38" s="12">
        <f>IFERROR(F34/F58,"n/a")</f>
        <v>0.32083816270983373</v>
      </c>
      <c r="G38" s="12">
        <f>IFERROR(G34/G58,"n/a")</f>
        <v>0.32626780518356907</v>
      </c>
      <c r="H38" s="12">
        <f>IFERROR(H34/H58,"n/a")</f>
        <v>0.32213013452182093</v>
      </c>
      <c r="I38" s="12">
        <f>IFERROR(I34/I58,"n/a")</f>
        <v>0.3188951689806074</v>
      </c>
      <c r="J38" s="44">
        <f>IFERROR(J34/J58,"n/a")</f>
        <v>0.30971439073028056</v>
      </c>
      <c r="K38" s="1"/>
    </row>
    <row r="39">
      <c r="A39" s="1"/>
      <c r="B39" s="18" t="s">
        <v>92</v>
      </c>
      <c r="C39" s="9">
        <f>'Segment - U.S. Stores'!C153</f>
        <v>0</v>
      </c>
      <c r="D39" s="9">
        <f>'Segment - U.S. Stores'!D153</f>
        <v>0</v>
      </c>
      <c r="E39" s="9">
        <f>'Segment - U.S. Stores'!E153</f>
        <v>0</v>
      </c>
      <c r="F39" s="9">
        <f>'Segment - U.S. Stores'!F153</f>
        <v>0</v>
      </c>
      <c r="G39" s="9">
        <f>'Segment - U.S. Stores'!G153</f>
        <v>0</v>
      </c>
      <c r="H39" s="9">
        <f>'Segment - U.S. Stores'!H153</f>
        <v>0</v>
      </c>
      <c r="I39" s="9">
        <f>'Segment - U.S. Stores'!I153</f>
        <v>0</v>
      </c>
      <c r="J39" s="77">
        <f>'Segment - U.S. Stores'!J153</f>
        <v>0</v>
      </c>
      <c r="K39" s="1"/>
    </row>
    <row r="40">
      <c r="A40" s="1"/>
      <c r="B40" s="18" t="s">
        <v>93</v>
      </c>
      <c r="C40" s="12" t="s">
        <v>81</v>
      </c>
      <c r="D40" s="12" t="s">
        <v>81</v>
      </c>
      <c r="E40" s="12" t="s">
        <v>81</v>
      </c>
      <c r="F40" s="12" t="s">
        <v>81</v>
      </c>
      <c r="G40" s="12" t="s">
        <v>81</v>
      </c>
      <c r="H40" s="12" t="s">
        <v>81</v>
      </c>
      <c r="I40" s="12" t="s">
        <v>81</v>
      </c>
      <c r="J40" s="44" t="s">
        <v>81</v>
      </c>
      <c r="K40" s="141" t="s">
        <v>82</v>
      </c>
    </row>
    <row r="41">
      <c r="A41" s="1"/>
      <c r="B41" s="18" t="s">
        <v>94</v>
      </c>
      <c r="C41" s="12" t="s">
        <v>81</v>
      </c>
      <c r="D41" s="12" t="s">
        <v>81</v>
      </c>
      <c r="E41" s="12" t="s">
        <v>81</v>
      </c>
      <c r="F41" s="12" t="s">
        <v>81</v>
      </c>
      <c r="G41" s="12" t="s">
        <v>81</v>
      </c>
      <c r="H41" s="12" t="s">
        <v>81</v>
      </c>
      <c r="I41" s="12" t="s">
        <v>81</v>
      </c>
      <c r="J41" s="44" t="s">
        <v>81</v>
      </c>
      <c r="K41" s="141" t="s">
        <v>84</v>
      </c>
    </row>
    <row r="42">
      <c r="A42" s="1"/>
      <c r="B42" s="74" t="s">
        <v>95</v>
      </c>
      <c r="C42" s="100">
        <f>'Segment - Supply Chain'!C27</f>
        <v>669.924</v>
      </c>
      <c r="D42" s="100">
        <f>'Segment - Supply Chain'!D27</f>
        <v>687.062</v>
      </c>
      <c r="E42" s="100">
        <f>'Segment - Supply Chain'!E27</f>
        <v>696.9590000000001</v>
      </c>
      <c r="F42" s="100">
        <f>'Segment - Supply Chain'!F27</f>
        <v>935.584</v>
      </c>
      <c r="G42" s="100">
        <f>'Segment - Supply Chain'!G27</f>
        <v>2989.529</v>
      </c>
      <c r="H42" s="100">
        <f>'Segment - Supply Chain'!H27</f>
        <v>698.9730000000001</v>
      </c>
      <c r="I42" s="100">
        <f>'Segment - Supply Chain'!I27</f>
        <v>731.708</v>
      </c>
      <c r="J42" s="115">
        <f>'Segment - Supply Chain'!J27</f>
        <v>729.3161776135134</v>
      </c>
      <c r="K42" s="1"/>
    </row>
    <row r="43">
      <c r="A43" s="1"/>
      <c r="B43" s="47" t="s">
        <v>88</v>
      </c>
      <c r="C43" s="27">
        <f>'Segment - Supply Chain'!C35</f>
        <v>659.214</v>
      </c>
      <c r="D43" s="27">
        <f>'Segment - Supply Chain'!D35</f>
        <v>659.244</v>
      </c>
      <c r="E43" s="27">
        <f>'Segment - Supply Chain'!E35</f>
        <v>651.314</v>
      </c>
      <c r="F43" s="27">
        <f>'Segment - Supply Chain'!F35</f>
        <v>876.009</v>
      </c>
      <c r="G43" s="27">
        <f>'Segment - Supply Chain'!G35</f>
        <v>2845.781</v>
      </c>
      <c r="H43" s="1"/>
      <c r="I43" s="1"/>
      <c r="J43" s="24"/>
      <c r="K43" s="1"/>
    </row>
    <row r="44">
      <c r="A44" s="1"/>
      <c r="B44" s="18" t="s">
        <v>89</v>
      </c>
      <c r="C44" s="12">
        <f>IFERROR(C42/C43-1,"n/a")</f>
        <v>0.01624662097588936</v>
      </c>
      <c r="D44" s="12">
        <f>IFERROR(D42/D43-1,"n/a")</f>
        <v>0.04219681938705544</v>
      </c>
      <c r="E44" s="12">
        <f>IFERROR(E42/E43-1,"n/a")</f>
        <v>0.07008140466810175</v>
      </c>
      <c r="F44" s="12">
        <f>IFERROR(F42/F43-1,"n/a")</f>
        <v>0.06800729216252344</v>
      </c>
      <c r="G44" s="12">
        <f>IFERROR(G42/G43-1,"n/a")</f>
        <v>0.050512671213983174</v>
      </c>
      <c r="H44" s="12">
        <f>IFERROR(H42/C42-1,"n/a")</f>
        <v>0.043361635051140324</v>
      </c>
      <c r="I44" s="12">
        <f>IFERROR(I42/D42-1,"n/a")</f>
        <v>0.06498103519041942</v>
      </c>
      <c r="J44" s="44">
        <f>IFERROR(J42/E42-1,"n/a")</f>
        <v>0.04642622824802234</v>
      </c>
      <c r="K44" s="1"/>
    </row>
    <row r="45">
      <c r="A45" s="1"/>
      <c r="B45" s="18" t="s">
        <v>90</v>
      </c>
      <c r="C45" s="12" t="s">
        <v>76</v>
      </c>
      <c r="D45" s="12">
        <f>IFERROR(D42/C42-1,"n/a")</f>
        <v>0.025582006317134587</v>
      </c>
      <c r="E45" s="12">
        <f>IFERROR(E42/D42-1,"n/a")</f>
        <v>0.014404813539389494</v>
      </c>
      <c r="F45" s="12">
        <f>IFERROR(F42/E42-1,"n/a")</f>
        <v>0.34238025479260603</v>
      </c>
      <c r="G45" s="12" t="s">
        <v>76</v>
      </c>
      <c r="H45" s="12">
        <f>IFERROR(H42/F42-1,"n/a")</f>
        <v>-0.252901930772651</v>
      </c>
      <c r="I45" s="12">
        <f>IFERROR(I42/H42-1,"n/a")</f>
        <v>0.04683299641044769</v>
      </c>
      <c r="J45" s="44">
        <f>IFERROR(J42/I42-1,"n/a")</f>
        <v>-0.0032688208772987393</v>
      </c>
      <c r="K45" s="1"/>
    </row>
    <row r="46">
      <c r="A46" s="1"/>
      <c r="B46" s="18" t="s">
        <v>91</v>
      </c>
      <c r="C46" s="12">
        <f>IFERROR(C42/C58,"n/a")</f>
        <v>0.6024193026250477</v>
      </c>
      <c r="D46" s="12">
        <f>IFERROR(D42/D58,"n/a")</f>
        <v>0.5999786926360353</v>
      </c>
      <c r="E46" s="12">
        <f>IFERROR(E42/E58,"n/a")</f>
        <v>0.6076078371201356</v>
      </c>
      <c r="F46" s="12">
        <f>IFERROR(F42/F58,"n/a")</f>
        <v>0.609207287691927</v>
      </c>
      <c r="G46" s="12">
        <f>IFERROR(G42/G58,"n/a")</f>
        <v>0.6051685487877111</v>
      </c>
      <c r="H46" s="12">
        <f>IFERROR(H42/H58,"n/a")</f>
        <v>0.6074888275099645</v>
      </c>
      <c r="I46" s="12">
        <f>IFERROR(I42/I58,"n/a")</f>
        <v>0.6126016910200455</v>
      </c>
      <c r="J46" s="44">
        <f>IFERROR(J42/J58,"n/a")</f>
        <v>0.6215227839675628</v>
      </c>
      <c r="K46" s="1"/>
    </row>
    <row r="47">
      <c r="A47" s="1"/>
      <c r="B47" s="18" t="s">
        <v>92</v>
      </c>
      <c r="C47" s="12" t="s">
        <v>81</v>
      </c>
      <c r="D47" s="12" t="s">
        <v>81</v>
      </c>
      <c r="E47" s="12" t="s">
        <v>81</v>
      </c>
      <c r="F47" s="12" t="s">
        <v>81</v>
      </c>
      <c r="G47" s="12" t="s">
        <v>81</v>
      </c>
      <c r="H47" s="12" t="s">
        <v>81</v>
      </c>
      <c r="I47" s="12" t="s">
        <v>81</v>
      </c>
      <c r="J47" s="44" t="s">
        <v>81</v>
      </c>
      <c r="K47" s="141" t="s">
        <v>96</v>
      </c>
    </row>
    <row r="48">
      <c r="A48" s="1"/>
      <c r="B48" s="18" t="s">
        <v>93</v>
      </c>
      <c r="C48" s="12" t="s">
        <v>81</v>
      </c>
      <c r="D48" s="12" t="s">
        <v>81</v>
      </c>
      <c r="E48" s="12" t="s">
        <v>81</v>
      </c>
      <c r="F48" s="12" t="s">
        <v>81</v>
      </c>
      <c r="G48" s="12" t="s">
        <v>81</v>
      </c>
      <c r="H48" s="12" t="s">
        <v>81</v>
      </c>
      <c r="I48" s="12" t="s">
        <v>81</v>
      </c>
      <c r="J48" s="44" t="s">
        <v>81</v>
      </c>
      <c r="K48" s="141" t="s">
        <v>97</v>
      </c>
    </row>
    <row r="49">
      <c r="A49" s="1"/>
      <c r="B49" s="18" t="s">
        <v>94</v>
      </c>
      <c r="C49" s="12" t="s">
        <v>81</v>
      </c>
      <c r="D49" s="12" t="s">
        <v>81</v>
      </c>
      <c r="E49" s="12" t="s">
        <v>81</v>
      </c>
      <c r="F49" s="12" t="s">
        <v>81</v>
      </c>
      <c r="G49" s="12" t="s">
        <v>81</v>
      </c>
      <c r="H49" s="12" t="s">
        <v>81</v>
      </c>
      <c r="I49" s="12" t="s">
        <v>81</v>
      </c>
      <c r="J49" s="44" t="s">
        <v>81</v>
      </c>
      <c r="K49" s="141" t="s">
        <v>98</v>
      </c>
    </row>
    <row r="50">
      <c r="A50" s="1"/>
      <c r="B50" s="74" t="s">
        <v>99</v>
      </c>
      <c r="C50" s="100">
        <f>'Segment - International'!C67</f>
        <v>75.559</v>
      </c>
      <c r="D50" s="100">
        <f>'Segment - International'!D67</f>
        <v>77.164</v>
      </c>
      <c r="E50" s="100">
        <f>'Segment - International'!E67</f>
        <v>78.549</v>
      </c>
      <c r="F50" s="100">
        <f>'Segment - International'!F67</f>
        <v>107.432</v>
      </c>
      <c r="G50" s="100">
        <f>'Segment - International'!G67</f>
        <v>338.704</v>
      </c>
      <c r="H50" s="100">
        <f>'Segment - International'!H67</f>
        <v>80.98</v>
      </c>
      <c r="I50" s="100">
        <f>'Segment - International'!I67</f>
        <v>81.822</v>
      </c>
      <c r="J50" s="115">
        <f>'Segment - International'!J67</f>
        <v>80.688660504346</v>
      </c>
      <c r="K50" s="1"/>
    </row>
    <row r="51">
      <c r="A51" s="1"/>
      <c r="B51" s="47" t="s">
        <v>88</v>
      </c>
      <c r="C51" s="27">
        <f>'Segment - International'!C75</f>
        <v>71.96600000000001</v>
      </c>
      <c r="D51" s="27">
        <f>'Segment - International'!D75</f>
        <v>73.696</v>
      </c>
      <c r="E51" s="27">
        <f>'Segment - International'!E75</f>
        <v>74.633</v>
      </c>
      <c r="F51" s="27">
        <f>'Segment - International'!F75</f>
        <v>98.396</v>
      </c>
      <c r="G51" s="27">
        <f>'Segment - International'!G75</f>
        <v>318.69100000000003</v>
      </c>
      <c r="H51" s="1"/>
      <c r="I51" s="1"/>
      <c r="J51" s="24"/>
      <c r="K51" s="1"/>
    </row>
    <row r="52">
      <c r="A52" s="1"/>
      <c r="B52" s="18" t="s">
        <v>89</v>
      </c>
      <c r="C52" s="12">
        <f>IFERROR(C50/C51-1,"n/a")</f>
        <v>0.049926354111663684</v>
      </c>
      <c r="D52" s="12">
        <f>IFERROR(D50/D51-1,"n/a")</f>
        <v>0.047058184976118245</v>
      </c>
      <c r="E52" s="12">
        <f>IFERROR(E50/E51-1,"n/a")</f>
        <v>0.052470086958852136</v>
      </c>
      <c r="F52" s="12">
        <f>IFERROR(F50/F51-1,"n/a")</f>
        <v>0.09183300134151806</v>
      </c>
      <c r="G52" s="12">
        <f>IFERROR(G50/G51-1,"n/a")</f>
        <v>0.06279750604817824</v>
      </c>
      <c r="H52" s="12">
        <f>IFERROR(H50/C50-1,"n/a")</f>
        <v>0.0717452586720313</v>
      </c>
      <c r="I52" s="12">
        <f>IFERROR(I50/D50-1,"n/a")</f>
        <v>0.060364937017261866</v>
      </c>
      <c r="J52" s="44">
        <f>IFERROR(J50/E50-1,"n/a")</f>
        <v>0.02723981851259727</v>
      </c>
      <c r="K52" s="1"/>
    </row>
    <row r="53">
      <c r="A53" s="1"/>
      <c r="B53" s="18" t="s">
        <v>90</v>
      </c>
      <c r="C53" s="12" t="s">
        <v>76</v>
      </c>
      <c r="D53" s="12">
        <f>IFERROR(D50/C50-1,"n/a")</f>
        <v>0.0212416786881775</v>
      </c>
      <c r="E53" s="12">
        <f>IFERROR(E50/D50-1,"n/a")</f>
        <v>0.017948784407236573</v>
      </c>
      <c r="F53" s="12">
        <f>IFERROR(F50/E50-1,"n/a")</f>
        <v>0.36770678175406424</v>
      </c>
      <c r="G53" s="12" t="s">
        <v>76</v>
      </c>
      <c r="H53" s="12">
        <f>IFERROR(H50/F50-1,"n/a")</f>
        <v>-0.2462208652915332</v>
      </c>
      <c r="I53" s="12">
        <f>IFERROR(I50/H50-1,"n/a")</f>
        <v>0.01039762904420849</v>
      </c>
      <c r="J53" s="44">
        <f>IFERROR(J50/I50-1,"n/a")</f>
        <v>-0.013851280776001507</v>
      </c>
      <c r="K53" s="1"/>
    </row>
    <row r="54">
      <c r="A54" s="1"/>
      <c r="B54" s="18" t="s">
        <v>91</v>
      </c>
      <c r="C54" s="12">
        <f>IFERROR(C50/C58,"n/a")</f>
        <v>0.06794531930046689</v>
      </c>
      <c r="D54" s="12">
        <f>IFERROR(D50/D58,"n/a")</f>
        <v>0.06738366528576319</v>
      </c>
      <c r="E54" s="12">
        <f>IFERROR(E50/E58,"n/a")</f>
        <v>0.0684789033471833</v>
      </c>
      <c r="F54" s="12">
        <f>IFERROR(F50/F58,"n/a")</f>
        <v>0.06995454959823928</v>
      </c>
      <c r="G54" s="12">
        <f>IFERROR(G50/G58,"n/a")</f>
        <v>0.06856364602871988</v>
      </c>
      <c r="H54" s="12">
        <f>IFERROR(H50/H58,"n/a")</f>
        <v>0.07038103796821468</v>
      </c>
      <c r="I54" s="12">
        <f>IFERROR(I50/I58,"n/a")</f>
        <v>0.06850313999934696</v>
      </c>
      <c r="J54" s="44">
        <f>IFERROR(J50/J58,"n/a")</f>
        <v>0.06876282530215662</v>
      </c>
      <c r="K54" s="1"/>
    </row>
    <row r="55">
      <c r="A55" s="1"/>
      <c r="B55" s="18" t="s">
        <v>92</v>
      </c>
      <c r="C55" s="9">
        <f>'Segment - International'!C71</f>
        <v>-0.04446544201428452</v>
      </c>
      <c r="D55" s="9">
        <f>'Segment - International'!D71</f>
        <v>-0.0027138514980460274</v>
      </c>
      <c r="E55" s="9">
        <f>'Segment - International'!E71</f>
        <v>0.010719118888427373</v>
      </c>
      <c r="F55" s="9">
        <f>'Segment - International'!F71</f>
        <v>0.01930972803772511</v>
      </c>
      <c r="G55" s="9">
        <f>'Segment - International'!G71</f>
        <v>-0.002196484996438557</v>
      </c>
      <c r="H55" s="9">
        <f>'Segment - International'!H71</f>
        <v>0.04764488677722045</v>
      </c>
      <c r="I55" s="9">
        <f>'Segment - International'!I71</f>
        <v>0.01425535223679436</v>
      </c>
      <c r="J55" s="77">
        <f>'Segment - International'!J71</f>
        <v>-0.010376159782955462</v>
      </c>
      <c r="K55" s="1"/>
    </row>
    <row r="56">
      <c r="A56" s="1"/>
      <c r="B56" s="18" t="s">
        <v>93</v>
      </c>
      <c r="C56" s="9">
        <f>'Segment - International'!C72</f>
        <v>0</v>
      </c>
      <c r="D56" s="9">
        <f>'Segment - International'!D72</f>
        <v>0</v>
      </c>
      <c r="E56" s="9">
        <f>'Segment - International'!E72</f>
        <v>0</v>
      </c>
      <c r="F56" s="9">
        <f>'Segment - International'!F72</f>
        <v>0</v>
      </c>
      <c r="G56" s="9">
        <f>'Segment - International'!G72</f>
        <v>0</v>
      </c>
      <c r="H56" s="9">
        <f>'Segment - International'!H72</f>
        <v>0</v>
      </c>
      <c r="I56" s="9">
        <f>'Segment - International'!I72</f>
        <v>0</v>
      </c>
      <c r="J56" s="77">
        <f>'Segment - International'!J72</f>
        <v>0</v>
      </c>
      <c r="K56" s="1"/>
    </row>
    <row r="57">
      <c r="A57" s="1"/>
      <c r="B57" s="18" t="s">
        <v>94</v>
      </c>
      <c r="C57" s="9">
        <f>'Segment - International'!C73</f>
        <v>0.09878428293051789</v>
      </c>
      <c r="D57" s="9">
        <f>'Segment - International'!D73</f>
        <v>0.049907477957984225</v>
      </c>
      <c r="E57" s="9">
        <f>'Segment - International'!E73</f>
        <v>0.041308180769689784</v>
      </c>
      <c r="F57" s="9">
        <f>'Segment - International'!F73</f>
        <v>0.0711493977825639</v>
      </c>
      <c r="G57" s="9">
        <f>'Segment - International'!G73</f>
        <v>0.06513706362758676</v>
      </c>
      <c r="H57" s="9">
        <f>'Segment - International'!H73</f>
        <v>0.023004333051200865</v>
      </c>
      <c r="I57" s="9">
        <f>'Segment - International'!I73</f>
        <v>0.04546151487273842</v>
      </c>
      <c r="J57" s="77">
        <f>'Segment - International'!J73</f>
        <v>0.03801038007259683</v>
      </c>
      <c r="K57" s="1"/>
    </row>
    <row r="58">
      <c r="A58" s="1"/>
      <c r="B58" s="13" t="s">
        <v>100</v>
      </c>
      <c r="C58" s="51">
        <f>C34+C42+C50</f>
        <v>1112.0559999999998</v>
      </c>
      <c r="D58" s="51">
        <f>D34+D42+D50</f>
        <v>1145.144</v>
      </c>
      <c r="E58" s="51">
        <f>E34+E42+E50</f>
        <v>1147.054</v>
      </c>
      <c r="F58" s="51">
        <f>F34+F42+F50</f>
        <v>1535.74</v>
      </c>
      <c r="G58" s="51">
        <f>G34+G42+G50</f>
        <v>4939.994</v>
      </c>
      <c r="H58" s="51">
        <f>H34+H42+H50</f>
        <v>1150.594</v>
      </c>
      <c r="I58" s="51">
        <f>I34+I42+I50</f>
        <v>1194.4270000000001</v>
      </c>
      <c r="J58" s="38">
        <f>J34+J42+J50</f>
        <v>1173.4343397000493</v>
      </c>
      <c r="K58" s="1"/>
    </row>
    <row r="59">
      <c r="A59" s="1"/>
      <c r="B59" s="2" t="s">
        <v>101</v>
      </c>
      <c r="C59" s="3">
        <f>C35+C43+C51</f>
        <v>1084.647</v>
      </c>
      <c r="D59" s="3">
        <f>D35+D43+D51</f>
        <v>1097.7359999999999</v>
      </c>
      <c r="E59" s="3">
        <f>E35+E43+E51</f>
        <v>1080.119</v>
      </c>
      <c r="F59" s="3">
        <f>F35+F43+F51</f>
        <v>1443.914</v>
      </c>
      <c r="G59" s="3">
        <f>G35+G43+G51</f>
        <v>4706.416</v>
      </c>
      <c r="H59" s="1"/>
      <c r="I59" s="1"/>
      <c r="J59" s="24"/>
      <c r="K59" s="1"/>
    </row>
    <row r="60">
      <c r="A60" s="1"/>
      <c r="B60" s="18" t="s">
        <v>89</v>
      </c>
      <c r="C60" s="12">
        <f>IFERROR(C58/C59-1,"n/a")</f>
        <v>0.025269972627038895</v>
      </c>
      <c r="D60" s="12">
        <f>IFERROR(D58/D59-1,"n/a")</f>
        <v>0.04318706865767363</v>
      </c>
      <c r="E60" s="12">
        <f>IFERROR(E58/E59-1,"n/a")</f>
        <v>0.06197002367331761</v>
      </c>
      <c r="F60" s="12">
        <f>IFERROR(F58/F59-1,"n/a")</f>
        <v>0.06359520026816012</v>
      </c>
      <c r="G60" s="12">
        <f>IFERROR(G58/G59-1,"n/a")</f>
        <v>0.04962969699236086</v>
      </c>
      <c r="H60" s="12">
        <f>IFERROR(H58/C58-1,"n/a")</f>
        <v>0.034654729617933144</v>
      </c>
      <c r="I60" s="12">
        <f>IFERROR(I58/D58-1,"n/a")</f>
        <v>0.04303650894559996</v>
      </c>
      <c r="J60" s="44">
        <f>IFERROR(J58/E58-1,"n/a")</f>
        <v>0.022998341577684434</v>
      </c>
      <c r="K60" s="1"/>
    </row>
    <row r="61" ht="27.75">
      <c r="A61" s="1"/>
      <c r="B61" s="18" t="s">
        <v>90</v>
      </c>
      <c r="C61" s="12" t="s">
        <v>76</v>
      </c>
      <c r="D61" s="12">
        <f>IFERROR(D58/C58-1,"n/a")</f>
        <v>0.029753897285748288</v>
      </c>
      <c r="E61" s="12">
        <f>IFERROR(E58/D58-1,"n/a")</f>
        <v>0.0016679125070733214</v>
      </c>
      <c r="F61" s="12">
        <f>IFERROR(F58/E58-1,"n/a")</f>
        <v>0.33885588647090703</v>
      </c>
      <c r="G61" s="12" t="s">
        <v>76</v>
      </c>
      <c r="H61" s="12">
        <f>IFERROR(H58/F58-1,"n/a")</f>
        <v>-0.2507885449359918</v>
      </c>
      <c r="I61" s="12">
        <f>IFERROR(I58/H58-1,"n/a")</f>
        <v>0.03809597477476867</v>
      </c>
      <c r="J61" s="44">
        <f>IFERROR(J58/I58-1,"n/a")</f>
        <v>-0.01757550716783096</v>
      </c>
      <c r="K61" s="141" t="s">
        <v>102</v>
      </c>
    </row>
    <row r="62">
      <c r="A62" s="1"/>
      <c r="B62" s="18" t="s">
        <v>91</v>
      </c>
      <c r="C62" s="12">
        <f>IFERROR(C58/C58,"n/a")</f>
        <v>1</v>
      </c>
      <c r="D62" s="12">
        <f>IFERROR(D58/D58,"n/a")</f>
        <v>1</v>
      </c>
      <c r="E62" s="12">
        <f>IFERROR(E58/E58,"n/a")</f>
        <v>1</v>
      </c>
      <c r="F62" s="12">
        <f>IFERROR(F58/F58,"n/a")</f>
        <v>1</v>
      </c>
      <c r="G62" s="12">
        <f>IFERROR(G58/G58,"n/a")</f>
        <v>1</v>
      </c>
      <c r="H62" s="12">
        <f>IFERROR(H58/H58,"n/a")</f>
        <v>1</v>
      </c>
      <c r="I62" s="12">
        <f>IFERROR(I58/I58,"n/a")</f>
        <v>1</v>
      </c>
      <c r="J62" s="44">
        <f>IFERROR(J58/J58,"n/a")</f>
        <v>1</v>
      </c>
      <c r="K62" s="1"/>
    </row>
    <row r="63" ht="27.75">
      <c r="A63" s="1"/>
      <c r="B63" s="154" t="s">
        <v>103</v>
      </c>
      <c r="C63" s="9">
        <f>'Segment - International'!C70/C59</f>
        <v>-0.0029502686127376005</v>
      </c>
      <c r="D63" s="9">
        <f>'Segment - International'!D70/D59</f>
        <v>-0.0001821931684849545</v>
      </c>
      <c r="E63" s="9">
        <f>'Segment - International'!E70/E59</f>
        <v>0.000740659131077224</v>
      </c>
      <c r="F63" s="9">
        <f>'Segment - International'!F70/F59</f>
        <v>0.001315867842544639</v>
      </c>
      <c r="G63" s="9">
        <f>'Segment - International'!G70/G59</f>
        <v>-0.00014873313366264268</v>
      </c>
      <c r="H63" s="9">
        <f>'Segment - International'!H70/C58</f>
        <v>0.0032372470451128366</v>
      </c>
      <c r="I63" s="9">
        <f>'Segment - International'!I70/D58</f>
        <v>0.0009605778836548068</v>
      </c>
      <c r="J63" s="77">
        <f>'Segment - International'!J70/E58</f>
        <v>-0.0007105480428919376</v>
      </c>
      <c r="K63" s="1"/>
    </row>
    <row r="64">
      <c r="A64" s="1"/>
      <c r="B64" s="18" t="s">
        <v>93</v>
      </c>
      <c r="C64" s="12" t="s">
        <v>81</v>
      </c>
      <c r="D64" s="12" t="s">
        <v>81</v>
      </c>
      <c r="E64" s="12" t="s">
        <v>81</v>
      </c>
      <c r="F64" s="12" t="s">
        <v>81</v>
      </c>
      <c r="G64" s="12" t="s">
        <v>81</v>
      </c>
      <c r="H64" s="12" t="s">
        <v>81</v>
      </c>
      <c r="I64" s="12" t="s">
        <v>81</v>
      </c>
      <c r="J64" s="44" t="s">
        <v>81</v>
      </c>
      <c r="K64" s="141" t="s">
        <v>104</v>
      </c>
    </row>
    <row r="65">
      <c r="A65" s="1"/>
      <c r="B65" s="18" t="s">
        <v>94</v>
      </c>
      <c r="C65" s="12" t="s">
        <v>81</v>
      </c>
      <c r="D65" s="12" t="s">
        <v>81</v>
      </c>
      <c r="E65" s="12" t="s">
        <v>81</v>
      </c>
      <c r="F65" s="12" t="s">
        <v>81</v>
      </c>
      <c r="G65" s="12" t="s">
        <v>81</v>
      </c>
      <c r="H65" s="12" t="s">
        <v>81</v>
      </c>
      <c r="I65" s="12" t="s">
        <v>81</v>
      </c>
      <c r="J65" s="44" t="s">
        <v>81</v>
      </c>
      <c r="K65" s="141" t="s">
        <v>105</v>
      </c>
    </row>
    <row r="66" ht="27.75">
      <c r="A66" s="1"/>
      <c r="B66" s="154" t="s">
        <v>106</v>
      </c>
      <c r="C66" s="9">
        <f>(C58-'Segment - International'!C70)/C59-1</f>
        <v>0.02822024123977651</v>
      </c>
      <c r="D66" s="9">
        <f>(D58-'Segment - International'!D70)/D59-1</f>
        <v>0.043369261826158745</v>
      </c>
      <c r="E66" s="9">
        <f>(E58-'Segment - International'!E70)/E59-1</f>
        <v>0.06122936454224037</v>
      </c>
      <c r="F66" s="9">
        <f>(F58-'Segment - International'!F70)/F59-1</f>
        <v>0.06227933242561523</v>
      </c>
      <c r="G66" s="9">
        <f>(G58-'Segment - International'!G70)/G59-1</f>
        <v>0.049778430126023565</v>
      </c>
      <c r="H66" s="9">
        <f>(H58-'Segment - International'!H70)/C58-1</f>
        <v>0.0314174825728204</v>
      </c>
      <c r="I66" s="9">
        <f>(I58-'Segment - International'!I70)/D58-1</f>
        <v>0.04207593106194518</v>
      </c>
      <c r="J66" s="77">
        <f>(J58-'Segment - International'!J70)/E58-1</f>
        <v>0.02370888962057638</v>
      </c>
      <c r="K66" s="1"/>
    </row>
    <row r="67">
      <c r="A67" s="1"/>
      <c r="B67" s="2" t="s">
        <v>107</v>
      </c>
      <c r="C67" s="20">
        <v>1112.056</v>
      </c>
      <c r="D67" s="20">
        <v>1145.144</v>
      </c>
      <c r="E67" s="20">
        <v>1147.054</v>
      </c>
      <c r="F67" s="20">
        <v>1535.74</v>
      </c>
      <c r="G67" s="3">
        <f>SUM(C67:F67)</f>
        <v>4939.994000000001</v>
      </c>
      <c r="H67" s="20">
        <v>1150.594</v>
      </c>
      <c r="I67" s="20">
        <v>1194.427</v>
      </c>
      <c r="J67" s="24"/>
      <c r="K67" s="141" t="s">
        <v>108</v>
      </c>
    </row>
    <row r="68" ht="27.75">
      <c r="A68" s="1"/>
      <c r="B68" s="140" t="s">
        <v>109</v>
      </c>
      <c r="C68" s="37">
        <f>C58-C67</f>
        <v>0</v>
      </c>
      <c r="D68" s="37">
        <f>D58-D67</f>
        <v>0</v>
      </c>
      <c r="E68" s="37">
        <f>E58-E67</f>
        <v>0</v>
      </c>
      <c r="F68" s="37">
        <f>F58-F67</f>
        <v>0</v>
      </c>
      <c r="G68" s="37">
        <f>G58-G67</f>
        <v>0</v>
      </c>
      <c r="H68" s="37">
        <f>H58-H67</f>
        <v>0</v>
      </c>
      <c r="I68" s="37">
        <f>I58-I67</f>
        <v>0</v>
      </c>
      <c r="J68" s="24"/>
      <c r="K68" s="1"/>
    </row>
    <row r="69" ht="40.5">
      <c r="A69" s="1"/>
      <c r="B69" s="148" t="s">
        <v>110</v>
      </c>
      <c r="C69" s="1"/>
      <c r="D69" s="1"/>
      <c r="E69" s="1"/>
      <c r="F69" s="1"/>
      <c r="G69" s="1"/>
      <c r="H69" s="1"/>
      <c r="I69" s="1"/>
      <c r="J69" s="24"/>
      <c r="K69" s="1"/>
    </row>
    <row r="70">
      <c r="A70" s="1"/>
      <c r="B70" s="1"/>
      <c r="C70" s="1"/>
      <c r="D70" s="1"/>
      <c r="E70" s="1"/>
      <c r="F70" s="1"/>
      <c r="G70" s="1"/>
      <c r="H70" s="1"/>
      <c r="I70" s="1"/>
      <c r="J70" s="24"/>
      <c r="K70" s="1"/>
    </row>
    <row r="71">
      <c r="A71" s="1"/>
      <c r="B71" s="1"/>
      <c r="C71" s="1"/>
      <c r="D71" s="1"/>
      <c r="E71" s="1"/>
      <c r="F71" s="1"/>
      <c r="G71" s="1"/>
      <c r="H71" s="1"/>
      <c r="I71" s="1"/>
      <c r="J71" s="1"/>
      <c r="K71" s="1"/>
    </row>
    <row r="72">
      <c r="A72" s="1"/>
      <c r="B72" s="1"/>
      <c r="C72" s="1"/>
      <c r="D72" s="1"/>
      <c r="E72" s="1"/>
      <c r="F72" s="1"/>
      <c r="G72" s="1"/>
      <c r="H72" s="1"/>
      <c r="I72" s="1"/>
      <c r="J72" s="1"/>
      <c r="K72" s="1"/>
    </row>
  </sheetData>
  <legacyDrawing r:id="rId2"/>
</worksheet>
</file>

<file path=xl/worksheets/sheet3.xml><?xml version="1.0" encoding="utf-8"?>
<worksheet xmlns="http://schemas.openxmlformats.org/spreadsheetml/2006/main" xmlns:r="http://schemas.openxmlformats.org/officeDocument/2006/relationships">
  <dimension ref="A1:K199"/>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111</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ht="27.75">
      <c r="A9" s="1"/>
      <c r="B9" s="142" t="s">
        <v>112</v>
      </c>
      <c r="C9" s="1"/>
      <c r="D9" s="1"/>
      <c r="E9" s="1"/>
      <c r="F9" s="1"/>
      <c r="G9" s="1"/>
      <c r="H9" s="1"/>
      <c r="I9" s="1"/>
      <c r="J9" s="24"/>
      <c r="K9" s="1"/>
    </row>
    <row r="10">
      <c r="A10" s="1"/>
      <c r="B10" s="2" t="s">
        <v>113</v>
      </c>
      <c r="C10" s="32">
        <v>292</v>
      </c>
      <c r="D10" s="22">
        <f>C22</f>
        <v>294</v>
      </c>
      <c r="E10" s="22">
        <f>D22</f>
        <v>258</v>
      </c>
      <c r="F10" s="22">
        <f>E22</f>
        <v>260</v>
      </c>
      <c r="G10" s="22">
        <f>C10</f>
        <v>292</v>
      </c>
      <c r="H10" s="22">
        <f>F22</f>
        <v>262</v>
      </c>
      <c r="I10" s="22">
        <f>H22</f>
        <v>262</v>
      </c>
      <c r="J10" s="73">
        <f>I22</f>
        <v>186</v>
      </c>
      <c r="K10" s="141" t="s">
        <v>114</v>
      </c>
    </row>
    <row r="11" ht="27.75">
      <c r="A11" s="1"/>
      <c r="B11" s="154" t="s">
        <v>115</v>
      </c>
      <c r="C11" s="25" t="s">
        <v>76</v>
      </c>
      <c r="D11" s="25" t="s">
        <v>76</v>
      </c>
      <c r="E11" s="25" t="s">
        <v>76</v>
      </c>
      <c r="F11" s="25" t="s">
        <v>76</v>
      </c>
      <c r="G11" s="25" t="s">
        <v>76</v>
      </c>
      <c r="H11" s="25">
        <f>H10-C10</f>
        <v>-30</v>
      </c>
      <c r="I11" s="25">
        <f>I10-D10</f>
        <v>-32</v>
      </c>
      <c r="J11" s="62">
        <f>J10-E10</f>
        <v>-72</v>
      </c>
      <c r="K11" s="1"/>
    </row>
    <row r="12" ht="27.75">
      <c r="A12" s="1"/>
      <c r="B12" s="154" t="s">
        <v>116</v>
      </c>
      <c r="C12" s="25" t="s">
        <v>76</v>
      </c>
      <c r="D12" s="25">
        <f>D10-C10</f>
        <v>2</v>
      </c>
      <c r="E12" s="25">
        <f>E10-D10</f>
        <v>-36</v>
      </c>
      <c r="F12" s="25">
        <f>F10-E10</f>
        <v>2</v>
      </c>
      <c r="G12" s="25" t="s">
        <v>76</v>
      </c>
      <c r="H12" s="25">
        <f>H10-F10</f>
        <v>2</v>
      </c>
      <c r="I12" s="25">
        <f>I10-H10</f>
        <v>0</v>
      </c>
      <c r="J12" s="62">
        <f>J10-I10</f>
        <v>-76</v>
      </c>
      <c r="K12" s="1"/>
    </row>
    <row r="13">
      <c r="A13" s="1"/>
      <c r="B13" s="2" t="s">
        <v>117</v>
      </c>
      <c r="C13" s="32">
        <v>0</v>
      </c>
      <c r="D13" s="32">
        <v>0</v>
      </c>
      <c r="E13" s="32">
        <v>2</v>
      </c>
      <c r="F13" s="32">
        <v>3</v>
      </c>
      <c r="G13" s="22">
        <f>SUM(C13:F13)</f>
        <v>5</v>
      </c>
      <c r="H13" s="32">
        <v>1</v>
      </c>
      <c r="I13" s="32">
        <v>1</v>
      </c>
      <c r="J13" s="84">
        <v>2</v>
      </c>
      <c r="K13" s="141" t="s">
        <v>118</v>
      </c>
    </row>
    <row r="14">
      <c r="A14" s="1"/>
      <c r="B14" s="18" t="s">
        <v>119</v>
      </c>
      <c r="C14" s="25" t="s">
        <v>76</v>
      </c>
      <c r="D14" s="25" t="s">
        <v>76</v>
      </c>
      <c r="E14" s="25" t="s">
        <v>76</v>
      </c>
      <c r="F14" s="25" t="s">
        <v>76</v>
      </c>
      <c r="G14" s="25" t="s">
        <v>76</v>
      </c>
      <c r="H14" s="25">
        <f>H13-C13</f>
        <v>1</v>
      </c>
      <c r="I14" s="25">
        <f>I13-D13</f>
        <v>1</v>
      </c>
      <c r="J14" s="62">
        <f>J13-E13</f>
        <v>0</v>
      </c>
      <c r="K14" s="1"/>
    </row>
    <row r="15" ht="27.75">
      <c r="A15" s="1"/>
      <c r="B15" s="154" t="s">
        <v>120</v>
      </c>
      <c r="C15" s="25" t="s">
        <v>76</v>
      </c>
      <c r="D15" s="25">
        <f>D13-C13</f>
        <v>0</v>
      </c>
      <c r="E15" s="25">
        <f>E13-D13</f>
        <v>2</v>
      </c>
      <c r="F15" s="25">
        <f>F13-E13</f>
        <v>1</v>
      </c>
      <c r="G15" s="25" t="s">
        <v>76</v>
      </c>
      <c r="H15" s="25">
        <f>H13-F13</f>
        <v>-2</v>
      </c>
      <c r="I15" s="25">
        <f>I13-H13</f>
        <v>0</v>
      </c>
      <c r="J15" s="62">
        <f>J13-I13</f>
        <v>1</v>
      </c>
      <c r="K15" s="1"/>
    </row>
    <row r="16">
      <c r="A16" s="1"/>
      <c r="B16" s="2" t="s">
        <v>121</v>
      </c>
      <c r="C16" s="32">
        <v>0</v>
      </c>
      <c r="D16" s="32">
        <v>0</v>
      </c>
      <c r="E16" s="32">
        <v>0</v>
      </c>
      <c r="F16" s="32">
        <v>0</v>
      </c>
      <c r="G16" s="22">
        <f>SUM(C16:F16)</f>
        <v>0</v>
      </c>
      <c r="H16" s="32">
        <v>-1</v>
      </c>
      <c r="I16" s="32">
        <v>0</v>
      </c>
      <c r="J16" s="84">
        <v>0</v>
      </c>
      <c r="K16" s="141" t="s">
        <v>118</v>
      </c>
    </row>
    <row r="17">
      <c r="A17" s="1"/>
      <c r="B17" s="18" t="s">
        <v>122</v>
      </c>
      <c r="C17" s="25" t="s">
        <v>76</v>
      </c>
      <c r="D17" s="25" t="s">
        <v>76</v>
      </c>
      <c r="E17" s="25" t="s">
        <v>76</v>
      </c>
      <c r="F17" s="25" t="s">
        <v>76</v>
      </c>
      <c r="G17" s="25" t="s">
        <v>76</v>
      </c>
      <c r="H17" s="25">
        <f>H16-C16</f>
        <v>-1</v>
      </c>
      <c r="I17" s="25">
        <f>I16-D16</f>
        <v>0</v>
      </c>
      <c r="J17" s="62">
        <f>J16-E16</f>
        <v>0</v>
      </c>
      <c r="K17" s="1"/>
    </row>
    <row r="18" ht="27.75">
      <c r="A18" s="1"/>
      <c r="B18" s="154" t="s">
        <v>123</v>
      </c>
      <c r="C18" s="25" t="s">
        <v>76</v>
      </c>
      <c r="D18" s="25">
        <f>D16-C16</f>
        <v>0</v>
      </c>
      <c r="E18" s="25">
        <f>E16-D16</f>
        <v>0</v>
      </c>
      <c r="F18" s="25">
        <f>F16-E16</f>
        <v>0</v>
      </c>
      <c r="G18" s="25" t="s">
        <v>76</v>
      </c>
      <c r="H18" s="25">
        <f>H16-F16</f>
        <v>-1</v>
      </c>
      <c r="I18" s="25">
        <f>I16-H16</f>
        <v>1</v>
      </c>
      <c r="J18" s="62">
        <f>J16-I16</f>
        <v>0</v>
      </c>
      <c r="K18" s="1"/>
    </row>
    <row r="19" ht="27.75">
      <c r="A19" s="1"/>
      <c r="B19" s="144" t="s">
        <v>124</v>
      </c>
      <c r="C19" s="32">
        <v>2</v>
      </c>
      <c r="D19" s="32">
        <v>-36</v>
      </c>
      <c r="E19" s="32">
        <v>0</v>
      </c>
      <c r="F19" s="32">
        <v>-1</v>
      </c>
      <c r="G19" s="22">
        <f>SUM(C19:F19)</f>
        <v>-35</v>
      </c>
      <c r="H19" s="32">
        <v>0</v>
      </c>
      <c r="I19" s="32">
        <v>-77</v>
      </c>
      <c r="J19" s="84">
        <v>0</v>
      </c>
      <c r="K19" s="141" t="s">
        <v>118</v>
      </c>
    </row>
    <row r="20" ht="27.75">
      <c r="A20" s="1"/>
      <c r="B20" s="154" t="s">
        <v>125</v>
      </c>
      <c r="C20" s="25" t="s">
        <v>76</v>
      </c>
      <c r="D20" s="25" t="s">
        <v>76</v>
      </c>
      <c r="E20" s="25" t="s">
        <v>76</v>
      </c>
      <c r="F20" s="25" t="s">
        <v>76</v>
      </c>
      <c r="G20" s="25" t="s">
        <v>76</v>
      </c>
      <c r="H20" s="25">
        <f>H19-C19</f>
        <v>-2</v>
      </c>
      <c r="I20" s="25">
        <f>I19-D19</f>
        <v>-41</v>
      </c>
      <c r="J20" s="62">
        <f>J19-E19</f>
        <v>0</v>
      </c>
      <c r="K20" s="1"/>
    </row>
    <row r="21" ht="40.5">
      <c r="A21" s="1"/>
      <c r="B21" s="154" t="s">
        <v>126</v>
      </c>
      <c r="C21" s="25" t="s">
        <v>76</v>
      </c>
      <c r="D21" s="25">
        <f>D19-C19</f>
        <v>-38</v>
      </c>
      <c r="E21" s="25">
        <f>E19-D19</f>
        <v>36</v>
      </c>
      <c r="F21" s="25">
        <f>F19-E19</f>
        <v>-1</v>
      </c>
      <c r="G21" s="25" t="s">
        <v>76</v>
      </c>
      <c r="H21" s="25">
        <f>H19-F19</f>
        <v>1</v>
      </c>
      <c r="I21" s="25">
        <f>I19-H19</f>
        <v>-77</v>
      </c>
      <c r="J21" s="62">
        <f>J19-I19</f>
        <v>77</v>
      </c>
      <c r="K21" s="1"/>
    </row>
    <row r="22">
      <c r="A22" s="1"/>
      <c r="B22" s="74" t="s">
        <v>127</v>
      </c>
      <c r="C22" s="33">
        <f>C10+C13+C16+C19</f>
        <v>294</v>
      </c>
      <c r="D22" s="33">
        <f>D10+D13+D16+D19</f>
        <v>258</v>
      </c>
      <c r="E22" s="33">
        <f>E10+E13+E16+E19</f>
        <v>260</v>
      </c>
      <c r="F22" s="33">
        <f>F10+F13+F16+F19</f>
        <v>262</v>
      </c>
      <c r="G22" s="33">
        <f>G10+G13+G16+G19</f>
        <v>262</v>
      </c>
      <c r="H22" s="33">
        <f>H10+H13+H16+H19</f>
        <v>262</v>
      </c>
      <c r="I22" s="33">
        <f>I10+I13+I16+I19</f>
        <v>186</v>
      </c>
      <c r="J22" s="72">
        <f>J10+J13+J16+J19</f>
        <v>188</v>
      </c>
      <c r="K22" s="1"/>
    </row>
    <row r="23">
      <c r="A23" s="1"/>
      <c r="B23" s="47" t="s">
        <v>128</v>
      </c>
      <c r="C23" s="32">
        <v>294</v>
      </c>
      <c r="D23" s="32">
        <v>258</v>
      </c>
      <c r="E23" s="32">
        <v>260</v>
      </c>
      <c r="F23" s="32">
        <v>262</v>
      </c>
      <c r="G23" s="1"/>
      <c r="H23" s="32">
        <v>262</v>
      </c>
      <c r="I23" s="32">
        <v>186</v>
      </c>
      <c r="J23" s="24"/>
      <c r="K23" s="141" t="s">
        <v>108</v>
      </c>
    </row>
    <row r="24" ht="27.75">
      <c r="A24" s="1"/>
      <c r="B24" s="154" t="s">
        <v>129</v>
      </c>
      <c r="C24" s="25">
        <f>C22-C23</f>
        <v>0</v>
      </c>
      <c r="D24" s="25">
        <f>D22-D23</f>
        <v>0</v>
      </c>
      <c r="E24" s="25">
        <f>E22-E23</f>
        <v>0</v>
      </c>
      <c r="F24" s="25">
        <f>F22-F23</f>
        <v>0</v>
      </c>
      <c r="G24" s="1"/>
      <c r="H24" s="25">
        <f>H22-H23</f>
        <v>0</v>
      </c>
      <c r="I24" s="25">
        <f>I22-I23</f>
        <v>0</v>
      </c>
      <c r="J24" s="24"/>
      <c r="K24" s="1"/>
    </row>
    <row r="25" ht="27.75">
      <c r="A25" s="1"/>
      <c r="B25" s="154" t="s">
        <v>130</v>
      </c>
      <c r="C25" s="25" t="s">
        <v>76</v>
      </c>
      <c r="D25" s="25" t="s">
        <v>76</v>
      </c>
      <c r="E25" s="25" t="s">
        <v>76</v>
      </c>
      <c r="F25" s="25" t="s">
        <v>76</v>
      </c>
      <c r="G25" s="25" t="s">
        <v>76</v>
      </c>
      <c r="H25" s="25">
        <f>H22-C22</f>
        <v>-32</v>
      </c>
      <c r="I25" s="25">
        <f>I22-D22</f>
        <v>-72</v>
      </c>
      <c r="J25" s="62">
        <f>J22-E22</f>
        <v>-72</v>
      </c>
      <c r="K25" s="1"/>
    </row>
    <row r="26" ht="27.75">
      <c r="A26" s="1"/>
      <c r="B26" s="144" t="s">
        <v>131</v>
      </c>
      <c r="C26" s="22">
        <f>C13+C16</f>
        <v>0</v>
      </c>
      <c r="D26" s="22">
        <f>D13+D16</f>
        <v>0</v>
      </c>
      <c r="E26" s="22">
        <f>E13+E16</f>
        <v>2</v>
      </c>
      <c r="F26" s="22">
        <f>F13+F16</f>
        <v>3</v>
      </c>
      <c r="G26" s="22">
        <f>G13+G16</f>
        <v>5</v>
      </c>
      <c r="H26" s="22">
        <f>H13+H16</f>
        <v>0</v>
      </c>
      <c r="I26" s="22">
        <f>I13+I16</f>
        <v>1</v>
      </c>
      <c r="J26" s="73">
        <f>J13+J16</f>
        <v>2</v>
      </c>
      <c r="K26" s="1"/>
    </row>
    <row r="27" ht="27.75">
      <c r="A27" s="1"/>
      <c r="B27" s="154" t="s">
        <v>132</v>
      </c>
      <c r="C27" s="25" t="s">
        <v>76</v>
      </c>
      <c r="D27" s="25" t="s">
        <v>76</v>
      </c>
      <c r="E27" s="25" t="s">
        <v>76</v>
      </c>
      <c r="F27" s="25" t="s">
        <v>76</v>
      </c>
      <c r="G27" s="25" t="s">
        <v>76</v>
      </c>
      <c r="H27" s="25">
        <f>H26-C26</f>
        <v>0</v>
      </c>
      <c r="I27" s="25">
        <f>I26-D26</f>
        <v>1</v>
      </c>
      <c r="J27" s="62">
        <f>J26-E26</f>
        <v>0</v>
      </c>
      <c r="K27" s="1"/>
    </row>
    <row r="28" ht="27.75">
      <c r="A28" s="1"/>
      <c r="B28" s="154" t="s">
        <v>133</v>
      </c>
      <c r="C28" s="25" t="s">
        <v>76</v>
      </c>
      <c r="D28" s="25">
        <f>D26-C26</f>
        <v>0</v>
      </c>
      <c r="E28" s="25">
        <f>E26-D26</f>
        <v>2</v>
      </c>
      <c r="F28" s="25">
        <f>F26-E26</f>
        <v>1</v>
      </c>
      <c r="G28" s="25" t="s">
        <v>76</v>
      </c>
      <c r="H28" s="25">
        <f>H26-F26</f>
        <v>-3</v>
      </c>
      <c r="I28" s="25">
        <f>I26-H26</f>
        <v>1</v>
      </c>
      <c r="J28" s="62">
        <f>J26-I26</f>
        <v>1</v>
      </c>
      <c r="K28" s="1"/>
    </row>
    <row r="29">
      <c r="A29" s="1"/>
      <c r="B29" s="2" t="s">
        <v>134</v>
      </c>
      <c r="C29" s="3">
        <f>(C10+C22)/2</f>
        <v>293</v>
      </c>
      <c r="D29" s="3">
        <f>(D10+D22)/2</f>
        <v>276</v>
      </c>
      <c r="E29" s="3">
        <f>(E10+E22)/2</f>
        <v>259</v>
      </c>
      <c r="F29" s="3">
        <f>(F10+F22)/2</f>
        <v>261</v>
      </c>
      <c r="G29" s="3">
        <f>SUMPRODUCT(C29:F29,C7:F7)/G7</f>
        <v>271.38461538461536</v>
      </c>
      <c r="H29" s="3">
        <f>(H10+H22)/2</f>
        <v>262</v>
      </c>
      <c r="I29" s="3">
        <f>(I10+I22)/2</f>
        <v>224</v>
      </c>
      <c r="J29" s="40">
        <f>(J10+J22)/2</f>
        <v>187</v>
      </c>
      <c r="K29" s="1"/>
    </row>
    <row r="30">
      <c r="A30" s="1"/>
      <c r="B30" s="18" t="s">
        <v>135</v>
      </c>
      <c r="C30" s="12" t="s">
        <v>76</v>
      </c>
      <c r="D30" s="12" t="s">
        <v>76</v>
      </c>
      <c r="E30" s="12" t="s">
        <v>76</v>
      </c>
      <c r="F30" s="12" t="s">
        <v>76</v>
      </c>
      <c r="G30" s="12" t="s">
        <v>76</v>
      </c>
      <c r="H30" s="12">
        <f>IFERROR(H29/C29-1,"n/a")</f>
        <v>-0.10580204778156999</v>
      </c>
      <c r="I30" s="12">
        <f>IFERROR(I29/D29-1,"n/a")</f>
        <v>-0.18840579710144922</v>
      </c>
      <c r="J30" s="44">
        <f>IFERROR(J29/E29-1,"n/a")</f>
        <v>-0.277992277992278</v>
      </c>
      <c r="K30" s="1"/>
    </row>
    <row r="31" ht="27.75">
      <c r="A31" s="1"/>
      <c r="B31" s="154" t="s">
        <v>136</v>
      </c>
      <c r="C31" s="37" t="s">
        <v>76</v>
      </c>
      <c r="D31" s="37">
        <f>D29-C29</f>
        <v>-17</v>
      </c>
      <c r="E31" s="37">
        <f>E29-D29</f>
        <v>-17</v>
      </c>
      <c r="F31" s="37">
        <f>F29-E29</f>
        <v>2</v>
      </c>
      <c r="G31" s="37" t="s">
        <v>76</v>
      </c>
      <c r="H31" s="37">
        <f>H29-F29</f>
        <v>1</v>
      </c>
      <c r="I31" s="37">
        <f>I29-H29</f>
        <v>-38</v>
      </c>
      <c r="J31" s="63">
        <f>J29-I29</f>
        <v>-37</v>
      </c>
      <c r="K31" s="1"/>
    </row>
    <row r="32" ht="27.75">
      <c r="A32" s="1"/>
      <c r="B32" s="154" t="s">
        <v>137</v>
      </c>
      <c r="C32" s="25" t="s">
        <v>76</v>
      </c>
      <c r="D32" s="25">
        <f>D22-C22</f>
        <v>-36</v>
      </c>
      <c r="E32" s="25">
        <f>E22-D22</f>
        <v>2</v>
      </c>
      <c r="F32" s="25">
        <f>F22-E22</f>
        <v>2</v>
      </c>
      <c r="G32" s="25" t="s">
        <v>76</v>
      </c>
      <c r="H32" s="25">
        <f>H22-F22</f>
        <v>0</v>
      </c>
      <c r="I32" s="25">
        <f>I22-H22</f>
        <v>-76</v>
      </c>
      <c r="J32" s="62">
        <f>J22-I22</f>
        <v>2</v>
      </c>
      <c r="K32" s="1"/>
    </row>
    <row r="33">
      <c r="A33" s="1"/>
      <c r="B33" s="7" t="s">
        <v>138</v>
      </c>
      <c r="C33" s="1"/>
      <c r="D33" s="1"/>
      <c r="E33" s="1"/>
      <c r="F33" s="1"/>
      <c r="G33" s="1"/>
      <c r="H33" s="1"/>
      <c r="I33" s="1"/>
      <c r="J33" s="24"/>
      <c r="K33" s="1"/>
    </row>
    <row r="34">
      <c r="A34" s="1"/>
      <c r="B34" s="2" t="s">
        <v>113</v>
      </c>
      <c r="C34" s="32">
        <v>6722</v>
      </c>
      <c r="D34" s="22">
        <f>C46</f>
        <v>6737</v>
      </c>
      <c r="E34" s="22">
        <f>D46</f>
        <v>6803</v>
      </c>
      <c r="F34" s="22">
        <f>E46</f>
        <v>6830</v>
      </c>
      <c r="G34" s="22">
        <f>C34</f>
        <v>6722</v>
      </c>
      <c r="H34" s="22">
        <f>F46</f>
        <v>6924</v>
      </c>
      <c r="I34" s="22">
        <f>H46</f>
        <v>6943</v>
      </c>
      <c r="J34" s="73">
        <f>I46</f>
        <v>7045</v>
      </c>
      <c r="K34" s="141" t="s">
        <v>114</v>
      </c>
    </row>
    <row r="35" ht="27.75">
      <c r="A35" s="1"/>
      <c r="B35" s="154" t="s">
        <v>115</v>
      </c>
      <c r="C35" s="25" t="s">
        <v>76</v>
      </c>
      <c r="D35" s="25" t="s">
        <v>76</v>
      </c>
      <c r="E35" s="25" t="s">
        <v>76</v>
      </c>
      <c r="F35" s="25" t="s">
        <v>76</v>
      </c>
      <c r="G35" s="25" t="s">
        <v>76</v>
      </c>
      <c r="H35" s="25">
        <f>H34-C34</f>
        <v>202</v>
      </c>
      <c r="I35" s="25">
        <f>I34-D34</f>
        <v>206</v>
      </c>
      <c r="J35" s="62">
        <f>J34-E34</f>
        <v>242</v>
      </c>
      <c r="K35" s="1"/>
    </row>
    <row r="36" ht="27.75">
      <c r="A36" s="1"/>
      <c r="B36" s="154" t="s">
        <v>116</v>
      </c>
      <c r="C36" s="25" t="s">
        <v>76</v>
      </c>
      <c r="D36" s="25">
        <f>D34-C34</f>
        <v>15</v>
      </c>
      <c r="E36" s="25">
        <f>E34-D34</f>
        <v>66</v>
      </c>
      <c r="F36" s="25">
        <f>F34-E34</f>
        <v>27</v>
      </c>
      <c r="G36" s="25" t="s">
        <v>76</v>
      </c>
      <c r="H36" s="25">
        <f>H34-F34</f>
        <v>94</v>
      </c>
      <c r="I36" s="25">
        <f>I34-H34</f>
        <v>19</v>
      </c>
      <c r="J36" s="62">
        <f>J34-I34</f>
        <v>102</v>
      </c>
      <c r="K36" s="1"/>
    </row>
    <row r="37">
      <c r="A37" s="1"/>
      <c r="B37" s="2" t="s">
        <v>117</v>
      </c>
      <c r="C37" s="32">
        <v>20</v>
      </c>
      <c r="D37" s="32">
        <v>33</v>
      </c>
      <c r="E37" s="32">
        <v>28</v>
      </c>
      <c r="F37" s="32">
        <v>93</v>
      </c>
      <c r="G37" s="22">
        <f>SUM(C37:F37)</f>
        <v>174</v>
      </c>
      <c r="H37" s="32">
        <v>20</v>
      </c>
      <c r="I37" s="32">
        <v>26</v>
      </c>
      <c r="J37" s="84">
        <v>32</v>
      </c>
      <c r="K37" s="141" t="s">
        <v>118</v>
      </c>
    </row>
    <row r="38">
      <c r="A38" s="1"/>
      <c r="B38" s="18" t="s">
        <v>119</v>
      </c>
      <c r="C38" s="25" t="s">
        <v>76</v>
      </c>
      <c r="D38" s="25" t="s">
        <v>76</v>
      </c>
      <c r="E38" s="25" t="s">
        <v>76</v>
      </c>
      <c r="F38" s="25" t="s">
        <v>76</v>
      </c>
      <c r="G38" s="25" t="s">
        <v>76</v>
      </c>
      <c r="H38" s="25">
        <f>H37-C37</f>
        <v>0</v>
      </c>
      <c r="I38" s="25">
        <f>I37-D37</f>
        <v>-7</v>
      </c>
      <c r="J38" s="62">
        <f>J37-E37</f>
        <v>4</v>
      </c>
      <c r="K38" s="1"/>
    </row>
    <row r="39" ht="27.75">
      <c r="A39" s="1"/>
      <c r="B39" s="154" t="s">
        <v>120</v>
      </c>
      <c r="C39" s="25" t="s">
        <v>76</v>
      </c>
      <c r="D39" s="25">
        <f>D37-C37</f>
        <v>13</v>
      </c>
      <c r="E39" s="25">
        <f>E37-D37</f>
        <v>-5</v>
      </c>
      <c r="F39" s="25">
        <f>F37-E37</f>
        <v>65</v>
      </c>
      <c r="G39" s="25" t="s">
        <v>76</v>
      </c>
      <c r="H39" s="25">
        <f>H37-F37</f>
        <v>-73</v>
      </c>
      <c r="I39" s="25">
        <f>I37-H37</f>
        <v>6</v>
      </c>
      <c r="J39" s="62">
        <f>J37-I37</f>
        <v>6</v>
      </c>
      <c r="K39" s="1"/>
    </row>
    <row r="40">
      <c r="A40" s="1"/>
      <c r="B40" s="2" t="s">
        <v>121</v>
      </c>
      <c r="C40" s="32">
        <v>-3</v>
      </c>
      <c r="D40" s="32">
        <v>-3</v>
      </c>
      <c r="E40" s="32">
        <v>-1</v>
      </c>
      <c r="F40" s="32">
        <v>0</v>
      </c>
      <c r="G40" s="22">
        <f>SUM(C40:F40)</f>
        <v>-7</v>
      </c>
      <c r="H40" s="32">
        <v>-1</v>
      </c>
      <c r="I40" s="32">
        <v>-1</v>
      </c>
      <c r="J40" s="84">
        <v>-2</v>
      </c>
      <c r="K40" s="141" t="s">
        <v>118</v>
      </c>
    </row>
    <row r="41">
      <c r="A41" s="1"/>
      <c r="B41" s="18" t="s">
        <v>122</v>
      </c>
      <c r="C41" s="25" t="s">
        <v>76</v>
      </c>
      <c r="D41" s="25" t="s">
        <v>76</v>
      </c>
      <c r="E41" s="25" t="s">
        <v>76</v>
      </c>
      <c r="F41" s="25" t="s">
        <v>76</v>
      </c>
      <c r="G41" s="25" t="s">
        <v>76</v>
      </c>
      <c r="H41" s="25">
        <f>H40-C40</f>
        <v>2</v>
      </c>
      <c r="I41" s="25">
        <f>I40-D40</f>
        <v>2</v>
      </c>
      <c r="J41" s="62">
        <f>J40-E40</f>
        <v>-1</v>
      </c>
      <c r="K41" s="1"/>
    </row>
    <row r="42" ht="27.75">
      <c r="A42" s="1"/>
      <c r="B42" s="154" t="s">
        <v>123</v>
      </c>
      <c r="C42" s="25" t="s">
        <v>76</v>
      </c>
      <c r="D42" s="25">
        <f>D40-C40</f>
        <v>0</v>
      </c>
      <c r="E42" s="25">
        <f>E40-D40</f>
        <v>2</v>
      </c>
      <c r="F42" s="25">
        <f>F40-E40</f>
        <v>1</v>
      </c>
      <c r="G42" s="25" t="s">
        <v>76</v>
      </c>
      <c r="H42" s="25">
        <f>H40-F40</f>
        <v>-1</v>
      </c>
      <c r="I42" s="25">
        <f>I40-H40</f>
        <v>0</v>
      </c>
      <c r="J42" s="62">
        <f>J40-I40</f>
        <v>-1</v>
      </c>
      <c r="K42" s="1"/>
    </row>
    <row r="43" ht="27.75">
      <c r="A43" s="1"/>
      <c r="B43" s="144" t="s">
        <v>124</v>
      </c>
      <c r="C43" s="32">
        <v>-2</v>
      </c>
      <c r="D43" s="32">
        <v>36</v>
      </c>
      <c r="E43" s="32">
        <v>0</v>
      </c>
      <c r="F43" s="32">
        <v>1</v>
      </c>
      <c r="G43" s="22">
        <f>SUM(C43:F43)</f>
        <v>35</v>
      </c>
      <c r="H43" s="32">
        <v>0</v>
      </c>
      <c r="I43" s="32">
        <v>77</v>
      </c>
      <c r="J43" s="84">
        <v>0</v>
      </c>
      <c r="K43" s="141" t="s">
        <v>118</v>
      </c>
    </row>
    <row r="44" ht="27.75">
      <c r="A44" s="1"/>
      <c r="B44" s="154" t="s">
        <v>125</v>
      </c>
      <c r="C44" s="25" t="s">
        <v>76</v>
      </c>
      <c r="D44" s="25" t="s">
        <v>76</v>
      </c>
      <c r="E44" s="25" t="s">
        <v>76</v>
      </c>
      <c r="F44" s="25" t="s">
        <v>76</v>
      </c>
      <c r="G44" s="25" t="s">
        <v>76</v>
      </c>
      <c r="H44" s="25">
        <f>H43-C43</f>
        <v>2</v>
      </c>
      <c r="I44" s="25">
        <f>I43-D43</f>
        <v>41</v>
      </c>
      <c r="J44" s="62">
        <f>J43-E43</f>
        <v>0</v>
      </c>
      <c r="K44" s="1"/>
    </row>
    <row r="45" ht="40.5">
      <c r="A45" s="1"/>
      <c r="B45" s="154" t="s">
        <v>126</v>
      </c>
      <c r="C45" s="25" t="s">
        <v>76</v>
      </c>
      <c r="D45" s="25">
        <f>D43-C43</f>
        <v>38</v>
      </c>
      <c r="E45" s="25">
        <f>E43-D43</f>
        <v>-36</v>
      </c>
      <c r="F45" s="25">
        <f>F43-E43</f>
        <v>1</v>
      </c>
      <c r="G45" s="25" t="s">
        <v>76</v>
      </c>
      <c r="H45" s="25">
        <f>H43-F43</f>
        <v>-1</v>
      </c>
      <c r="I45" s="25">
        <f>I43-H43</f>
        <v>77</v>
      </c>
      <c r="J45" s="62">
        <f>J43-I43</f>
        <v>-77</v>
      </c>
      <c r="K45" s="1"/>
    </row>
    <row r="46">
      <c r="A46" s="1"/>
      <c r="B46" s="74" t="s">
        <v>127</v>
      </c>
      <c r="C46" s="33">
        <f>C34+C37+C40+C43</f>
        <v>6737</v>
      </c>
      <c r="D46" s="33">
        <f>D34+D37+D40+D43</f>
        <v>6803</v>
      </c>
      <c r="E46" s="33">
        <f>E34+E37+E40+E43</f>
        <v>6830</v>
      </c>
      <c r="F46" s="33">
        <f>F34+F37+F40+F43</f>
        <v>6924</v>
      </c>
      <c r="G46" s="33">
        <f>G34+G37+G40+G43</f>
        <v>6924</v>
      </c>
      <c r="H46" s="33">
        <f>H34+H37+H40+H43</f>
        <v>6943</v>
      </c>
      <c r="I46" s="33">
        <f>I34+I37+I40+I43</f>
        <v>7045</v>
      </c>
      <c r="J46" s="72">
        <f>J34+J37+J40+J43</f>
        <v>7075</v>
      </c>
      <c r="K46" s="1"/>
    </row>
    <row r="47">
      <c r="A47" s="1"/>
      <c r="B47" s="47" t="s">
        <v>128</v>
      </c>
      <c r="C47" s="32">
        <v>6737</v>
      </c>
      <c r="D47" s="32">
        <v>6803</v>
      </c>
      <c r="E47" s="32">
        <v>6830</v>
      </c>
      <c r="F47" s="32">
        <v>6924</v>
      </c>
      <c r="G47" s="1"/>
      <c r="H47" s="32">
        <v>6943</v>
      </c>
      <c r="I47" s="32">
        <v>7045</v>
      </c>
      <c r="J47" s="24"/>
      <c r="K47" s="141" t="s">
        <v>108</v>
      </c>
    </row>
    <row r="48" ht="27.75">
      <c r="A48" s="1"/>
      <c r="B48" s="154" t="s">
        <v>129</v>
      </c>
      <c r="C48" s="25">
        <f>C46-C47</f>
        <v>0</v>
      </c>
      <c r="D48" s="25">
        <f>D46-D47</f>
        <v>0</v>
      </c>
      <c r="E48" s="25">
        <f>E46-E47</f>
        <v>0</v>
      </c>
      <c r="F48" s="25">
        <f>F46-F47</f>
        <v>0</v>
      </c>
      <c r="G48" s="1"/>
      <c r="H48" s="25">
        <f>H46-H47</f>
        <v>0</v>
      </c>
      <c r="I48" s="25">
        <f>I46-I47</f>
        <v>0</v>
      </c>
      <c r="J48" s="24"/>
      <c r="K48" s="1"/>
    </row>
    <row r="49" ht="27.75">
      <c r="A49" s="1"/>
      <c r="B49" s="154" t="s">
        <v>130</v>
      </c>
      <c r="C49" s="25" t="s">
        <v>76</v>
      </c>
      <c r="D49" s="25" t="s">
        <v>76</v>
      </c>
      <c r="E49" s="25" t="s">
        <v>76</v>
      </c>
      <c r="F49" s="25" t="s">
        <v>76</v>
      </c>
      <c r="G49" s="25" t="s">
        <v>76</v>
      </c>
      <c r="H49" s="25">
        <f>H46-C46</f>
        <v>206</v>
      </c>
      <c r="I49" s="25">
        <f>I46-D46</f>
        <v>242</v>
      </c>
      <c r="J49" s="62">
        <f>J46-E46</f>
        <v>245</v>
      </c>
      <c r="K49" s="1"/>
    </row>
    <row r="50" ht="27.75">
      <c r="A50" s="1"/>
      <c r="B50" s="144" t="s">
        <v>131</v>
      </c>
      <c r="C50" s="22">
        <f>C37+C40</f>
        <v>17</v>
      </c>
      <c r="D50" s="22">
        <f>D37+D40</f>
        <v>30</v>
      </c>
      <c r="E50" s="22">
        <f>E37+E40</f>
        <v>27</v>
      </c>
      <c r="F50" s="22">
        <f>F37+F40</f>
        <v>93</v>
      </c>
      <c r="G50" s="22">
        <f>G37+G40</f>
        <v>167</v>
      </c>
      <c r="H50" s="22">
        <f>H37+H40</f>
        <v>19</v>
      </c>
      <c r="I50" s="22">
        <f>I37+I40</f>
        <v>25</v>
      </c>
      <c r="J50" s="73">
        <f>J37+J40</f>
        <v>30</v>
      </c>
      <c r="K50" s="1"/>
    </row>
    <row r="51" ht="27.75">
      <c r="A51" s="1"/>
      <c r="B51" s="154" t="s">
        <v>132</v>
      </c>
      <c r="C51" s="25" t="s">
        <v>76</v>
      </c>
      <c r="D51" s="25" t="s">
        <v>76</v>
      </c>
      <c r="E51" s="25" t="s">
        <v>76</v>
      </c>
      <c r="F51" s="25" t="s">
        <v>76</v>
      </c>
      <c r="G51" s="25" t="s">
        <v>76</v>
      </c>
      <c r="H51" s="25">
        <f>H50-C50</f>
        <v>2</v>
      </c>
      <c r="I51" s="25">
        <f>I50-D50</f>
        <v>-5</v>
      </c>
      <c r="J51" s="62">
        <f>J50-E50</f>
        <v>3</v>
      </c>
      <c r="K51" s="1"/>
    </row>
    <row r="52" ht="27.75">
      <c r="A52" s="1"/>
      <c r="B52" s="154" t="s">
        <v>133</v>
      </c>
      <c r="C52" s="25" t="s">
        <v>76</v>
      </c>
      <c r="D52" s="25">
        <f>D50-C50</f>
        <v>13</v>
      </c>
      <c r="E52" s="25">
        <f>E50-D50</f>
        <v>-3</v>
      </c>
      <c r="F52" s="25">
        <f>F50-E50</f>
        <v>66</v>
      </c>
      <c r="G52" s="25" t="s">
        <v>76</v>
      </c>
      <c r="H52" s="25">
        <f>H50-F50</f>
        <v>-74</v>
      </c>
      <c r="I52" s="25">
        <f>I50-H50</f>
        <v>6</v>
      </c>
      <c r="J52" s="62">
        <f>J50-I50</f>
        <v>5</v>
      </c>
      <c r="K52" s="1"/>
    </row>
    <row r="53">
      <c r="A53" s="1"/>
      <c r="B53" s="2" t="s">
        <v>134</v>
      </c>
      <c r="C53" s="3">
        <f>(C34+C46)/2</f>
        <v>6729.5</v>
      </c>
      <c r="D53" s="3">
        <f>(D34+D46)/2</f>
        <v>6770</v>
      </c>
      <c r="E53" s="3">
        <f>(E34+E46)/2</f>
        <v>6816.5</v>
      </c>
      <c r="F53" s="3">
        <f>(F34+F46)/2</f>
        <v>6877</v>
      </c>
      <c r="G53" s="3">
        <f>SUMPRODUCT(C53:F53,C7:F7)/G7</f>
        <v>6804.307692307692</v>
      </c>
      <c r="H53" s="3">
        <f>(H34+H46)/2</f>
        <v>6933.5</v>
      </c>
      <c r="I53" s="3">
        <f>(I34+I46)/2</f>
        <v>6994</v>
      </c>
      <c r="J53" s="40">
        <f>(J34+J46)/2</f>
        <v>7060</v>
      </c>
      <c r="K53" s="1"/>
    </row>
    <row r="54">
      <c r="A54" s="1"/>
      <c r="B54" s="18" t="s">
        <v>135</v>
      </c>
      <c r="C54" s="12" t="s">
        <v>76</v>
      </c>
      <c r="D54" s="12" t="s">
        <v>76</v>
      </c>
      <c r="E54" s="12" t="s">
        <v>76</v>
      </c>
      <c r="F54" s="12" t="s">
        <v>76</v>
      </c>
      <c r="G54" s="12" t="s">
        <v>76</v>
      </c>
      <c r="H54" s="12">
        <f>IFERROR(H53/C53-1,"n/a")</f>
        <v>0.030314287837134968</v>
      </c>
      <c r="I54" s="12">
        <f>IFERROR(I53/D53-1,"n/a")</f>
        <v>0.03308714918759237</v>
      </c>
      <c r="J54" s="44">
        <f>IFERROR(J53/E53-1,"n/a")</f>
        <v>0.03572214479571634</v>
      </c>
      <c r="K54" s="1"/>
    </row>
    <row r="55" ht="27.75">
      <c r="A55" s="1"/>
      <c r="B55" s="154" t="s">
        <v>136</v>
      </c>
      <c r="C55" s="37" t="s">
        <v>76</v>
      </c>
      <c r="D55" s="37">
        <f>D53-C53</f>
        <v>40.5</v>
      </c>
      <c r="E55" s="37">
        <f>E53-D53</f>
        <v>46.5</v>
      </c>
      <c r="F55" s="37">
        <f>F53-E53</f>
        <v>60.5</v>
      </c>
      <c r="G55" s="37" t="s">
        <v>76</v>
      </c>
      <c r="H55" s="37">
        <f>H53-F53</f>
        <v>56.5</v>
      </c>
      <c r="I55" s="37">
        <f>I53-H53</f>
        <v>60.5</v>
      </c>
      <c r="J55" s="63">
        <f>J53-I53</f>
        <v>66</v>
      </c>
      <c r="K55" s="1"/>
    </row>
    <row r="56" ht="27.75">
      <c r="A56" s="1"/>
      <c r="B56" s="154" t="s">
        <v>137</v>
      </c>
      <c r="C56" s="25" t="s">
        <v>76</v>
      </c>
      <c r="D56" s="25">
        <f>D46-C46</f>
        <v>66</v>
      </c>
      <c r="E56" s="25">
        <f>E46-D46</f>
        <v>27</v>
      </c>
      <c r="F56" s="25">
        <f>F46-E46</f>
        <v>94</v>
      </c>
      <c r="G56" s="25" t="s">
        <v>76</v>
      </c>
      <c r="H56" s="25">
        <f>H46-F46</f>
        <v>19</v>
      </c>
      <c r="I56" s="25">
        <f>I46-H46</f>
        <v>102</v>
      </c>
      <c r="J56" s="62">
        <f>J46-I46</f>
        <v>30</v>
      </c>
      <c r="K56" s="1"/>
    </row>
    <row r="57">
      <c r="A57" s="1"/>
      <c r="B57" s="7" t="s">
        <v>139</v>
      </c>
      <c r="C57" s="1"/>
      <c r="D57" s="1"/>
      <c r="E57" s="1"/>
      <c r="F57" s="1"/>
      <c r="G57" s="1"/>
      <c r="H57" s="1"/>
      <c r="I57" s="1"/>
      <c r="J57" s="24"/>
      <c r="K57" s="1"/>
    </row>
    <row r="58">
      <c r="A58" s="1"/>
      <c r="B58" s="2" t="s">
        <v>113</v>
      </c>
      <c r="C58" s="22">
        <f>C10+C34</f>
        <v>7014</v>
      </c>
      <c r="D58" s="22">
        <f>D10+D34</f>
        <v>7031</v>
      </c>
      <c r="E58" s="22">
        <f>E10+E34</f>
        <v>7061</v>
      </c>
      <c r="F58" s="22">
        <f>F10+F34</f>
        <v>7090</v>
      </c>
      <c r="G58" s="22">
        <f>G10+G34</f>
        <v>7014</v>
      </c>
      <c r="H58" s="22">
        <f>H10+H34</f>
        <v>7186</v>
      </c>
      <c r="I58" s="22">
        <f>I10+I34</f>
        <v>7205</v>
      </c>
      <c r="J58" s="73">
        <f>J10+J34</f>
        <v>7231</v>
      </c>
      <c r="K58" s="1"/>
    </row>
    <row r="59" ht="27.75">
      <c r="A59" s="1"/>
      <c r="B59" s="154" t="s">
        <v>115</v>
      </c>
      <c r="C59" s="25" t="s">
        <v>76</v>
      </c>
      <c r="D59" s="25" t="s">
        <v>76</v>
      </c>
      <c r="E59" s="25" t="s">
        <v>76</v>
      </c>
      <c r="F59" s="25" t="s">
        <v>76</v>
      </c>
      <c r="G59" s="25" t="s">
        <v>76</v>
      </c>
      <c r="H59" s="25">
        <f>H58-C58</f>
        <v>172</v>
      </c>
      <c r="I59" s="25">
        <f>I58-D58</f>
        <v>174</v>
      </c>
      <c r="J59" s="62">
        <f>J58-E58</f>
        <v>170</v>
      </c>
      <c r="K59" s="1"/>
    </row>
    <row r="60" ht="27.75">
      <c r="A60" s="1"/>
      <c r="B60" s="154" t="s">
        <v>116</v>
      </c>
      <c r="C60" s="25" t="s">
        <v>76</v>
      </c>
      <c r="D60" s="25">
        <f>D58-C58</f>
        <v>17</v>
      </c>
      <c r="E60" s="25">
        <f>E58-D58</f>
        <v>30</v>
      </c>
      <c r="F60" s="25">
        <f>F58-E58</f>
        <v>29</v>
      </c>
      <c r="G60" s="25" t="s">
        <v>76</v>
      </c>
      <c r="H60" s="25">
        <f>H58-F58</f>
        <v>96</v>
      </c>
      <c r="I60" s="25">
        <f>I58-H58</f>
        <v>19</v>
      </c>
      <c r="J60" s="62">
        <f>J58-I58</f>
        <v>26</v>
      </c>
      <c r="K60" s="1"/>
    </row>
    <row r="61">
      <c r="A61" s="1"/>
      <c r="B61" s="2" t="s">
        <v>117</v>
      </c>
      <c r="C61" s="22">
        <f>C13+C37</f>
        <v>20</v>
      </c>
      <c r="D61" s="22">
        <f>D13+D37</f>
        <v>33</v>
      </c>
      <c r="E61" s="22">
        <f>E13+E37</f>
        <v>30</v>
      </c>
      <c r="F61" s="22">
        <f>F13+F37</f>
        <v>96</v>
      </c>
      <c r="G61" s="22">
        <f>G13+G37</f>
        <v>179</v>
      </c>
      <c r="H61" s="22">
        <f>H13+H37</f>
        <v>21</v>
      </c>
      <c r="I61" s="22">
        <f>I13+I37</f>
        <v>27</v>
      </c>
      <c r="J61" s="73">
        <f>J13+J37</f>
        <v>34</v>
      </c>
      <c r="K61" s="1"/>
    </row>
    <row r="62">
      <c r="A62" s="1"/>
      <c r="B62" s="18" t="s">
        <v>119</v>
      </c>
      <c r="C62" s="25" t="s">
        <v>76</v>
      </c>
      <c r="D62" s="25" t="s">
        <v>76</v>
      </c>
      <c r="E62" s="25" t="s">
        <v>76</v>
      </c>
      <c r="F62" s="25" t="s">
        <v>76</v>
      </c>
      <c r="G62" s="25" t="s">
        <v>76</v>
      </c>
      <c r="H62" s="25">
        <f>H61-C61</f>
        <v>1</v>
      </c>
      <c r="I62" s="25">
        <f>I61-D61</f>
        <v>-6</v>
      </c>
      <c r="J62" s="62">
        <f>J61-E61</f>
        <v>4</v>
      </c>
      <c r="K62" s="1"/>
    </row>
    <row r="63" ht="27.75">
      <c r="A63" s="1"/>
      <c r="B63" s="154" t="s">
        <v>120</v>
      </c>
      <c r="C63" s="25" t="s">
        <v>76</v>
      </c>
      <c r="D63" s="25">
        <f>D61-C61</f>
        <v>13</v>
      </c>
      <c r="E63" s="25">
        <f>E61-D61</f>
        <v>-3</v>
      </c>
      <c r="F63" s="25">
        <f>F61-E61</f>
        <v>66</v>
      </c>
      <c r="G63" s="25" t="s">
        <v>76</v>
      </c>
      <c r="H63" s="25">
        <f>H61-F61</f>
        <v>-75</v>
      </c>
      <c r="I63" s="25">
        <f>I61-H61</f>
        <v>6</v>
      </c>
      <c r="J63" s="62">
        <f>J61-I61</f>
        <v>7</v>
      </c>
      <c r="K63" s="1"/>
    </row>
    <row r="64">
      <c r="A64" s="1"/>
      <c r="B64" s="2" t="s">
        <v>121</v>
      </c>
      <c r="C64" s="22">
        <f>C16+C40</f>
        <v>-3</v>
      </c>
      <c r="D64" s="22">
        <f>D16+D40</f>
        <v>-3</v>
      </c>
      <c r="E64" s="22">
        <f>E16+E40</f>
        <v>-1</v>
      </c>
      <c r="F64" s="22">
        <f>F16+F40</f>
        <v>0</v>
      </c>
      <c r="G64" s="22">
        <f>G16+G40</f>
        <v>-7</v>
      </c>
      <c r="H64" s="22">
        <f>H16+H40</f>
        <v>-2</v>
      </c>
      <c r="I64" s="22">
        <f>I16+I40</f>
        <v>-1</v>
      </c>
      <c r="J64" s="73">
        <f>J16+J40</f>
        <v>-2</v>
      </c>
      <c r="K64" s="1"/>
    </row>
    <row r="65">
      <c r="A65" s="1"/>
      <c r="B65" s="18" t="s">
        <v>122</v>
      </c>
      <c r="C65" s="25" t="s">
        <v>76</v>
      </c>
      <c r="D65" s="25" t="s">
        <v>76</v>
      </c>
      <c r="E65" s="25" t="s">
        <v>76</v>
      </c>
      <c r="F65" s="25" t="s">
        <v>76</v>
      </c>
      <c r="G65" s="25" t="s">
        <v>76</v>
      </c>
      <c r="H65" s="25">
        <f>H64-C64</f>
        <v>1</v>
      </c>
      <c r="I65" s="25">
        <f>I64-D64</f>
        <v>2</v>
      </c>
      <c r="J65" s="62">
        <f>J64-E64</f>
        <v>-1</v>
      </c>
      <c r="K65" s="1"/>
    </row>
    <row r="66" ht="27.75">
      <c r="A66" s="1"/>
      <c r="B66" s="154" t="s">
        <v>123</v>
      </c>
      <c r="C66" s="25" t="s">
        <v>76</v>
      </c>
      <c r="D66" s="25">
        <f>D64-C64</f>
        <v>0</v>
      </c>
      <c r="E66" s="25">
        <f>E64-D64</f>
        <v>2</v>
      </c>
      <c r="F66" s="25">
        <f>F64-E64</f>
        <v>1</v>
      </c>
      <c r="G66" s="25" t="s">
        <v>76</v>
      </c>
      <c r="H66" s="25">
        <f>H64-F64</f>
        <v>-2</v>
      </c>
      <c r="I66" s="25">
        <f>I64-H64</f>
        <v>1</v>
      </c>
      <c r="J66" s="62">
        <f>J64-I64</f>
        <v>-1</v>
      </c>
      <c r="K66" s="1"/>
    </row>
    <row r="67">
      <c r="A67" s="1"/>
      <c r="B67" s="74" t="s">
        <v>127</v>
      </c>
      <c r="C67" s="33">
        <f>C22+C46</f>
        <v>7031</v>
      </c>
      <c r="D67" s="33">
        <f>D22+D46</f>
        <v>7061</v>
      </c>
      <c r="E67" s="33">
        <f>E22+E46</f>
        <v>7090</v>
      </c>
      <c r="F67" s="33">
        <f>F22+F46</f>
        <v>7186</v>
      </c>
      <c r="G67" s="33">
        <f>G22+G46</f>
        <v>7186</v>
      </c>
      <c r="H67" s="33">
        <f>H22+H46</f>
        <v>7205</v>
      </c>
      <c r="I67" s="33">
        <f>I22+I46</f>
        <v>7231</v>
      </c>
      <c r="J67" s="72">
        <f>J22+J46</f>
        <v>7263</v>
      </c>
      <c r="K67" s="1"/>
    </row>
    <row r="68">
      <c r="A68" s="1"/>
      <c r="B68" s="2" t="s">
        <v>134</v>
      </c>
      <c r="C68" s="3">
        <f>C29+C53</f>
        <v>7022.5</v>
      </c>
      <c r="D68" s="3">
        <f>D29+D53</f>
        <v>7046</v>
      </c>
      <c r="E68" s="3">
        <f>E29+E53</f>
        <v>7075.5</v>
      </c>
      <c r="F68" s="3">
        <f>F29+F53</f>
        <v>7138</v>
      </c>
      <c r="G68" s="3">
        <f>G29+G53</f>
        <v>7075.692307692308</v>
      </c>
      <c r="H68" s="3">
        <f>H29+H53</f>
        <v>7195.5</v>
      </c>
      <c r="I68" s="3">
        <f>I29+I53</f>
        <v>7218</v>
      </c>
      <c r="J68" s="40">
        <f>J29+J53</f>
        <v>7247</v>
      </c>
      <c r="K68" s="1"/>
    </row>
    <row r="69">
      <c r="A69" s="1"/>
      <c r="B69" s="18" t="s">
        <v>135</v>
      </c>
      <c r="C69" s="12" t="s">
        <v>76</v>
      </c>
      <c r="D69" s="12" t="s">
        <v>76</v>
      </c>
      <c r="E69" s="12" t="s">
        <v>76</v>
      </c>
      <c r="F69" s="12" t="s">
        <v>76</v>
      </c>
      <c r="G69" s="12" t="s">
        <v>76</v>
      </c>
      <c r="H69" s="12">
        <f>IFERROR(H68/C68-1,"n/a")</f>
        <v>0.024635101459594244</v>
      </c>
      <c r="I69" s="12">
        <f>IFERROR(I68/D68-1,"n/a")</f>
        <v>0.024411013340902565</v>
      </c>
      <c r="J69" s="44">
        <f>IFERROR(J68/E68-1,"n/a")</f>
        <v>0.024238569712387914</v>
      </c>
      <c r="K69" s="1"/>
    </row>
    <row r="70" ht="27.75">
      <c r="A70" s="1"/>
      <c r="B70" s="154" t="s">
        <v>136</v>
      </c>
      <c r="C70" s="37" t="s">
        <v>76</v>
      </c>
      <c r="D70" s="37">
        <f>D68-C68</f>
        <v>23.5</v>
      </c>
      <c r="E70" s="37">
        <f>E68-D68</f>
        <v>29.5</v>
      </c>
      <c r="F70" s="37">
        <f>F68-E68</f>
        <v>62.5</v>
      </c>
      <c r="G70" s="37" t="s">
        <v>76</v>
      </c>
      <c r="H70" s="37">
        <f>H68-F68</f>
        <v>57.5</v>
      </c>
      <c r="I70" s="37">
        <f>I68-H68</f>
        <v>22.5</v>
      </c>
      <c r="J70" s="63">
        <f>J68-I68</f>
        <v>29</v>
      </c>
      <c r="K70" s="1"/>
    </row>
    <row r="71">
      <c r="A71" s="1"/>
      <c r="B71" s="2" t="s">
        <v>140</v>
      </c>
      <c r="C71" s="22">
        <f>C26+C50</f>
        <v>17</v>
      </c>
      <c r="D71" s="22">
        <f>D26+D50</f>
        <v>30</v>
      </c>
      <c r="E71" s="22">
        <f>E26+E50</f>
        <v>29</v>
      </c>
      <c r="F71" s="22">
        <f>F26+F50</f>
        <v>96</v>
      </c>
      <c r="G71" s="22">
        <f>G26+G50</f>
        <v>172</v>
      </c>
      <c r="H71" s="22">
        <f>H26+H50</f>
        <v>19</v>
      </c>
      <c r="I71" s="22">
        <f>I26+I50</f>
        <v>26</v>
      </c>
      <c r="J71" s="73">
        <f>J26+J50</f>
        <v>32</v>
      </c>
      <c r="K71" s="1"/>
    </row>
    <row r="72" ht="27.75">
      <c r="A72" s="1"/>
      <c r="B72" s="154" t="s">
        <v>132</v>
      </c>
      <c r="C72" s="25" t="s">
        <v>76</v>
      </c>
      <c r="D72" s="25" t="s">
        <v>76</v>
      </c>
      <c r="E72" s="25" t="s">
        <v>76</v>
      </c>
      <c r="F72" s="25" t="s">
        <v>76</v>
      </c>
      <c r="G72" s="25" t="s">
        <v>76</v>
      </c>
      <c r="H72" s="25">
        <f>H71-C71</f>
        <v>2</v>
      </c>
      <c r="I72" s="25">
        <f>I71-D71</f>
        <v>-4</v>
      </c>
      <c r="J72" s="62">
        <f>J71-E71</f>
        <v>3</v>
      </c>
      <c r="K72" s="1"/>
    </row>
    <row r="73" ht="27.75">
      <c r="A73" s="1"/>
      <c r="B73" s="154" t="s">
        <v>133</v>
      </c>
      <c r="C73" s="25" t="s">
        <v>76</v>
      </c>
      <c r="D73" s="25">
        <f>D71-C71</f>
        <v>13</v>
      </c>
      <c r="E73" s="25">
        <f>E71-D71</f>
        <v>-1</v>
      </c>
      <c r="F73" s="25">
        <f>F71-E71</f>
        <v>67</v>
      </c>
      <c r="G73" s="25" t="s">
        <v>76</v>
      </c>
      <c r="H73" s="25">
        <f>H71-F71</f>
        <v>-77</v>
      </c>
      <c r="I73" s="25">
        <f>I71-H71</f>
        <v>7</v>
      </c>
      <c r="J73" s="62">
        <f>J71-I71</f>
        <v>6</v>
      </c>
      <c r="K73" s="1"/>
    </row>
    <row r="74" ht="27.75">
      <c r="A74" s="1"/>
      <c r="B74" s="144" t="s">
        <v>141</v>
      </c>
      <c r="C74" s="32">
        <v>157</v>
      </c>
      <c r="D74" s="32">
        <v>155</v>
      </c>
      <c r="E74" s="32">
        <v>160</v>
      </c>
      <c r="F74" s="32">
        <v>172</v>
      </c>
      <c r="G74" s="22">
        <f>G71</f>
        <v>172</v>
      </c>
      <c r="H74" s="22">
        <f>D71+E71+F71+H71</f>
        <v>174</v>
      </c>
      <c r="I74" s="22">
        <f>E71+F71+H71+I71</f>
        <v>170</v>
      </c>
      <c r="J74" s="73">
        <f>F71+H71+I71+J71</f>
        <v>173</v>
      </c>
      <c r="K74" s="141" t="s">
        <v>142</v>
      </c>
    </row>
    <row r="75">
      <c r="A75" s="1"/>
      <c r="B75" s="18" t="s">
        <v>143</v>
      </c>
      <c r="C75" s="12">
        <f>C74/(C67-C74)</f>
        <v>0.022839685772475995</v>
      </c>
      <c r="D75" s="12">
        <f>D74/(D67-D74)</f>
        <v>0.022444251375615405</v>
      </c>
      <c r="E75" s="12">
        <f>E74/(E67-E74)</f>
        <v>0.023088023088023088</v>
      </c>
      <c r="F75" s="12">
        <f>F74/(F67-F74)</f>
        <v>0.024522383803820928</v>
      </c>
      <c r="G75" s="12">
        <f>G74/(G67-G74)</f>
        <v>0.024522383803820928</v>
      </c>
      <c r="H75" s="12">
        <f>H74/(H67-H74)</f>
        <v>0.024747546579433937</v>
      </c>
      <c r="I75" s="12">
        <f>I74/(I67-I74)</f>
        <v>0.02407590992777227</v>
      </c>
      <c r="J75" s="44">
        <f>J74/(J67-J74)</f>
        <v>0.024400564174894217</v>
      </c>
      <c r="K75" s="1"/>
    </row>
    <row r="76" ht="27.75">
      <c r="A76" s="1"/>
      <c r="B76" s="154" t="s">
        <v>144</v>
      </c>
      <c r="C76" s="25" t="s">
        <v>76</v>
      </c>
      <c r="D76" s="25">
        <f>D67-C67</f>
        <v>30</v>
      </c>
      <c r="E76" s="25">
        <f>E67-D67</f>
        <v>29</v>
      </c>
      <c r="F76" s="25">
        <f>F67-E67</f>
        <v>96</v>
      </c>
      <c r="G76" s="25" t="s">
        <v>76</v>
      </c>
      <c r="H76" s="25">
        <f>H67-F67</f>
        <v>19</v>
      </c>
      <c r="I76" s="25">
        <f>I67-H67</f>
        <v>26</v>
      </c>
      <c r="J76" s="62">
        <f>J67-I67</f>
        <v>32</v>
      </c>
      <c r="K76" s="1"/>
    </row>
    <row r="77" ht="27.75">
      <c r="A77" s="1"/>
      <c r="B77" s="154" t="s">
        <v>130</v>
      </c>
      <c r="C77" s="25">
        <f>C74</f>
        <v>157</v>
      </c>
      <c r="D77" s="25">
        <f>D74</f>
        <v>155</v>
      </c>
      <c r="E77" s="25">
        <f>E74</f>
        <v>160</v>
      </c>
      <c r="F77" s="25">
        <f>F74</f>
        <v>172</v>
      </c>
      <c r="G77" s="25">
        <f>G74</f>
        <v>172</v>
      </c>
      <c r="H77" s="25">
        <f>H74</f>
        <v>174</v>
      </c>
      <c r="I77" s="25">
        <f>I74</f>
        <v>170</v>
      </c>
      <c r="J77" s="62">
        <f>J74</f>
        <v>173</v>
      </c>
      <c r="K77" s="1"/>
    </row>
    <row r="78">
      <c r="A78" s="1"/>
      <c r="B78" s="6" t="s">
        <v>145</v>
      </c>
      <c r="C78" s="12">
        <f>C46/C67</f>
        <v>0.9581851799175082</v>
      </c>
      <c r="D78" s="12">
        <f>D46/D67</f>
        <v>0.9634612661096162</v>
      </c>
      <c r="E78" s="12">
        <f>E46/E67</f>
        <v>0.9633286318758815</v>
      </c>
      <c r="F78" s="12">
        <f>F46/F67</f>
        <v>0.9635402170887838</v>
      </c>
      <c r="G78" s="12">
        <f>G46/G67</f>
        <v>0.9635402170887838</v>
      </c>
      <c r="H78" s="12">
        <f>H46/H67</f>
        <v>0.9636363636363636</v>
      </c>
      <c r="I78" s="12">
        <f>I46/I67</f>
        <v>0.9742774166781911</v>
      </c>
      <c r="J78" s="44">
        <f>J46/J67</f>
        <v>0.9741153793198403</v>
      </c>
      <c r="K78" s="1"/>
    </row>
    <row r="79">
      <c r="A79" s="1"/>
      <c r="B79" s="18" t="s">
        <v>146</v>
      </c>
      <c r="C79" s="21" t="s">
        <v>76</v>
      </c>
      <c r="D79" s="21" t="s">
        <v>76</v>
      </c>
      <c r="E79" s="21" t="s">
        <v>76</v>
      </c>
      <c r="F79" s="21" t="s">
        <v>76</v>
      </c>
      <c r="G79" s="21" t="s">
        <v>76</v>
      </c>
      <c r="H79" s="21">
        <f>IFERROR((H78-C78)*10000,"n/a")</f>
        <v>54.51183718855446</v>
      </c>
      <c r="I79" s="21">
        <f>IFERROR((I78-D78)*10000,"n/a")</f>
        <v>108.16150568574878</v>
      </c>
      <c r="J79" s="46">
        <f>IFERROR((J78-E78)*10000,"n/a")</f>
        <v>107.867474439588</v>
      </c>
      <c r="K79" s="1"/>
    </row>
    <row r="80" ht="27.75">
      <c r="A80" s="1"/>
      <c r="B80" s="154" t="s">
        <v>147</v>
      </c>
      <c r="C80" s="21" t="s">
        <v>76</v>
      </c>
      <c r="D80" s="21">
        <f>IFERROR((D78-C78)*10000,"n/a")</f>
        <v>52.76086192108065</v>
      </c>
      <c r="E80" s="21">
        <f>IFERROR((E78-D78)*10000,"n/a")</f>
        <v>-1.3263423373477412</v>
      </c>
      <c r="F80" s="21">
        <f>IFERROR((F78-E78)*10000,"n/a")</f>
        <v>2.11585212902321</v>
      </c>
      <c r="G80" s="21" t="s">
        <v>76</v>
      </c>
      <c r="H80" s="21">
        <f>IFERROR((H78-F78)*10000,"n/a")</f>
        <v>0.9614654757983399</v>
      </c>
      <c r="I80" s="21">
        <f>IFERROR((I78-H78)*10000,"n/a")</f>
        <v>106.41053041827497</v>
      </c>
      <c r="J80" s="46">
        <f>IFERROR((J78-I78)*10000,"n/a")</f>
        <v>-1.6203735835085276</v>
      </c>
      <c r="K80" s="1"/>
    </row>
    <row r="81">
      <c r="A81" s="1"/>
      <c r="B81" s="6" t="s">
        <v>148</v>
      </c>
      <c r="C81" s="12">
        <f>-C64/C58</f>
        <v>0.000427715996578272</v>
      </c>
      <c r="D81" s="12">
        <f>-D64/D58</f>
        <v>0.00042668183757644715</v>
      </c>
      <c r="E81" s="12">
        <f>-E64/E58</f>
        <v>0.000141622999575131</v>
      </c>
      <c r="F81" s="12">
        <f>-F64/F58</f>
        <v>0</v>
      </c>
      <c r="G81" s="12">
        <f>-G64/G58</f>
        <v>0.000998003992015968</v>
      </c>
      <c r="H81" s="12">
        <f>-H64/H58</f>
        <v>0.00027831895352073476</v>
      </c>
      <c r="I81" s="12">
        <f>-I64/I58</f>
        <v>0.00013879250520471896</v>
      </c>
      <c r="J81" s="44">
        <f>-J64/J58</f>
        <v>0.00027658691743880515</v>
      </c>
      <c r="K81" s="1"/>
    </row>
    <row r="82">
      <c r="A82" s="1"/>
      <c r="B82" s="18" t="s">
        <v>149</v>
      </c>
      <c r="C82" s="21" t="s">
        <v>76</v>
      </c>
      <c r="D82" s="21" t="s">
        <v>76</v>
      </c>
      <c r="E82" s="21" t="s">
        <v>76</v>
      </c>
      <c r="F82" s="21" t="s">
        <v>76</v>
      </c>
      <c r="G82" s="21" t="s">
        <v>76</v>
      </c>
      <c r="H82" s="21">
        <f>IFERROR((H81-C81)*10000,"n/a")</f>
        <v>-1.4939704305753725</v>
      </c>
      <c r="I82" s="21">
        <f>IFERROR((I81-D81)*10000,"n/a")</f>
        <v>-2.8788933237172816</v>
      </c>
      <c r="J82" s="46">
        <f>IFERROR((J81-E81)*10000,"n/a")</f>
        <v>1.3496391786367417</v>
      </c>
      <c r="K82" s="1"/>
    </row>
    <row r="83" ht="27.75">
      <c r="A83" s="1"/>
      <c r="B83" s="154" t="s">
        <v>150</v>
      </c>
      <c r="C83" s="21" t="s">
        <v>76</v>
      </c>
      <c r="D83" s="21">
        <f>IFERROR((D81-C81)*10000,"n/a")</f>
        <v>-0.010341590018248534</v>
      </c>
      <c r="E83" s="21">
        <f>IFERROR((E81-D81)*10000,"n/a")</f>
        <v>-2.8505883800131615</v>
      </c>
      <c r="F83" s="21">
        <f>IFERROR((F81-E81)*10000,"n/a")</f>
        <v>-1.41622999575131</v>
      </c>
      <c r="G83" s="21" t="s">
        <v>76</v>
      </c>
      <c r="H83" s="21">
        <f>IFERROR((H81-F81)*10000,"n/a")</f>
        <v>2.7831895352073475</v>
      </c>
      <c r="I83" s="21">
        <f>IFERROR((I81-H81)*10000,"n/a")</f>
        <v>-1.395264483160158</v>
      </c>
      <c r="J83" s="46">
        <f>IFERROR((J81-I81)*10000,"n/a")</f>
        <v>1.377944122340862</v>
      </c>
      <c r="K83" s="1"/>
    </row>
    <row r="84" ht="27.75">
      <c r="A84" s="1"/>
      <c r="B84" s="140" t="s">
        <v>151</v>
      </c>
      <c r="C84" s="12">
        <f>C61/C58</f>
        <v>0.00285143997718848</v>
      </c>
      <c r="D84" s="12">
        <f>D61/D58</f>
        <v>0.0046935002133409185</v>
      </c>
      <c r="E84" s="12">
        <f>E61/E58</f>
        <v>0.0042486899872539305</v>
      </c>
      <c r="F84" s="12">
        <f>F61/F58</f>
        <v>0.013540197461212976</v>
      </c>
      <c r="G84" s="12">
        <f>G61/G58</f>
        <v>0.0255203877958369</v>
      </c>
      <c r="H84" s="12">
        <f>H61/H58</f>
        <v>0.002922349011967715</v>
      </c>
      <c r="I84" s="12">
        <f>I61/I58</f>
        <v>0.0037473976405274115</v>
      </c>
      <c r="J84" s="44">
        <f>J61/J58</f>
        <v>0.004701977596459688</v>
      </c>
      <c r="K84" s="1"/>
    </row>
    <row r="85" ht="27.75">
      <c r="A85" s="1"/>
      <c r="B85" s="154" t="s">
        <v>152</v>
      </c>
      <c r="C85" s="21" t="s">
        <v>76</v>
      </c>
      <c r="D85" s="21" t="s">
        <v>76</v>
      </c>
      <c r="E85" s="21" t="s">
        <v>76</v>
      </c>
      <c r="F85" s="21" t="s">
        <v>76</v>
      </c>
      <c r="G85" s="21" t="s">
        <v>76</v>
      </c>
      <c r="H85" s="21">
        <f>IFERROR((H84-C84)*10000,"n/a")</f>
        <v>0.7090903477923469</v>
      </c>
      <c r="I85" s="21">
        <f>IFERROR((I84-D84)*10000,"n/a")</f>
        <v>-9.46102572813507</v>
      </c>
      <c r="J85" s="46">
        <f>IFERROR((J84-E84)*10000,"n/a")</f>
        <v>4.532876092057571</v>
      </c>
      <c r="K85" s="1"/>
    </row>
    <row r="86" ht="27.75">
      <c r="A86" s="1"/>
      <c r="B86" s="154" t="s">
        <v>153</v>
      </c>
      <c r="C86" s="21" t="s">
        <v>76</v>
      </c>
      <c r="D86" s="21">
        <f>IFERROR((D84-C84)*10000,"n/a")</f>
        <v>18.420602361524384</v>
      </c>
      <c r="E86" s="21">
        <f>IFERROR((E84-D84)*10000,"n/a")</f>
        <v>-4.44810226086988</v>
      </c>
      <c r="F86" s="21">
        <f>IFERROR((F84-E84)*10000,"n/a")</f>
        <v>92.91507473959047</v>
      </c>
      <c r="G86" s="21" t="s">
        <v>76</v>
      </c>
      <c r="H86" s="21">
        <f>IFERROR((H84-F84)*10000,"n/a")</f>
        <v>-106.17848449245261</v>
      </c>
      <c r="I86" s="21">
        <f>IFERROR((I84-H84)*10000,"n/a")</f>
        <v>8.250486285596965</v>
      </c>
      <c r="J86" s="46">
        <f>IFERROR((J84-I84)*10000,"n/a")</f>
        <v>9.545799559322761</v>
      </c>
      <c r="K86" s="1"/>
    </row>
    <row r="87" ht="27.75">
      <c r="A87" s="1"/>
      <c r="B87" s="142" t="s">
        <v>154</v>
      </c>
      <c r="C87" s="1"/>
      <c r="D87" s="1"/>
      <c r="E87" s="1"/>
      <c r="F87" s="1"/>
      <c r="G87" s="1"/>
      <c r="H87" s="1"/>
      <c r="I87" s="1"/>
      <c r="J87" s="24"/>
      <c r="K87" s="1"/>
    </row>
    <row r="88">
      <c r="A88" s="1"/>
      <c r="B88" s="6" t="s">
        <v>155</v>
      </c>
      <c r="C88" s="36">
        <v>-0.029</v>
      </c>
      <c r="D88" s="36">
        <v>0.026</v>
      </c>
      <c r="E88" s="36">
        <v>0.034</v>
      </c>
      <c r="F88" s="36">
        <v>0.027000000000000003</v>
      </c>
      <c r="G88" s="36">
        <v>0.015</v>
      </c>
      <c r="H88" s="36">
        <v>0.015</v>
      </c>
      <c r="I88" s="36">
        <v>0.021</v>
      </c>
      <c r="J88" s="66">
        <v>0.007</v>
      </c>
      <c r="K88" s="141" t="s">
        <v>156</v>
      </c>
    </row>
    <row r="89" ht="27.75">
      <c r="A89" s="1"/>
      <c r="B89" s="154" t="s">
        <v>157</v>
      </c>
      <c r="C89" s="21" t="s">
        <v>76</v>
      </c>
      <c r="D89" s="21" t="s">
        <v>76</v>
      </c>
      <c r="E89" s="21" t="s">
        <v>76</v>
      </c>
      <c r="F89" s="21" t="s">
        <v>76</v>
      </c>
      <c r="G89" s="21" t="s">
        <v>76</v>
      </c>
      <c r="H89" s="21">
        <f>IFERROR((H88-C88)*10000,"n/a")</f>
        <v>440</v>
      </c>
      <c r="I89" s="21">
        <f>IFERROR((I88-D88)*10000,"n/a")</f>
        <v>-49.99999999999997</v>
      </c>
      <c r="J89" s="46">
        <f>IFERROR((J88-E88)*10000,"n/a")</f>
        <v>-270.00000000000006</v>
      </c>
      <c r="K89" s="1"/>
    </row>
    <row r="90" ht="27.75">
      <c r="A90" s="1"/>
      <c r="B90" s="154" t="s">
        <v>158</v>
      </c>
      <c r="C90" s="21" t="s">
        <v>76</v>
      </c>
      <c r="D90" s="21">
        <f>IFERROR((D88-C88)*10000,"n/a")</f>
        <v>550</v>
      </c>
      <c r="E90" s="21">
        <f>IFERROR((E88-D88)*10000,"n/a")</f>
        <v>80.00000000000004</v>
      </c>
      <c r="F90" s="21">
        <f>IFERROR((F88-E88)*10000,"n/a")</f>
        <v>-69.99999999999999</v>
      </c>
      <c r="G90" s="21" t="s">
        <v>76</v>
      </c>
      <c r="H90" s="21">
        <f>IFERROR((H88-F88)*10000,"n/a")</f>
        <v>-120.00000000000004</v>
      </c>
      <c r="I90" s="21">
        <f>IFERROR((I88-H88)*10000,"n/a")</f>
        <v>60.00000000000002</v>
      </c>
      <c r="J90" s="46">
        <f>IFERROR((J88-I88)*10000,"n/a")</f>
        <v>-140.00000000000003</v>
      </c>
      <c r="K90" s="1"/>
    </row>
    <row r="91">
      <c r="A91" s="1"/>
      <c r="B91" s="6" t="s">
        <v>159</v>
      </c>
      <c r="C91" s="36">
        <v>-0.004</v>
      </c>
      <c r="D91" s="36">
        <v>0.034</v>
      </c>
      <c r="E91" s="36">
        <v>0.053</v>
      </c>
      <c r="F91" s="36">
        <v>0.037000000000000005</v>
      </c>
      <c r="G91" s="36">
        <v>0.03</v>
      </c>
      <c r="H91" s="36">
        <v>0.008</v>
      </c>
      <c r="I91" s="36">
        <v>0</v>
      </c>
      <c r="J91" s="66">
        <v>0.007</v>
      </c>
      <c r="K91" s="141" t="s">
        <v>156</v>
      </c>
    </row>
    <row r="92" ht="27.75">
      <c r="A92" s="1"/>
      <c r="B92" s="154" t="s">
        <v>160</v>
      </c>
      <c r="C92" s="21" t="s">
        <v>76</v>
      </c>
      <c r="D92" s="21" t="s">
        <v>76</v>
      </c>
      <c r="E92" s="21" t="s">
        <v>76</v>
      </c>
      <c r="F92" s="21" t="s">
        <v>76</v>
      </c>
      <c r="G92" s="21" t="s">
        <v>76</v>
      </c>
      <c r="H92" s="21">
        <f>IFERROR((H91-C91)*10000,"n/a")</f>
        <v>120</v>
      </c>
      <c r="I92" s="21">
        <f>IFERROR((I91-D91)*10000,"n/a")</f>
        <v>-340</v>
      </c>
      <c r="J92" s="46">
        <f>IFERROR((J91-E91)*10000,"n/a")</f>
        <v>-460</v>
      </c>
      <c r="K92" s="1"/>
    </row>
    <row r="93" ht="27.75">
      <c r="A93" s="1"/>
      <c r="B93" s="154" t="s">
        <v>161</v>
      </c>
      <c r="C93" s="21" t="s">
        <v>76</v>
      </c>
      <c r="D93" s="21">
        <f>IFERROR((D91-C91)*10000,"n/a")</f>
        <v>380.00000000000006</v>
      </c>
      <c r="E93" s="21">
        <f>IFERROR((E91-D91)*10000,"n/a")</f>
        <v>189.99999999999997</v>
      </c>
      <c r="F93" s="21">
        <f>IFERROR((F91-E91)*10000,"n/a")</f>
        <v>-159.99999999999994</v>
      </c>
      <c r="G93" s="21" t="s">
        <v>76</v>
      </c>
      <c r="H93" s="21">
        <f>IFERROR((H91-F91)*10000,"n/a")</f>
        <v>-290.00000000000006</v>
      </c>
      <c r="I93" s="21">
        <f>IFERROR((I91-H91)*10000,"n/a")</f>
        <v>-80</v>
      </c>
      <c r="J93" s="46">
        <f>IFERROR((J91-I91)*10000,"n/a")</f>
        <v>70</v>
      </c>
      <c r="K93" s="1"/>
    </row>
    <row r="94">
      <c r="A94" s="1"/>
      <c r="B94" s="6" t="s">
        <v>162</v>
      </c>
      <c r="C94" s="36">
        <v>-0.005</v>
      </c>
      <c r="D94" s="36">
        <v>0.034</v>
      </c>
      <c r="E94" s="36">
        <v>0.052000000000000005</v>
      </c>
      <c r="F94" s="36">
        <v>0.037000000000000005</v>
      </c>
      <c r="G94" s="36">
        <v>0.03</v>
      </c>
      <c r="H94" s="36">
        <v>0.009000000000000001</v>
      </c>
      <c r="I94" s="36">
        <v>0.001</v>
      </c>
      <c r="J94" s="66">
        <v>0.007</v>
      </c>
      <c r="K94" s="141" t="s">
        <v>156</v>
      </c>
    </row>
    <row r="95" ht="40.5">
      <c r="A95" s="1"/>
      <c r="B95" s="154" t="s">
        <v>163</v>
      </c>
      <c r="C95" s="36">
        <v>0.055999999999999994</v>
      </c>
      <c r="D95" s="36">
        <v>0.048</v>
      </c>
      <c r="E95" s="36">
        <v>0.03</v>
      </c>
      <c r="F95" s="36">
        <v>0.004</v>
      </c>
      <c r="G95" s="167"/>
      <c r="H95" s="1"/>
      <c r="I95" s="1"/>
      <c r="J95" s="24"/>
      <c r="K95" s="141" t="s">
        <v>164</v>
      </c>
    </row>
    <row r="96">
      <c r="A96" s="1"/>
      <c r="B96" s="18" t="s">
        <v>165</v>
      </c>
      <c r="C96" s="21">
        <f>IFERROR((C94-C95)*10000,"n/a")</f>
        <v>-609.9999999999999</v>
      </c>
      <c r="D96" s="21">
        <f>IFERROR((D94-D95)*10000,"n/a")</f>
        <v>-139.99999999999997</v>
      </c>
      <c r="E96" s="21">
        <f>IFERROR((E94-E95)*10000,"n/a")</f>
        <v>220.00000000000006</v>
      </c>
      <c r="F96" s="21">
        <f>IFERROR((F94-F95)*10000,"n/a")</f>
        <v>330</v>
      </c>
      <c r="G96" s="21" t="str">
        <f>IF(ISNUMBER(G95),(G94-G95)*10000,"n/a")</f>
        <v>n/a</v>
      </c>
      <c r="H96" s="21">
        <f>IFERROR((H94-C94)*10000,"n/a")</f>
        <v>140.00000000000003</v>
      </c>
      <c r="I96" s="21">
        <f>IFERROR((I94-D94)*10000,"n/a")</f>
        <v>-330</v>
      </c>
      <c r="J96" s="46">
        <f>IFERROR((J94-E94)*10000,"n/a")</f>
        <v>-450.00000000000006</v>
      </c>
      <c r="K96" s="1"/>
    </row>
    <row r="97">
      <c r="A97" s="1"/>
      <c r="B97" s="18" t="s">
        <v>166</v>
      </c>
      <c r="C97" s="21" t="s">
        <v>76</v>
      </c>
      <c r="D97" s="21">
        <f>IFERROR((D94-C94)*10000,"n/a")</f>
        <v>390</v>
      </c>
      <c r="E97" s="21">
        <f>IFERROR((E94-D94)*10000,"n/a")</f>
        <v>180.00000000000003</v>
      </c>
      <c r="F97" s="21">
        <f>IFERROR((F94-E94)*10000,"n/a")</f>
        <v>-150</v>
      </c>
      <c r="G97" s="21" t="s">
        <v>76</v>
      </c>
      <c r="H97" s="21">
        <f>IFERROR((H94-F94)*10000,"n/a")</f>
        <v>-280.00000000000006</v>
      </c>
      <c r="I97" s="21">
        <f>IFERROR((I94-H94)*10000,"n/a")</f>
        <v>-80</v>
      </c>
      <c r="J97" s="46">
        <f>IFERROR((J94-I94)*10000,"n/a")</f>
        <v>60</v>
      </c>
      <c r="K97" s="1"/>
    </row>
    <row r="98">
      <c r="A98" s="1"/>
      <c r="B98" s="18" t="s">
        <v>167</v>
      </c>
      <c r="C98" s="12">
        <f>C94+C95</f>
        <v>0.051</v>
      </c>
      <c r="D98" s="12">
        <f>D94+D95</f>
        <v>0.082</v>
      </c>
      <c r="E98" s="12">
        <f>E94+E95</f>
        <v>0.082</v>
      </c>
      <c r="F98" s="12">
        <f>F94+F95</f>
        <v>0.04100000000000001</v>
      </c>
      <c r="G98" s="166" t="str">
        <f>IF(ISNUMBER(G95),G94+G95,"n/a")</f>
        <v>n/a</v>
      </c>
      <c r="H98" s="12">
        <f>H94+C94</f>
        <v>0.004000000000000001</v>
      </c>
      <c r="I98" s="12">
        <f>I94+D94</f>
        <v>0.035</v>
      </c>
      <c r="J98" s="44">
        <f>J94+E94</f>
        <v>0.059000000000000004</v>
      </c>
      <c r="K98" s="1"/>
    </row>
    <row r="99" ht="27.75">
      <c r="A99" s="1"/>
      <c r="B99" s="142" t="s">
        <v>168</v>
      </c>
      <c r="C99" s="1"/>
      <c r="D99" s="1"/>
      <c r="E99" s="1"/>
      <c r="F99" s="1"/>
      <c r="G99" s="1"/>
      <c r="H99" s="1"/>
      <c r="I99" s="1"/>
      <c r="J99" s="24"/>
      <c r="K99" s="1"/>
    </row>
    <row r="100">
      <c r="A100" s="1"/>
      <c r="B100" s="13" t="s">
        <v>169</v>
      </c>
      <c r="C100" s="42">
        <v>2240.8</v>
      </c>
      <c r="D100" s="42">
        <v>2335.6</v>
      </c>
      <c r="E100" s="42">
        <v>2320.4</v>
      </c>
      <c r="F100" s="42">
        <v>3056.1</v>
      </c>
      <c r="G100" s="85">
        <f>SUM(C100:F100)</f>
        <v>9952.9</v>
      </c>
      <c r="H100" s="42">
        <v>2302.6</v>
      </c>
      <c r="I100" s="42">
        <v>2381.1</v>
      </c>
      <c r="J100" s="83">
        <f>E100*(1+J94)*(1+J107)</f>
        <v>2378.7023704</v>
      </c>
      <c r="K100" s="141" t="s">
        <v>170</v>
      </c>
    </row>
    <row r="101" ht="27.75">
      <c r="A101" s="1"/>
      <c r="B101" s="144" t="s">
        <v>171</v>
      </c>
      <c r="C101" s="20">
        <v>2212</v>
      </c>
      <c r="D101" s="20">
        <v>2222.1</v>
      </c>
      <c r="E101" s="20">
        <v>2168.4</v>
      </c>
      <c r="F101" s="20">
        <v>2897.6</v>
      </c>
      <c r="G101" s="3">
        <f>SUM(C101:F101)</f>
        <v>9500.1</v>
      </c>
      <c r="H101" s="1"/>
      <c r="I101" s="1"/>
      <c r="J101" s="24"/>
      <c r="K101" s="141" t="s">
        <v>172</v>
      </c>
    </row>
    <row r="102">
      <c r="A102" s="1"/>
      <c r="B102" s="18" t="s">
        <v>173</v>
      </c>
      <c r="C102" s="12">
        <f>IFERROR(C100/C101-1,"n/a")</f>
        <v>0.013019891500904324</v>
      </c>
      <c r="D102" s="12">
        <f>IFERROR(D100/D101-1,"n/a")</f>
        <v>0.05107780927951033</v>
      </c>
      <c r="E102" s="12">
        <f>IFERROR(E100/E101-1,"n/a")</f>
        <v>0.07009776793949452</v>
      </c>
      <c r="F102" s="12">
        <f>IFERROR(F100/F101-1,"n/a")</f>
        <v>0.054700441744892414</v>
      </c>
      <c r="G102" s="12">
        <f>IFERROR(G100/G101-1,"n/a")</f>
        <v>0.047662656182566376</v>
      </c>
      <c r="H102" s="12">
        <f>IFERROR(H100/C100-1,"n/a")</f>
        <v>0.027579435915744188</v>
      </c>
      <c r="I102" s="12">
        <f>IFERROR(I100/D100-1,"n/a")</f>
        <v>0.019481075526631253</v>
      </c>
      <c r="J102" s="44">
        <f>IFERROR(J100/E100-1,"n/a")</f>
        <v>0.02512599999999998</v>
      </c>
      <c r="K102" s="1"/>
    </row>
    <row r="103" ht="27.75">
      <c r="A103" s="1"/>
      <c r="B103" s="154" t="s">
        <v>174</v>
      </c>
      <c r="C103" s="37" t="s">
        <v>76</v>
      </c>
      <c r="D103" s="37">
        <f>D100-C100</f>
        <v>94.79999999999973</v>
      </c>
      <c r="E103" s="37">
        <f>E100-D100</f>
        <v>-15.199999999999818</v>
      </c>
      <c r="F103" s="37">
        <f>F100-E100</f>
        <v>735.6999999999998</v>
      </c>
      <c r="G103" s="37" t="s">
        <v>76</v>
      </c>
      <c r="H103" s="37">
        <f>H100-F100</f>
        <v>-753.5</v>
      </c>
      <c r="I103" s="37">
        <f>I100-H100</f>
        <v>78.5</v>
      </c>
      <c r="J103" s="63">
        <f>J100-I100</f>
        <v>-2.397629600000073</v>
      </c>
      <c r="K103" s="1"/>
    </row>
    <row r="104" ht="27.75">
      <c r="A104" s="1"/>
      <c r="B104" s="140" t="s">
        <v>175</v>
      </c>
      <c r="C104" s="36">
        <v>0.013</v>
      </c>
      <c r="D104" s="36">
        <v>0.051</v>
      </c>
      <c r="E104" s="36">
        <v>0.07</v>
      </c>
      <c r="F104" s="36">
        <v>0.055</v>
      </c>
      <c r="G104" s="36">
        <v>0.048</v>
      </c>
      <c r="H104" s="36">
        <v>0.027999999999999997</v>
      </c>
      <c r="I104" s="36">
        <v>0.019</v>
      </c>
      <c r="J104" s="44">
        <f>J100/E100-1</f>
        <v>0.02512599999999998</v>
      </c>
      <c r="K104" s="141" t="s">
        <v>108</v>
      </c>
    </row>
    <row r="105" ht="27.75">
      <c r="A105" s="1"/>
      <c r="B105" s="154" t="s">
        <v>176</v>
      </c>
      <c r="C105" s="21" t="s">
        <v>76</v>
      </c>
      <c r="D105" s="21" t="s">
        <v>76</v>
      </c>
      <c r="E105" s="21" t="s">
        <v>76</v>
      </c>
      <c r="F105" s="21" t="s">
        <v>76</v>
      </c>
      <c r="G105" s="21" t="s">
        <v>76</v>
      </c>
      <c r="H105" s="21">
        <f>IFERROR((H104-C104)*10000,"n/a")</f>
        <v>149.99999999999997</v>
      </c>
      <c r="I105" s="21">
        <f>IFERROR((I104-D104)*10000,"n/a")</f>
        <v>-320</v>
      </c>
      <c r="J105" s="46">
        <f>IFERROR((J104-E104)*10000,"n/a")</f>
        <v>-448.74000000000024</v>
      </c>
      <c r="K105" s="1"/>
    </row>
    <row r="106" ht="27.75">
      <c r="A106" s="1"/>
      <c r="B106" s="154" t="s">
        <v>177</v>
      </c>
      <c r="C106" s="21" t="s">
        <v>76</v>
      </c>
      <c r="D106" s="21">
        <f>IFERROR((D104-C104)*10000,"n/a")</f>
        <v>380</v>
      </c>
      <c r="E106" s="21">
        <f>IFERROR((E104-D104)*10000,"n/a")</f>
        <v>190.00000000000009</v>
      </c>
      <c r="F106" s="21">
        <f>IFERROR((F104-E104)*10000,"n/a")</f>
        <v>-150.00000000000006</v>
      </c>
      <c r="G106" s="21" t="s">
        <v>76</v>
      </c>
      <c r="H106" s="21">
        <f>IFERROR((H104-F104)*10000,"n/a")</f>
        <v>-270.00000000000006</v>
      </c>
      <c r="I106" s="21">
        <f>IFERROR((I104-H104)*10000,"n/a")</f>
        <v>-89.99999999999997</v>
      </c>
      <c r="J106" s="46">
        <f>IFERROR((J104-I104)*10000,"n/a")</f>
        <v>61.25999999999982</v>
      </c>
      <c r="K106" s="1"/>
    </row>
    <row r="107" ht="27.75">
      <c r="A107" s="1"/>
      <c r="B107" s="140" t="s">
        <v>178</v>
      </c>
      <c r="C107" s="12">
        <f>(1+C104)/(1+C94)-1</f>
        <v>0.018090452261306345</v>
      </c>
      <c r="D107" s="12">
        <f>(1+D104)/(1+D94)-1</f>
        <v>0.016441005802707798</v>
      </c>
      <c r="E107" s="12">
        <f>(1+E104)/(1+E94)-1</f>
        <v>0.017110266159695797</v>
      </c>
      <c r="F107" s="12">
        <f>(1+F104)/(1+F94)-1</f>
        <v>0.017357762777242103</v>
      </c>
      <c r="G107" s="12">
        <f>(1+G104)/(1+G94)-1</f>
        <v>0.01747572815533993</v>
      </c>
      <c r="H107" s="12">
        <f>(1+H104)/(1+H94)-1</f>
        <v>0.01883052527254714</v>
      </c>
      <c r="I107" s="12">
        <f>(1+I104)/(1+I94)-1</f>
        <v>0.01798201798201804</v>
      </c>
      <c r="J107" s="66">
        <v>0.018</v>
      </c>
      <c r="K107" s="141" t="s">
        <v>179</v>
      </c>
    </row>
    <row r="108" ht="27.75">
      <c r="A108" s="1"/>
      <c r="B108" s="154" t="s">
        <v>180</v>
      </c>
      <c r="C108" s="21" t="s">
        <v>76</v>
      </c>
      <c r="D108" s="21" t="s">
        <v>76</v>
      </c>
      <c r="E108" s="21" t="s">
        <v>76</v>
      </c>
      <c r="F108" s="21" t="s">
        <v>76</v>
      </c>
      <c r="G108" s="21" t="s">
        <v>76</v>
      </c>
      <c r="H108" s="21">
        <f>IFERROR((H107-C107)*10000,"n/a")</f>
        <v>7.400730112407938</v>
      </c>
      <c r="I108" s="21">
        <f>IFERROR((I107-D107)*10000,"n/a")</f>
        <v>15.410121793102416</v>
      </c>
      <c r="J108" s="46">
        <f>IFERROR((J107-E107)*10000,"n/a")</f>
        <v>8.897338403042014</v>
      </c>
      <c r="K108" s="1"/>
    </row>
    <row r="109" ht="27.75">
      <c r="A109" s="1"/>
      <c r="B109" s="154" t="s">
        <v>181</v>
      </c>
      <c r="C109" s="21" t="s">
        <v>76</v>
      </c>
      <c r="D109" s="21">
        <f>IFERROR((D107-C107)*10000,"n/a")</f>
        <v>-16.49446458598547</v>
      </c>
      <c r="E109" s="21">
        <f>IFERROR((E107-D107)*10000,"n/a")</f>
        <v>6.692603569879996</v>
      </c>
      <c r="F109" s="21">
        <f>IFERROR((F107-E107)*10000,"n/a")</f>
        <v>2.474966175463056</v>
      </c>
      <c r="G109" s="21" t="s">
        <v>76</v>
      </c>
      <c r="H109" s="21">
        <f>IFERROR((H107-F107)*10000,"n/a")</f>
        <v>14.727624953050356</v>
      </c>
      <c r="I109" s="21">
        <f>IFERROR((I107-H107)*10000,"n/a")</f>
        <v>-8.485072905290991</v>
      </c>
      <c r="J109" s="46">
        <f>IFERROR((J107-I107)*10000,"n/a")</f>
        <v>0.17982017981959392</v>
      </c>
      <c r="K109" s="1"/>
    </row>
    <row r="110" ht="40.5">
      <c r="A110" s="1"/>
      <c r="B110" s="143" t="s">
        <v>182</v>
      </c>
      <c r="C110" s="85">
        <f>C100-C132</f>
        <v>2149.202</v>
      </c>
      <c r="D110" s="85">
        <f>D100-D132</f>
        <v>2243.144</v>
      </c>
      <c r="E110" s="85">
        <f>E100-E132</f>
        <v>2237.6510000000003</v>
      </c>
      <c r="F110" s="85">
        <f>F100-F132</f>
        <v>2947.75</v>
      </c>
      <c r="G110" s="85">
        <f>G100-G132</f>
        <v>9577.747</v>
      </c>
      <c r="H110" s="85">
        <f>H100-H132</f>
        <v>2220.502</v>
      </c>
      <c r="I110" s="85">
        <f>I100-I132</f>
        <v>2299.2709999999997</v>
      </c>
      <c r="J110" s="83">
        <f>J100-J132</f>
        <v>2318.538735492664</v>
      </c>
      <c r="K110" s="1"/>
    </row>
    <row r="111" ht="27.75">
      <c r="A111" s="1"/>
      <c r="B111" s="144" t="s">
        <v>183</v>
      </c>
      <c r="C111" s="3">
        <f>C101-C157</f>
        <v>2119.351</v>
      </c>
      <c r="D111" s="3">
        <f>D101-D157</f>
        <v>2129.836</v>
      </c>
      <c r="E111" s="3">
        <f>E101-E157</f>
        <v>2079.227</v>
      </c>
      <c r="F111" s="3">
        <f>F101-F157</f>
        <v>2777.788</v>
      </c>
      <c r="G111" s="3">
        <f>G101-G157</f>
        <v>9106.202000000001</v>
      </c>
      <c r="H111" s="1"/>
      <c r="I111" s="1"/>
      <c r="J111" s="24"/>
      <c r="K111" s="1"/>
    </row>
    <row r="112" ht="27.75">
      <c r="A112" s="1"/>
      <c r="B112" s="154" t="s">
        <v>184</v>
      </c>
      <c r="C112" s="12">
        <f>IFERROR(C110/C111-1,"n/a")</f>
        <v>0.014084972239143179</v>
      </c>
      <c r="D112" s="12">
        <f>IFERROR(D110/D111-1,"n/a")</f>
        <v>0.053200340307892224</v>
      </c>
      <c r="E112" s="12">
        <f>IFERROR(E110/E111-1,"n/a")</f>
        <v>0.07619370083208832</v>
      </c>
      <c r="F112" s="12">
        <f>IFERROR(F110/F111-1,"n/a")</f>
        <v>0.06118609483517101</v>
      </c>
      <c r="G112" s="12">
        <f>IFERROR(G110/G111-1,"n/a")</f>
        <v>0.05178283987111176</v>
      </c>
      <c r="H112" s="12">
        <f>IFERROR(H110/C110-1,"n/a")</f>
        <v>0.03317510406187951</v>
      </c>
      <c r="I112" s="12">
        <f>IFERROR(I110/D110-1,"n/a")</f>
        <v>0.025021576858195393</v>
      </c>
      <c r="J112" s="44">
        <f>IFERROR(J110/E110-1,"n/a")</f>
        <v>0.03614850371781109</v>
      </c>
      <c r="K112" s="1"/>
    </row>
    <row r="113" ht="27.75">
      <c r="A113" s="1"/>
      <c r="B113" s="154" t="s">
        <v>185</v>
      </c>
      <c r="C113" s="37" t="s">
        <v>76</v>
      </c>
      <c r="D113" s="37">
        <f>D110-C110</f>
        <v>93.94199999999955</v>
      </c>
      <c r="E113" s="37">
        <f>E110-D110</f>
        <v>-5.492999999999483</v>
      </c>
      <c r="F113" s="37">
        <f>F110-E110</f>
        <v>710.0989999999997</v>
      </c>
      <c r="G113" s="37" t="s">
        <v>76</v>
      </c>
      <c r="H113" s="37">
        <f>H110-F110</f>
        <v>-727.248</v>
      </c>
      <c r="I113" s="37">
        <f>I110-H110</f>
        <v>78.76899999999978</v>
      </c>
      <c r="J113" s="63">
        <f>J110-I110</f>
        <v>19.267735492664087</v>
      </c>
      <c r="K113" s="1"/>
    </row>
    <row r="114">
      <c r="A114" s="1"/>
      <c r="B114" s="7" t="s">
        <v>186</v>
      </c>
      <c r="C114" s="1"/>
      <c r="D114" s="1"/>
      <c r="E114" s="1"/>
      <c r="F114" s="1"/>
      <c r="G114" s="1"/>
      <c r="H114" s="1"/>
      <c r="I114" s="1"/>
      <c r="J114" s="24"/>
      <c r="K114" s="1"/>
    </row>
    <row r="115">
      <c r="A115" s="1"/>
      <c r="B115" s="2" t="s">
        <v>187</v>
      </c>
      <c r="C115" s="22">
        <f>C7/7</f>
        <v>12</v>
      </c>
      <c r="D115" s="22">
        <f>D7/7</f>
        <v>12</v>
      </c>
      <c r="E115" s="22">
        <f>E7/7</f>
        <v>12</v>
      </c>
      <c r="F115" s="22">
        <f>F7/7</f>
        <v>16</v>
      </c>
      <c r="G115" s="22">
        <f>G7/7</f>
        <v>52</v>
      </c>
      <c r="H115" s="22">
        <f>H7/7</f>
        <v>12</v>
      </c>
      <c r="I115" s="22">
        <f>I7/7</f>
        <v>12</v>
      </c>
      <c r="J115" s="73">
        <f>J7/7</f>
        <v>12</v>
      </c>
      <c r="K115" s="1"/>
    </row>
    <row r="116" ht="27.75">
      <c r="A116" s="1"/>
      <c r="B116" s="144" t="s">
        <v>188</v>
      </c>
      <c r="C116" s="23">
        <f>C132/(C29*C115)*1000</f>
        <v>26.05176336746303</v>
      </c>
      <c r="D116" s="23">
        <f>D132/(D29*D115)*1000</f>
        <v>27.91545893719807</v>
      </c>
      <c r="E116" s="23">
        <f>E132/(E29*E115)*1000</f>
        <v>26.62451737451737</v>
      </c>
      <c r="F116" s="23">
        <f>F132/(F29*F115)*1000</f>
        <v>25.94588122605364</v>
      </c>
      <c r="G116" s="23">
        <f>G132/(G29*G115)*1000</f>
        <v>26.58397108843538</v>
      </c>
      <c r="H116" s="23">
        <f>H132/(H29*H115)*1000</f>
        <v>26.11259541984733</v>
      </c>
      <c r="I116" s="23">
        <f>I132/(I29*I115)*1000</f>
        <v>30.442336309523814</v>
      </c>
      <c r="J116" s="81">
        <f>E116*(1+J88)</f>
        <v>26.81088899613899</v>
      </c>
      <c r="K116" s="141" t="s">
        <v>189</v>
      </c>
    </row>
    <row r="117" ht="27.75">
      <c r="A117" s="1"/>
      <c r="B117" s="154" t="s">
        <v>190</v>
      </c>
      <c r="C117" s="12" t="s">
        <v>76</v>
      </c>
      <c r="D117" s="12" t="s">
        <v>76</v>
      </c>
      <c r="E117" s="12" t="s">
        <v>76</v>
      </c>
      <c r="F117" s="12" t="s">
        <v>76</v>
      </c>
      <c r="G117" s="12" t="s">
        <v>76</v>
      </c>
      <c r="H117" s="12">
        <f>IFERROR(H116/C116-1,"n/a")</f>
        <v>0.0023350454833426237</v>
      </c>
      <c r="I117" s="12">
        <f>IFERROR(I116/D116-1,"n/a")</f>
        <v>0.09051892637733472</v>
      </c>
      <c r="J117" s="44">
        <f>IFERROR(J116/E116-1,"n/a")</f>
        <v>0.006999999999999895</v>
      </c>
      <c r="K117" s="1"/>
    </row>
    <row r="118" ht="40.5">
      <c r="A118" s="1"/>
      <c r="B118" s="154" t="s">
        <v>191</v>
      </c>
      <c r="C118" s="64" t="s">
        <v>76</v>
      </c>
      <c r="D118" s="64">
        <f>D116-C116</f>
        <v>1.863695569735043</v>
      </c>
      <c r="E118" s="64">
        <f>E116-D116</f>
        <v>-1.2909415626807004</v>
      </c>
      <c r="F118" s="64">
        <f>F116-E116</f>
        <v>-0.6786361484637311</v>
      </c>
      <c r="G118" s="64" t="s">
        <v>76</v>
      </c>
      <c r="H118" s="64">
        <f>H116-F116</f>
        <v>0.16671419379369112</v>
      </c>
      <c r="I118" s="64">
        <f>I116-H116</f>
        <v>4.329740889676483</v>
      </c>
      <c r="J118" s="35">
        <f>J116-I116</f>
        <v>-3.6314473133848253</v>
      </c>
      <c r="K118" s="1"/>
    </row>
    <row r="119" ht="27.75">
      <c r="A119" s="1"/>
      <c r="B119" s="144" t="s">
        <v>192</v>
      </c>
      <c r="C119" s="23">
        <f>C110/(C53*C115)*1000</f>
        <v>26.614186294177383</v>
      </c>
      <c r="D119" s="23">
        <f>D110/(D53*D115)*1000</f>
        <v>27.611324470704083</v>
      </c>
      <c r="E119" s="23">
        <f>E110/(E53*E115)*1000</f>
        <v>27.355815545612366</v>
      </c>
      <c r="F119" s="23">
        <f>F110/(F53*F115)*1000</f>
        <v>26.78993383742911</v>
      </c>
      <c r="G119" s="23">
        <f>G110/(G53*G115)*1000</f>
        <v>27.069240639413945</v>
      </c>
      <c r="H119" s="23">
        <f>H110/(H53*H115)*1000</f>
        <v>26.68808442104757</v>
      </c>
      <c r="I119" s="23">
        <f>I110/(I53*I115)*1000</f>
        <v>27.39575588599752</v>
      </c>
      <c r="J119" s="81">
        <f>J110/(J53*J115)*1000</f>
        <v>27.36707667012115</v>
      </c>
      <c r="K119" s="1"/>
    </row>
    <row r="120" ht="27.75">
      <c r="A120" s="1"/>
      <c r="B120" s="154" t="s">
        <v>193</v>
      </c>
      <c r="C120" s="12" t="s">
        <v>76</v>
      </c>
      <c r="D120" s="12" t="s">
        <v>76</v>
      </c>
      <c r="E120" s="12" t="s">
        <v>76</v>
      </c>
      <c r="F120" s="12" t="s">
        <v>76</v>
      </c>
      <c r="G120" s="12" t="s">
        <v>76</v>
      </c>
      <c r="H120" s="12">
        <f>IFERROR(H119/C119-1,"n/a")</f>
        <v>0.002776644232266312</v>
      </c>
      <c r="I120" s="12">
        <f>IFERROR(I119/D119-1,"n/a")</f>
        <v>-0.007807252597943459</v>
      </c>
      <c r="J120" s="44">
        <f>IFERROR(J119/E119-1,"n/a")</f>
        <v>0.00041165376663721</v>
      </c>
      <c r="K120" s="1"/>
    </row>
    <row r="121" ht="40.5">
      <c r="A121" s="1"/>
      <c r="B121" s="154" t="s">
        <v>194</v>
      </c>
      <c r="C121" s="64" t="s">
        <v>76</v>
      </c>
      <c r="D121" s="64">
        <f>D119-C119</f>
        <v>0.9971381765267004</v>
      </c>
      <c r="E121" s="64">
        <f>E119-D119</f>
        <v>-0.25550892509171774</v>
      </c>
      <c r="F121" s="64">
        <f>F119-E119</f>
        <v>-0.5658817081832552</v>
      </c>
      <c r="G121" s="64" t="s">
        <v>76</v>
      </c>
      <c r="H121" s="64">
        <f>H119-F119</f>
        <v>-0.10184941638154044</v>
      </c>
      <c r="I121" s="64">
        <f>I119-H119</f>
        <v>0.70767146494995</v>
      </c>
      <c r="J121" s="35">
        <f>J119-I119</f>
        <v>-0.028679215876369568</v>
      </c>
      <c r="K121" s="1"/>
    </row>
    <row r="122" ht="27.75">
      <c r="A122" s="1"/>
      <c r="B122" s="142" t="s">
        <v>195</v>
      </c>
      <c r="C122" s="1"/>
      <c r="D122" s="1"/>
      <c r="E122" s="1"/>
      <c r="F122" s="1"/>
      <c r="G122" s="1"/>
      <c r="H122" s="1"/>
      <c r="I122" s="1"/>
      <c r="J122" s="24"/>
      <c r="K122" s="1"/>
    </row>
    <row r="123" ht="27.75">
      <c r="A123" s="1"/>
      <c r="B123" s="140" t="s">
        <v>196</v>
      </c>
      <c r="C123" s="12">
        <f>C138/C110</f>
        <v>0.07025863553076908</v>
      </c>
      <c r="D123" s="12">
        <f>D138/D110</f>
        <v>0.06966159996861548</v>
      </c>
      <c r="E123" s="12">
        <f>E138/E110</f>
        <v>0.0702321318203777</v>
      </c>
      <c r="F123" s="12">
        <f>F138/F110</f>
        <v>0.07215605122551098</v>
      </c>
      <c r="G123" s="12">
        <f>G138/G110</f>
        <v>0.07069658448902441</v>
      </c>
      <c r="H123" s="12">
        <f>H138/H110</f>
        <v>0.071161386028925</v>
      </c>
      <c r="I123" s="12">
        <f>I138/I110</f>
        <v>0.07139871724559654</v>
      </c>
      <c r="J123" s="44">
        <f>E123+AVERAGE(H125,I125)/10000</f>
        <v>0.07155206570794619</v>
      </c>
      <c r="K123" s="141" t="s">
        <v>197</v>
      </c>
    </row>
    <row r="124">
      <c r="A124" s="1"/>
      <c r="B124" s="18" t="s">
        <v>198</v>
      </c>
      <c r="C124" s="12">
        <f>C158/C111</f>
        <v>0.07102079834817357</v>
      </c>
      <c r="D124" s="12">
        <f>D158/D111</f>
        <v>0.06928984203478578</v>
      </c>
      <c r="E124" s="12">
        <f>E158/E111</f>
        <v>0.06929209749584822</v>
      </c>
      <c r="F124" s="12">
        <f>F158/F111</f>
        <v>0.07056874030703567</v>
      </c>
      <c r="G124" s="12">
        <f>G158/G111</f>
        <v>0.07008333441318344</v>
      </c>
      <c r="H124" s="1"/>
      <c r="I124" s="1"/>
      <c r="J124" s="24"/>
      <c r="K124" s="1"/>
    </row>
    <row r="125" ht="27.75">
      <c r="A125" s="1"/>
      <c r="B125" s="154" t="s">
        <v>199</v>
      </c>
      <c r="C125" s="21">
        <f>IFERROR((C123-C124)*10000,"n/a")</f>
        <v>-7.621628174044881</v>
      </c>
      <c r="D125" s="21">
        <f>IFERROR((D123-D124)*10000,"n/a")</f>
        <v>3.7175793382970834</v>
      </c>
      <c r="E125" s="21">
        <f>IFERROR((E123-E124)*10000,"n/a")</f>
        <v>9.40034324529479</v>
      </c>
      <c r="F125" s="21">
        <f>IFERROR((F123-F124)*10000,"n/a")</f>
        <v>15.873109184753181</v>
      </c>
      <c r="G125" s="21">
        <f>IFERROR((G123-G124)*10000,"n/a")</f>
        <v>6.132500758409681</v>
      </c>
      <c r="H125" s="21">
        <f>IFERROR((H123-C123)*10000,"n/a")</f>
        <v>9.027504981559131</v>
      </c>
      <c r="I125" s="21">
        <f>IFERROR((I123-D123)*10000,"n/a")</f>
        <v>17.371172769810595</v>
      </c>
      <c r="J125" s="46">
        <f>IFERROR((J123-E123)*10000,"n/a")</f>
        <v>13.199338875684862</v>
      </c>
      <c r="K125" s="1"/>
    </row>
    <row r="126" ht="27.75">
      <c r="A126" s="1"/>
      <c r="B126" s="154" t="s">
        <v>200</v>
      </c>
      <c r="C126" s="21" t="s">
        <v>76</v>
      </c>
      <c r="D126" s="21">
        <f>IFERROR((D123-C123)*10000,"n/a")</f>
        <v>-5.9703556215359725</v>
      </c>
      <c r="E126" s="21">
        <f>IFERROR((E123-D123)*10000,"n/a")</f>
        <v>5.705318517622154</v>
      </c>
      <c r="F126" s="21">
        <f>IFERROR((F123-E123)*10000,"n/a")</f>
        <v>19.23919405133284</v>
      </c>
      <c r="G126" s="21" t="s">
        <v>76</v>
      </c>
      <c r="H126" s="21">
        <f>IFERROR((H123-F123)*10000,"n/a")</f>
        <v>-9.946651965859893</v>
      </c>
      <c r="I126" s="21">
        <f>IFERROR((I123-H123)*10000,"n/a")</f>
        <v>2.373312166715491</v>
      </c>
      <c r="J126" s="46">
        <f>IFERROR((J123-I123)*10000,"n/a")</f>
        <v>1.5334846234964228</v>
      </c>
      <c r="K126" s="1"/>
    </row>
    <row r="127" ht="27.75">
      <c r="A127" s="1"/>
      <c r="B127" s="140" t="s">
        <v>201</v>
      </c>
      <c r="C127" s="12">
        <f>C144/C110</f>
        <v>0.05768420092666952</v>
      </c>
      <c r="D127" s="12">
        <f>D144/D110</f>
        <v>0.05893558327062373</v>
      </c>
      <c r="E127" s="12">
        <f>E144/E110</f>
        <v>0.058830443174561174</v>
      </c>
      <c r="F127" s="12">
        <f>F144/F110</f>
        <v>0.0582396743278772</v>
      </c>
      <c r="G127" s="12">
        <f>G144/G110</f>
        <v>0.05841603458516915</v>
      </c>
      <c r="H127" s="12">
        <f>H144/H110</f>
        <v>0.05878355434942189</v>
      </c>
      <c r="I127" s="12">
        <f>I144/I110</f>
        <v>0.05867207475760796</v>
      </c>
      <c r="J127" s="44">
        <f>E127+AVERAGE(H129,I129)/10000</f>
        <v>0.05924836562942948</v>
      </c>
      <c r="K127" s="141" t="s">
        <v>197</v>
      </c>
    </row>
    <row r="128">
      <c r="A128" s="1"/>
      <c r="B128" s="18" t="s">
        <v>198</v>
      </c>
      <c r="C128" s="12">
        <f>C159/C111</f>
        <v>0.0520442342962539</v>
      </c>
      <c r="D128" s="12">
        <f>D159/D111</f>
        <v>0.058669305993513124</v>
      </c>
      <c r="E128" s="12">
        <f>E159/E111</f>
        <v>0.0581586329919725</v>
      </c>
      <c r="F128" s="12">
        <f>F159/F111</f>
        <v>0.055321716416083584</v>
      </c>
      <c r="G128" s="12">
        <f>G159/G111</f>
        <v>0.05598964310257997</v>
      </c>
      <c r="H128" s="1"/>
      <c r="I128" s="1"/>
      <c r="J128" s="24"/>
      <c r="K128" s="1"/>
    </row>
    <row r="129">
      <c r="A129" s="1"/>
      <c r="B129" s="18" t="s">
        <v>202</v>
      </c>
      <c r="C129" s="21">
        <f>IFERROR((C127-C128)*10000,"n/a")</f>
        <v>56.399666304156185</v>
      </c>
      <c r="D129" s="21">
        <f>IFERROR((D127-D128)*10000,"n/a")</f>
        <v>2.6627727711060754</v>
      </c>
      <c r="E129" s="21">
        <f>IFERROR((E127-E128)*10000,"n/a")</f>
        <v>6.718101825886752</v>
      </c>
      <c r="F129" s="21">
        <f>IFERROR((F127-F128)*10000,"n/a")</f>
        <v>29.179579117936186</v>
      </c>
      <c r="G129" s="21">
        <f>IFERROR((G127-G128)*10000,"n/a")</f>
        <v>24.26391482589177</v>
      </c>
      <c r="H129" s="21">
        <f>IFERROR((H127-C127)*10000,"n/a")</f>
        <v>10.993534227523721</v>
      </c>
      <c r="I129" s="21">
        <f>IFERROR((I127-D127)*10000,"n/a")</f>
        <v>-2.635085130157713</v>
      </c>
      <c r="J129" s="46">
        <f>IFERROR((J127-E127)*10000,"n/a")</f>
        <v>4.179224548683039</v>
      </c>
      <c r="K129" s="1"/>
    </row>
    <row r="130" ht="27.75">
      <c r="A130" s="1"/>
      <c r="B130" s="154" t="s">
        <v>203</v>
      </c>
      <c r="C130" s="21" t="s">
        <v>76</v>
      </c>
      <c r="D130" s="21">
        <f>IFERROR((D127-C127)*10000,"n/a")</f>
        <v>12.513823439542145</v>
      </c>
      <c r="E130" s="21">
        <f>IFERROR((E127-D127)*10000,"n/a")</f>
        <v>-1.051400960625573</v>
      </c>
      <c r="F130" s="21">
        <f>IFERROR((F127-E127)*10000,"n/a")</f>
        <v>-5.907688466839714</v>
      </c>
      <c r="G130" s="21" t="s">
        <v>76</v>
      </c>
      <c r="H130" s="21">
        <f>IFERROR((H127-F127)*10000,"n/a")</f>
        <v>5.438800215446863</v>
      </c>
      <c r="I130" s="21">
        <f>IFERROR((I127-H127)*10000,"n/a")</f>
        <v>-1.1147959181392886</v>
      </c>
      <c r="J130" s="46">
        <f>IFERROR((J127-I127)*10000,"n/a")</f>
        <v>5.762908718215179</v>
      </c>
      <c r="K130" s="1"/>
    </row>
    <row r="131">
      <c r="A131" s="1"/>
      <c r="B131" s="7" t="s">
        <v>204</v>
      </c>
      <c r="C131" s="1"/>
      <c r="D131" s="1"/>
      <c r="E131" s="1"/>
      <c r="F131" s="1"/>
      <c r="G131" s="1"/>
      <c r="H131" s="1"/>
      <c r="I131" s="1"/>
      <c r="J131" s="24"/>
      <c r="K131" s="1"/>
    </row>
    <row r="132">
      <c r="A132" s="1"/>
      <c r="B132" s="13" t="s">
        <v>205</v>
      </c>
      <c r="C132" s="42">
        <v>91.598</v>
      </c>
      <c r="D132" s="42">
        <v>92.456</v>
      </c>
      <c r="E132" s="42">
        <v>82.749</v>
      </c>
      <c r="F132" s="42">
        <v>108.35</v>
      </c>
      <c r="G132" s="85">
        <f>SUM(C132:F132)</f>
        <v>375.153</v>
      </c>
      <c r="H132" s="42">
        <v>82.098</v>
      </c>
      <c r="I132" s="42">
        <v>81.82900000000001</v>
      </c>
      <c r="J132" s="83">
        <f>J29*J115*J116/1000</f>
        <v>60.16363490733589</v>
      </c>
      <c r="K132" s="141" t="s">
        <v>206</v>
      </c>
    </row>
    <row r="133">
      <c r="A133" s="1"/>
      <c r="B133" s="18" t="s">
        <v>207</v>
      </c>
      <c r="C133" s="12">
        <f>IFERROR(C132/C157-1,"n/a")</f>
        <v>-0.011343889302636856</v>
      </c>
      <c r="D133" s="12">
        <f>IFERROR(D132/D157-1,"n/a")</f>
        <v>0.0020809849995664376</v>
      </c>
      <c r="E133" s="12">
        <f>IFERROR(E132/E157-1,"n/a")</f>
        <v>-0.07203974297152738</v>
      </c>
      <c r="F133" s="12">
        <f>IFERROR(F132/F157-1,"n/a")</f>
        <v>-0.09566654425266252</v>
      </c>
      <c r="G133" s="12">
        <f>IFERROR(G132/G157-1,"n/a")</f>
        <v>-0.04758846198762112</v>
      </c>
      <c r="H133" s="12">
        <f>IFERROR(H132/C132-1,"n/a")</f>
        <v>-0.10371405489202823</v>
      </c>
      <c r="I133" s="12">
        <f>IFERROR(I132/D132-1,"n/a")</f>
        <v>-0.11494116120100362</v>
      </c>
      <c r="J133" s="44">
        <f>IFERROR(J132/E132-1,"n/a")</f>
        <v>-0.2729382239382241</v>
      </c>
      <c r="K133" s="1"/>
    </row>
    <row r="134">
      <c r="A134" s="1"/>
      <c r="B134" s="18" t="s">
        <v>208</v>
      </c>
      <c r="C134" s="37" t="s">
        <v>76</v>
      </c>
      <c r="D134" s="37">
        <f>D132-C132</f>
        <v>0.8580000000000041</v>
      </c>
      <c r="E134" s="37">
        <f>E132-D132</f>
        <v>-9.707000000000008</v>
      </c>
      <c r="F134" s="37">
        <f>F132-E132</f>
        <v>25.601</v>
      </c>
      <c r="G134" s="37" t="s">
        <v>76</v>
      </c>
      <c r="H134" s="37">
        <f>H132-F132</f>
        <v>-26.251999999999995</v>
      </c>
      <c r="I134" s="37">
        <f>I132-H132</f>
        <v>-0.26899999999999125</v>
      </c>
      <c r="J134" s="63">
        <f>J132-I132</f>
        <v>-21.665365092664118</v>
      </c>
      <c r="K134" s="1"/>
    </row>
    <row r="135" ht="27.75">
      <c r="A135" s="1"/>
      <c r="B135" s="154" t="s">
        <v>209</v>
      </c>
      <c r="C135" s="36">
        <v>0</v>
      </c>
      <c r="D135" s="36">
        <v>0</v>
      </c>
      <c r="E135" s="36">
        <v>0</v>
      </c>
      <c r="F135" s="36">
        <v>0</v>
      </c>
      <c r="G135" s="36">
        <v>0</v>
      </c>
      <c r="H135" s="36">
        <v>0</v>
      </c>
      <c r="I135" s="36">
        <v>0</v>
      </c>
      <c r="J135" s="66">
        <v>0</v>
      </c>
      <c r="K135" s="141" t="s">
        <v>210</v>
      </c>
    </row>
    <row r="136">
      <c r="A136" s="1"/>
      <c r="B136" s="18" t="s">
        <v>93</v>
      </c>
      <c r="C136" s="12" t="s">
        <v>81</v>
      </c>
      <c r="D136" s="12" t="s">
        <v>81</v>
      </c>
      <c r="E136" s="12" t="s">
        <v>81</v>
      </c>
      <c r="F136" s="12" t="s">
        <v>81</v>
      </c>
      <c r="G136" s="12" t="s">
        <v>81</v>
      </c>
      <c r="H136" s="12" t="s">
        <v>81</v>
      </c>
      <c r="I136" s="12" t="s">
        <v>81</v>
      </c>
      <c r="J136" s="44" t="s">
        <v>81</v>
      </c>
      <c r="K136" s="141" t="s">
        <v>211</v>
      </c>
    </row>
    <row r="137" ht="27.75">
      <c r="A137" s="1"/>
      <c r="B137" s="154" t="s">
        <v>212</v>
      </c>
      <c r="C137" s="12" t="s">
        <v>81</v>
      </c>
      <c r="D137" s="12" t="s">
        <v>81</v>
      </c>
      <c r="E137" s="12" t="s">
        <v>81</v>
      </c>
      <c r="F137" s="12" t="s">
        <v>81</v>
      </c>
      <c r="G137" s="12" t="s">
        <v>81</v>
      </c>
      <c r="H137" s="12" t="s">
        <v>81</v>
      </c>
      <c r="I137" s="12" t="s">
        <v>81</v>
      </c>
      <c r="J137" s="44" t="s">
        <v>81</v>
      </c>
      <c r="K137" s="141" t="s">
        <v>213</v>
      </c>
    </row>
    <row r="138">
      <c r="A138" s="1"/>
      <c r="B138" s="13" t="s">
        <v>214</v>
      </c>
      <c r="C138" s="42">
        <v>151</v>
      </c>
      <c r="D138" s="42">
        <v>156.261</v>
      </c>
      <c r="E138" s="42">
        <v>157.155</v>
      </c>
      <c r="F138" s="42">
        <v>212.698</v>
      </c>
      <c r="G138" s="85">
        <f>SUM(C138:F138)</f>
        <v>677.114</v>
      </c>
      <c r="H138" s="42">
        <v>158.014</v>
      </c>
      <c r="I138" s="42">
        <v>164.165</v>
      </c>
      <c r="J138" s="83">
        <f>J110*J123</f>
        <v>165.89623594838955</v>
      </c>
      <c r="K138" s="141" t="s">
        <v>215</v>
      </c>
    </row>
    <row r="139">
      <c r="A139" s="1"/>
      <c r="B139" s="18" t="s">
        <v>207</v>
      </c>
      <c r="C139" s="12">
        <f>IFERROR(C138/C158-1,"n/a")</f>
        <v>0.0032022748109861165</v>
      </c>
      <c r="D139" s="12">
        <f>IFERROR(D138/D158-1,"n/a")</f>
        <v>0.0588510326882421</v>
      </c>
      <c r="E139" s="12">
        <f>IFERROR(E138/E158-1,"n/a")</f>
        <v>0.09079361994530588</v>
      </c>
      <c r="F139" s="12">
        <f>IFERROR(F138/F158-1,"n/a")</f>
        <v>0.08505547761765087</v>
      </c>
      <c r="G139" s="12">
        <f>IFERROR(G138/G158-1,"n/a")</f>
        <v>0.06098625337476293</v>
      </c>
      <c r="H139" s="12">
        <f>IFERROR(H138/C138-1,"n/a")</f>
        <v>0.04645033112582797</v>
      </c>
      <c r="I139" s="12">
        <f>IFERROR(I138/D138-1,"n/a")</f>
        <v>0.050582039024452685</v>
      </c>
      <c r="J139" s="44">
        <f>IFERROR(J138/E138-1,"n/a")</f>
        <v>0.05562174890006388</v>
      </c>
      <c r="K139" s="1"/>
    </row>
    <row r="140">
      <c r="A140" s="1"/>
      <c r="B140" s="18" t="s">
        <v>208</v>
      </c>
      <c r="C140" s="37" t="s">
        <v>76</v>
      </c>
      <c r="D140" s="37">
        <f>D138-C138</f>
        <v>5.260999999999996</v>
      </c>
      <c r="E140" s="37">
        <f>E138-D138</f>
        <v>0.8940000000000055</v>
      </c>
      <c r="F140" s="37">
        <f>F138-E138</f>
        <v>55.543000000000006</v>
      </c>
      <c r="G140" s="37" t="s">
        <v>76</v>
      </c>
      <c r="H140" s="37">
        <f>H138-F138</f>
        <v>-54.684</v>
      </c>
      <c r="I140" s="37">
        <f>I138-H138</f>
        <v>6.150999999999982</v>
      </c>
      <c r="J140" s="63">
        <f>J138-I138</f>
        <v>1.7312359483895534</v>
      </c>
      <c r="K140" s="1"/>
    </row>
    <row r="141" ht="27.75">
      <c r="A141" s="1"/>
      <c r="B141" s="154" t="s">
        <v>209</v>
      </c>
      <c r="C141" s="36">
        <v>0</v>
      </c>
      <c r="D141" s="36">
        <v>0</v>
      </c>
      <c r="E141" s="36">
        <v>0</v>
      </c>
      <c r="F141" s="36">
        <v>0</v>
      </c>
      <c r="G141" s="36">
        <v>0</v>
      </c>
      <c r="H141" s="36">
        <v>0</v>
      </c>
      <c r="I141" s="36">
        <v>0</v>
      </c>
      <c r="J141" s="66">
        <v>0</v>
      </c>
      <c r="K141" s="141" t="s">
        <v>210</v>
      </c>
    </row>
    <row r="142">
      <c r="A142" s="1"/>
      <c r="B142" s="18" t="s">
        <v>93</v>
      </c>
      <c r="C142" s="12" t="s">
        <v>81</v>
      </c>
      <c r="D142" s="12" t="s">
        <v>81</v>
      </c>
      <c r="E142" s="12" t="s">
        <v>81</v>
      </c>
      <c r="F142" s="12" t="s">
        <v>81</v>
      </c>
      <c r="G142" s="12" t="s">
        <v>81</v>
      </c>
      <c r="H142" s="12" t="s">
        <v>81</v>
      </c>
      <c r="I142" s="12" t="s">
        <v>81</v>
      </c>
      <c r="J142" s="44" t="s">
        <v>81</v>
      </c>
      <c r="K142" s="141" t="s">
        <v>211</v>
      </c>
    </row>
    <row r="143" ht="27.75">
      <c r="A143" s="1"/>
      <c r="B143" s="154" t="s">
        <v>212</v>
      </c>
      <c r="C143" s="12" t="s">
        <v>81</v>
      </c>
      <c r="D143" s="12" t="s">
        <v>81</v>
      </c>
      <c r="E143" s="12" t="s">
        <v>81</v>
      </c>
      <c r="F143" s="12" t="s">
        <v>81</v>
      </c>
      <c r="G143" s="12" t="s">
        <v>81</v>
      </c>
      <c r="H143" s="12" t="s">
        <v>81</v>
      </c>
      <c r="I143" s="12" t="s">
        <v>81</v>
      </c>
      <c r="J143" s="44" t="s">
        <v>81</v>
      </c>
      <c r="K143" s="141" t="s">
        <v>213</v>
      </c>
    </row>
    <row r="144">
      <c r="A144" s="1"/>
      <c r="B144" s="13" t="s">
        <v>216</v>
      </c>
      <c r="C144" s="42">
        <v>123.975</v>
      </c>
      <c r="D144" s="42">
        <v>132.201</v>
      </c>
      <c r="E144" s="42">
        <v>131.642</v>
      </c>
      <c r="F144" s="42">
        <v>171.67600000000002</v>
      </c>
      <c r="G144" s="85">
        <f>SUM(C144:F144)</f>
        <v>559.494</v>
      </c>
      <c r="H144" s="42">
        <v>130.529</v>
      </c>
      <c r="I144" s="42">
        <v>134.903</v>
      </c>
      <c r="J144" s="83">
        <f>J110*J127</f>
        <v>137.36963072646444</v>
      </c>
      <c r="K144" s="141" t="s">
        <v>215</v>
      </c>
    </row>
    <row r="145">
      <c r="A145" s="1"/>
      <c r="B145" s="18" t="s">
        <v>207</v>
      </c>
      <c r="C145" s="12">
        <f>IFERROR(C144/C159-1,"n/a")</f>
        <v>0.1239800543970988</v>
      </c>
      <c r="D145" s="12">
        <f>IFERROR(D144/D159-1,"n/a")</f>
        <v>0.05798040910400459</v>
      </c>
      <c r="E145" s="12">
        <f>IFERROR(E144/E159-1,"n/a")</f>
        <v>0.08862518089725024</v>
      </c>
      <c r="F145" s="12">
        <f>IFERROR(F144/F159-1,"n/a")</f>
        <v>0.11715862356187223</v>
      </c>
      <c r="G145" s="12">
        <f>IFERROR(G144/G159-1,"n/a")</f>
        <v>0.09736335767368254</v>
      </c>
      <c r="H145" s="12">
        <f>IFERROR(H144/C144-1,"n/a")</f>
        <v>0.05286549707602339</v>
      </c>
      <c r="I145" s="12">
        <f>IFERROR(I144/D144-1,"n/a")</f>
        <v>0.020438574594745962</v>
      </c>
      <c r="J145" s="44">
        <f>IFERROR(J144/E144-1,"n/a")</f>
        <v>0.04350914393935401</v>
      </c>
      <c r="K145" s="1"/>
    </row>
    <row r="146">
      <c r="A146" s="1"/>
      <c r="B146" s="18" t="s">
        <v>208</v>
      </c>
      <c r="C146" s="37" t="s">
        <v>76</v>
      </c>
      <c r="D146" s="37">
        <f>D144-C144</f>
        <v>8.225999999999999</v>
      </c>
      <c r="E146" s="37">
        <f>E144-D144</f>
        <v>-0.5589999999999975</v>
      </c>
      <c r="F146" s="37">
        <f>F144-E144</f>
        <v>40.03400000000002</v>
      </c>
      <c r="G146" s="37" t="s">
        <v>76</v>
      </c>
      <c r="H146" s="37">
        <f>H144-F144</f>
        <v>-41.14700000000002</v>
      </c>
      <c r="I146" s="37">
        <f>I144-H144</f>
        <v>4.373999999999995</v>
      </c>
      <c r="J146" s="63">
        <f>J144-I144</f>
        <v>2.4666307264644445</v>
      </c>
      <c r="K146" s="1"/>
    </row>
    <row r="147" ht="27.75">
      <c r="A147" s="1"/>
      <c r="B147" s="154" t="s">
        <v>209</v>
      </c>
      <c r="C147" s="36">
        <v>0</v>
      </c>
      <c r="D147" s="36">
        <v>0</v>
      </c>
      <c r="E147" s="36">
        <v>0</v>
      </c>
      <c r="F147" s="36">
        <v>0</v>
      </c>
      <c r="G147" s="36">
        <v>0</v>
      </c>
      <c r="H147" s="36">
        <v>0</v>
      </c>
      <c r="I147" s="36">
        <v>0</v>
      </c>
      <c r="J147" s="66">
        <v>0</v>
      </c>
      <c r="K147" s="141" t="s">
        <v>210</v>
      </c>
    </row>
    <row r="148">
      <c r="A148" s="1"/>
      <c r="B148" s="18" t="s">
        <v>93</v>
      </c>
      <c r="C148" s="12" t="s">
        <v>81</v>
      </c>
      <c r="D148" s="12" t="s">
        <v>81</v>
      </c>
      <c r="E148" s="12" t="s">
        <v>81</v>
      </c>
      <c r="F148" s="12" t="s">
        <v>81</v>
      </c>
      <c r="G148" s="12" t="s">
        <v>81</v>
      </c>
      <c r="H148" s="12" t="s">
        <v>81</v>
      </c>
      <c r="I148" s="12" t="s">
        <v>81</v>
      </c>
      <c r="J148" s="44" t="s">
        <v>81</v>
      </c>
      <c r="K148" s="141" t="s">
        <v>211</v>
      </c>
    </row>
    <row r="149" ht="27.75">
      <c r="A149" s="1"/>
      <c r="B149" s="154" t="s">
        <v>212</v>
      </c>
      <c r="C149" s="12" t="s">
        <v>81</v>
      </c>
      <c r="D149" s="12" t="s">
        <v>81</v>
      </c>
      <c r="E149" s="12" t="s">
        <v>81</v>
      </c>
      <c r="F149" s="12" t="s">
        <v>81</v>
      </c>
      <c r="G149" s="12" t="s">
        <v>81</v>
      </c>
      <c r="H149" s="12" t="s">
        <v>81</v>
      </c>
      <c r="I149" s="12" t="s">
        <v>81</v>
      </c>
      <c r="J149" s="44" t="s">
        <v>81</v>
      </c>
      <c r="K149" s="141" t="s">
        <v>213</v>
      </c>
    </row>
    <row r="150">
      <c r="A150" s="1"/>
      <c r="B150" s="13" t="s">
        <v>217</v>
      </c>
      <c r="C150" s="51">
        <f>C132+C138+C144</f>
        <v>366.573</v>
      </c>
      <c r="D150" s="51">
        <f>D132+D138+D144</f>
        <v>380.918</v>
      </c>
      <c r="E150" s="51">
        <f>E132+E138+E144</f>
        <v>371.546</v>
      </c>
      <c r="F150" s="51">
        <f>F132+F138+F144</f>
        <v>492.72400000000005</v>
      </c>
      <c r="G150" s="51">
        <f>G132+G138+G144</f>
        <v>1611.761</v>
      </c>
      <c r="H150" s="51">
        <f>H132+H138+H144</f>
        <v>370.641</v>
      </c>
      <c r="I150" s="51">
        <f>I132+I138+I144</f>
        <v>380.897</v>
      </c>
      <c r="J150" s="38">
        <f>J132+J138+J144</f>
        <v>363.42950158218986</v>
      </c>
      <c r="K150" s="1"/>
    </row>
    <row r="151">
      <c r="A151" s="1"/>
      <c r="B151" s="18" t="s">
        <v>207</v>
      </c>
      <c r="C151" s="12">
        <f>IFERROR(C150/C161-1,"n/a")</f>
        <v>0.03707842599167677</v>
      </c>
      <c r="D151" s="12">
        <f>IFERROR(D150/D161-1,"n/a")</f>
        <v>0.044194563536881004</v>
      </c>
      <c r="E151" s="12">
        <f>IFERROR(E150/E161-1,"n/a")</f>
        <v>0.0490552612854771</v>
      </c>
      <c r="F151" s="12">
        <f>IFERROR(F150/F161-1,"n/a")</f>
        <v>0.04944527154964029</v>
      </c>
      <c r="G151" s="12">
        <f>IFERROR(G150/G161-1,"n/a")</f>
        <v>0.04527855745733955</v>
      </c>
      <c r="H151" s="12">
        <f>IFERROR(H150/C150-1,"n/a")</f>
        <v>0.01109738033079366</v>
      </c>
      <c r="I151" s="12">
        <f>IFERROR(I150/D150-1,"n/a")</f>
        <v>-0.000055129975480294746</v>
      </c>
      <c r="J151" s="44">
        <f>IFERROR(J150/E150-1,"n/a")</f>
        <v>-0.021845204679393992</v>
      </c>
      <c r="K151" s="1"/>
    </row>
    <row r="152">
      <c r="A152" s="1"/>
      <c r="B152" s="18" t="s">
        <v>208</v>
      </c>
      <c r="C152" s="37" t="s">
        <v>76</v>
      </c>
      <c r="D152" s="37">
        <f>D150-C150</f>
        <v>14.345000000000027</v>
      </c>
      <c r="E152" s="37">
        <f>E150-D150</f>
        <v>-9.372000000000014</v>
      </c>
      <c r="F152" s="37">
        <f>F150-E150</f>
        <v>121.17800000000005</v>
      </c>
      <c r="G152" s="37" t="s">
        <v>76</v>
      </c>
      <c r="H152" s="37">
        <f>H150-F150</f>
        <v>-122.08300000000003</v>
      </c>
      <c r="I152" s="37">
        <f>I150-H150</f>
        <v>10.255999999999972</v>
      </c>
      <c r="J152" s="63">
        <f>J150-I150</f>
        <v>-17.467498417810134</v>
      </c>
      <c r="K152" s="1"/>
    </row>
    <row r="153" ht="27.75">
      <c r="A153" s="1"/>
      <c r="B153" s="154" t="s">
        <v>209</v>
      </c>
      <c r="C153" s="36">
        <v>0</v>
      </c>
      <c r="D153" s="36">
        <v>0</v>
      </c>
      <c r="E153" s="36">
        <v>0</v>
      </c>
      <c r="F153" s="36">
        <v>0</v>
      </c>
      <c r="G153" s="36">
        <v>0</v>
      </c>
      <c r="H153" s="36">
        <v>0</v>
      </c>
      <c r="I153" s="36">
        <v>0</v>
      </c>
      <c r="J153" s="66">
        <v>0</v>
      </c>
      <c r="K153" s="141" t="s">
        <v>210</v>
      </c>
    </row>
    <row r="154">
      <c r="A154" s="1"/>
      <c r="B154" s="18" t="s">
        <v>93</v>
      </c>
      <c r="C154" s="12" t="s">
        <v>81</v>
      </c>
      <c r="D154" s="12" t="s">
        <v>81</v>
      </c>
      <c r="E154" s="12" t="s">
        <v>81</v>
      </c>
      <c r="F154" s="12" t="s">
        <v>81</v>
      </c>
      <c r="G154" s="12" t="s">
        <v>81</v>
      </c>
      <c r="H154" s="12" t="s">
        <v>81</v>
      </c>
      <c r="I154" s="12" t="s">
        <v>81</v>
      </c>
      <c r="J154" s="44" t="s">
        <v>81</v>
      </c>
      <c r="K154" s="141" t="s">
        <v>211</v>
      </c>
    </row>
    <row r="155" ht="27.75">
      <c r="A155" s="1"/>
      <c r="B155" s="154" t="s">
        <v>212</v>
      </c>
      <c r="C155" s="12" t="s">
        <v>81</v>
      </c>
      <c r="D155" s="12" t="s">
        <v>81</v>
      </c>
      <c r="E155" s="12" t="s">
        <v>81</v>
      </c>
      <c r="F155" s="12" t="s">
        <v>81</v>
      </c>
      <c r="G155" s="12" t="s">
        <v>81</v>
      </c>
      <c r="H155" s="12" t="s">
        <v>81</v>
      </c>
      <c r="I155" s="12" t="s">
        <v>81</v>
      </c>
      <c r="J155" s="44" t="s">
        <v>81</v>
      </c>
      <c r="K155" s="141" t="s">
        <v>213</v>
      </c>
    </row>
    <row r="156" ht="27.75">
      <c r="A156" s="1"/>
      <c r="B156" s="142" t="s">
        <v>218</v>
      </c>
      <c r="C156" s="1"/>
      <c r="D156" s="1"/>
      <c r="E156" s="1"/>
      <c r="F156" s="1"/>
      <c r="G156" s="1"/>
      <c r="H156" s="1"/>
      <c r="I156" s="1"/>
      <c r="J156" s="24"/>
      <c r="K156" s="1"/>
    </row>
    <row r="157" ht="27.75">
      <c r="A157" s="1"/>
      <c r="B157" s="144" t="s">
        <v>219</v>
      </c>
      <c r="C157" s="20">
        <v>92.649</v>
      </c>
      <c r="D157" s="20">
        <v>92.264</v>
      </c>
      <c r="E157" s="20">
        <v>89.173</v>
      </c>
      <c r="F157" s="20">
        <v>119.812</v>
      </c>
      <c r="G157" s="3">
        <f>SUM(C157:F157)</f>
        <v>393.898</v>
      </c>
      <c r="H157" s="1"/>
      <c r="I157" s="1"/>
      <c r="J157" s="24"/>
      <c r="K157" s="141" t="s">
        <v>220</v>
      </c>
    </row>
    <row r="158" ht="27.75">
      <c r="A158" s="1"/>
      <c r="B158" s="144" t="s">
        <v>221</v>
      </c>
      <c r="C158" s="20">
        <v>150.518</v>
      </c>
      <c r="D158" s="20">
        <v>147.576</v>
      </c>
      <c r="E158" s="20">
        <v>144.074</v>
      </c>
      <c r="F158" s="20">
        <v>196.025</v>
      </c>
      <c r="G158" s="3">
        <f>SUM(C158:F158)</f>
        <v>638.193</v>
      </c>
      <c r="H158" s="1"/>
      <c r="I158" s="1"/>
      <c r="J158" s="24"/>
      <c r="K158" s="141" t="s">
        <v>220</v>
      </c>
    </row>
    <row r="159" ht="27.75">
      <c r="A159" s="1"/>
      <c r="B159" s="144" t="s">
        <v>222</v>
      </c>
      <c r="C159" s="20">
        <v>110.3</v>
      </c>
      <c r="D159" s="20">
        <v>124.956</v>
      </c>
      <c r="E159" s="20">
        <v>120.925</v>
      </c>
      <c r="F159" s="20">
        <v>153.672</v>
      </c>
      <c r="G159" s="3">
        <f>SUM(C159:F159)</f>
        <v>509.853</v>
      </c>
      <c r="H159" s="1"/>
      <c r="I159" s="1"/>
      <c r="J159" s="24"/>
      <c r="K159" s="141" t="s">
        <v>220</v>
      </c>
    </row>
    <row r="160" ht="27.75">
      <c r="A160" s="1"/>
      <c r="B160" s="144" t="s">
        <v>223</v>
      </c>
      <c r="C160" s="20">
        <v>76.458</v>
      </c>
      <c r="D160" s="20">
        <v>76.059</v>
      </c>
      <c r="E160" s="20">
        <v>74.205</v>
      </c>
      <c r="F160" s="20">
        <v>101.264</v>
      </c>
      <c r="G160" s="3">
        <f>SUM(C160:F160)</f>
        <v>327.986</v>
      </c>
      <c r="H160" s="1"/>
      <c r="I160" s="1"/>
      <c r="J160" s="24"/>
      <c r="K160" s="141" t="s">
        <v>220</v>
      </c>
    </row>
    <row r="161" ht="27.75">
      <c r="A161" s="1"/>
      <c r="B161" s="150" t="s">
        <v>224</v>
      </c>
      <c r="C161" s="51">
        <f>C157+C158+C159</f>
        <v>353.467</v>
      </c>
      <c r="D161" s="51">
        <f>D157+D158+D159</f>
        <v>364.796</v>
      </c>
      <c r="E161" s="51">
        <f>E157+E158+E159</f>
        <v>354.172</v>
      </c>
      <c r="F161" s="51">
        <f>F157+F158+F159</f>
        <v>469.509</v>
      </c>
      <c r="G161" s="51">
        <f>G157+G158+G159</f>
        <v>1541.944</v>
      </c>
      <c r="H161" s="1"/>
      <c r="I161" s="1"/>
      <c r="J161" s="24"/>
      <c r="K161" s="1"/>
    </row>
    <row r="162">
      <c r="A162" s="1"/>
      <c r="B162" s="7" t="s">
        <v>225</v>
      </c>
      <c r="C162" s="1"/>
      <c r="D162" s="1"/>
      <c r="E162" s="1"/>
      <c r="F162" s="1"/>
      <c r="G162" s="1"/>
      <c r="H162" s="1"/>
      <c r="I162" s="1"/>
      <c r="J162" s="24"/>
      <c r="K162" s="1"/>
    </row>
    <row r="163">
      <c r="A163" s="1"/>
      <c r="B163" s="7" t="s">
        <v>226</v>
      </c>
      <c r="C163" s="20">
        <v>76.911</v>
      </c>
      <c r="D163" s="20">
        <v>78.07300000000001</v>
      </c>
      <c r="E163" s="20">
        <v>69.258</v>
      </c>
      <c r="F163" s="20">
        <v>97.404</v>
      </c>
      <c r="G163" s="3">
        <f>SUM(C163:F163)</f>
        <v>321.646</v>
      </c>
      <c r="H163" s="20">
        <v>72.046</v>
      </c>
      <c r="I163" s="20">
        <v>72.517</v>
      </c>
      <c r="J163" s="40">
        <f>J132*(1-J180)</f>
        <v>52.94399871845558</v>
      </c>
      <c r="K163" s="141" t="s">
        <v>108</v>
      </c>
    </row>
    <row r="164" ht="27.75">
      <c r="A164" s="1"/>
      <c r="B164" s="154" t="s">
        <v>227</v>
      </c>
      <c r="C164" s="12">
        <f>IFERROR(C163/C160-1,"n/a")</f>
        <v>0.005924821470611352</v>
      </c>
      <c r="D164" s="12">
        <f>IFERROR(D163/D160-1,"n/a")</f>
        <v>0.026479443589844776</v>
      </c>
      <c r="E164" s="12">
        <f>IFERROR(E163/E160-1,"n/a")</f>
        <v>-0.06666666666666665</v>
      </c>
      <c r="F164" s="12">
        <f>IFERROR(F163/F160-1,"n/a")</f>
        <v>-0.038118186127350295</v>
      </c>
      <c r="G164" s="12">
        <f>IFERROR(G163/G160-1,"n/a")</f>
        <v>-0.01933009335764324</v>
      </c>
      <c r="H164" s="12">
        <f>IFERROR(H163/C163-1,"n/a")</f>
        <v>-0.06325493102417068</v>
      </c>
      <c r="I164" s="12">
        <f>IFERROR(I163/D163-1,"n/a")</f>
        <v>-0.07116416686946847</v>
      </c>
      <c r="J164" s="44">
        <f>IFERROR(J163/E163-1,"n/a")</f>
        <v>-0.23555403392452012</v>
      </c>
      <c r="K164" s="1"/>
    </row>
    <row r="165" ht="27.75">
      <c r="A165" s="1"/>
      <c r="B165" s="154" t="s">
        <v>228</v>
      </c>
      <c r="C165" s="37" t="s">
        <v>76</v>
      </c>
      <c r="D165" s="37">
        <f>D163-C163</f>
        <v>1.1620000000000061</v>
      </c>
      <c r="E165" s="37">
        <f>E163-D163</f>
        <v>-8.815000000000012</v>
      </c>
      <c r="F165" s="37">
        <f>F163-E163</f>
        <v>28.146</v>
      </c>
      <c r="G165" s="37" t="s">
        <v>76</v>
      </c>
      <c r="H165" s="37">
        <f>H163-F163</f>
        <v>-25.35799999999999</v>
      </c>
      <c r="I165" s="37">
        <f>I163-H163</f>
        <v>0.4709999999999894</v>
      </c>
      <c r="J165" s="63">
        <f>J163-I163</f>
        <v>-19.573001281544414</v>
      </c>
      <c r="K165" s="1"/>
    </row>
    <row r="166">
      <c r="A166" s="1"/>
      <c r="B166" s="2" t="s">
        <v>229</v>
      </c>
      <c r="C166" s="20">
        <v>27.211</v>
      </c>
      <c r="D166" s="20">
        <v>27.279</v>
      </c>
      <c r="E166" s="20">
        <v>24.613</v>
      </c>
      <c r="F166" s="3" t="s">
        <v>81</v>
      </c>
      <c r="G166" s="3" t="s">
        <v>81</v>
      </c>
      <c r="H166" s="20">
        <v>24.935</v>
      </c>
      <c r="I166" s="20">
        <v>24.784</v>
      </c>
      <c r="J166" s="40" t="s">
        <v>76</v>
      </c>
      <c r="K166" s="141" t="s">
        <v>230</v>
      </c>
    </row>
    <row r="167">
      <c r="A167" s="1"/>
      <c r="B167" s="18" t="s">
        <v>231</v>
      </c>
      <c r="C167" s="12" t="s">
        <v>76</v>
      </c>
      <c r="D167" s="12" t="s">
        <v>76</v>
      </c>
      <c r="E167" s="12" t="s">
        <v>76</v>
      </c>
      <c r="F167" s="12" t="s">
        <v>76</v>
      </c>
      <c r="G167" s="12" t="s">
        <v>76</v>
      </c>
      <c r="H167" s="12">
        <f>IFERROR(H166/C166-1,"n/a")</f>
        <v>-0.0836426445187608</v>
      </c>
      <c r="I167" s="12">
        <f>IFERROR(I166/D166-1,"n/a")</f>
        <v>-0.09146229700502218</v>
      </c>
      <c r="J167" s="44" t="str">
        <f>IFERROR(J166/E166-1,"n/a")</f>
        <v>n/a</v>
      </c>
      <c r="K167" s="1"/>
    </row>
    <row r="168">
      <c r="A168" s="1"/>
      <c r="B168" s="18" t="s">
        <v>232</v>
      </c>
      <c r="C168" s="37" t="s">
        <v>76</v>
      </c>
      <c r="D168" s="37">
        <f>IFERROR(D166-C166,"n/a")</f>
        <v>0.06800000000000139</v>
      </c>
      <c r="E168" s="37">
        <f>IFERROR(E166-D166,"n/a")</f>
        <v>-2.6660000000000004</v>
      </c>
      <c r="F168" s="37" t="str">
        <f>IFERROR(F166-E166,"n/a")</f>
        <v>n/a</v>
      </c>
      <c r="G168" s="37" t="s">
        <v>76</v>
      </c>
      <c r="H168" s="37" t="str">
        <f>IFERROR(H166-F166,"n/a")</f>
        <v>n/a</v>
      </c>
      <c r="I168" s="37">
        <f>IFERROR(I166-H166,"n/a")</f>
        <v>-0.1509999999999998</v>
      </c>
      <c r="J168" s="63" t="str">
        <f>IFERROR(J166-I166,"n/a")</f>
        <v>n/a</v>
      </c>
      <c r="K168" s="1"/>
    </row>
    <row r="169" ht="27.75">
      <c r="A169" s="1"/>
      <c r="B169" s="154" t="s">
        <v>233</v>
      </c>
      <c r="C169" s="12">
        <f>IFERROR(C166/C132,"n/a")</f>
        <v>0.2970698050175768</v>
      </c>
      <c r="D169" s="12">
        <f>IFERROR(D166/D132,"n/a")</f>
        <v>0.29504845548152636</v>
      </c>
      <c r="E169" s="12">
        <f>IFERROR(E166/E132,"n/a")</f>
        <v>0.29744166092641605</v>
      </c>
      <c r="F169" s="12" t="str">
        <f>IFERROR(F166/F132,"n/a")</f>
        <v>n/a</v>
      </c>
      <c r="G169" s="12" t="str">
        <f>IFERROR(G166/G132,"n/a")</f>
        <v>n/a</v>
      </c>
      <c r="H169" s="12">
        <f>IFERROR(H166/H132,"n/a")</f>
        <v>0.3037223805695632</v>
      </c>
      <c r="I169" s="12">
        <f>IFERROR(I166/I132,"n/a")</f>
        <v>0.30287550868274077</v>
      </c>
      <c r="J169" s="44" t="str">
        <f>IFERROR(J166/J132,"n/a")</f>
        <v>n/a</v>
      </c>
      <c r="K169" s="1"/>
    </row>
    <row r="170">
      <c r="A170" s="1"/>
      <c r="B170" s="18" t="s">
        <v>234</v>
      </c>
      <c r="C170" s="21" t="s">
        <v>76</v>
      </c>
      <c r="D170" s="21" t="s">
        <v>76</v>
      </c>
      <c r="E170" s="21" t="s">
        <v>76</v>
      </c>
      <c r="F170" s="21" t="s">
        <v>76</v>
      </c>
      <c r="G170" s="21" t="s">
        <v>76</v>
      </c>
      <c r="H170" s="21">
        <f>IFERROR((H169-C169)*10000,"n/a")</f>
        <v>66.52575551986395</v>
      </c>
      <c r="I170" s="21">
        <f>IFERROR((I169-D169)*10000,"n/a")</f>
        <v>78.27053201214407</v>
      </c>
      <c r="J170" s="46" t="str">
        <f>IFERROR((J169-E169)*10000,"n/a")</f>
        <v>n/a</v>
      </c>
      <c r="K170" s="1"/>
    </row>
    <row r="171" ht="27.75">
      <c r="A171" s="1"/>
      <c r="B171" s="154" t="s">
        <v>235</v>
      </c>
      <c r="C171" s="21" t="s">
        <v>76</v>
      </c>
      <c r="D171" s="21">
        <f>IFERROR((D169-C169)*10000,"n/a")</f>
        <v>-20.213495360504318</v>
      </c>
      <c r="E171" s="21">
        <f>IFERROR((E169-D169)*10000,"n/a")</f>
        <v>23.9320544488969</v>
      </c>
      <c r="F171" s="21" t="str">
        <f>IFERROR((F169-E169)*10000,"n/a")</f>
        <v>n/a</v>
      </c>
      <c r="G171" s="21" t="s">
        <v>76</v>
      </c>
      <c r="H171" s="21" t="str">
        <f>IFERROR((H169-F169)*10000,"n/a")</f>
        <v>n/a</v>
      </c>
      <c r="I171" s="21">
        <f>IFERROR((I169-H169)*10000,"n/a")</f>
        <v>-8.468718868224201</v>
      </c>
      <c r="J171" s="46" t="str">
        <f>IFERROR((J169-I169)*10000,"n/a")</f>
        <v>n/a</v>
      </c>
      <c r="K171" s="1"/>
    </row>
    <row r="172">
      <c r="A172" s="1"/>
      <c r="B172" s="2" t="s">
        <v>236</v>
      </c>
      <c r="C172" s="20">
        <v>29.181</v>
      </c>
      <c r="D172" s="20">
        <v>27.632</v>
      </c>
      <c r="E172" s="20">
        <v>25.541</v>
      </c>
      <c r="F172" s="3" t="s">
        <v>81</v>
      </c>
      <c r="G172" s="3" t="s">
        <v>81</v>
      </c>
      <c r="H172" s="20">
        <v>27.239</v>
      </c>
      <c r="I172" s="20">
        <v>25.302</v>
      </c>
      <c r="J172" s="40" t="s">
        <v>76</v>
      </c>
      <c r="K172" s="141" t="s">
        <v>230</v>
      </c>
    </row>
    <row r="173">
      <c r="A173" s="1"/>
      <c r="B173" s="18" t="s">
        <v>237</v>
      </c>
      <c r="C173" s="12" t="s">
        <v>76</v>
      </c>
      <c r="D173" s="12" t="s">
        <v>76</v>
      </c>
      <c r="E173" s="12" t="s">
        <v>76</v>
      </c>
      <c r="F173" s="12" t="s">
        <v>76</v>
      </c>
      <c r="G173" s="12" t="s">
        <v>76</v>
      </c>
      <c r="H173" s="12">
        <f>IFERROR(H172/C172-1,"n/a")</f>
        <v>-0.06655015249648744</v>
      </c>
      <c r="I173" s="12">
        <f>IFERROR(I172/D172-1,"n/a")</f>
        <v>-0.08432252460914891</v>
      </c>
      <c r="J173" s="44" t="str">
        <f>IFERROR(J172/E172-1,"n/a")</f>
        <v>n/a</v>
      </c>
      <c r="K173" s="1"/>
    </row>
    <row r="174">
      <c r="A174" s="1"/>
      <c r="B174" s="18" t="s">
        <v>238</v>
      </c>
      <c r="C174" s="37" t="s">
        <v>76</v>
      </c>
      <c r="D174" s="37">
        <f>IFERROR(D172-C172,"n/a")</f>
        <v>-1.5489999999999995</v>
      </c>
      <c r="E174" s="37">
        <f>IFERROR(E172-D172,"n/a")</f>
        <v>-2.091000000000001</v>
      </c>
      <c r="F174" s="37" t="str">
        <f>IFERROR(F172-E172,"n/a")</f>
        <v>n/a</v>
      </c>
      <c r="G174" s="37" t="s">
        <v>76</v>
      </c>
      <c r="H174" s="37" t="str">
        <f>IFERROR(H172-F172,"n/a")</f>
        <v>n/a</v>
      </c>
      <c r="I174" s="37">
        <f>IFERROR(I172-H172,"n/a")</f>
        <v>-1.9370000000000012</v>
      </c>
      <c r="J174" s="63" t="str">
        <f>IFERROR(J172-I172,"n/a")</f>
        <v>n/a</v>
      </c>
      <c r="K174" s="1"/>
    </row>
    <row r="175" ht="27.75">
      <c r="A175" s="1"/>
      <c r="B175" s="154" t="s">
        <v>239</v>
      </c>
      <c r="C175" s="12">
        <f>IFERROR(C172/C132,"n/a")</f>
        <v>0.3185768248215027</v>
      </c>
      <c r="D175" s="12">
        <f>IFERROR(D172/D132,"n/a")</f>
        <v>0.2988664878428658</v>
      </c>
      <c r="E175" s="12">
        <f>IFERROR(E172/E132,"n/a")</f>
        <v>0.30865629796130467</v>
      </c>
      <c r="F175" s="12" t="str">
        <f>IFERROR(F172/F132,"n/a")</f>
        <v>n/a</v>
      </c>
      <c r="G175" s="12" t="str">
        <f>IFERROR(G172/G132,"n/a")</f>
        <v>n/a</v>
      </c>
      <c r="H175" s="12">
        <f>IFERROR(H172/H132,"n/a")</f>
        <v>0.331786401617579</v>
      </c>
      <c r="I175" s="12">
        <f>IFERROR(I172/I132,"n/a")</f>
        <v>0.3092057827909421</v>
      </c>
      <c r="J175" s="44" t="str">
        <f>IFERROR(J172/J132,"n/a")</f>
        <v>n/a</v>
      </c>
      <c r="K175" s="1"/>
    </row>
    <row r="176">
      <c r="A176" s="1"/>
      <c r="B176" s="18" t="s">
        <v>240</v>
      </c>
      <c r="C176" s="21" t="s">
        <v>76</v>
      </c>
      <c r="D176" s="21" t="s">
        <v>76</v>
      </c>
      <c r="E176" s="21" t="s">
        <v>76</v>
      </c>
      <c r="F176" s="21" t="s">
        <v>76</v>
      </c>
      <c r="G176" s="21" t="s">
        <v>76</v>
      </c>
      <c r="H176" s="21">
        <f>IFERROR((H175-C175)*10000,"n/a")</f>
        <v>132.09576796076317</v>
      </c>
      <c r="I176" s="21">
        <f>IFERROR((I175-D175)*10000,"n/a")</f>
        <v>103.39294948076284</v>
      </c>
      <c r="J176" s="46" t="str">
        <f>IFERROR((J175-E175)*10000,"n/a")</f>
        <v>n/a</v>
      </c>
      <c r="K176" s="1"/>
    </row>
    <row r="177" ht="27.75">
      <c r="A177" s="1"/>
      <c r="B177" s="154" t="s">
        <v>241</v>
      </c>
      <c r="C177" s="21" t="s">
        <v>76</v>
      </c>
      <c r="D177" s="21">
        <f>IFERROR((D175-C175)*10000,"n/a")</f>
        <v>-197.1033697863689</v>
      </c>
      <c r="E177" s="21">
        <f>IFERROR((E175-D175)*10000,"n/a")</f>
        <v>97.89810118438879</v>
      </c>
      <c r="F177" s="21" t="str">
        <f>IFERROR((F175-E175)*10000,"n/a")</f>
        <v>n/a</v>
      </c>
      <c r="G177" s="21" t="s">
        <v>76</v>
      </c>
      <c r="H177" s="21" t="str">
        <f>IFERROR((H175-F175)*10000,"n/a")</f>
        <v>n/a</v>
      </c>
      <c r="I177" s="21">
        <f>IFERROR((I175-H175)*10000,"n/a")</f>
        <v>-225.80618826636922</v>
      </c>
      <c r="J177" s="46" t="str">
        <f>IFERROR((J175-I175)*10000,"n/a")</f>
        <v>n/a</v>
      </c>
      <c r="K177" s="1"/>
    </row>
    <row r="178" ht="27.75">
      <c r="A178" s="1"/>
      <c r="B178" s="144" t="s">
        <v>242</v>
      </c>
      <c r="C178" s="3">
        <f>IFERROR(C163-C166-C172,"n/a")</f>
        <v>20.519000000000002</v>
      </c>
      <c r="D178" s="3">
        <f>IFERROR(D163-D166-D172,"n/a")</f>
        <v>23.16200000000001</v>
      </c>
      <c r="E178" s="3">
        <f>IFERROR(E163-E166-E172,"n/a")</f>
        <v>19.103999999999996</v>
      </c>
      <c r="F178" s="3" t="str">
        <f>IFERROR(F163-F166-F172,"n/a")</f>
        <v>n/a</v>
      </c>
      <c r="G178" s="3" t="str">
        <f>IFERROR(G163-G166-G172,"n/a")</f>
        <v>n/a</v>
      </c>
      <c r="H178" s="3">
        <f>IFERROR(H163-H166-H172,"n/a")</f>
        <v>19.872000000000003</v>
      </c>
      <c r="I178" s="3">
        <f>IFERROR(I163-I166-I172,"n/a")</f>
        <v>22.430999999999997</v>
      </c>
      <c r="J178" s="40" t="str">
        <f>IFERROR(J163-J166-J172,"n/a")</f>
        <v>n/a</v>
      </c>
      <c r="K178" s="1"/>
    </row>
    <row r="179" ht="27.75">
      <c r="A179" s="1"/>
      <c r="B179" s="143" t="s">
        <v>243</v>
      </c>
      <c r="C179" s="51">
        <f>C132-C163</f>
        <v>14.686999999999998</v>
      </c>
      <c r="D179" s="51">
        <f>D132-D163</f>
        <v>14.382999999999996</v>
      </c>
      <c r="E179" s="51">
        <f>E132-E163</f>
        <v>13.491</v>
      </c>
      <c r="F179" s="51">
        <f>F132-F163</f>
        <v>10.945999999999998</v>
      </c>
      <c r="G179" s="51">
        <f>G132-G163</f>
        <v>53.507000000000005</v>
      </c>
      <c r="H179" s="51">
        <f>H132-H163</f>
        <v>10.051999999999992</v>
      </c>
      <c r="I179" s="51">
        <f>I132-I163</f>
        <v>9.312000000000012</v>
      </c>
      <c r="J179" s="38">
        <f>J132-J163</f>
        <v>7.219636188880308</v>
      </c>
      <c r="K179" s="1"/>
    </row>
    <row r="180">
      <c r="A180" s="1"/>
      <c r="B180" s="6" t="s">
        <v>244</v>
      </c>
      <c r="C180" s="12">
        <f>C179/C132</f>
        <v>0.16034192886307558</v>
      </c>
      <c r="D180" s="12">
        <f>D179/D132</f>
        <v>0.15556589080211122</v>
      </c>
      <c r="E180" s="12">
        <f>E179/E132</f>
        <v>0.16303520284233042</v>
      </c>
      <c r="F180" s="12">
        <f>F179/F132</f>
        <v>0.1010244577757268</v>
      </c>
      <c r="G180" s="12">
        <f>G179/G132</f>
        <v>0.14262714145961783</v>
      </c>
      <c r="H180" s="12">
        <f>H179/H132</f>
        <v>0.12243903627372156</v>
      </c>
      <c r="I180" s="12">
        <f>I179/I132</f>
        <v>0.11379828667098475</v>
      </c>
      <c r="J180" s="66">
        <v>0.12</v>
      </c>
      <c r="K180" s="141" t="s">
        <v>245</v>
      </c>
    </row>
    <row r="181">
      <c r="A181" s="1"/>
      <c r="B181" s="18" t="s">
        <v>246</v>
      </c>
      <c r="C181" s="12">
        <f>1-C160/C157</f>
        <v>0.17475633843862326</v>
      </c>
      <c r="D181" s="12">
        <f>1-D160/D157</f>
        <v>0.17563730165611724</v>
      </c>
      <c r="E181" s="12">
        <f>1-E160/E157</f>
        <v>0.16785349825619866</v>
      </c>
      <c r="F181" s="12">
        <f>1-F160/F157</f>
        <v>0.15480920108169471</v>
      </c>
      <c r="G181" s="12">
        <f>1-G160/G157</f>
        <v>0.16733265972409106</v>
      </c>
      <c r="H181" s="1"/>
      <c r="I181" s="1"/>
      <c r="J181" s="24"/>
      <c r="K181" s="1"/>
    </row>
    <row r="182" ht="27.75">
      <c r="A182" s="1"/>
      <c r="B182" s="154" t="s">
        <v>247</v>
      </c>
      <c r="C182" s="21">
        <f>IFERROR((C180-C181)*10000,"n/a")</f>
        <v>-144.14409575547683</v>
      </c>
      <c r="D182" s="21">
        <f>IFERROR((D180-D181)*10000,"n/a")</f>
        <v>-200.71410854006015</v>
      </c>
      <c r="E182" s="21">
        <f>IFERROR((E180-E181)*10000,"n/a")</f>
        <v>-48.182954138682454</v>
      </c>
      <c r="F182" s="21">
        <f>IFERROR((F180-F181)*10000,"n/a")</f>
        <v>-537.8474330596791</v>
      </c>
      <c r="G182" s="21">
        <f>IFERROR((G180-G181)*10000,"n/a")</f>
        <v>-247.0551826447323</v>
      </c>
      <c r="H182" s="21">
        <f>IFERROR((H180-C180)*10000,"n/a")</f>
        <v>-379.0289258935402</v>
      </c>
      <c r="I182" s="21">
        <f>IFERROR((I180-D180)*10000,"n/a")</f>
        <v>-417.6760413112647</v>
      </c>
      <c r="J182" s="46">
        <f>IFERROR((J180-E180)*10000,"n/a")</f>
        <v>-430.3520284233042</v>
      </c>
      <c r="K182" s="1"/>
    </row>
    <row r="183" ht="27.75">
      <c r="A183" s="1"/>
      <c r="B183" s="154" t="s">
        <v>248</v>
      </c>
      <c r="C183" s="21" t="s">
        <v>76</v>
      </c>
      <c r="D183" s="21">
        <f>IFERROR((D180-C180)*10000,"n/a")</f>
        <v>-47.76038060964355</v>
      </c>
      <c r="E183" s="21">
        <f>IFERROR((E180-D180)*10000,"n/a")</f>
        <v>74.69312040219195</v>
      </c>
      <c r="F183" s="21">
        <f>IFERROR((F180-E180)*10000,"n/a")</f>
        <v>-620.1074506660361</v>
      </c>
      <c r="G183" s="21" t="s">
        <v>76</v>
      </c>
      <c r="H183" s="21">
        <f>IFERROR((H180-F180)*10000,"n/a")</f>
        <v>214.1457849799476</v>
      </c>
      <c r="I183" s="21">
        <f>IFERROR((I180-H180)*10000,"n/a")</f>
        <v>-86.40749602736808</v>
      </c>
      <c r="J183" s="46">
        <f>IFERROR((J180-I180)*10000,"n/a")</f>
        <v>62.01713329015243</v>
      </c>
      <c r="K183" s="1"/>
    </row>
    <row r="184" ht="40.5">
      <c r="A184" s="1"/>
      <c r="B184" s="143" t="s">
        <v>249</v>
      </c>
      <c r="C184" s="51">
        <f>C179+C138</f>
        <v>165.687</v>
      </c>
      <c r="D184" s="51">
        <f>D179+D138</f>
        <v>170.644</v>
      </c>
      <c r="E184" s="51">
        <f>E179+E138</f>
        <v>170.64600000000002</v>
      </c>
      <c r="F184" s="51">
        <f>F179+F138</f>
        <v>223.644</v>
      </c>
      <c r="G184" s="51">
        <f>G179+G138</f>
        <v>730.6210000000001</v>
      </c>
      <c r="H184" s="51">
        <f>H179+H138</f>
        <v>168.066</v>
      </c>
      <c r="I184" s="51">
        <f>I179+I138</f>
        <v>173.477</v>
      </c>
      <c r="J184" s="38">
        <f>J179+J138</f>
        <v>173.11587213726986</v>
      </c>
      <c r="K184" s="1"/>
    </row>
    <row r="185">
      <c r="A185" s="1"/>
      <c r="B185" s="18" t="s">
        <v>89</v>
      </c>
      <c r="C185" s="12" t="s">
        <v>76</v>
      </c>
      <c r="D185" s="12" t="s">
        <v>76</v>
      </c>
      <c r="E185" s="12" t="s">
        <v>76</v>
      </c>
      <c r="F185" s="12" t="s">
        <v>76</v>
      </c>
      <c r="G185" s="12" t="s">
        <v>76</v>
      </c>
      <c r="H185" s="12">
        <f>IFERROR(H184/C184-1,"n/a")</f>
        <v>0.014358398667366767</v>
      </c>
      <c r="I185" s="12">
        <f>IFERROR(I184/D184-1,"n/a")</f>
        <v>0.01660181430346208</v>
      </c>
      <c r="J185" s="44">
        <f>IFERROR(J184/E184-1,"n/a")</f>
        <v>0.014473659724047794</v>
      </c>
      <c r="K185" s="1"/>
    </row>
    <row r="186" ht="27.75">
      <c r="A186" s="1"/>
      <c r="B186" s="7" t="s">
        <v>250</v>
      </c>
      <c r="C186" s="20">
        <v>36.755</v>
      </c>
      <c r="D186" s="20">
        <v>39.44</v>
      </c>
      <c r="E186" s="3" t="s">
        <v>81</v>
      </c>
      <c r="F186" s="3" t="s">
        <v>81</v>
      </c>
      <c r="G186" s="3" t="s">
        <v>81</v>
      </c>
      <c r="H186" s="20">
        <v>35.696</v>
      </c>
      <c r="I186" s="20">
        <v>39.263</v>
      </c>
      <c r="J186" s="40" t="s">
        <v>76</v>
      </c>
      <c r="K186" s="141" t="s">
        <v>251</v>
      </c>
    </row>
    <row r="187">
      <c r="A187" s="1"/>
      <c r="B187" s="6" t="s">
        <v>252</v>
      </c>
      <c r="C187" s="12">
        <f>IFERROR(C186/C150,"n/a")</f>
        <v>0.10026652262987183</v>
      </c>
      <c r="D187" s="12">
        <f>IFERROR(D186/D150,"n/a")</f>
        <v>0.10353934442583443</v>
      </c>
      <c r="E187" s="12" t="str">
        <f>IFERROR(E186/E150,"n/a")</f>
        <v>n/a</v>
      </c>
      <c r="F187" s="12" t="str">
        <f>IFERROR(F186/F150,"n/a")</f>
        <v>n/a</v>
      </c>
      <c r="G187" s="12" t="str">
        <f>IFERROR(G186/G150,"n/a")</f>
        <v>n/a</v>
      </c>
      <c r="H187" s="12">
        <f>IFERROR(H186/H150,"n/a")</f>
        <v>0.09630882714000878</v>
      </c>
      <c r="I187" s="12">
        <f>IFERROR(I186/I150,"n/a")</f>
        <v>0.10308036030737969</v>
      </c>
      <c r="J187" s="44" t="str">
        <f>IFERROR(J186/J150,"n/a")</f>
        <v>n/a</v>
      </c>
      <c r="K187" s="1"/>
    </row>
    <row r="188">
      <c r="A188" s="1"/>
      <c r="B188" s="18" t="s">
        <v>253</v>
      </c>
      <c r="C188" s="21" t="s">
        <v>76</v>
      </c>
      <c r="D188" s="21" t="s">
        <v>76</v>
      </c>
      <c r="E188" s="21" t="s">
        <v>76</v>
      </c>
      <c r="F188" s="21" t="s">
        <v>76</v>
      </c>
      <c r="G188" s="21" t="s">
        <v>76</v>
      </c>
      <c r="H188" s="21">
        <f>IFERROR((H187-C187)*10000,"n/a")</f>
        <v>-39.576954898630504</v>
      </c>
      <c r="I188" s="21">
        <f>IFERROR((I187-D187)*10000,"n/a")</f>
        <v>-4.589841184547416</v>
      </c>
      <c r="J188" s="46" t="str">
        <f>IFERROR((J187-E187)*10000,"n/a")</f>
        <v>n/a</v>
      </c>
      <c r="K188" s="1"/>
    </row>
    <row r="189" ht="27.75">
      <c r="A189" s="1"/>
      <c r="B189" s="154" t="s">
        <v>254</v>
      </c>
      <c r="C189" s="21" t="s">
        <v>76</v>
      </c>
      <c r="D189" s="21">
        <f>IFERROR((D187-C187)*10000,"n/a")</f>
        <v>32.728217959625965</v>
      </c>
      <c r="E189" s="21" t="str">
        <f>IFERROR((E187-D187)*10000,"n/a")</f>
        <v>n/a</v>
      </c>
      <c r="F189" s="21" t="str">
        <f>IFERROR((F187-E187)*10000,"n/a")</f>
        <v>n/a</v>
      </c>
      <c r="G189" s="21" t="s">
        <v>76</v>
      </c>
      <c r="H189" s="21" t="str">
        <f>IFERROR((H187-F187)*10000,"n/a")</f>
        <v>n/a</v>
      </c>
      <c r="I189" s="21">
        <f>IFERROR((I187-H187)*10000,"n/a")</f>
        <v>67.71533167370904</v>
      </c>
      <c r="J189" s="46" t="str">
        <f>IFERROR((J187-I187)*10000,"n/a")</f>
        <v>n/a</v>
      </c>
      <c r="K189" s="1"/>
    </row>
    <row r="190">
      <c r="A190" s="1"/>
      <c r="B190" s="18" t="s">
        <v>255</v>
      </c>
      <c r="C190" s="12" t="s">
        <v>76</v>
      </c>
      <c r="D190" s="12" t="s">
        <v>76</v>
      </c>
      <c r="E190" s="12" t="s">
        <v>76</v>
      </c>
      <c r="F190" s="12" t="s">
        <v>76</v>
      </c>
      <c r="G190" s="12" t="s">
        <v>76</v>
      </c>
      <c r="H190" s="12">
        <f>IFERROR(H186/C186-1,"n/a")</f>
        <v>-0.028812406475309582</v>
      </c>
      <c r="I190" s="12">
        <f>IFERROR(I186/D186-1,"n/a")</f>
        <v>-0.004487829614604477</v>
      </c>
      <c r="J190" s="44" t="str">
        <f>IFERROR(J186/E186-1,"n/a")</f>
        <v>n/a</v>
      </c>
      <c r="K190" s="1"/>
    </row>
    <row r="191" ht="27.75">
      <c r="A191" s="1"/>
      <c r="B191" s="154" t="s">
        <v>256</v>
      </c>
      <c r="C191" s="37" t="s">
        <v>76</v>
      </c>
      <c r="D191" s="37">
        <f>IFERROR(D186-C186,"n/a")</f>
        <v>2.684999999999995</v>
      </c>
      <c r="E191" s="37" t="str">
        <f>IFERROR(E186-D186,"n/a")</f>
        <v>n/a</v>
      </c>
      <c r="F191" s="37" t="str">
        <f>IFERROR(F186-E186,"n/a")</f>
        <v>n/a</v>
      </c>
      <c r="G191" s="37" t="s">
        <v>76</v>
      </c>
      <c r="H191" s="37" t="str">
        <f>IFERROR(H186-F186,"n/a")</f>
        <v>n/a</v>
      </c>
      <c r="I191" s="37">
        <f>IFERROR(I186-H186,"n/a")</f>
        <v>3.567</v>
      </c>
      <c r="J191" s="63" t="str">
        <f>IFERROR(J186-I186,"n/a")</f>
        <v>n/a</v>
      </c>
      <c r="K191" s="1"/>
    </row>
    <row r="192" ht="40.5">
      <c r="A192" s="1"/>
      <c r="B192" s="144" t="s">
        <v>257</v>
      </c>
      <c r="C192" s="1"/>
      <c r="D192" s="20">
        <v>39.337</v>
      </c>
      <c r="E192" s="20">
        <v>36.858</v>
      </c>
      <c r="F192" s="1"/>
      <c r="G192" s="1"/>
      <c r="H192" s="1"/>
      <c r="I192" s="1"/>
      <c r="J192" s="24"/>
      <c r="K192" s="141" t="s">
        <v>258</v>
      </c>
    </row>
    <row r="193" ht="27.75">
      <c r="A193" s="1"/>
      <c r="B193" s="142" t="s">
        <v>259</v>
      </c>
      <c r="C193" s="20">
        <v>128.931</v>
      </c>
      <c r="D193" s="20">
        <v>131.204</v>
      </c>
      <c r="E193" s="3" t="s">
        <v>76</v>
      </c>
      <c r="F193" s="3" t="s">
        <v>76</v>
      </c>
      <c r="G193" s="3" t="s">
        <v>76</v>
      </c>
      <c r="H193" s="20">
        <v>132.369</v>
      </c>
      <c r="I193" s="20">
        <v>134.214</v>
      </c>
      <c r="J193" s="40" t="s">
        <v>76</v>
      </c>
      <c r="K193" s="141" t="s">
        <v>260</v>
      </c>
    </row>
    <row r="194" ht="27.75">
      <c r="A194" s="1"/>
      <c r="B194" s="140" t="s">
        <v>261</v>
      </c>
      <c r="C194" s="12">
        <f>IFERROR(C193/C150,"n/a")</f>
        <v>0.3517198484340091</v>
      </c>
      <c r="D194" s="12">
        <f>IFERROR(D193/D150,"n/a")</f>
        <v>0.34444158585312323</v>
      </c>
      <c r="E194" s="12" t="str">
        <f>IFERROR(E193/E150,"n/a")</f>
        <v>n/a</v>
      </c>
      <c r="F194" s="12" t="str">
        <f>IFERROR(F193/F150,"n/a")</f>
        <v>n/a</v>
      </c>
      <c r="G194" s="12" t="str">
        <f>IFERROR(G193/G150,"n/a")</f>
        <v>n/a</v>
      </c>
      <c r="H194" s="12">
        <f>IFERROR(H193/H150,"n/a")</f>
        <v>0.3571353412061806</v>
      </c>
      <c r="I194" s="12">
        <f>IFERROR(I193/I150,"n/a")</f>
        <v>0.3523629747674568</v>
      </c>
      <c r="J194" s="44" t="str">
        <f>IFERROR(J193/J150,"n/a")</f>
        <v>n/a</v>
      </c>
      <c r="K194" s="1"/>
    </row>
    <row r="195">
      <c r="A195" s="1"/>
      <c r="B195" s="18" t="s">
        <v>262</v>
      </c>
      <c r="C195" s="21" t="s">
        <v>76</v>
      </c>
      <c r="D195" s="21" t="s">
        <v>76</v>
      </c>
      <c r="E195" s="21" t="s">
        <v>76</v>
      </c>
      <c r="F195" s="21" t="s">
        <v>76</v>
      </c>
      <c r="G195" s="21" t="s">
        <v>76</v>
      </c>
      <c r="H195" s="21">
        <f>IFERROR((H194-C194)*10000,"n/a")</f>
        <v>54.154927721715154</v>
      </c>
      <c r="I195" s="21">
        <f>IFERROR((I194-D194)*10000,"n/a")</f>
        <v>79.21388914333582</v>
      </c>
      <c r="J195" s="46" t="str">
        <f>IFERROR((J194-E194)*10000,"n/a")</f>
        <v>n/a</v>
      </c>
      <c r="K195" s="1"/>
    </row>
    <row r="196" ht="27.75">
      <c r="A196" s="1"/>
      <c r="B196" s="154" t="s">
        <v>263</v>
      </c>
      <c r="C196" s="21" t="s">
        <v>76</v>
      </c>
      <c r="D196" s="21">
        <f>IFERROR((D194-C194)*10000,"n/a")</f>
        <v>-72.78262580885875</v>
      </c>
      <c r="E196" s="21" t="str">
        <f>IFERROR((E194-D194)*10000,"n/a")</f>
        <v>n/a</v>
      </c>
      <c r="F196" s="21" t="str">
        <f>IFERROR((F194-E194)*10000,"n/a")</f>
        <v>n/a</v>
      </c>
      <c r="G196" s="21" t="s">
        <v>76</v>
      </c>
      <c r="H196" s="21" t="str">
        <f>IFERROR((H194-F194)*10000,"n/a")</f>
        <v>n/a</v>
      </c>
      <c r="I196" s="21">
        <f>IFERROR((I194-H194)*10000,"n/a")</f>
        <v>-47.723664387238074</v>
      </c>
      <c r="J196" s="46" t="str">
        <f>IFERROR((J194-I194)*10000,"n/a")</f>
        <v>n/a</v>
      </c>
      <c r="K196" s="1"/>
    </row>
    <row r="197">
      <c r="A197" s="1"/>
      <c r="B197" s="1"/>
      <c r="C197" s="1"/>
      <c r="D197" s="1"/>
      <c r="E197" s="1"/>
      <c r="F197" s="1"/>
      <c r="G197" s="1"/>
      <c r="H197" s="1"/>
      <c r="I197" s="1"/>
      <c r="J197" s="24"/>
      <c r="K197" s="1"/>
    </row>
    <row r="198">
      <c r="A198" s="1"/>
      <c r="B198" s="1"/>
      <c r="C198" s="1"/>
      <c r="D198" s="1"/>
      <c r="E198" s="1"/>
      <c r="F198" s="1"/>
      <c r="G198" s="1"/>
      <c r="H198" s="1"/>
      <c r="I198" s="1"/>
      <c r="J198" s="1"/>
      <c r="K198" s="1"/>
    </row>
    <row r="199">
      <c r="A199" s="1"/>
      <c r="B199" s="1"/>
      <c r="C199" s="1"/>
      <c r="D199" s="1"/>
      <c r="E199" s="1"/>
      <c r="F199" s="1"/>
      <c r="G199" s="1"/>
      <c r="H199" s="1"/>
      <c r="I199" s="1"/>
      <c r="J199" s="1"/>
      <c r="K199" s="1"/>
    </row>
  </sheetData>
  <legacyDrawing r:id="rId2"/>
</worksheet>
</file>

<file path=xl/worksheets/sheet4.xml><?xml version="1.0" encoding="utf-8"?>
<worksheet xmlns="http://schemas.openxmlformats.org/spreadsheetml/2006/main" xmlns:r="http://schemas.openxmlformats.org/officeDocument/2006/relationships">
  <dimension ref="A1:K74"/>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264</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c r="A9" s="1"/>
      <c r="B9" s="7" t="s">
        <v>265</v>
      </c>
      <c r="C9" s="1"/>
      <c r="D9" s="1"/>
      <c r="E9" s="1"/>
      <c r="F9" s="1"/>
      <c r="G9" s="1"/>
      <c r="H9" s="1"/>
      <c r="I9" s="1"/>
      <c r="J9" s="24"/>
      <c r="K9" s="1"/>
    </row>
    <row r="10" ht="27.75">
      <c r="A10" s="1"/>
      <c r="B10" s="140" t="s">
        <v>266</v>
      </c>
      <c r="C10" s="36">
        <v>0.048</v>
      </c>
      <c r="D10" s="36">
        <v>0.048</v>
      </c>
      <c r="E10" s="36">
        <v>0.033</v>
      </c>
      <c r="F10" s="36">
        <v>0.017</v>
      </c>
      <c r="G10" s="12" t="s">
        <v>76</v>
      </c>
      <c r="H10" s="36">
        <v>0.026</v>
      </c>
      <c r="I10" s="36">
        <v>0.022</v>
      </c>
      <c r="J10" s="66">
        <v>0.015</v>
      </c>
      <c r="K10" s="141" t="s">
        <v>267</v>
      </c>
    </row>
    <row r="11" ht="27.75">
      <c r="A11" s="1"/>
      <c r="B11" s="154" t="s">
        <v>268</v>
      </c>
      <c r="C11" s="21" t="s">
        <v>76</v>
      </c>
      <c r="D11" s="21" t="s">
        <v>76</v>
      </c>
      <c r="E11" s="21" t="s">
        <v>76</v>
      </c>
      <c r="F11" s="21" t="s">
        <v>76</v>
      </c>
      <c r="G11" s="21" t="s">
        <v>76</v>
      </c>
      <c r="H11" s="21">
        <f>IFERROR((H10-C10)*10000,"n/a")</f>
        <v>-220.00000000000003</v>
      </c>
      <c r="I11" s="21">
        <f>IFERROR((I10-D10)*10000,"n/a")</f>
        <v>-260</v>
      </c>
      <c r="J11" s="46">
        <f>IFERROR((J10-E10)*10000,"n/a")</f>
        <v>-180.00000000000003</v>
      </c>
      <c r="K11" s="1"/>
    </row>
    <row r="12" ht="27.75">
      <c r="A12" s="1"/>
      <c r="B12" s="154" t="s">
        <v>269</v>
      </c>
      <c r="C12" s="21" t="s">
        <v>76</v>
      </c>
      <c r="D12" s="21">
        <f>IFERROR((D10-C10)*10000,"n/a")</f>
        <v>0</v>
      </c>
      <c r="E12" s="21">
        <f>IFERROR((E10-D10)*10000,"n/a")</f>
        <v>-150</v>
      </c>
      <c r="F12" s="21">
        <f>IFERROR((F10-E10)*10000,"n/a")</f>
        <v>-160</v>
      </c>
      <c r="G12" s="21" t="s">
        <v>76</v>
      </c>
      <c r="H12" s="21">
        <f>IFERROR((H10-F10)*10000,"n/a")</f>
        <v>89.99999999999997</v>
      </c>
      <c r="I12" s="21">
        <f>IFERROR((I10-H10)*10000,"n/a")</f>
        <v>-40</v>
      </c>
      <c r="J12" s="46">
        <f>IFERROR((J10-I10)*10000,"n/a")</f>
        <v>-69.99999999999999</v>
      </c>
      <c r="K12" s="1"/>
    </row>
    <row r="13" ht="27.75">
      <c r="A13" s="1"/>
      <c r="B13" s="143" t="s">
        <v>270</v>
      </c>
      <c r="C13" s="42">
        <v>697.91</v>
      </c>
      <c r="D13" s="42">
        <v>714.658</v>
      </c>
      <c r="E13" s="42">
        <v>722.597</v>
      </c>
      <c r="F13" s="85" t="s">
        <v>81</v>
      </c>
      <c r="G13" s="85" t="s">
        <v>81</v>
      </c>
      <c r="H13" s="42">
        <v>724.414</v>
      </c>
      <c r="I13" s="42">
        <v>756.86</v>
      </c>
      <c r="J13" s="83">
        <f>E13*(1+J10)*(1+J17)</f>
        <v>748.1046740999999</v>
      </c>
      <c r="K13" s="141" t="s">
        <v>271</v>
      </c>
    </row>
    <row r="14" ht="27.75">
      <c r="A14" s="1"/>
      <c r="B14" s="144" t="s">
        <v>272</v>
      </c>
      <c r="C14" s="20">
        <v>686.642</v>
      </c>
      <c r="D14" s="20">
        <v>686.464</v>
      </c>
      <c r="E14" s="20">
        <v>679.664</v>
      </c>
      <c r="F14" s="3" t="s">
        <v>81</v>
      </c>
      <c r="G14" s="165" t="s">
        <v>81</v>
      </c>
      <c r="H14" s="1"/>
      <c r="I14" s="1"/>
      <c r="J14" s="24"/>
      <c r="K14" s="141" t="s">
        <v>273</v>
      </c>
    </row>
    <row r="15">
      <c r="A15" s="1"/>
      <c r="B15" s="18" t="s">
        <v>274</v>
      </c>
      <c r="C15" s="12">
        <f>IFERROR(C13/C14-1,"n/a")</f>
        <v>0.016410298234014187</v>
      </c>
      <c r="D15" s="12">
        <f>IFERROR(D13/D14-1,"n/a")</f>
        <v>0.04107134532910672</v>
      </c>
      <c r="E15" s="12">
        <f>IFERROR(E13/E14-1,"n/a")</f>
        <v>0.06316797711810551</v>
      </c>
      <c r="F15" s="12" t="str">
        <f>IFERROR(F13/F14-1,"n/a")</f>
        <v>n/a</v>
      </c>
      <c r="G15" s="12" t="str">
        <f>IFERROR(G13/G14-1,"n/a")</f>
        <v>n/a</v>
      </c>
      <c r="H15" s="12">
        <f>IFERROR(H13/C13-1,"n/a")</f>
        <v>0.03797624335516048</v>
      </c>
      <c r="I15" s="12">
        <f>IFERROR(I13/D13-1,"n/a")</f>
        <v>0.05905202208608862</v>
      </c>
      <c r="J15" s="44">
        <f>IFERROR(J13/E13-1,"n/a")</f>
        <v>0.03529999999999989</v>
      </c>
      <c r="K15" s="1"/>
    </row>
    <row r="16" ht="27.75">
      <c r="A16" s="1"/>
      <c r="B16" s="154" t="s">
        <v>275</v>
      </c>
      <c r="C16" s="37" t="s">
        <v>76</v>
      </c>
      <c r="D16" s="37">
        <f>IFERROR(D13-C13,"n/a")</f>
        <v>16.748000000000047</v>
      </c>
      <c r="E16" s="37">
        <f>IFERROR(E13-D13,"n/a")</f>
        <v>7.9389999999999645</v>
      </c>
      <c r="F16" s="37" t="str">
        <f>IFERROR(F13-E13,"n/a")</f>
        <v>n/a</v>
      </c>
      <c r="G16" s="37" t="s">
        <v>76</v>
      </c>
      <c r="H16" s="37" t="str">
        <f>IFERROR(H13-F13,"n/a")</f>
        <v>n/a</v>
      </c>
      <c r="I16" s="37">
        <f>IFERROR(I13-H13,"n/a")</f>
        <v>32.446000000000026</v>
      </c>
      <c r="J16" s="63">
        <f>IFERROR(J13-I13,"n/a")</f>
        <v>-8.755325900000116</v>
      </c>
      <c r="K16" s="1"/>
    </row>
    <row r="17" ht="53.25">
      <c r="A17" s="1"/>
      <c r="B17" s="140" t="s">
        <v>276</v>
      </c>
      <c r="C17" s="12">
        <f>IFERROR((1+C15)/(1+C10)-1,"n/a")</f>
        <v>-0.030142845196551415</v>
      </c>
      <c r="D17" s="12">
        <f>IFERROR((1+D15)/(1+D10)-1,"n/a")</f>
        <v>-0.00661131170886764</v>
      </c>
      <c r="E17" s="12">
        <f>IFERROR((1+E15)/(1+E10)-1,"n/a")</f>
        <v>0.029204237287614232</v>
      </c>
      <c r="F17" s="12" t="str">
        <f>IFERROR((1+F15)/(1+F10)-1,"n/a")</f>
        <v>n/a</v>
      </c>
      <c r="G17" s="12" t="s">
        <v>76</v>
      </c>
      <c r="H17" s="12">
        <f>IFERROR((1+H15)/(1+H10)-1,"n/a")</f>
        <v>0.01167275180814853</v>
      </c>
      <c r="I17" s="12">
        <f>IFERROR((1+I15)/(1+I10)-1,"n/a")</f>
        <v>0.036254424741769764</v>
      </c>
      <c r="J17" s="66">
        <v>0.02</v>
      </c>
      <c r="K17" s="141" t="s">
        <v>277</v>
      </c>
    </row>
    <row r="18">
      <c r="A18" s="1"/>
      <c r="B18" s="18" t="s">
        <v>278</v>
      </c>
      <c r="C18" s="21" t="s">
        <v>76</v>
      </c>
      <c r="D18" s="21" t="s">
        <v>76</v>
      </c>
      <c r="E18" s="21" t="s">
        <v>76</v>
      </c>
      <c r="F18" s="21" t="s">
        <v>76</v>
      </c>
      <c r="G18" s="21" t="s">
        <v>76</v>
      </c>
      <c r="H18" s="21">
        <f>IFERROR((H17-C17)*10000,"n/a")</f>
        <v>418.15597004699947</v>
      </c>
      <c r="I18" s="21">
        <f>IFERROR((I17-D17)*10000,"n/a")</f>
        <v>428.65736450637405</v>
      </c>
      <c r="J18" s="46">
        <f>IFERROR((J17-E17)*10000,"n/a")</f>
        <v>-92.04237287614231</v>
      </c>
      <c r="K18" s="1"/>
    </row>
    <row r="19" ht="27.75">
      <c r="A19" s="1"/>
      <c r="B19" s="154" t="s">
        <v>279</v>
      </c>
      <c r="C19" s="21" t="s">
        <v>76</v>
      </c>
      <c r="D19" s="21">
        <f>IFERROR((D17-C17)*10000,"n/a")</f>
        <v>235.31533487683777</v>
      </c>
      <c r="E19" s="21">
        <f>IFERROR((E17-D17)*10000,"n/a")</f>
        <v>358.15548996481874</v>
      </c>
      <c r="F19" s="21" t="str">
        <f>IFERROR((F17-E17)*10000,"n/a")</f>
        <v>n/a</v>
      </c>
      <c r="G19" s="21" t="s">
        <v>76</v>
      </c>
      <c r="H19" s="21" t="str">
        <f>IFERROR((H17-F17)*10000,"n/a")</f>
        <v>n/a</v>
      </c>
      <c r="I19" s="21">
        <f>IFERROR((I17-H17)*10000,"n/a")</f>
        <v>245.81672933621235</v>
      </c>
      <c r="J19" s="46">
        <f>IFERROR((J17-I17)*10000,"n/a")</f>
        <v>-162.54424741769765</v>
      </c>
      <c r="K19" s="1"/>
    </row>
    <row r="20" ht="27.75">
      <c r="A20" s="1"/>
      <c r="B20" s="144" t="s">
        <v>280</v>
      </c>
      <c r="C20" s="20">
        <v>-27.986</v>
      </c>
      <c r="D20" s="20">
        <v>-27.596</v>
      </c>
      <c r="E20" s="20">
        <v>-25.638</v>
      </c>
      <c r="F20" s="3" t="s">
        <v>81</v>
      </c>
      <c r="G20" s="3" t="s">
        <v>81</v>
      </c>
      <c r="H20" s="20">
        <v>-25.441</v>
      </c>
      <c r="I20" s="20">
        <v>-25.152</v>
      </c>
      <c r="J20" s="58">
        <f>-'Segment - U.S. Stores'!J29*'Segment - U.S. Stores'!J115*J24/1000</f>
        <v>-18.788496486486483</v>
      </c>
      <c r="K20" s="141" t="s">
        <v>108</v>
      </c>
    </row>
    <row r="21" ht="27.75">
      <c r="A21" s="1"/>
      <c r="B21" s="155" t="s">
        <v>281</v>
      </c>
      <c r="C21" s="20">
        <v>-27.428</v>
      </c>
      <c r="D21" s="20">
        <v>-27.22</v>
      </c>
      <c r="E21" s="20">
        <v>-28.35</v>
      </c>
      <c r="F21" s="3" t="s">
        <v>81</v>
      </c>
      <c r="G21" s="165" t="s">
        <v>81</v>
      </c>
      <c r="H21" s="1"/>
      <c r="I21" s="1"/>
      <c r="J21" s="24"/>
      <c r="K21" s="141" t="s">
        <v>273</v>
      </c>
    </row>
    <row r="22">
      <c r="A22" s="1"/>
      <c r="B22" s="18" t="s">
        <v>282</v>
      </c>
      <c r="C22" s="12">
        <f>IFERROR(C20/C21-1,"n/a")</f>
        <v>0.02034417383695497</v>
      </c>
      <c r="D22" s="12">
        <f>IFERROR(D20/D21-1,"n/a")</f>
        <v>0.013813372520205869</v>
      </c>
      <c r="E22" s="12">
        <f>IFERROR(E20/E21-1,"n/a")</f>
        <v>-0.09566137566137567</v>
      </c>
      <c r="F22" s="12" t="str">
        <f>IFERROR(F20/F21-1,"n/a")</f>
        <v>n/a</v>
      </c>
      <c r="G22" s="12" t="str">
        <f>IFERROR(G20/G21-1,"n/a")</f>
        <v>n/a</v>
      </c>
      <c r="H22" s="12">
        <f>IFERROR(H20/C20-1,"n/a")</f>
        <v>-0.09093832630601018</v>
      </c>
      <c r="I22" s="12">
        <f>IFERROR(I20/D20-1,"n/a")</f>
        <v>-0.08856355993622256</v>
      </c>
      <c r="J22" s="44">
        <f>IFERROR(J20/E20-1,"n/a")</f>
        <v>-0.2671621621621624</v>
      </c>
      <c r="K22" s="1"/>
    </row>
    <row r="23" ht="27.75">
      <c r="A23" s="1"/>
      <c r="B23" s="154" t="s">
        <v>283</v>
      </c>
      <c r="C23" s="37" t="s">
        <v>76</v>
      </c>
      <c r="D23" s="37">
        <f>IFERROR(D20-C20,"n/a")</f>
        <v>0.39000000000000057</v>
      </c>
      <c r="E23" s="37">
        <f>IFERROR(E20-D20,"n/a")</f>
        <v>1.9579999999999984</v>
      </c>
      <c r="F23" s="37" t="str">
        <f>IFERROR(F20-E20,"n/a")</f>
        <v>n/a</v>
      </c>
      <c r="G23" s="37" t="s">
        <v>76</v>
      </c>
      <c r="H23" s="37" t="str">
        <f>IFERROR(H20-F20,"n/a")</f>
        <v>n/a</v>
      </c>
      <c r="I23" s="37">
        <f>IFERROR(I20-H20,"n/a")</f>
        <v>0.2889999999999979</v>
      </c>
      <c r="J23" s="63">
        <f>IFERROR(J20-I20,"n/a")</f>
        <v>6.363503513513518</v>
      </c>
      <c r="K23" s="1"/>
    </row>
    <row r="24" ht="27.75">
      <c r="A24" s="1"/>
      <c r="B24" s="155" t="s">
        <v>284</v>
      </c>
      <c r="C24" s="98">
        <f>IFERROR(-C20/('Segment - U.S. Stores'!C29*'Segment - U.S. Stores'!C115)*1000,"n/a")</f>
        <v>7.959613196814562</v>
      </c>
      <c r="D24" s="98">
        <f>IFERROR(-D20/('Segment - U.S. Stores'!D29*'Segment - U.S. Stores'!D115)*1000,"n/a")</f>
        <v>8.332125603864734</v>
      </c>
      <c r="E24" s="98">
        <f>IFERROR(-E20/('Segment - U.S. Stores'!E29*'Segment - U.S. Stores'!E115)*1000,"n/a")</f>
        <v>8.249034749034749</v>
      </c>
      <c r="F24" s="98" t="str">
        <f>IFERROR(-F20/('Segment - U.S. Stores'!F29*'Segment - U.S. Stores'!F115)*1000,"n/a")</f>
        <v>n/a</v>
      </c>
      <c r="G24" s="23" t="s">
        <v>76</v>
      </c>
      <c r="H24" s="98">
        <f>IFERROR(-H20/('Segment - U.S. Stores'!H29*'Segment - U.S. Stores'!H115)*1000,"n/a")</f>
        <v>8.091921119592875</v>
      </c>
      <c r="I24" s="98">
        <f>IFERROR(-I20/('Segment - U.S. Stores'!I29*'Segment - U.S. Stores'!I115)*1000,"n/a")</f>
        <v>9.357142857142858</v>
      </c>
      <c r="J24" s="81">
        <f>E24*(1+J10)</f>
        <v>8.37277027027027</v>
      </c>
      <c r="K24" s="141" t="s">
        <v>285</v>
      </c>
    </row>
    <row r="25" ht="27.75">
      <c r="A25" s="1"/>
      <c r="B25" s="154" t="s">
        <v>286</v>
      </c>
      <c r="C25" s="12" t="s">
        <v>76</v>
      </c>
      <c r="D25" s="12" t="s">
        <v>76</v>
      </c>
      <c r="E25" s="12" t="s">
        <v>76</v>
      </c>
      <c r="F25" s="12" t="s">
        <v>76</v>
      </c>
      <c r="G25" s="12" t="s">
        <v>76</v>
      </c>
      <c r="H25" s="12">
        <f>IFERROR(H24/C24-1,"n/a")</f>
        <v>0.01662240607762988</v>
      </c>
      <c r="I25" s="12">
        <f>IFERROR(I24/D24-1,"n/a")</f>
        <v>0.12301989936429725</v>
      </c>
      <c r="J25" s="44">
        <f>IFERROR(J24/E24-1,"n/a")</f>
        <v>0.014999999999999902</v>
      </c>
      <c r="K25" s="1"/>
    </row>
    <row r="26" ht="40.5">
      <c r="A26" s="1"/>
      <c r="B26" s="154" t="s">
        <v>287</v>
      </c>
      <c r="C26" s="64" t="s">
        <v>76</v>
      </c>
      <c r="D26" s="64">
        <f>IFERROR(D24-C24,"n/a")</f>
        <v>0.37251240705017175</v>
      </c>
      <c r="E26" s="64">
        <f>IFERROR(E24-D24,"n/a")</f>
        <v>-0.0830908548299849</v>
      </c>
      <c r="F26" s="64" t="str">
        <f>IFERROR(F24-E24,"n/a")</f>
        <v>n/a</v>
      </c>
      <c r="G26" s="64" t="s">
        <v>76</v>
      </c>
      <c r="H26" s="64" t="str">
        <f>IFERROR(H24-F24,"n/a")</f>
        <v>n/a</v>
      </c>
      <c r="I26" s="64">
        <f>IFERROR(I24-H24,"n/a")</f>
        <v>1.2652217375499824</v>
      </c>
      <c r="J26" s="35">
        <f>IFERROR(J24-I24,"n/a")</f>
        <v>-0.9843725868725883</v>
      </c>
      <c r="K26" s="1"/>
    </row>
    <row r="27" ht="27.75">
      <c r="A27" s="1"/>
      <c r="B27" s="143" t="s">
        <v>288</v>
      </c>
      <c r="C27" s="26">
        <v>669.924</v>
      </c>
      <c r="D27" s="26">
        <v>687.062</v>
      </c>
      <c r="E27" s="26">
        <v>696.9590000000001</v>
      </c>
      <c r="F27" s="26">
        <v>935.584</v>
      </c>
      <c r="G27" s="51">
        <f>SUM(C27:F27)</f>
        <v>2989.529</v>
      </c>
      <c r="H27" s="26">
        <v>698.9730000000001</v>
      </c>
      <c r="I27" s="26">
        <v>731.708</v>
      </c>
      <c r="J27" s="38">
        <f>J13+J20</f>
        <v>729.3161776135134</v>
      </c>
      <c r="K27" s="141" t="s">
        <v>108</v>
      </c>
    </row>
    <row r="28" ht="27.75">
      <c r="A28" s="1"/>
      <c r="B28" s="140" t="s">
        <v>289</v>
      </c>
      <c r="C28" s="37">
        <f>IFERROR(ROUND(C13+C20-C27,6),"n/a")</f>
        <v>0</v>
      </c>
      <c r="D28" s="37">
        <f>IFERROR(ROUND(D13+D20-D27,6),"n/a")</f>
        <v>0</v>
      </c>
      <c r="E28" s="37">
        <f>IFERROR(ROUND(E13+E20-E27,6),"n/a")</f>
        <v>0</v>
      </c>
      <c r="F28" s="37" t="str">
        <f>IFERROR(ROUND(F13+F20-F27,6),"n/a")</f>
        <v>n/a</v>
      </c>
      <c r="G28" s="37" t="str">
        <f>IFERROR(ROUND(G13+G20-G27,6),"n/a")</f>
        <v>n/a</v>
      </c>
      <c r="H28" s="37">
        <f>IFERROR(ROUND(H13+H20-H27,6),"n/a")</f>
        <v>0</v>
      </c>
      <c r="I28" s="37">
        <f>IFERROR(ROUND(I13+I20-I27,6),"n/a")</f>
        <v>0</v>
      </c>
      <c r="J28" s="63">
        <f>IFERROR(ROUND(J13+J20-J27,6),"n/a")</f>
        <v>0</v>
      </c>
      <c r="K28" s="1"/>
    </row>
    <row r="29">
      <c r="A29" s="1"/>
      <c r="B29" s="18" t="s">
        <v>207</v>
      </c>
      <c r="C29" s="12">
        <f>IFERROR(C27/C35-1,"n/a")</f>
        <v>0.01624662097588936</v>
      </c>
      <c r="D29" s="12">
        <f>IFERROR(D27/D35-1,"n/a")</f>
        <v>0.04219681938705544</v>
      </c>
      <c r="E29" s="12">
        <f>IFERROR(E27/E35-1,"n/a")</f>
        <v>0.07008140466810175</v>
      </c>
      <c r="F29" s="12">
        <f>IFERROR(F27/F35-1,"n/a")</f>
        <v>0.06800729216252344</v>
      </c>
      <c r="G29" s="12">
        <f>IFERROR(G27/G35-1,"n/a")</f>
        <v>0.050512671213983174</v>
      </c>
      <c r="H29" s="12">
        <f>IFERROR(H27/C27-1,"n/a")</f>
        <v>0.043361635051140324</v>
      </c>
      <c r="I29" s="12">
        <f>IFERROR(I27/D27-1,"n/a")</f>
        <v>0.06498103519041942</v>
      </c>
      <c r="J29" s="44">
        <f>IFERROR(J27/E27-1,"n/a")</f>
        <v>0.04642622824802234</v>
      </c>
      <c r="K29" s="1"/>
    </row>
    <row r="30">
      <c r="A30" s="1"/>
      <c r="B30" s="18" t="s">
        <v>208</v>
      </c>
      <c r="C30" s="37" t="s">
        <v>76</v>
      </c>
      <c r="D30" s="37">
        <f>D27-C27</f>
        <v>17.138000000000034</v>
      </c>
      <c r="E30" s="37">
        <f>E27-D27</f>
        <v>9.897000000000048</v>
      </c>
      <c r="F30" s="37">
        <f>F27-E27</f>
        <v>238.6249999999999</v>
      </c>
      <c r="G30" s="37" t="s">
        <v>76</v>
      </c>
      <c r="H30" s="37">
        <f>H27-F27</f>
        <v>-236.61099999999988</v>
      </c>
      <c r="I30" s="37">
        <f>I27-H27</f>
        <v>32.7349999999999</v>
      </c>
      <c r="J30" s="63">
        <f>J27-I27</f>
        <v>-2.391822386486524</v>
      </c>
      <c r="K30" s="1"/>
    </row>
    <row r="31" ht="27.75">
      <c r="A31" s="1"/>
      <c r="B31" s="154" t="s">
        <v>290</v>
      </c>
      <c r="C31" s="12">
        <f>C10</f>
        <v>0.048</v>
      </c>
      <c r="D31" s="12">
        <f>D10</f>
        <v>0.048</v>
      </c>
      <c r="E31" s="12">
        <f>E10</f>
        <v>0.033</v>
      </c>
      <c r="F31" s="12">
        <f>F10</f>
        <v>0.017</v>
      </c>
      <c r="G31" s="12" t="str">
        <f>G10</f>
        <v>n/a</v>
      </c>
      <c r="H31" s="12">
        <f>H10</f>
        <v>0.026</v>
      </c>
      <c r="I31" s="12">
        <f>I10</f>
        <v>0.022</v>
      </c>
      <c r="J31" s="44">
        <f>J10</f>
        <v>0.015</v>
      </c>
      <c r="K31" s="1"/>
    </row>
    <row r="32">
      <c r="A32" s="1"/>
      <c r="B32" s="18" t="s">
        <v>92</v>
      </c>
      <c r="C32" s="12" t="s">
        <v>81</v>
      </c>
      <c r="D32" s="12" t="s">
        <v>81</v>
      </c>
      <c r="E32" s="12" t="s">
        <v>81</v>
      </c>
      <c r="F32" s="12" t="s">
        <v>81</v>
      </c>
      <c r="G32" s="12" t="s">
        <v>81</v>
      </c>
      <c r="H32" s="12" t="s">
        <v>81</v>
      </c>
      <c r="I32" s="12" t="s">
        <v>81</v>
      </c>
      <c r="J32" s="44" t="s">
        <v>81</v>
      </c>
      <c r="K32" s="141" t="s">
        <v>291</v>
      </c>
    </row>
    <row r="33" ht="27.75">
      <c r="A33" s="1"/>
      <c r="B33" s="18" t="s">
        <v>93</v>
      </c>
      <c r="C33" s="12" t="s">
        <v>81</v>
      </c>
      <c r="D33" s="12" t="s">
        <v>81</v>
      </c>
      <c r="E33" s="12" t="s">
        <v>81</v>
      </c>
      <c r="F33" s="12" t="s">
        <v>81</v>
      </c>
      <c r="G33" s="12" t="s">
        <v>81</v>
      </c>
      <c r="H33" s="12" t="s">
        <v>81</v>
      </c>
      <c r="I33" s="12" t="s">
        <v>81</v>
      </c>
      <c r="J33" s="44" t="s">
        <v>81</v>
      </c>
      <c r="K33" s="141" t="s">
        <v>292</v>
      </c>
    </row>
    <row r="34" ht="27.75">
      <c r="A34" s="1"/>
      <c r="B34" s="154" t="s">
        <v>212</v>
      </c>
      <c r="C34" s="12" t="s">
        <v>81</v>
      </c>
      <c r="D34" s="12" t="s">
        <v>81</v>
      </c>
      <c r="E34" s="12" t="s">
        <v>81</v>
      </c>
      <c r="F34" s="12" t="s">
        <v>81</v>
      </c>
      <c r="G34" s="12" t="s">
        <v>81</v>
      </c>
      <c r="H34" s="12" t="s">
        <v>81</v>
      </c>
      <c r="I34" s="12" t="s">
        <v>81</v>
      </c>
      <c r="J34" s="44" t="s">
        <v>81</v>
      </c>
      <c r="K34" s="141" t="s">
        <v>293</v>
      </c>
    </row>
    <row r="35" ht="27.75">
      <c r="A35" s="1"/>
      <c r="B35" s="144" t="s">
        <v>294</v>
      </c>
      <c r="C35" s="20">
        <v>659.214</v>
      </c>
      <c r="D35" s="20">
        <v>659.244</v>
      </c>
      <c r="E35" s="20">
        <v>651.314</v>
      </c>
      <c r="F35" s="20">
        <v>876.009</v>
      </c>
      <c r="G35" s="3">
        <f>SUM(C35:F35)</f>
        <v>2845.781</v>
      </c>
      <c r="H35" s="1"/>
      <c r="I35" s="1"/>
      <c r="J35" s="24"/>
      <c r="K35" s="141" t="s">
        <v>172</v>
      </c>
    </row>
    <row r="36">
      <c r="A36" s="1"/>
      <c r="B36" s="7" t="s">
        <v>295</v>
      </c>
      <c r="C36" s="1"/>
      <c r="D36" s="1"/>
      <c r="E36" s="1"/>
      <c r="F36" s="1"/>
      <c r="G36" s="1"/>
      <c r="H36" s="1"/>
      <c r="I36" s="1"/>
      <c r="J36" s="24"/>
      <c r="K36" s="1"/>
    </row>
    <row r="37">
      <c r="A37" s="1"/>
      <c r="B37" s="7" t="s">
        <v>296</v>
      </c>
      <c r="C37" s="20">
        <v>591.998</v>
      </c>
      <c r="D37" s="20">
        <v>606.101</v>
      </c>
      <c r="E37" s="20">
        <v>617.894</v>
      </c>
      <c r="F37" s="20">
        <v>828.7950000000001</v>
      </c>
      <c r="G37" s="3">
        <f>SUM(C37:F37)</f>
        <v>2644.788</v>
      </c>
      <c r="H37" s="20">
        <v>614.0360000000001</v>
      </c>
      <c r="I37" s="20">
        <v>643.682</v>
      </c>
      <c r="J37" s="40">
        <f>J27*(1-J55)</f>
        <v>644.7571974330498</v>
      </c>
      <c r="K37" s="141" t="s">
        <v>108</v>
      </c>
    </row>
    <row r="38">
      <c r="A38" s="1"/>
      <c r="B38" s="18" t="s">
        <v>297</v>
      </c>
      <c r="C38" s="12">
        <f>IFERROR(C37/C58-1,"n/a")</f>
        <v>0.009685853605290173</v>
      </c>
      <c r="D38" s="12">
        <f>IFERROR(D37/D58-1,"n/a")</f>
        <v>0.03669742031930445</v>
      </c>
      <c r="E38" s="12">
        <f>IFERROR(E37/E58-1,"n/a")</f>
        <v>0.061368988623539344</v>
      </c>
      <c r="F38" s="12">
        <f>IFERROR(F37/F58-1,"n/a")</f>
        <v>0.06694035499667872</v>
      </c>
      <c r="G38" s="12">
        <f>IFERROR(G37/G58-1,"n/a")</f>
        <v>0.04540050151624864</v>
      </c>
      <c r="H38" s="12">
        <f>IFERROR(H37/C37-1,"n/a")</f>
        <v>0.03722647711647675</v>
      </c>
      <c r="I38" s="12">
        <f>IFERROR(I37/D37-1,"n/a")</f>
        <v>0.06200451739891544</v>
      </c>
      <c r="J38" s="44">
        <f>IFERROR(J37/E37-1,"n/a")</f>
        <v>0.043475413959432885</v>
      </c>
      <c r="K38" s="1"/>
    </row>
    <row r="39" ht="27.75">
      <c r="A39" s="1"/>
      <c r="B39" s="154" t="s">
        <v>298</v>
      </c>
      <c r="C39" s="37" t="s">
        <v>76</v>
      </c>
      <c r="D39" s="37">
        <f>D37-C37</f>
        <v>14.102999999999952</v>
      </c>
      <c r="E39" s="37">
        <f>E37-D37</f>
        <v>11.793000000000006</v>
      </c>
      <c r="F39" s="37">
        <f>F37-E37</f>
        <v>210.90100000000007</v>
      </c>
      <c r="G39" s="37" t="s">
        <v>76</v>
      </c>
      <c r="H39" s="37">
        <f>H37-F37</f>
        <v>-214.75900000000001</v>
      </c>
      <c r="I39" s="37">
        <f>I37-H37</f>
        <v>29.645999999999958</v>
      </c>
      <c r="J39" s="63">
        <f>J37-I37</f>
        <v>1.075197433049766</v>
      </c>
      <c r="K39" s="1"/>
    </row>
    <row r="40">
      <c r="A40" s="1"/>
      <c r="B40" s="2" t="s">
        <v>229</v>
      </c>
      <c r="C40" s="20">
        <v>471.616</v>
      </c>
      <c r="D40" s="20">
        <v>487.484</v>
      </c>
      <c r="E40" s="20">
        <v>495.249</v>
      </c>
      <c r="F40" s="3" t="s">
        <v>81</v>
      </c>
      <c r="G40" s="3" t="s">
        <v>81</v>
      </c>
      <c r="H40" s="20">
        <v>489.102</v>
      </c>
      <c r="I40" s="20">
        <v>513.724</v>
      </c>
      <c r="J40" s="40" t="s">
        <v>76</v>
      </c>
      <c r="K40" s="141" t="s">
        <v>299</v>
      </c>
    </row>
    <row r="41">
      <c r="A41" s="1"/>
      <c r="B41" s="18" t="s">
        <v>231</v>
      </c>
      <c r="C41" s="12" t="s">
        <v>76</v>
      </c>
      <c r="D41" s="12" t="s">
        <v>76</v>
      </c>
      <c r="E41" s="12" t="s">
        <v>76</v>
      </c>
      <c r="F41" s="12" t="s">
        <v>76</v>
      </c>
      <c r="G41" s="12" t="s">
        <v>76</v>
      </c>
      <c r="H41" s="12">
        <f>IFERROR(H40/C40-1,"n/a")</f>
        <v>0.03707677432487455</v>
      </c>
      <c r="I41" s="12">
        <f>IFERROR(I40/D40-1,"n/a")</f>
        <v>0.05382740766876459</v>
      </c>
      <c r="J41" s="44" t="str">
        <f>IFERROR(J40/E40-1,"n/a")</f>
        <v>n/a</v>
      </c>
      <c r="K41" s="1"/>
    </row>
    <row r="42">
      <c r="A42" s="1"/>
      <c r="B42" s="18" t="s">
        <v>232</v>
      </c>
      <c r="C42" s="37" t="s">
        <v>76</v>
      </c>
      <c r="D42" s="37">
        <f>IFERROR(D40-C40,"n/a")</f>
        <v>15.867999999999995</v>
      </c>
      <c r="E42" s="37">
        <f>IFERROR(E40-D40,"n/a")</f>
        <v>7.765000000000043</v>
      </c>
      <c r="F42" s="37" t="str">
        <f>IFERROR(F40-E40,"n/a")</f>
        <v>n/a</v>
      </c>
      <c r="G42" s="37" t="s">
        <v>76</v>
      </c>
      <c r="H42" s="37" t="str">
        <f>IFERROR(H40-F40,"n/a")</f>
        <v>n/a</v>
      </c>
      <c r="I42" s="37">
        <f>IFERROR(I40-H40,"n/a")</f>
        <v>24.62200000000007</v>
      </c>
      <c r="J42" s="63" t="str">
        <f>IFERROR(J40-I40,"n/a")</f>
        <v>n/a</v>
      </c>
      <c r="K42" s="1"/>
    </row>
    <row r="43">
      <c r="A43" s="1"/>
      <c r="B43" s="2" t="s">
        <v>236</v>
      </c>
      <c r="C43" s="20">
        <v>61.882</v>
      </c>
      <c r="D43" s="20">
        <v>60.024</v>
      </c>
      <c r="E43" s="20">
        <v>61.887</v>
      </c>
      <c r="F43" s="3" t="s">
        <v>81</v>
      </c>
      <c r="G43" s="3" t="s">
        <v>81</v>
      </c>
      <c r="H43" s="20">
        <v>64.379</v>
      </c>
      <c r="I43" s="20">
        <v>63.514</v>
      </c>
      <c r="J43" s="40" t="s">
        <v>76</v>
      </c>
      <c r="K43" s="141" t="s">
        <v>299</v>
      </c>
    </row>
    <row r="44">
      <c r="A44" s="1"/>
      <c r="B44" s="18" t="s">
        <v>237</v>
      </c>
      <c r="C44" s="12" t="s">
        <v>76</v>
      </c>
      <c r="D44" s="12" t="s">
        <v>76</v>
      </c>
      <c r="E44" s="12" t="s">
        <v>76</v>
      </c>
      <c r="F44" s="12" t="s">
        <v>76</v>
      </c>
      <c r="G44" s="12" t="s">
        <v>76</v>
      </c>
      <c r="H44" s="12">
        <f>IFERROR(H43/C43-1,"n/a")</f>
        <v>0.040350990595003466</v>
      </c>
      <c r="I44" s="12">
        <f>IFERROR(I43/D43-1,"n/a")</f>
        <v>0.05814340930294559</v>
      </c>
      <c r="J44" s="44" t="str">
        <f>IFERROR(J43/E43-1,"n/a")</f>
        <v>n/a</v>
      </c>
      <c r="K44" s="1"/>
    </row>
    <row r="45">
      <c r="A45" s="1"/>
      <c r="B45" s="18" t="s">
        <v>238</v>
      </c>
      <c r="C45" s="37" t="s">
        <v>76</v>
      </c>
      <c r="D45" s="37">
        <f>IFERROR(D43-C43,"n/a")</f>
        <v>-1.857999999999997</v>
      </c>
      <c r="E45" s="37">
        <f>IFERROR(E43-D43,"n/a")</f>
        <v>1.8629999999999995</v>
      </c>
      <c r="F45" s="37" t="str">
        <f>IFERROR(F43-E43,"n/a")</f>
        <v>n/a</v>
      </c>
      <c r="G45" s="37" t="s">
        <v>76</v>
      </c>
      <c r="H45" s="37" t="str">
        <f>IFERROR(H43-F43,"n/a")</f>
        <v>n/a</v>
      </c>
      <c r="I45" s="37">
        <f>IFERROR(I43-H43,"n/a")</f>
        <v>-0.865000000000002</v>
      </c>
      <c r="J45" s="63" t="str">
        <f>IFERROR(J43-I43,"n/a")</f>
        <v>n/a</v>
      </c>
      <c r="K45" s="1"/>
    </row>
    <row r="46" ht="27.75">
      <c r="A46" s="1"/>
      <c r="B46" s="144" t="s">
        <v>300</v>
      </c>
      <c r="C46" s="3">
        <f>IFERROR(C37-C40-C43,"n/a")</f>
        <v>58.500000000000064</v>
      </c>
      <c r="D46" s="3">
        <f>IFERROR(D37-D40-D43,"n/a")</f>
        <v>58.59300000000002</v>
      </c>
      <c r="E46" s="3">
        <f>IFERROR(E37-E40-E43,"n/a")</f>
        <v>60.75799999999998</v>
      </c>
      <c r="F46" s="3" t="str">
        <f>IFERROR(F37-F40-F43,"n/a")</f>
        <v>n/a</v>
      </c>
      <c r="G46" s="3" t="str">
        <f>IFERROR(G37-G40-G43,"n/a")</f>
        <v>n/a</v>
      </c>
      <c r="H46" s="3">
        <f>IFERROR(H37-H40-H43,"n/a")</f>
        <v>60.55500000000008</v>
      </c>
      <c r="I46" s="3">
        <f>IFERROR(I37-I40-I43,"n/a")</f>
        <v>66.44399999999996</v>
      </c>
      <c r="J46" s="40" t="str">
        <f>IFERROR(J37-J40-J43,"n/a")</f>
        <v>n/a</v>
      </c>
      <c r="K46" s="1"/>
    </row>
    <row r="47" ht="27.75">
      <c r="A47" s="1"/>
      <c r="B47" s="154" t="s">
        <v>301</v>
      </c>
      <c r="C47" s="12">
        <f>IFERROR(C40/C27,"n/a")</f>
        <v>0.7039843325511551</v>
      </c>
      <c r="D47" s="12">
        <f>IFERROR(D40/D27,"n/a")</f>
        <v>0.7095196648919602</v>
      </c>
      <c r="E47" s="12">
        <f>IFERROR(E40/E27,"n/a")</f>
        <v>0.7105855581174789</v>
      </c>
      <c r="F47" s="12" t="str">
        <f>IFERROR(F40/F27,"n/a")</f>
        <v>n/a</v>
      </c>
      <c r="G47" s="12" t="str">
        <f>IFERROR(G40/G27,"n/a")</f>
        <v>n/a</v>
      </c>
      <c r="H47" s="12">
        <f>IFERROR(H40/H27,"n/a")</f>
        <v>0.6997437669266193</v>
      </c>
      <c r="I47" s="12">
        <f>IFERROR(I40/I27,"n/a")</f>
        <v>0.7020888113837761</v>
      </c>
      <c r="J47" s="44" t="str">
        <f>IFERROR(J40/J27,"n/a")</f>
        <v>n/a</v>
      </c>
      <c r="K47" s="1"/>
    </row>
    <row r="48">
      <c r="A48" s="1"/>
      <c r="B48" s="18" t="s">
        <v>302</v>
      </c>
      <c r="C48" s="21" t="s">
        <v>76</v>
      </c>
      <c r="D48" s="21" t="s">
        <v>76</v>
      </c>
      <c r="E48" s="21" t="s">
        <v>76</v>
      </c>
      <c r="F48" s="21" t="s">
        <v>76</v>
      </c>
      <c r="G48" s="21" t="s">
        <v>76</v>
      </c>
      <c r="H48" s="21">
        <f>IFERROR((H47-C47)*10000,"n/a")</f>
        <v>-42.40565624535786</v>
      </c>
      <c r="I48" s="21">
        <f>IFERROR((I47-D47)*10000,"n/a")</f>
        <v>-74.30853508184066</v>
      </c>
      <c r="J48" s="46" t="str">
        <f>IFERROR((J47-E47)*10000,"n/a")</f>
        <v>n/a</v>
      </c>
      <c r="K48" s="1"/>
    </row>
    <row r="49" ht="27.75">
      <c r="A49" s="1"/>
      <c r="B49" s="154" t="s">
        <v>303</v>
      </c>
      <c r="C49" s="21" t="s">
        <v>76</v>
      </c>
      <c r="D49" s="21">
        <f>IFERROR((D47-C47)*10000,"n/a")</f>
        <v>55.35332340805055</v>
      </c>
      <c r="E49" s="21">
        <f>IFERROR((E47-D47)*10000,"n/a")</f>
        <v>10.658932255187548</v>
      </c>
      <c r="F49" s="21" t="str">
        <f>IFERROR((F47-E47)*10000,"n/a")</f>
        <v>n/a</v>
      </c>
      <c r="G49" s="21" t="s">
        <v>76</v>
      </c>
      <c r="H49" s="21" t="str">
        <f>IFERROR((H47-F47)*10000,"n/a")</f>
        <v>n/a</v>
      </c>
      <c r="I49" s="21">
        <f>IFERROR((I47-H47)*10000,"n/a")</f>
        <v>23.45044457156775</v>
      </c>
      <c r="J49" s="46" t="str">
        <f>IFERROR((J47-I47)*10000,"n/a")</f>
        <v>n/a</v>
      </c>
      <c r="K49" s="1"/>
    </row>
    <row r="50" ht="27.75">
      <c r="A50" s="1"/>
      <c r="B50" s="154" t="s">
        <v>304</v>
      </c>
      <c r="C50" s="12">
        <f>IFERROR(C43/C27,"n/a")</f>
        <v>0.09237167201055642</v>
      </c>
      <c r="D50" s="12">
        <f>IFERROR(D43/D27,"n/a")</f>
        <v>0.08736329472449357</v>
      </c>
      <c r="E50" s="12">
        <f>IFERROR(E43/E27,"n/a")</f>
        <v>0.08879575412613941</v>
      </c>
      <c r="F50" s="12" t="str">
        <f>IFERROR(F43/F27,"n/a")</f>
        <v>n/a</v>
      </c>
      <c r="G50" s="12" t="str">
        <f>IFERROR(G43/G27,"n/a")</f>
        <v>n/a</v>
      </c>
      <c r="H50" s="12">
        <f>IFERROR(H43/H27,"n/a")</f>
        <v>0.09210513138561861</v>
      </c>
      <c r="I50" s="12">
        <f>IFERROR(I43/I27,"n/a")</f>
        <v>0.08680238565110673</v>
      </c>
      <c r="J50" s="44" t="str">
        <f>IFERROR(J43/J27,"n/a")</f>
        <v>n/a</v>
      </c>
      <c r="K50" s="1"/>
    </row>
    <row r="51">
      <c r="A51" s="1"/>
      <c r="B51" s="18" t="s">
        <v>305</v>
      </c>
      <c r="C51" s="21" t="s">
        <v>76</v>
      </c>
      <c r="D51" s="21" t="s">
        <v>76</v>
      </c>
      <c r="E51" s="21" t="s">
        <v>76</v>
      </c>
      <c r="F51" s="21" t="s">
        <v>76</v>
      </c>
      <c r="G51" s="21" t="s">
        <v>76</v>
      </c>
      <c r="H51" s="21">
        <f>IFERROR((H50-C50)*10000,"n/a")</f>
        <v>-2.665406249378055</v>
      </c>
      <c r="I51" s="21">
        <f>IFERROR((I50-D50)*10000,"n/a")</f>
        <v>-5.609090733868366</v>
      </c>
      <c r="J51" s="46" t="str">
        <f>IFERROR((J50-E50)*10000,"n/a")</f>
        <v>n/a</v>
      </c>
      <c r="K51" s="1"/>
    </row>
    <row r="52" ht="27.75">
      <c r="A52" s="1"/>
      <c r="B52" s="154" t="s">
        <v>306</v>
      </c>
      <c r="C52" s="21" t="s">
        <v>76</v>
      </c>
      <c r="D52" s="21">
        <f>IFERROR((D50-C50)*10000,"n/a")</f>
        <v>-50.083772860628486</v>
      </c>
      <c r="E52" s="21">
        <f>IFERROR((E50-D50)*10000,"n/a")</f>
        <v>14.324594016458386</v>
      </c>
      <c r="F52" s="21" t="str">
        <f>IFERROR((F50-E50)*10000,"n/a")</f>
        <v>n/a</v>
      </c>
      <c r="G52" s="21" t="s">
        <v>76</v>
      </c>
      <c r="H52" s="21" t="str">
        <f>IFERROR((H50-F50)*10000,"n/a")</f>
        <v>n/a</v>
      </c>
      <c r="I52" s="21">
        <f>IFERROR((I50-H50)*10000,"n/a")</f>
        <v>-53.0274573451188</v>
      </c>
      <c r="J52" s="46" t="str">
        <f>IFERROR((J50-I50)*10000,"n/a")</f>
        <v>n/a</v>
      </c>
      <c r="K52" s="1"/>
    </row>
    <row r="53">
      <c r="A53" s="1"/>
      <c r="B53" s="13" t="s">
        <v>307</v>
      </c>
      <c r="C53" s="51">
        <f>C27-C37</f>
        <v>77.92599999999993</v>
      </c>
      <c r="D53" s="51">
        <f>D27-D37</f>
        <v>80.96100000000001</v>
      </c>
      <c r="E53" s="51">
        <f>E27-E37</f>
        <v>79.06500000000005</v>
      </c>
      <c r="F53" s="51">
        <f>F27-F37</f>
        <v>106.78899999999987</v>
      </c>
      <c r="G53" s="51">
        <f>G27-G37</f>
        <v>344.741</v>
      </c>
      <c r="H53" s="51">
        <f>H27-H37</f>
        <v>84.93700000000001</v>
      </c>
      <c r="I53" s="51">
        <f>I27-I37</f>
        <v>88.02599999999995</v>
      </c>
      <c r="J53" s="38">
        <f>J27-J37</f>
        <v>84.55898018046366</v>
      </c>
      <c r="K53" s="1"/>
    </row>
    <row r="54">
      <c r="A54" s="1"/>
      <c r="B54" s="18" t="s">
        <v>89</v>
      </c>
      <c r="C54" s="12">
        <f>IFERROR(C53/C59-1,"n/a")</f>
        <v>0.06901707936072188</v>
      </c>
      <c r="D54" s="12">
        <f>IFERROR(D53/D59-1,"n/a")</f>
        <v>0.08529719295423388</v>
      </c>
      <c r="E54" s="12">
        <f>IFERROR(E53/E59-1,"n/a")</f>
        <v>0.1434335546010692</v>
      </c>
      <c r="F54" s="12">
        <f>IFERROR(F53/F59-1,"n/a")</f>
        <v>0.0763609607611897</v>
      </c>
      <c r="G54" s="12">
        <f>IFERROR(G53/G59-1,"n/a")</f>
        <v>0.09146026790943851</v>
      </c>
      <c r="H54" s="12">
        <f>IFERROR(H53/C53-1,"n/a")</f>
        <v>0.08996997151143504</v>
      </c>
      <c r="I54" s="12">
        <f>IFERROR(I53/D53-1,"n/a")</f>
        <v>0.08726423833697639</v>
      </c>
      <c r="J54" s="44">
        <f>IFERROR(J53/E53-1,"n/a")</f>
        <v>0.06948688016775573</v>
      </c>
      <c r="K54" s="1"/>
    </row>
    <row r="55">
      <c r="A55" s="1"/>
      <c r="B55" s="6" t="s">
        <v>308</v>
      </c>
      <c r="C55" s="12">
        <f>C53/C27</f>
        <v>0.11632065726858559</v>
      </c>
      <c r="D55" s="12">
        <f>D53/D27</f>
        <v>0.11783652712564516</v>
      </c>
      <c r="E55" s="12">
        <f>E53/E27</f>
        <v>0.11344282805731765</v>
      </c>
      <c r="F55" s="12">
        <f>F53/F27</f>
        <v>0.11414154153982954</v>
      </c>
      <c r="G55" s="12">
        <f>G53/G27</f>
        <v>0.11531615849854608</v>
      </c>
      <c r="H55" s="12">
        <f>H53/H27</f>
        <v>0.12151685401295902</v>
      </c>
      <c r="I55" s="12">
        <f>I53/I27</f>
        <v>0.1203020877180514</v>
      </c>
      <c r="J55" s="44">
        <f>E55+J56/10000</f>
        <v>0.11594282805731765</v>
      </c>
      <c r="K55" s="141" t="s">
        <v>309</v>
      </c>
    </row>
    <row r="56" ht="27.75">
      <c r="A56" s="1"/>
      <c r="B56" s="154" t="s">
        <v>310</v>
      </c>
      <c r="C56" s="21">
        <f>IFERROR((C55-C60)*10000,"n/a")</f>
        <v>57.41998441558122</v>
      </c>
      <c r="D56" s="21">
        <f>IFERROR((D55-D60)*10000,"n/a")</f>
        <v>46.79638325746985</v>
      </c>
      <c r="E56" s="21">
        <f>IFERROR((E55-E60)*10000,"n/a")</f>
        <v>72.77445461519095</v>
      </c>
      <c r="F56" s="21">
        <f>IFERROR((F55-F60)*10000,"n/a")</f>
        <v>8.85855810573377</v>
      </c>
      <c r="G56" s="21">
        <f>IFERROR((G55-G60)*10000,"n/a")</f>
        <v>43.26240440902129</v>
      </c>
      <c r="H56" s="21">
        <f>IFERROR((H55-C55)*10000,"n/a")</f>
        <v>51.96196744373424</v>
      </c>
      <c r="I56" s="21">
        <f>IFERROR((I55-D55)*10000,"n/a")</f>
        <v>24.655605924062407</v>
      </c>
      <c r="J56" s="116">
        <v>25</v>
      </c>
      <c r="K56" s="141" t="s">
        <v>311</v>
      </c>
    </row>
    <row r="57" ht="27.75">
      <c r="A57" s="1"/>
      <c r="B57" s="154" t="s">
        <v>312</v>
      </c>
      <c r="C57" s="21" t="s">
        <v>76</v>
      </c>
      <c r="D57" s="21">
        <f>IFERROR((D55-C55)*10000,"n/a")</f>
        <v>15.158698570595652</v>
      </c>
      <c r="E57" s="21">
        <f>IFERROR((E55-D55)*10000,"n/a")</f>
        <v>-43.93699068327511</v>
      </c>
      <c r="F57" s="21">
        <f>IFERROR((F55-E55)*10000,"n/a")</f>
        <v>6.987134825118951</v>
      </c>
      <c r="G57" s="21" t="s">
        <v>76</v>
      </c>
      <c r="H57" s="21">
        <f>IFERROR((H55-F55)*10000,"n/a")</f>
        <v>73.75312473129475</v>
      </c>
      <c r="I57" s="21">
        <f>IFERROR((I55-H55)*10000,"n/a")</f>
        <v>-12.147662949076182</v>
      </c>
      <c r="J57" s="46">
        <f>IFERROR((J55-I55)*10000,"n/a")</f>
        <v>-43.5925966073375</v>
      </c>
      <c r="K57" s="1"/>
    </row>
    <row r="58" ht="27.75">
      <c r="A58" s="1"/>
      <c r="B58" s="144" t="s">
        <v>313</v>
      </c>
      <c r="C58" s="20">
        <v>586.319</v>
      </c>
      <c r="D58" s="20">
        <v>584.646</v>
      </c>
      <c r="E58" s="20">
        <v>582.167</v>
      </c>
      <c r="F58" s="20">
        <v>776.796</v>
      </c>
      <c r="G58" s="3">
        <f>SUM(C58:F58)</f>
        <v>2529.928</v>
      </c>
      <c r="H58" s="1"/>
      <c r="I58" s="1"/>
      <c r="J58" s="24"/>
      <c r="K58" s="141" t="s">
        <v>172</v>
      </c>
    </row>
    <row r="59" ht="27.75">
      <c r="A59" s="1"/>
      <c r="B59" s="144" t="s">
        <v>314</v>
      </c>
      <c r="C59" s="3">
        <f>C35-C58</f>
        <v>72.8950000000001</v>
      </c>
      <c r="D59" s="3">
        <f>D35-D58</f>
        <v>74.59800000000007</v>
      </c>
      <c r="E59" s="3">
        <f>E35-E58</f>
        <v>69.14699999999993</v>
      </c>
      <c r="F59" s="3">
        <f>F35-F58</f>
        <v>99.21299999999997</v>
      </c>
      <c r="G59" s="3">
        <f>G35-G58</f>
        <v>315.85300000000007</v>
      </c>
      <c r="H59" s="1"/>
      <c r="I59" s="1"/>
      <c r="J59" s="24"/>
      <c r="K59" s="1"/>
    </row>
    <row r="60" ht="27.75">
      <c r="A60" s="1"/>
      <c r="B60" s="140" t="s">
        <v>315</v>
      </c>
      <c r="C60" s="12">
        <f>C59/C35</f>
        <v>0.11057865882702747</v>
      </c>
      <c r="D60" s="12">
        <f>D59/D35</f>
        <v>0.11315688879989817</v>
      </c>
      <c r="E60" s="12">
        <f>E59/E35</f>
        <v>0.10616538259579855</v>
      </c>
      <c r="F60" s="12">
        <f>F59/F35</f>
        <v>0.11325568572925616</v>
      </c>
      <c r="G60" s="12">
        <f>G59/G35</f>
        <v>0.11098991805764395</v>
      </c>
      <c r="H60" s="1"/>
      <c r="I60" s="1"/>
      <c r="J60" s="24"/>
      <c r="K60" s="1"/>
    </row>
    <row r="61" ht="27.75">
      <c r="A61" s="1"/>
      <c r="B61" s="7" t="s">
        <v>250</v>
      </c>
      <c r="C61" s="20">
        <v>14.321</v>
      </c>
      <c r="D61" s="20">
        <v>16.303</v>
      </c>
      <c r="E61" s="3" t="s">
        <v>81</v>
      </c>
      <c r="F61" s="3" t="s">
        <v>81</v>
      </c>
      <c r="G61" s="3" t="s">
        <v>81</v>
      </c>
      <c r="H61" s="20">
        <v>19.426</v>
      </c>
      <c r="I61" s="20">
        <v>11.665</v>
      </c>
      <c r="J61" s="40" t="s">
        <v>76</v>
      </c>
      <c r="K61" s="141" t="s">
        <v>251</v>
      </c>
    </row>
    <row r="62">
      <c r="A62" s="1"/>
      <c r="B62" s="6" t="s">
        <v>252</v>
      </c>
      <c r="C62" s="12">
        <f>IFERROR(C61/C27,"n/a")</f>
        <v>0.02137705172527033</v>
      </c>
      <c r="D62" s="12">
        <f>IFERROR(D61/D27,"n/a")</f>
        <v>0.023728571802835843</v>
      </c>
      <c r="E62" s="12" t="str">
        <f>IFERROR(E61/E27,"n/a")</f>
        <v>n/a</v>
      </c>
      <c r="F62" s="12" t="str">
        <f>IFERROR(F61/F27,"n/a")</f>
        <v>n/a</v>
      </c>
      <c r="G62" s="12" t="str">
        <f>IFERROR(G61/G27,"n/a")</f>
        <v>n/a</v>
      </c>
      <c r="H62" s="12">
        <f>IFERROR(H61/H27,"n/a")</f>
        <v>0.027792203704577998</v>
      </c>
      <c r="I62" s="12">
        <f>IFERROR(I61/I27,"n/a")</f>
        <v>0.015942151787325</v>
      </c>
      <c r="J62" s="44" t="str">
        <f>IFERROR(J61/J27,"n/a")</f>
        <v>n/a</v>
      </c>
      <c r="K62" s="1"/>
    </row>
    <row r="63">
      <c r="A63" s="1"/>
      <c r="B63" s="18" t="s">
        <v>253</v>
      </c>
      <c r="C63" s="21" t="s">
        <v>76</v>
      </c>
      <c r="D63" s="21" t="s">
        <v>76</v>
      </c>
      <c r="E63" s="21" t="s">
        <v>76</v>
      </c>
      <c r="F63" s="21" t="s">
        <v>76</v>
      </c>
      <c r="G63" s="21" t="s">
        <v>76</v>
      </c>
      <c r="H63" s="21">
        <f>IFERROR((H62-C62)*10000,"n/a")</f>
        <v>64.15151979307667</v>
      </c>
      <c r="I63" s="21">
        <f>IFERROR((I62-D62)*10000,"n/a")</f>
        <v>-77.86420015510845</v>
      </c>
      <c r="J63" s="46" t="str">
        <f>IFERROR((J62-E62)*10000,"n/a")</f>
        <v>n/a</v>
      </c>
      <c r="K63" s="1"/>
    </row>
    <row r="64" ht="27.75">
      <c r="A64" s="1"/>
      <c r="B64" s="154" t="s">
        <v>254</v>
      </c>
      <c r="C64" s="21" t="s">
        <v>76</v>
      </c>
      <c r="D64" s="21">
        <f>IFERROR((D62-C62)*10000,"n/a")</f>
        <v>23.515200775655124</v>
      </c>
      <c r="E64" s="21" t="str">
        <f>IFERROR((E62-D62)*10000,"n/a")</f>
        <v>n/a</v>
      </c>
      <c r="F64" s="21" t="str">
        <f>IFERROR((F62-E62)*10000,"n/a")</f>
        <v>n/a</v>
      </c>
      <c r="G64" s="21" t="s">
        <v>76</v>
      </c>
      <c r="H64" s="21" t="str">
        <f>IFERROR((H62-F62)*10000,"n/a")</f>
        <v>n/a</v>
      </c>
      <c r="I64" s="21">
        <f>IFERROR((I62-H62)*10000,"n/a")</f>
        <v>-118.50051917252999</v>
      </c>
      <c r="J64" s="46" t="str">
        <f>IFERROR((J62-I62)*10000,"n/a")</f>
        <v>n/a</v>
      </c>
      <c r="K64" s="1"/>
    </row>
    <row r="65">
      <c r="A65" s="1"/>
      <c r="B65" s="18" t="s">
        <v>255</v>
      </c>
      <c r="C65" s="12" t="s">
        <v>76</v>
      </c>
      <c r="D65" s="12" t="s">
        <v>76</v>
      </c>
      <c r="E65" s="12" t="s">
        <v>76</v>
      </c>
      <c r="F65" s="12" t="s">
        <v>76</v>
      </c>
      <c r="G65" s="12" t="s">
        <v>76</v>
      </c>
      <c r="H65" s="12">
        <f>IFERROR(H61/C61-1,"n/a")</f>
        <v>0.3564695202848962</v>
      </c>
      <c r="I65" s="12">
        <f>IFERROR(I61/D61-1,"n/a")</f>
        <v>-0.2844875176347912</v>
      </c>
      <c r="J65" s="44" t="str">
        <f>IFERROR(J61/E61-1,"n/a")</f>
        <v>n/a</v>
      </c>
      <c r="K65" s="1"/>
    </row>
    <row r="66" ht="27.75">
      <c r="A66" s="1"/>
      <c r="B66" s="154" t="s">
        <v>256</v>
      </c>
      <c r="C66" s="37" t="s">
        <v>76</v>
      </c>
      <c r="D66" s="37">
        <f>IFERROR(D61-C61,"n/a")</f>
        <v>1.982000000000001</v>
      </c>
      <c r="E66" s="37" t="str">
        <f>IFERROR(E61-D61,"n/a")</f>
        <v>n/a</v>
      </c>
      <c r="F66" s="37" t="str">
        <f>IFERROR(F61-E61,"n/a")</f>
        <v>n/a</v>
      </c>
      <c r="G66" s="37" t="s">
        <v>76</v>
      </c>
      <c r="H66" s="37" t="str">
        <f>IFERROR(H61-F61,"n/a")</f>
        <v>n/a</v>
      </c>
      <c r="I66" s="37">
        <f>IFERROR(I61-H61,"n/a")</f>
        <v>-7.760999999999999</v>
      </c>
      <c r="J66" s="63" t="str">
        <f>IFERROR(J61-I61,"n/a")</f>
        <v>n/a</v>
      </c>
      <c r="K66" s="1"/>
    </row>
    <row r="67" ht="40.5">
      <c r="A67" s="1"/>
      <c r="B67" s="144" t="s">
        <v>257</v>
      </c>
      <c r="C67" s="1"/>
      <c r="D67" s="20">
        <v>16.132</v>
      </c>
      <c r="E67" s="20">
        <v>18.389</v>
      </c>
      <c r="F67" s="1"/>
      <c r="G67" s="1"/>
      <c r="H67" s="1"/>
      <c r="I67" s="1"/>
      <c r="J67" s="24"/>
      <c r="K67" s="141" t="s">
        <v>258</v>
      </c>
    </row>
    <row r="68" ht="27.75">
      <c r="A68" s="1"/>
      <c r="B68" s="142" t="s">
        <v>259</v>
      </c>
      <c r="C68" s="20">
        <v>63.606</v>
      </c>
      <c r="D68" s="20">
        <v>64.658</v>
      </c>
      <c r="E68" s="3" t="s">
        <v>76</v>
      </c>
      <c r="F68" s="3" t="s">
        <v>76</v>
      </c>
      <c r="G68" s="3" t="s">
        <v>76</v>
      </c>
      <c r="H68" s="20">
        <v>65.512</v>
      </c>
      <c r="I68" s="20">
        <v>76.361</v>
      </c>
      <c r="J68" s="40" t="s">
        <v>76</v>
      </c>
      <c r="K68" s="141" t="s">
        <v>316</v>
      </c>
    </row>
    <row r="69" ht="27.75">
      <c r="A69" s="1"/>
      <c r="B69" s="140" t="s">
        <v>261</v>
      </c>
      <c r="C69" s="12">
        <f>IFERROR(C68/C27,"n/a")</f>
        <v>0.09494509824995075</v>
      </c>
      <c r="D69" s="12">
        <f>IFERROR(D68/D27,"n/a")</f>
        <v>0.0941079553228093</v>
      </c>
      <c r="E69" s="12" t="str">
        <f>IFERROR(E68/E27,"n/a")</f>
        <v>n/a</v>
      </c>
      <c r="F69" s="12" t="str">
        <f>IFERROR(F68/F27,"n/a")</f>
        <v>n/a</v>
      </c>
      <c r="G69" s="12" t="str">
        <f>IFERROR(G68/G27,"n/a")</f>
        <v>n/a</v>
      </c>
      <c r="H69" s="12">
        <f>IFERROR(H68/H27,"n/a")</f>
        <v>0.09372608097880747</v>
      </c>
      <c r="I69" s="12">
        <f>IFERROR(I68/I27,"n/a")</f>
        <v>0.10435993593072647</v>
      </c>
      <c r="J69" s="44" t="str">
        <f>IFERROR(J68/J27,"n/a")</f>
        <v>n/a</v>
      </c>
      <c r="K69" s="1"/>
    </row>
    <row r="70">
      <c r="A70" s="1"/>
      <c r="B70" s="18" t="s">
        <v>262</v>
      </c>
      <c r="C70" s="21" t="s">
        <v>76</v>
      </c>
      <c r="D70" s="21" t="s">
        <v>76</v>
      </c>
      <c r="E70" s="21" t="s">
        <v>76</v>
      </c>
      <c r="F70" s="21" t="s">
        <v>76</v>
      </c>
      <c r="G70" s="21" t="s">
        <v>76</v>
      </c>
      <c r="H70" s="21">
        <f>IFERROR((H69-C69)*10000,"n/a")</f>
        <v>-12.190172711432773</v>
      </c>
      <c r="I70" s="21">
        <f>IFERROR((I69-D69)*10000,"n/a")</f>
        <v>102.51980607917169</v>
      </c>
      <c r="J70" s="46" t="str">
        <f>IFERROR((J69-E69)*10000,"n/a")</f>
        <v>n/a</v>
      </c>
      <c r="K70" s="1"/>
    </row>
    <row r="71" ht="27.75">
      <c r="A71" s="1"/>
      <c r="B71" s="154" t="s">
        <v>263</v>
      </c>
      <c r="C71" s="21" t="s">
        <v>76</v>
      </c>
      <c r="D71" s="21">
        <f>IFERROR((D69-C69)*10000,"n/a")</f>
        <v>-8.37142927141446</v>
      </c>
      <c r="E71" s="21" t="str">
        <f>IFERROR((E69-D69)*10000,"n/a")</f>
        <v>n/a</v>
      </c>
      <c r="F71" s="21" t="str">
        <f>IFERROR((F69-E69)*10000,"n/a")</f>
        <v>n/a</v>
      </c>
      <c r="G71" s="21" t="s">
        <v>76</v>
      </c>
      <c r="H71" s="21" t="str">
        <f>IFERROR((H69-F69)*10000,"n/a")</f>
        <v>n/a</v>
      </c>
      <c r="I71" s="21">
        <f>IFERROR((I69-H69)*10000,"n/a")</f>
        <v>106.33854951919</v>
      </c>
      <c r="J71" s="46" t="str">
        <f>IFERROR((J69-I69)*10000,"n/a")</f>
        <v>n/a</v>
      </c>
      <c r="K71" s="1"/>
    </row>
    <row r="72">
      <c r="A72" s="1"/>
      <c r="B72" s="1"/>
      <c r="C72" s="1"/>
      <c r="D72" s="1"/>
      <c r="E72" s="1"/>
      <c r="F72" s="1"/>
      <c r="G72" s="1"/>
      <c r="H72" s="1"/>
      <c r="I72" s="1"/>
      <c r="J72" s="24"/>
      <c r="K72" s="1"/>
    </row>
    <row r="73">
      <c r="A73" s="1"/>
      <c r="B73" s="1"/>
      <c r="C73" s="1"/>
      <c r="D73" s="1"/>
      <c r="E73" s="1"/>
      <c r="F73" s="1"/>
      <c r="G73" s="1"/>
      <c r="H73" s="1"/>
      <c r="I73" s="1"/>
      <c r="J73" s="1"/>
      <c r="K73" s="1"/>
    </row>
    <row r="74">
      <c r="A74" s="1"/>
      <c r="B74" s="1"/>
      <c r="C74" s="1"/>
      <c r="D74" s="1"/>
      <c r="E74" s="1"/>
      <c r="F74" s="1"/>
      <c r="G74" s="1"/>
      <c r="H74" s="1"/>
      <c r="I74" s="1"/>
      <c r="J74" s="1"/>
      <c r="K74" s="1"/>
    </row>
  </sheetData>
  <legacyDrawing r:id="rId2"/>
</worksheet>
</file>

<file path=xl/worksheets/sheet5.xml><?xml version="1.0" encoding="utf-8"?>
<worksheet xmlns="http://schemas.openxmlformats.org/spreadsheetml/2006/main" xmlns:r="http://schemas.openxmlformats.org/officeDocument/2006/relationships">
  <dimension ref="A1:K89"/>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317</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c r="A9" s="1"/>
      <c r="B9" s="7" t="s">
        <v>318</v>
      </c>
      <c r="C9" s="1"/>
      <c r="D9" s="1"/>
      <c r="E9" s="1"/>
      <c r="F9" s="1"/>
      <c r="G9" s="1"/>
      <c r="H9" s="1"/>
      <c r="I9" s="1"/>
      <c r="J9" s="24"/>
      <c r="K9" s="1"/>
    </row>
    <row r="10">
      <c r="A10" s="1"/>
      <c r="B10" s="2" t="s">
        <v>113</v>
      </c>
      <c r="C10" s="32">
        <v>14352</v>
      </c>
      <c r="D10" s="22">
        <f>C19</f>
        <v>14327</v>
      </c>
      <c r="E10" s="22">
        <f>D19</f>
        <v>14475</v>
      </c>
      <c r="F10" s="22">
        <f>E19</f>
        <v>14660</v>
      </c>
      <c r="G10" s="22">
        <f>C10</f>
        <v>14352</v>
      </c>
      <c r="H10" s="22">
        <f>F19</f>
        <v>14956</v>
      </c>
      <c r="I10" s="22">
        <f>H19</f>
        <v>15117</v>
      </c>
      <c r="J10" s="73">
        <f>I19</f>
        <v>15300</v>
      </c>
      <c r="K10" s="141" t="s">
        <v>114</v>
      </c>
    </row>
    <row r="11" ht="27.75">
      <c r="A11" s="1"/>
      <c r="B11" s="154" t="s">
        <v>115</v>
      </c>
      <c r="C11" s="25" t="s">
        <v>76</v>
      </c>
      <c r="D11" s="25" t="s">
        <v>76</v>
      </c>
      <c r="E11" s="25" t="s">
        <v>76</v>
      </c>
      <c r="F11" s="25" t="s">
        <v>76</v>
      </c>
      <c r="G11" s="25" t="s">
        <v>76</v>
      </c>
      <c r="H11" s="25">
        <f>H10-C10</f>
        <v>604</v>
      </c>
      <c r="I11" s="25">
        <f>I10-D10</f>
        <v>790</v>
      </c>
      <c r="J11" s="62">
        <f>J10-E10</f>
        <v>825</v>
      </c>
      <c r="K11" s="1"/>
    </row>
    <row r="12" ht="27.75">
      <c r="A12" s="1"/>
      <c r="B12" s="154" t="s">
        <v>116</v>
      </c>
      <c r="C12" s="25" t="s">
        <v>76</v>
      </c>
      <c r="D12" s="25">
        <f>D10-C10</f>
        <v>-25</v>
      </c>
      <c r="E12" s="25">
        <f>E10-D10</f>
        <v>148</v>
      </c>
      <c r="F12" s="25">
        <f>F10-E10</f>
        <v>185</v>
      </c>
      <c r="G12" s="25" t="s">
        <v>76</v>
      </c>
      <c r="H12" s="25">
        <f>H10-F10</f>
        <v>296</v>
      </c>
      <c r="I12" s="25">
        <f>I10-H10</f>
        <v>161</v>
      </c>
      <c r="J12" s="62">
        <f>J10-I10</f>
        <v>183</v>
      </c>
      <c r="K12" s="1"/>
    </row>
    <row r="13">
      <c r="A13" s="1"/>
      <c r="B13" s="2" t="s">
        <v>117</v>
      </c>
      <c r="C13" s="32">
        <v>203</v>
      </c>
      <c r="D13" s="32">
        <v>210</v>
      </c>
      <c r="E13" s="32">
        <v>220</v>
      </c>
      <c r="F13" s="32">
        <v>320</v>
      </c>
      <c r="G13" s="22">
        <f>SUM(C13:F13)</f>
        <v>953</v>
      </c>
      <c r="H13" s="32">
        <v>212</v>
      </c>
      <c r="I13" s="32">
        <v>223</v>
      </c>
      <c r="J13" s="84">
        <v>217</v>
      </c>
      <c r="K13" s="141" t="s">
        <v>118</v>
      </c>
    </row>
    <row r="14">
      <c r="A14" s="1"/>
      <c r="B14" s="18" t="s">
        <v>119</v>
      </c>
      <c r="C14" s="25" t="s">
        <v>76</v>
      </c>
      <c r="D14" s="25" t="s">
        <v>76</v>
      </c>
      <c r="E14" s="25" t="s">
        <v>76</v>
      </c>
      <c r="F14" s="25" t="s">
        <v>76</v>
      </c>
      <c r="G14" s="25" t="s">
        <v>76</v>
      </c>
      <c r="H14" s="25">
        <f>H13-C13</f>
        <v>9</v>
      </c>
      <c r="I14" s="25">
        <f>I13-D13</f>
        <v>13</v>
      </c>
      <c r="J14" s="62">
        <f>J13-E13</f>
        <v>-3</v>
      </c>
      <c r="K14" s="1"/>
    </row>
    <row r="15" ht="27.75">
      <c r="A15" s="1"/>
      <c r="B15" s="154" t="s">
        <v>120</v>
      </c>
      <c r="C15" s="25" t="s">
        <v>76</v>
      </c>
      <c r="D15" s="25">
        <f>D13-C13</f>
        <v>7</v>
      </c>
      <c r="E15" s="25">
        <f>E13-D13</f>
        <v>10</v>
      </c>
      <c r="F15" s="25">
        <f>F13-E13</f>
        <v>100</v>
      </c>
      <c r="G15" s="25" t="s">
        <v>76</v>
      </c>
      <c r="H15" s="25">
        <f>H13-F13</f>
        <v>-108</v>
      </c>
      <c r="I15" s="25">
        <f>I13-H13</f>
        <v>11</v>
      </c>
      <c r="J15" s="62">
        <f>J13-I13</f>
        <v>-6</v>
      </c>
      <c r="K15" s="1"/>
    </row>
    <row r="16">
      <c r="A16" s="1"/>
      <c r="B16" s="2" t="s">
        <v>121</v>
      </c>
      <c r="C16" s="32">
        <v>-228</v>
      </c>
      <c r="D16" s="32">
        <v>-62</v>
      </c>
      <c r="E16" s="32">
        <v>-35</v>
      </c>
      <c r="F16" s="32">
        <v>-24</v>
      </c>
      <c r="G16" s="22">
        <f>SUM(C16:F16)</f>
        <v>-349</v>
      </c>
      <c r="H16" s="32">
        <v>-51</v>
      </c>
      <c r="I16" s="32">
        <v>-40</v>
      </c>
      <c r="J16" s="84">
        <v>-40</v>
      </c>
      <c r="K16" s="141" t="s">
        <v>118</v>
      </c>
    </row>
    <row r="17">
      <c r="A17" s="1"/>
      <c r="B17" s="18" t="s">
        <v>122</v>
      </c>
      <c r="C17" s="25" t="s">
        <v>76</v>
      </c>
      <c r="D17" s="25" t="s">
        <v>76</v>
      </c>
      <c r="E17" s="25" t="s">
        <v>76</v>
      </c>
      <c r="F17" s="25" t="s">
        <v>76</v>
      </c>
      <c r="G17" s="25" t="s">
        <v>76</v>
      </c>
      <c r="H17" s="25">
        <f>H16-C16</f>
        <v>177</v>
      </c>
      <c r="I17" s="25">
        <f>I16-D16</f>
        <v>22</v>
      </c>
      <c r="J17" s="62">
        <f>J16-E16</f>
        <v>-5</v>
      </c>
      <c r="K17" s="1"/>
    </row>
    <row r="18" ht="27.75">
      <c r="A18" s="1"/>
      <c r="B18" s="154" t="s">
        <v>123</v>
      </c>
      <c r="C18" s="25" t="s">
        <v>76</v>
      </c>
      <c r="D18" s="25">
        <f>D16-C16</f>
        <v>166</v>
      </c>
      <c r="E18" s="25">
        <f>E16-D16</f>
        <v>27</v>
      </c>
      <c r="F18" s="25">
        <f>F16-E16</f>
        <v>11</v>
      </c>
      <c r="G18" s="25" t="s">
        <v>76</v>
      </c>
      <c r="H18" s="25">
        <f>H16-F16</f>
        <v>-27</v>
      </c>
      <c r="I18" s="25">
        <f>I16-H16</f>
        <v>11</v>
      </c>
      <c r="J18" s="62">
        <f>J16-I16</f>
        <v>0</v>
      </c>
      <c r="K18" s="1"/>
    </row>
    <row r="19">
      <c r="A19" s="1"/>
      <c r="B19" s="74" t="s">
        <v>127</v>
      </c>
      <c r="C19" s="33">
        <f>C10+C13+C16</f>
        <v>14327</v>
      </c>
      <c r="D19" s="33">
        <f>D10+D13+D16</f>
        <v>14475</v>
      </c>
      <c r="E19" s="33">
        <f>E10+E13+E16</f>
        <v>14660</v>
      </c>
      <c r="F19" s="33">
        <f>F10+F13+F16</f>
        <v>14956</v>
      </c>
      <c r="G19" s="33">
        <f>G10+G13+G16</f>
        <v>14956</v>
      </c>
      <c r="H19" s="33">
        <f>H10+H13+H16</f>
        <v>15117</v>
      </c>
      <c r="I19" s="33">
        <f>I10+I13+I16</f>
        <v>15300</v>
      </c>
      <c r="J19" s="72">
        <f>J10+J13+J16</f>
        <v>15477</v>
      </c>
      <c r="K19" s="1"/>
    </row>
    <row r="20">
      <c r="A20" s="1"/>
      <c r="B20" s="47" t="s">
        <v>128</v>
      </c>
      <c r="C20" s="32">
        <v>14327</v>
      </c>
      <c r="D20" s="32">
        <v>14475</v>
      </c>
      <c r="E20" s="32">
        <v>14660</v>
      </c>
      <c r="F20" s="32">
        <v>14956</v>
      </c>
      <c r="G20" s="1"/>
      <c r="H20" s="32">
        <v>15117</v>
      </c>
      <c r="I20" s="32">
        <v>15300</v>
      </c>
      <c r="J20" s="24"/>
      <c r="K20" s="141" t="s">
        <v>108</v>
      </c>
    </row>
    <row r="21" ht="27.75">
      <c r="A21" s="1"/>
      <c r="B21" s="154" t="s">
        <v>129</v>
      </c>
      <c r="C21" s="25">
        <f>C19-C20</f>
        <v>0</v>
      </c>
      <c r="D21" s="25">
        <f>D19-D20</f>
        <v>0</v>
      </c>
      <c r="E21" s="25">
        <f>E19-E20</f>
        <v>0</v>
      </c>
      <c r="F21" s="25">
        <f>F19-F20</f>
        <v>0</v>
      </c>
      <c r="G21" s="1"/>
      <c r="H21" s="25">
        <f>H19-H20</f>
        <v>0</v>
      </c>
      <c r="I21" s="25">
        <f>I19-I20</f>
        <v>0</v>
      </c>
      <c r="J21" s="24"/>
      <c r="K21" s="1"/>
    </row>
    <row r="22" ht="27.75">
      <c r="A22" s="1"/>
      <c r="B22" s="154" t="s">
        <v>130</v>
      </c>
      <c r="C22" s="25" t="s">
        <v>76</v>
      </c>
      <c r="D22" s="25" t="s">
        <v>76</v>
      </c>
      <c r="E22" s="25" t="s">
        <v>76</v>
      </c>
      <c r="F22" s="25" t="s">
        <v>76</v>
      </c>
      <c r="G22" s="25" t="s">
        <v>76</v>
      </c>
      <c r="H22" s="25">
        <f>H19-C19</f>
        <v>790</v>
      </c>
      <c r="I22" s="25">
        <f>I19-D19</f>
        <v>825</v>
      </c>
      <c r="J22" s="62">
        <f>J19-E19</f>
        <v>817</v>
      </c>
      <c r="K22" s="1"/>
    </row>
    <row r="23" ht="27.75">
      <c r="A23" s="1"/>
      <c r="B23" s="144" t="s">
        <v>131</v>
      </c>
      <c r="C23" s="22">
        <f>C13+C16</f>
        <v>-25</v>
      </c>
      <c r="D23" s="22">
        <f>D13+D16</f>
        <v>148</v>
      </c>
      <c r="E23" s="22">
        <f>E13+E16</f>
        <v>185</v>
      </c>
      <c r="F23" s="22">
        <f>F13+F16</f>
        <v>296</v>
      </c>
      <c r="G23" s="22">
        <f>G13+G16</f>
        <v>604</v>
      </c>
      <c r="H23" s="22">
        <f>H13+H16</f>
        <v>161</v>
      </c>
      <c r="I23" s="22">
        <f>I13+I16</f>
        <v>183</v>
      </c>
      <c r="J23" s="73">
        <f>J13+J16</f>
        <v>177</v>
      </c>
      <c r="K23" s="1"/>
    </row>
    <row r="24" ht="27.75">
      <c r="A24" s="1"/>
      <c r="B24" s="154" t="s">
        <v>132</v>
      </c>
      <c r="C24" s="25" t="s">
        <v>76</v>
      </c>
      <c r="D24" s="25" t="s">
        <v>76</v>
      </c>
      <c r="E24" s="25" t="s">
        <v>76</v>
      </c>
      <c r="F24" s="25" t="s">
        <v>76</v>
      </c>
      <c r="G24" s="25" t="s">
        <v>76</v>
      </c>
      <c r="H24" s="25">
        <f>H23-C23</f>
        <v>186</v>
      </c>
      <c r="I24" s="25">
        <f>I23-D23</f>
        <v>35</v>
      </c>
      <c r="J24" s="62">
        <f>J23-E23</f>
        <v>-8</v>
      </c>
      <c r="K24" s="1"/>
    </row>
    <row r="25" ht="27.75">
      <c r="A25" s="1"/>
      <c r="B25" s="154" t="s">
        <v>133</v>
      </c>
      <c r="C25" s="25" t="s">
        <v>76</v>
      </c>
      <c r="D25" s="25">
        <f>D23-C23</f>
        <v>173</v>
      </c>
      <c r="E25" s="25">
        <f>E23-D23</f>
        <v>37</v>
      </c>
      <c r="F25" s="25">
        <f>F23-E23</f>
        <v>111</v>
      </c>
      <c r="G25" s="25" t="s">
        <v>76</v>
      </c>
      <c r="H25" s="25">
        <f>H23-F23</f>
        <v>-135</v>
      </c>
      <c r="I25" s="25">
        <f>I23-H23</f>
        <v>22</v>
      </c>
      <c r="J25" s="62">
        <f>J23-I23</f>
        <v>-6</v>
      </c>
      <c r="K25" s="1"/>
    </row>
    <row r="26">
      <c r="A26" s="1"/>
      <c r="B26" s="2" t="s">
        <v>134</v>
      </c>
      <c r="C26" s="3">
        <f>(C10+C19)/2</f>
        <v>14339.5</v>
      </c>
      <c r="D26" s="3">
        <f>(D10+D19)/2</f>
        <v>14401</v>
      </c>
      <c r="E26" s="3">
        <f>(E10+E19)/2</f>
        <v>14567.5</v>
      </c>
      <c r="F26" s="3">
        <f>(F10+F19)/2</f>
        <v>14808</v>
      </c>
      <c r="G26" s="3">
        <f>SUMPRODUCT(C26:F26,C7:F7)/G7</f>
        <v>14550.461538461539</v>
      </c>
      <c r="H26" s="3">
        <f>(H10+H19)/2</f>
        <v>15036.5</v>
      </c>
      <c r="I26" s="3">
        <f>(I10+I19)/2</f>
        <v>15208.5</v>
      </c>
      <c r="J26" s="40">
        <f>(J10+J19)/2</f>
        <v>15388.5</v>
      </c>
      <c r="K26" s="1"/>
    </row>
    <row r="27">
      <c r="A27" s="1"/>
      <c r="B27" s="18" t="s">
        <v>135</v>
      </c>
      <c r="C27" s="12" t="s">
        <v>76</v>
      </c>
      <c r="D27" s="12" t="s">
        <v>76</v>
      </c>
      <c r="E27" s="12" t="s">
        <v>76</v>
      </c>
      <c r="F27" s="12" t="s">
        <v>76</v>
      </c>
      <c r="G27" s="12" t="s">
        <v>76</v>
      </c>
      <c r="H27" s="12">
        <f>IFERROR(H26/C26-1,"n/a")</f>
        <v>0.048606994665086</v>
      </c>
      <c r="I27" s="12">
        <f>IFERROR(I26/D26-1,"n/a")</f>
        <v>0.056072494965627495</v>
      </c>
      <c r="J27" s="44">
        <f>IFERROR(J26/E26-1,"n/a")</f>
        <v>0.05635833190320927</v>
      </c>
      <c r="K27" s="1"/>
    </row>
    <row r="28" ht="27.75">
      <c r="A28" s="1"/>
      <c r="B28" s="154" t="s">
        <v>136</v>
      </c>
      <c r="C28" s="37" t="s">
        <v>76</v>
      </c>
      <c r="D28" s="37">
        <f>D26-C26</f>
        <v>61.5</v>
      </c>
      <c r="E28" s="37">
        <f>E26-D26</f>
        <v>166.5</v>
      </c>
      <c r="F28" s="37">
        <f>F26-E26</f>
        <v>240.5</v>
      </c>
      <c r="G28" s="37" t="s">
        <v>76</v>
      </c>
      <c r="H28" s="37">
        <f>H26-F26</f>
        <v>228.5</v>
      </c>
      <c r="I28" s="37">
        <f>I26-H26</f>
        <v>172</v>
      </c>
      <c r="J28" s="63">
        <f>J26-I26</f>
        <v>180</v>
      </c>
      <c r="K28" s="1"/>
    </row>
    <row r="29" ht="27.75">
      <c r="A29" s="1"/>
      <c r="B29" s="154" t="s">
        <v>137</v>
      </c>
      <c r="C29" s="25" t="s">
        <v>76</v>
      </c>
      <c r="D29" s="25">
        <f>D19-C19</f>
        <v>148</v>
      </c>
      <c r="E29" s="25">
        <f>E19-D19</f>
        <v>185</v>
      </c>
      <c r="F29" s="25">
        <f>F19-E19</f>
        <v>296</v>
      </c>
      <c r="G29" s="25" t="s">
        <v>76</v>
      </c>
      <c r="H29" s="25">
        <f>H19-F19</f>
        <v>161</v>
      </c>
      <c r="I29" s="25">
        <f>I19-H19</f>
        <v>183</v>
      </c>
      <c r="J29" s="62">
        <f>J19-I19</f>
        <v>177</v>
      </c>
      <c r="K29" s="1"/>
    </row>
    <row r="30" ht="27.75">
      <c r="A30" s="1"/>
      <c r="B30" s="144" t="s">
        <v>141</v>
      </c>
      <c r="C30" s="32">
        <v>446</v>
      </c>
      <c r="D30" s="32">
        <v>451</v>
      </c>
      <c r="E30" s="32">
        <v>588</v>
      </c>
      <c r="F30" s="32">
        <v>604</v>
      </c>
      <c r="G30" s="22">
        <f>G23</f>
        <v>604</v>
      </c>
      <c r="H30" s="22">
        <f>D23+E23+F23+H23</f>
        <v>790</v>
      </c>
      <c r="I30" s="22">
        <f>E23+F23+H23+I23</f>
        <v>825</v>
      </c>
      <c r="J30" s="73">
        <f>F23+H23+I23+J23</f>
        <v>817</v>
      </c>
      <c r="K30" s="141" t="s">
        <v>142</v>
      </c>
    </row>
    <row r="31">
      <c r="A31" s="1"/>
      <c r="B31" s="18" t="s">
        <v>143</v>
      </c>
      <c r="C31" s="12">
        <f>C30/(C19-C30)</f>
        <v>0.03213024998198977</v>
      </c>
      <c r="D31" s="12">
        <f>D30/(D19-D30)</f>
        <v>0.03215915573302909</v>
      </c>
      <c r="E31" s="12">
        <f>E30/(E19-E30)</f>
        <v>0.041785105173393976</v>
      </c>
      <c r="F31" s="12">
        <f>F30/(F19-F30)</f>
        <v>0.04208472686733556</v>
      </c>
      <c r="G31" s="12">
        <f>G30/(G19-G30)</f>
        <v>0.04208472686733556</v>
      </c>
      <c r="H31" s="12">
        <f>H30/(H19-H30)</f>
        <v>0.05514064354016891</v>
      </c>
      <c r="I31" s="12">
        <f>I30/(I19-I30)</f>
        <v>0.05699481865284974</v>
      </c>
      <c r="J31" s="44">
        <f>J30/(J19-J30)</f>
        <v>0.05572987721691678</v>
      </c>
      <c r="K31" s="1"/>
    </row>
    <row r="32">
      <c r="A32" s="1"/>
      <c r="B32" s="6" t="s">
        <v>148</v>
      </c>
      <c r="C32" s="12">
        <f>-C16/C10</f>
        <v>0.01588628762541806</v>
      </c>
      <c r="D32" s="12">
        <f>-D16/D10</f>
        <v>0.004327493543658826</v>
      </c>
      <c r="E32" s="12">
        <f>-E16/E10</f>
        <v>0.0024179620034542313</v>
      </c>
      <c r="F32" s="12">
        <f>-F16/F10</f>
        <v>0.0016371077762619372</v>
      </c>
      <c r="G32" s="12">
        <f>-G16/G10</f>
        <v>0.024317168338907468</v>
      </c>
      <c r="H32" s="12">
        <f>-H16/H10</f>
        <v>0.0034100026745119017</v>
      </c>
      <c r="I32" s="12">
        <f>-I16/I10</f>
        <v>0.002646027650988953</v>
      </c>
      <c r="J32" s="44">
        <f>-J16/J10</f>
        <v>0.00261437908496732</v>
      </c>
      <c r="K32" s="1"/>
    </row>
    <row r="33">
      <c r="A33" s="1"/>
      <c r="B33" s="18" t="s">
        <v>149</v>
      </c>
      <c r="C33" s="21" t="s">
        <v>76</v>
      </c>
      <c r="D33" s="21" t="s">
        <v>76</v>
      </c>
      <c r="E33" s="21" t="s">
        <v>76</v>
      </c>
      <c r="F33" s="21" t="s">
        <v>76</v>
      </c>
      <c r="G33" s="21" t="s">
        <v>76</v>
      </c>
      <c r="H33" s="21">
        <f>IFERROR((H32-C32)*10000,"n/a")</f>
        <v>-124.76284950906158</v>
      </c>
      <c r="I33" s="21">
        <f>IFERROR((I32-D32)*10000,"n/a")</f>
        <v>-16.814658926698733</v>
      </c>
      <c r="J33" s="46">
        <f>IFERROR((J32-E32)*10000,"n/a")</f>
        <v>1.9641708151308876</v>
      </c>
      <c r="K33" s="1"/>
    </row>
    <row r="34" ht="27.75">
      <c r="A34" s="1"/>
      <c r="B34" s="154" t="s">
        <v>150</v>
      </c>
      <c r="C34" s="21" t="s">
        <v>76</v>
      </c>
      <c r="D34" s="21">
        <f>IFERROR((D32-C32)*10000,"n/a")</f>
        <v>-115.58794081759234</v>
      </c>
      <c r="E34" s="21">
        <f>IFERROR((E32-D32)*10000,"n/a")</f>
        <v>-19.095315402045948</v>
      </c>
      <c r="F34" s="21">
        <f>IFERROR((F32-E32)*10000,"n/a")</f>
        <v>-7.808542271922941</v>
      </c>
      <c r="G34" s="21" t="s">
        <v>76</v>
      </c>
      <c r="H34" s="21">
        <f>IFERROR((H32-F32)*10000,"n/a")</f>
        <v>17.728948982499645</v>
      </c>
      <c r="I34" s="21">
        <f>IFERROR((I32-H32)*10000,"n/a")</f>
        <v>-7.639750235229489</v>
      </c>
      <c r="J34" s="46">
        <f>IFERROR((J32-I32)*10000,"n/a")</f>
        <v>-0.31648566021632785</v>
      </c>
      <c r="K34" s="1"/>
    </row>
    <row r="35" ht="27.75">
      <c r="A35" s="1"/>
      <c r="B35" s="140" t="s">
        <v>151</v>
      </c>
      <c r="C35" s="12">
        <f>C13/C10</f>
        <v>0.014144370122630992</v>
      </c>
      <c r="D35" s="12">
        <f>D13/D10</f>
        <v>0.014657639422070217</v>
      </c>
      <c r="E35" s="12">
        <f>E13/E10</f>
        <v>0.015198618307426597</v>
      </c>
      <c r="F35" s="12">
        <f>F13/F10</f>
        <v>0.021828103683492497</v>
      </c>
      <c r="G35" s="12">
        <f>G13/G10</f>
        <v>0.06640189520624304</v>
      </c>
      <c r="H35" s="12">
        <f>H13/H10</f>
        <v>0.014174913078363199</v>
      </c>
      <c r="I35" s="12">
        <f>I13/I10</f>
        <v>0.014751604154263413</v>
      </c>
      <c r="J35" s="44">
        <f>J13/J10</f>
        <v>0.014183006535947713</v>
      </c>
      <c r="K35" s="1"/>
    </row>
    <row r="36" ht="27.75">
      <c r="A36" s="1"/>
      <c r="B36" s="154" t="s">
        <v>152</v>
      </c>
      <c r="C36" s="21" t="s">
        <v>76</v>
      </c>
      <c r="D36" s="21" t="s">
        <v>76</v>
      </c>
      <c r="E36" s="21" t="s">
        <v>76</v>
      </c>
      <c r="F36" s="21" t="s">
        <v>76</v>
      </c>
      <c r="G36" s="21" t="s">
        <v>76</v>
      </c>
      <c r="H36" s="21">
        <f>IFERROR((H35-C35)*10000,"n/a")</f>
        <v>0.3054295573220664</v>
      </c>
      <c r="I36" s="21">
        <f>IFERROR((I35-D35)*10000,"n/a")</f>
        <v>0.9396473219319517</v>
      </c>
      <c r="J36" s="46">
        <f>IFERROR((J35-E35)*10000,"n/a")</f>
        <v>-10.156117714788838</v>
      </c>
      <c r="K36" s="1"/>
    </row>
    <row r="37" ht="27.75">
      <c r="A37" s="1"/>
      <c r="B37" s="154" t="s">
        <v>153</v>
      </c>
      <c r="C37" s="21" t="s">
        <v>76</v>
      </c>
      <c r="D37" s="21">
        <f>IFERROR((D35-C35)*10000,"n/a")</f>
        <v>5.1326929943922535</v>
      </c>
      <c r="E37" s="21">
        <f>IFERROR((E35-D35)*10000,"n/a")</f>
        <v>5.409788853563795</v>
      </c>
      <c r="F37" s="21">
        <f>IFERROR((F35-E35)*10000,"n/a")</f>
        <v>66.294853760659</v>
      </c>
      <c r="G37" s="21" t="s">
        <v>76</v>
      </c>
      <c r="H37" s="21">
        <f>IFERROR((H35-F35)*10000,"n/a")</f>
        <v>-76.53190605129298</v>
      </c>
      <c r="I37" s="21">
        <f>IFERROR((I35-H35)*10000,"n/a")</f>
        <v>5.766910759002139</v>
      </c>
      <c r="J37" s="46">
        <f>IFERROR((J35-I35)*10000,"n/a")</f>
        <v>-5.6859761831569955</v>
      </c>
      <c r="K37" s="1"/>
    </row>
    <row r="38" ht="27.75">
      <c r="A38" s="1"/>
      <c r="B38" s="142" t="s">
        <v>319</v>
      </c>
      <c r="C38" s="1"/>
      <c r="D38" s="1"/>
      <c r="E38" s="1"/>
      <c r="F38" s="1"/>
      <c r="G38" s="1"/>
      <c r="H38" s="1"/>
      <c r="I38" s="1"/>
      <c r="J38" s="24"/>
      <c r="K38" s="1"/>
    </row>
    <row r="39">
      <c r="A39" s="1"/>
      <c r="B39" s="6" t="s">
        <v>320</v>
      </c>
      <c r="C39" s="36">
        <v>0.037000000000000005</v>
      </c>
      <c r="D39" s="36">
        <v>0.024</v>
      </c>
      <c r="E39" s="36">
        <v>0.017</v>
      </c>
      <c r="F39" s="36">
        <v>0.006999999999999999</v>
      </c>
      <c r="G39" s="36">
        <v>0.019</v>
      </c>
      <c r="H39" s="36">
        <v>-0.004</v>
      </c>
      <c r="I39" s="36">
        <v>-0.001</v>
      </c>
      <c r="J39" s="66">
        <v>0.006</v>
      </c>
      <c r="K39" s="141" t="s">
        <v>321</v>
      </c>
    </row>
    <row r="40" ht="40.5">
      <c r="A40" s="1"/>
      <c r="B40" s="154" t="s">
        <v>322</v>
      </c>
      <c r="C40" s="36">
        <v>0.009000000000000001</v>
      </c>
      <c r="D40" s="36">
        <v>0.021</v>
      </c>
      <c r="E40" s="36">
        <v>0.008</v>
      </c>
      <c r="F40" s="36">
        <v>0.027000000000000003</v>
      </c>
      <c r="G40" s="167"/>
      <c r="H40" s="1"/>
      <c r="I40" s="1"/>
      <c r="J40" s="24"/>
      <c r="K40" s="141" t="s">
        <v>323</v>
      </c>
    </row>
    <row r="41" ht="27.75">
      <c r="A41" s="1"/>
      <c r="B41" s="154" t="s">
        <v>324</v>
      </c>
      <c r="C41" s="21">
        <f>IFERROR((C39-C40)*10000,"n/a")</f>
        <v>280.00000000000006</v>
      </c>
      <c r="D41" s="21">
        <f>IFERROR((D39-D40)*10000,"n/a")</f>
        <v>29.999999999999993</v>
      </c>
      <c r="E41" s="21">
        <f>IFERROR((E39-E40)*10000,"n/a")</f>
        <v>90.00000000000001</v>
      </c>
      <c r="F41" s="21">
        <f>IFERROR((F39-F40)*10000,"n/a")</f>
        <v>-200.00000000000003</v>
      </c>
      <c r="G41" s="21" t="str">
        <f>IF(ISNUMBER(G40),(G39-G40)*10000,"n/a")</f>
        <v>n/a</v>
      </c>
      <c r="H41" s="21">
        <f>IFERROR((H39-C39)*10000,"n/a")</f>
        <v>-410.0000000000001</v>
      </c>
      <c r="I41" s="21">
        <f>IFERROR((I39-D39)*10000,"n/a")</f>
        <v>-250</v>
      </c>
      <c r="J41" s="46">
        <f>IFERROR((J39-E39)*10000,"n/a")</f>
        <v>-110.00000000000001</v>
      </c>
      <c r="K41" s="1"/>
    </row>
    <row r="42" ht="27.75">
      <c r="A42" s="1"/>
      <c r="B42" s="154" t="s">
        <v>325</v>
      </c>
      <c r="C42" s="21" t="s">
        <v>76</v>
      </c>
      <c r="D42" s="21">
        <f>IFERROR((D39-C39)*10000,"n/a")</f>
        <v>-130.00000000000006</v>
      </c>
      <c r="E42" s="21">
        <f>IFERROR((E39-D39)*10000,"n/a")</f>
        <v>-69.99999999999999</v>
      </c>
      <c r="F42" s="21">
        <f>IFERROR((F39-E39)*10000,"n/a")</f>
        <v>-100.00000000000001</v>
      </c>
      <c r="G42" s="21" t="s">
        <v>76</v>
      </c>
      <c r="H42" s="21">
        <f>IFERROR((H39-F39)*10000,"n/a")</f>
        <v>-110</v>
      </c>
      <c r="I42" s="21">
        <f>IFERROR((I39-H39)*10000,"n/a")</f>
        <v>30</v>
      </c>
      <c r="J42" s="46">
        <f>IFERROR((J39-I39)*10000,"n/a")</f>
        <v>70</v>
      </c>
      <c r="K42" s="1"/>
    </row>
    <row r="43">
      <c r="A43" s="1"/>
      <c r="B43" s="18" t="s">
        <v>326</v>
      </c>
      <c r="C43" s="12">
        <f>C39+C40</f>
        <v>0.046000000000000006</v>
      </c>
      <c r="D43" s="12">
        <f>D39+D40</f>
        <v>0.045</v>
      </c>
      <c r="E43" s="12">
        <f>E39+E40</f>
        <v>0.025</v>
      </c>
      <c r="F43" s="12">
        <f>F39+F40</f>
        <v>0.034</v>
      </c>
      <c r="G43" s="166" t="str">
        <f>IF(ISNUMBER(G40),G39+G40,"n/a")</f>
        <v>n/a</v>
      </c>
      <c r="H43" s="12">
        <f>H39+C39</f>
        <v>0.033</v>
      </c>
      <c r="I43" s="12">
        <f>I39+D39</f>
        <v>0.023</v>
      </c>
      <c r="J43" s="44">
        <f>J39+E39</f>
        <v>0.023</v>
      </c>
      <c r="K43" s="1"/>
    </row>
    <row r="44" ht="27.75">
      <c r="A44" s="1"/>
      <c r="B44" s="142" t="s">
        <v>327</v>
      </c>
      <c r="C44" s="1"/>
      <c r="D44" s="1"/>
      <c r="E44" s="1"/>
      <c r="F44" s="1"/>
      <c r="G44" s="1"/>
      <c r="H44" s="1"/>
      <c r="I44" s="1"/>
      <c r="J44" s="24"/>
      <c r="K44" s="1"/>
    </row>
    <row r="45">
      <c r="A45" s="1"/>
      <c r="B45" s="13" t="s">
        <v>328</v>
      </c>
      <c r="C45" s="42">
        <v>2223.5</v>
      </c>
      <c r="D45" s="42">
        <v>2334.2</v>
      </c>
      <c r="E45" s="42">
        <v>2375.8</v>
      </c>
      <c r="F45" s="42">
        <v>3240.4</v>
      </c>
      <c r="G45" s="85">
        <f>SUM(C45:F45)</f>
        <v>10173.9</v>
      </c>
      <c r="H45" s="42">
        <v>2437.1</v>
      </c>
      <c r="I45" s="42">
        <v>2468.9</v>
      </c>
      <c r="J45" s="83">
        <f>E45*(1+J49)*(1+J52)</f>
        <v>2465.532730584</v>
      </c>
      <c r="K45" s="141" t="s">
        <v>329</v>
      </c>
    </row>
    <row r="46" ht="27.75">
      <c r="A46" s="1"/>
      <c r="B46" s="144" t="s">
        <v>330</v>
      </c>
      <c r="C46" s="20">
        <v>2152.1</v>
      </c>
      <c r="D46" s="20">
        <v>2206.1</v>
      </c>
      <c r="E46" s="20">
        <v>2223.6</v>
      </c>
      <c r="F46" s="20">
        <v>3042.2</v>
      </c>
      <c r="G46" s="3">
        <f>SUM(C46:F46)</f>
        <v>9624</v>
      </c>
      <c r="H46" s="1"/>
      <c r="I46" s="1"/>
      <c r="J46" s="24"/>
      <c r="K46" s="141" t="s">
        <v>172</v>
      </c>
    </row>
    <row r="47" ht="27.75">
      <c r="A47" s="1"/>
      <c r="B47" s="154" t="s">
        <v>331</v>
      </c>
      <c r="C47" s="12">
        <f>IFERROR(C45/C46-1,"n/a")</f>
        <v>0.0331768969843409</v>
      </c>
      <c r="D47" s="12">
        <f>IFERROR(D45/D46-1,"n/a")</f>
        <v>0.058066270794614905</v>
      </c>
      <c r="E47" s="12">
        <f>IFERROR(E45/E46-1,"n/a")</f>
        <v>0.06844756251124307</v>
      </c>
      <c r="F47" s="12">
        <f>IFERROR(F45/F46-1,"n/a")</f>
        <v>0.065150220235356</v>
      </c>
      <c r="G47" s="12">
        <f>IFERROR(G45/G46-1,"n/a")</f>
        <v>0.0571384039900249</v>
      </c>
      <c r="H47" s="12">
        <f>IFERROR(H45/C45-1,"n/a")</f>
        <v>0.09606476276141218</v>
      </c>
      <c r="I47" s="12">
        <f>IFERROR(I45/D45-1,"n/a")</f>
        <v>0.057707137348984805</v>
      </c>
      <c r="J47" s="44">
        <f>IFERROR(J45/E45-1,"n/a")</f>
        <v>0.03776947999999991</v>
      </c>
      <c r="K47" s="1"/>
    </row>
    <row r="48" ht="27.75">
      <c r="A48" s="1"/>
      <c r="B48" s="154" t="s">
        <v>332</v>
      </c>
      <c r="C48" s="37" t="s">
        <v>76</v>
      </c>
      <c r="D48" s="37">
        <f>D45-C45</f>
        <v>110.69999999999982</v>
      </c>
      <c r="E48" s="37">
        <f>E45-D45</f>
        <v>41.600000000000364</v>
      </c>
      <c r="F48" s="37">
        <f>F45-E45</f>
        <v>864.5999999999999</v>
      </c>
      <c r="G48" s="37" t="s">
        <v>76</v>
      </c>
      <c r="H48" s="37">
        <f>H45-F45</f>
        <v>-803.3000000000002</v>
      </c>
      <c r="I48" s="37">
        <f>I45-H45</f>
        <v>31.800000000000182</v>
      </c>
      <c r="J48" s="63">
        <f>J45-I45</f>
        <v>-3.367269415999999</v>
      </c>
      <c r="K48" s="1"/>
    </row>
    <row r="49" ht="27.75">
      <c r="A49" s="1"/>
      <c r="B49" s="140" t="s">
        <v>333</v>
      </c>
      <c r="C49" s="36">
        <v>0.08199999999999999</v>
      </c>
      <c r="D49" s="36">
        <v>0.06</v>
      </c>
      <c r="E49" s="36">
        <v>0.057</v>
      </c>
      <c r="F49" s="36">
        <v>0.045</v>
      </c>
      <c r="G49" s="36">
        <v>0.059</v>
      </c>
      <c r="H49" s="36">
        <v>0.04</v>
      </c>
      <c r="I49" s="36">
        <v>0.040999999999999995</v>
      </c>
      <c r="J49" s="44">
        <f>(1+J39)*(1+J55)-1</f>
        <v>0.04825199999999996</v>
      </c>
      <c r="K49" s="141" t="s">
        <v>334</v>
      </c>
    </row>
    <row r="50" ht="27.75">
      <c r="A50" s="1"/>
      <c r="B50" s="154" t="s">
        <v>335</v>
      </c>
      <c r="C50" s="21" t="s">
        <v>76</v>
      </c>
      <c r="D50" s="21" t="s">
        <v>76</v>
      </c>
      <c r="E50" s="21" t="s">
        <v>76</v>
      </c>
      <c r="F50" s="21" t="s">
        <v>76</v>
      </c>
      <c r="G50" s="21" t="s">
        <v>76</v>
      </c>
      <c r="H50" s="21">
        <f>IFERROR((H49-C49)*10000,"n/a")</f>
        <v>-419.9999999999999</v>
      </c>
      <c r="I50" s="21">
        <f>IFERROR((I49-D49)*10000,"n/a")</f>
        <v>-190.00000000000003</v>
      </c>
      <c r="J50" s="46">
        <f>IFERROR((J49-E49)*10000,"n/a")</f>
        <v>-87.4800000000004</v>
      </c>
      <c r="K50" s="1"/>
    </row>
    <row r="51" ht="27.75">
      <c r="A51" s="1"/>
      <c r="B51" s="154" t="s">
        <v>336</v>
      </c>
      <c r="C51" s="21" t="s">
        <v>76</v>
      </c>
      <c r="D51" s="21">
        <f>IFERROR((D49-C49)*10000,"n/a")</f>
        <v>-219.99999999999991</v>
      </c>
      <c r="E51" s="21">
        <f>IFERROR((E49-D49)*10000,"n/a")</f>
        <v>-29.999999999999957</v>
      </c>
      <c r="F51" s="21">
        <f>IFERROR((F49-E49)*10000,"n/a")</f>
        <v>-120.00000000000004</v>
      </c>
      <c r="G51" s="21" t="s">
        <v>76</v>
      </c>
      <c r="H51" s="21">
        <f>IFERROR((H49-F49)*10000,"n/a")</f>
        <v>-49.99999999999997</v>
      </c>
      <c r="I51" s="21">
        <f>IFERROR((I49-H49)*10000,"n/a")</f>
        <v>9.99999999999994</v>
      </c>
      <c r="J51" s="46">
        <f>IFERROR((J49-I49)*10000,"n/a")</f>
        <v>72.51999999999967</v>
      </c>
      <c r="K51" s="1"/>
    </row>
    <row r="52" ht="27.75">
      <c r="A52" s="1"/>
      <c r="B52" s="140" t="s">
        <v>337</v>
      </c>
      <c r="C52" s="12">
        <f>IFERROR((1+C47)/(1+C49)-1,"n/a")</f>
        <v>-0.045123015726117544</v>
      </c>
      <c r="D52" s="12">
        <f>IFERROR((1+D47)/(1+D49)-1,"n/a")</f>
        <v>-0.0018242728352689808</v>
      </c>
      <c r="E52" s="12">
        <f>IFERROR((1+E47)/(1+E49)-1,"n/a")</f>
        <v>0.010830238894269817</v>
      </c>
      <c r="F52" s="12">
        <f>IFERROR((1+F47)/(1+F49)-1,"n/a")</f>
        <v>0.01928250740225468</v>
      </c>
      <c r="G52" s="12">
        <f>IFERROR((1+G47)/(1+G49)-1,"n/a")</f>
        <v>-0.0017578810292493419</v>
      </c>
      <c r="H52" s="12">
        <f>IFERROR((1+H47)/(1+H49)-1,"n/a")</f>
        <v>0.05390842573212695</v>
      </c>
      <c r="I52" s="12">
        <f>IFERROR((1+I47)/(1+I49)-1,"n/a")</f>
        <v>0.01604912329393371</v>
      </c>
      <c r="J52" s="66">
        <v>-0.01</v>
      </c>
      <c r="K52" s="141" t="s">
        <v>338</v>
      </c>
    </row>
    <row r="53">
      <c r="A53" s="1"/>
      <c r="B53" s="18" t="s">
        <v>339</v>
      </c>
      <c r="C53" s="21" t="s">
        <v>76</v>
      </c>
      <c r="D53" s="21" t="s">
        <v>76</v>
      </c>
      <c r="E53" s="21" t="s">
        <v>76</v>
      </c>
      <c r="F53" s="21" t="s">
        <v>76</v>
      </c>
      <c r="G53" s="21" t="s">
        <v>76</v>
      </c>
      <c r="H53" s="21">
        <f>IFERROR((H52-C52)*10000,"n/a")</f>
        <v>990.314414582445</v>
      </c>
      <c r="I53" s="21">
        <f>IFERROR((I52-D52)*10000,"n/a")</f>
        <v>178.7339612920269</v>
      </c>
      <c r="J53" s="46">
        <f>IFERROR((J52-E52)*10000,"n/a")</f>
        <v>-208.3023889426982</v>
      </c>
      <c r="K53" s="1"/>
    </row>
    <row r="54">
      <c r="A54" s="1"/>
      <c r="B54" s="18" t="s">
        <v>340</v>
      </c>
      <c r="C54" s="21" t="s">
        <v>76</v>
      </c>
      <c r="D54" s="21">
        <f>IFERROR((D52-C52)*10000,"n/a")</f>
        <v>432.98742890848564</v>
      </c>
      <c r="E54" s="21">
        <f>IFERROR((E52-D52)*10000,"n/a")</f>
        <v>126.54511729538798</v>
      </c>
      <c r="F54" s="21">
        <f>IFERROR((F52-E52)*10000,"n/a")</f>
        <v>84.52268507984861</v>
      </c>
      <c r="G54" s="21" t="s">
        <v>76</v>
      </c>
      <c r="H54" s="21">
        <f>IFERROR((H52-F52)*10000,"n/a")</f>
        <v>346.25918329872275</v>
      </c>
      <c r="I54" s="21">
        <f>IFERROR((I52-H52)*10000,"n/a")</f>
        <v>-378.5930243819324</v>
      </c>
      <c r="J54" s="46">
        <f>IFERROR((J52-I52)*10000,"n/a")</f>
        <v>-260.4912329393371</v>
      </c>
      <c r="K54" s="1"/>
    </row>
    <row r="55" ht="27.75">
      <c r="A55" s="1"/>
      <c r="B55" s="140" t="s">
        <v>341</v>
      </c>
      <c r="C55" s="12">
        <f>(1+C49)/(1+C39)-1</f>
        <v>0.04339440694310537</v>
      </c>
      <c r="D55" s="12">
        <f>(1+D49)/(1+D39)-1</f>
        <v>0.03515625</v>
      </c>
      <c r="E55" s="12">
        <f>(1+E49)/(1+E39)-1</f>
        <v>0.039331366764995046</v>
      </c>
      <c r="F55" s="12">
        <f>(1+F49)/(1+F39)-1</f>
        <v>0.037735849056603765</v>
      </c>
      <c r="G55" s="12">
        <f>(1+G49)/(1+G39)-1</f>
        <v>0.03925417075564286</v>
      </c>
      <c r="H55" s="12">
        <f>(1+H49)/(1+H39)-1</f>
        <v>0.04417670682730934</v>
      </c>
      <c r="I55" s="12">
        <f>(1+I49)/(1+I39)-1</f>
        <v>0.04204204204204198</v>
      </c>
      <c r="J55" s="66">
        <v>0.042</v>
      </c>
      <c r="K55" s="141" t="s">
        <v>342</v>
      </c>
    </row>
    <row r="56" ht="27.75">
      <c r="A56" s="1"/>
      <c r="B56" s="154" t="s">
        <v>180</v>
      </c>
      <c r="C56" s="21" t="s">
        <v>76</v>
      </c>
      <c r="D56" s="21" t="s">
        <v>76</v>
      </c>
      <c r="E56" s="21" t="s">
        <v>76</v>
      </c>
      <c r="F56" s="21" t="s">
        <v>76</v>
      </c>
      <c r="G56" s="21" t="s">
        <v>76</v>
      </c>
      <c r="H56" s="21">
        <f>IFERROR((H55-C55)*10000,"n/a")</f>
        <v>7.822998842039741</v>
      </c>
      <c r="I56" s="21">
        <f>IFERROR((I55-D55)*10000,"n/a")</f>
        <v>68.85792042041983</v>
      </c>
      <c r="J56" s="46">
        <f>IFERROR((J55-E55)*10000,"n/a")</f>
        <v>26.686332350049565</v>
      </c>
      <c r="K56" s="1"/>
    </row>
    <row r="57" ht="27.75">
      <c r="A57" s="1"/>
      <c r="B57" s="154" t="s">
        <v>181</v>
      </c>
      <c r="C57" s="21" t="s">
        <v>76</v>
      </c>
      <c r="D57" s="21">
        <f>IFERROR((D55-C55)*10000,"n/a")</f>
        <v>-82.38156943105368</v>
      </c>
      <c r="E57" s="21">
        <f>IFERROR((E55-D55)*10000,"n/a")</f>
        <v>41.75116764995046</v>
      </c>
      <c r="F57" s="21">
        <f>IFERROR((F55-E55)*10000,"n/a")</f>
        <v>-15.955177083912808</v>
      </c>
      <c r="G57" s="21" t="s">
        <v>76</v>
      </c>
      <c r="H57" s="21">
        <f>IFERROR((H55-F55)*10000,"n/a")</f>
        <v>64.40857770705577</v>
      </c>
      <c r="I57" s="21">
        <f>IFERROR((I55-H55)*10000,"n/a")</f>
        <v>-21.346647852673595</v>
      </c>
      <c r="J57" s="46">
        <f>IFERROR((J55-I55)*10000,"n/a")</f>
        <v>-0.4204204204198009</v>
      </c>
      <c r="K57" s="1"/>
    </row>
    <row r="58">
      <c r="A58" s="1"/>
      <c r="B58" s="2" t="s">
        <v>187</v>
      </c>
      <c r="C58" s="22">
        <f>C7/7</f>
        <v>12</v>
      </c>
      <c r="D58" s="22">
        <f>D7/7</f>
        <v>12</v>
      </c>
      <c r="E58" s="22">
        <f>E7/7</f>
        <v>12</v>
      </c>
      <c r="F58" s="22">
        <f>F7/7</f>
        <v>16</v>
      </c>
      <c r="G58" s="22">
        <f>G7/7</f>
        <v>52</v>
      </c>
      <c r="H58" s="22">
        <f>H7/7</f>
        <v>12</v>
      </c>
      <c r="I58" s="22">
        <f>I7/7</f>
        <v>12</v>
      </c>
      <c r="J58" s="73">
        <f>J7/7</f>
        <v>12</v>
      </c>
      <c r="K58" s="1"/>
    </row>
    <row r="59" ht="27.75">
      <c r="A59" s="1"/>
      <c r="B59" s="144" t="s">
        <v>343</v>
      </c>
      <c r="C59" s="23">
        <f>C45/(C26*C58)*1000</f>
        <v>12.921766216860187</v>
      </c>
      <c r="D59" s="23">
        <f>D45/(D26*D58)*1000</f>
        <v>13.507163854361965</v>
      </c>
      <c r="E59" s="23">
        <f>E45/(E26*E58)*1000</f>
        <v>13.590755677592817</v>
      </c>
      <c r="F59" s="23">
        <f>F45/(F26*F58)*1000</f>
        <v>13.676728795245813</v>
      </c>
      <c r="G59" s="23">
        <f>G45/(G26*G58)*1000</f>
        <v>13.446441032798324</v>
      </c>
      <c r="H59" s="23">
        <f>H45/(H26*H58)*1000</f>
        <v>13.50657843691462</v>
      </c>
      <c r="I59" s="23">
        <f>I45/(I26*I58)*1000</f>
        <v>13.528070925250136</v>
      </c>
      <c r="J59" s="81">
        <f>J45/(J26*J58)*1000</f>
        <v>13.351597678916074</v>
      </c>
      <c r="K59" s="1"/>
    </row>
    <row r="60" ht="27.75">
      <c r="A60" s="1"/>
      <c r="B60" s="154" t="s">
        <v>344</v>
      </c>
      <c r="C60" s="12" t="s">
        <v>76</v>
      </c>
      <c r="D60" s="12" t="s">
        <v>76</v>
      </c>
      <c r="E60" s="12" t="s">
        <v>76</v>
      </c>
      <c r="F60" s="12" t="s">
        <v>76</v>
      </c>
      <c r="G60" s="12" t="s">
        <v>76</v>
      </c>
      <c r="H60" s="12">
        <f>IFERROR(H59/C59-1,"n/a")</f>
        <v>0.0452579167769942</v>
      </c>
      <c r="I60" s="12">
        <f>IFERROR(I59/D59-1,"n/a")</f>
        <v>0.001547850541653073</v>
      </c>
      <c r="J60" s="44">
        <f>IFERROR(J59/E59-1,"n/a")</f>
        <v>-0.017597108236670378</v>
      </c>
      <c r="K60" s="1"/>
    </row>
    <row r="61" ht="27.75">
      <c r="A61" s="1"/>
      <c r="B61" s="154" t="s">
        <v>345</v>
      </c>
      <c r="C61" s="64" t="s">
        <v>76</v>
      </c>
      <c r="D61" s="64">
        <f>D59-C59</f>
        <v>0.585397637501778</v>
      </c>
      <c r="E61" s="64">
        <f>E59-D59</f>
        <v>0.08359182323085257</v>
      </c>
      <c r="F61" s="64">
        <f>F59-E59</f>
        <v>0.08597311765299587</v>
      </c>
      <c r="G61" s="64" t="s">
        <v>76</v>
      </c>
      <c r="H61" s="64">
        <f>H59-F59</f>
        <v>-0.17015035833119363</v>
      </c>
      <c r="I61" s="64">
        <f>I59-H59</f>
        <v>0.021492488335516313</v>
      </c>
      <c r="J61" s="35">
        <f>J59-I59</f>
        <v>-0.17647324633406214</v>
      </c>
      <c r="K61" s="1"/>
    </row>
    <row r="62">
      <c r="A62" s="1"/>
      <c r="B62" s="7" t="s">
        <v>346</v>
      </c>
      <c r="C62" s="1"/>
      <c r="D62" s="1"/>
      <c r="E62" s="1"/>
      <c r="F62" s="1"/>
      <c r="G62" s="1"/>
      <c r="H62" s="1"/>
      <c r="I62" s="1"/>
      <c r="J62" s="24"/>
      <c r="K62" s="1"/>
    </row>
    <row r="63" ht="27.75">
      <c r="A63" s="1"/>
      <c r="B63" s="140" t="s">
        <v>347</v>
      </c>
      <c r="C63" s="12">
        <f>C67/C45</f>
        <v>0.03398201034405217</v>
      </c>
      <c r="D63" s="12">
        <f>D67/D45</f>
        <v>0.03305800702596179</v>
      </c>
      <c r="E63" s="12">
        <f>E67/E45</f>
        <v>0.03306212644161967</v>
      </c>
      <c r="F63" s="12">
        <f>F67/F45</f>
        <v>0.033153931613381066</v>
      </c>
      <c r="G63" s="12">
        <f>G67/G45</f>
        <v>0.03329146148477968</v>
      </c>
      <c r="H63" s="12">
        <f>H67/H45</f>
        <v>0.03322801690533832</v>
      </c>
      <c r="I63" s="12">
        <f>I67/I45</f>
        <v>0.03314107497265989</v>
      </c>
      <c r="J63" s="44">
        <f>E63+AVERAGE(H65,I65)/10000</f>
        <v>0.03272666369561179</v>
      </c>
      <c r="K63" s="141" t="s">
        <v>197</v>
      </c>
    </row>
    <row r="64">
      <c r="A64" s="1"/>
      <c r="B64" s="18" t="s">
        <v>198</v>
      </c>
      <c r="C64" s="12">
        <f>C75/C46</f>
        <v>0.03343989591561731</v>
      </c>
      <c r="D64" s="12">
        <f>D75/D46</f>
        <v>0.03340555731834459</v>
      </c>
      <c r="E64" s="12">
        <f>E75/E46</f>
        <v>0.03356404029501709</v>
      </c>
      <c r="F64" s="12">
        <f>F75/F46</f>
        <v>0.03234369863914273</v>
      </c>
      <c r="G64" s="12">
        <f>G75/G46</f>
        <v>0.03311419368246052</v>
      </c>
      <c r="H64" s="1"/>
      <c r="I64" s="1"/>
      <c r="J64" s="24"/>
      <c r="K64" s="1"/>
    </row>
    <row r="65">
      <c r="A65" s="1"/>
      <c r="B65" s="18" t="s">
        <v>348</v>
      </c>
      <c r="C65" s="21">
        <f>IFERROR((C63-C64)*10000,"n/a")</f>
        <v>5.421144284348603</v>
      </c>
      <c r="D65" s="21">
        <f>IFERROR((D63-D64)*10000,"n/a")</f>
        <v>-3.4755029238280057</v>
      </c>
      <c r="E65" s="21">
        <f>IFERROR((E63-E64)*10000,"n/a")</f>
        <v>-5.0191385339742185</v>
      </c>
      <c r="F65" s="21">
        <f>IFERROR((F63-F64)*10000,"n/a")</f>
        <v>8.102329742383368</v>
      </c>
      <c r="G65" s="21">
        <f>IFERROR((G63-G64)*10000,"n/a")</f>
        <v>1.7726780231916428</v>
      </c>
      <c r="H65" s="21">
        <f>IFERROR((H63-C63)*10000,"n/a")</f>
        <v>-7.539934387138514</v>
      </c>
      <c r="I65" s="21">
        <f>IFERROR((I63-D63)*10000,"n/a")</f>
        <v>0.8306794669810103</v>
      </c>
      <c r="J65" s="46">
        <f>IFERROR((J63-E63)*10000,"n/a")</f>
        <v>-3.354627460078752</v>
      </c>
      <c r="K65" s="1"/>
    </row>
    <row r="66" ht="27.75">
      <c r="A66" s="1"/>
      <c r="B66" s="154" t="s">
        <v>349</v>
      </c>
      <c r="C66" s="21" t="s">
        <v>76</v>
      </c>
      <c r="D66" s="21">
        <f>IFERROR((D63-C63)*10000,"n/a")</f>
        <v>-9.2400331809038</v>
      </c>
      <c r="E66" s="21">
        <f>IFERROR((E63-D63)*10000,"n/a")</f>
        <v>0.04119415657879988</v>
      </c>
      <c r="F66" s="21">
        <f>IFERROR((F63-E63)*10000,"n/a")</f>
        <v>0.9180517176139713</v>
      </c>
      <c r="G66" s="21" t="s">
        <v>76</v>
      </c>
      <c r="H66" s="21">
        <f>IFERROR((H63-F63)*10000,"n/a")</f>
        <v>0.7408529195725155</v>
      </c>
      <c r="I66" s="21">
        <f>IFERROR((I63-H63)*10000,"n/a")</f>
        <v>-0.8694193267842765</v>
      </c>
      <c r="J66" s="46">
        <f>IFERROR((J63-I63)*10000,"n/a")</f>
        <v>-4.144112770480962</v>
      </c>
      <c r="K66" s="1"/>
    </row>
    <row r="67" ht="27.75">
      <c r="A67" s="1"/>
      <c r="B67" s="143" t="s">
        <v>350</v>
      </c>
      <c r="C67" s="26">
        <v>75.559</v>
      </c>
      <c r="D67" s="26">
        <v>77.164</v>
      </c>
      <c r="E67" s="26">
        <v>78.549</v>
      </c>
      <c r="F67" s="26">
        <v>107.432</v>
      </c>
      <c r="G67" s="51">
        <f>SUM(C67:F67)</f>
        <v>338.704</v>
      </c>
      <c r="H67" s="26">
        <v>80.98</v>
      </c>
      <c r="I67" s="26">
        <v>81.822</v>
      </c>
      <c r="J67" s="38">
        <f>J45*J63</f>
        <v>80.688660504346</v>
      </c>
      <c r="K67" s="141" t="s">
        <v>351</v>
      </c>
    </row>
    <row r="68">
      <c r="A68" s="1"/>
      <c r="B68" s="18" t="s">
        <v>207</v>
      </c>
      <c r="C68" s="12">
        <f>IFERROR(C67/C75-1,"n/a")</f>
        <v>0.049926354111663684</v>
      </c>
      <c r="D68" s="12">
        <f>IFERROR(D67/D75-1,"n/a")</f>
        <v>0.047058184976118245</v>
      </c>
      <c r="E68" s="12">
        <f>IFERROR(E67/E75-1,"n/a")</f>
        <v>0.052470086958852136</v>
      </c>
      <c r="F68" s="12">
        <f>IFERROR(F67/F75-1,"n/a")</f>
        <v>0.09183300134151806</v>
      </c>
      <c r="G68" s="12">
        <f>IFERROR(G67/G75-1,"n/a")</f>
        <v>0.06279750604817824</v>
      </c>
      <c r="H68" s="12">
        <f>IFERROR(H67/C67-1,"n/a")</f>
        <v>0.0717452586720313</v>
      </c>
      <c r="I68" s="12">
        <f>IFERROR(I67/D67-1,"n/a")</f>
        <v>0.060364937017261866</v>
      </c>
      <c r="J68" s="44">
        <f>IFERROR(J67/E67-1,"n/a")</f>
        <v>0.02723981851259727</v>
      </c>
      <c r="K68" s="1"/>
    </row>
    <row r="69">
      <c r="A69" s="1"/>
      <c r="B69" s="18" t="s">
        <v>208</v>
      </c>
      <c r="C69" s="37" t="s">
        <v>76</v>
      </c>
      <c r="D69" s="37">
        <f>D67-C67</f>
        <v>1.605000000000004</v>
      </c>
      <c r="E69" s="37">
        <f>E67-D67</f>
        <v>1.3850000000000051</v>
      </c>
      <c r="F69" s="37">
        <f>F67-E67</f>
        <v>28.882999999999996</v>
      </c>
      <c r="G69" s="37" t="s">
        <v>76</v>
      </c>
      <c r="H69" s="37">
        <f>H67-F67</f>
        <v>-26.451999999999998</v>
      </c>
      <c r="I69" s="37">
        <f>I67-H67</f>
        <v>0.8419999999999987</v>
      </c>
      <c r="J69" s="63">
        <f>J67-I67</f>
        <v>-1.133339495653999</v>
      </c>
      <c r="K69" s="1"/>
    </row>
    <row r="70" ht="27.75">
      <c r="A70" s="1"/>
      <c r="B70" s="155" t="s">
        <v>352</v>
      </c>
      <c r="C70" s="20">
        <v>-3.2</v>
      </c>
      <c r="D70" s="20">
        <v>-0.2</v>
      </c>
      <c r="E70" s="20">
        <v>0.8</v>
      </c>
      <c r="F70" s="20">
        <v>1.9</v>
      </c>
      <c r="G70" s="3">
        <f>SUM(C70:F70)</f>
        <v>-0.7000000000000002</v>
      </c>
      <c r="H70" s="20">
        <v>3.6</v>
      </c>
      <c r="I70" s="20">
        <v>1.1</v>
      </c>
      <c r="J70" s="40">
        <f>J67-J67/(1+J52)</f>
        <v>-0.8150369747913686</v>
      </c>
      <c r="K70" s="141" t="s">
        <v>353</v>
      </c>
    </row>
    <row r="71" ht="27.75">
      <c r="A71" s="1"/>
      <c r="B71" s="154" t="s">
        <v>209</v>
      </c>
      <c r="C71" s="12">
        <f>C70/C75</f>
        <v>-0.04446544201428452</v>
      </c>
      <c r="D71" s="12">
        <f>D70/D75</f>
        <v>-0.0027138514980460274</v>
      </c>
      <c r="E71" s="12">
        <f>E70/E75</f>
        <v>0.010719118888427373</v>
      </c>
      <c r="F71" s="12">
        <f>F70/F75</f>
        <v>0.01930972803772511</v>
      </c>
      <c r="G71" s="12">
        <f>G70/G75</f>
        <v>-0.002196484996438557</v>
      </c>
      <c r="H71" s="12">
        <f>H70/C67</f>
        <v>0.04764488677722045</v>
      </c>
      <c r="I71" s="12">
        <f>I70/D67</f>
        <v>0.01425535223679436</v>
      </c>
      <c r="J71" s="44">
        <f>J70/E67</f>
        <v>-0.010376159782955462</v>
      </c>
      <c r="K71" s="1"/>
    </row>
    <row r="72" ht="27.75">
      <c r="A72" s="1"/>
      <c r="B72" s="18" t="s">
        <v>93</v>
      </c>
      <c r="C72" s="36">
        <v>0</v>
      </c>
      <c r="D72" s="36">
        <v>0</v>
      </c>
      <c r="E72" s="36">
        <v>0</v>
      </c>
      <c r="F72" s="36">
        <v>0</v>
      </c>
      <c r="G72" s="36">
        <v>0</v>
      </c>
      <c r="H72" s="36">
        <v>0</v>
      </c>
      <c r="I72" s="36">
        <v>0</v>
      </c>
      <c r="J72" s="66">
        <v>0</v>
      </c>
      <c r="K72" s="141" t="s">
        <v>354</v>
      </c>
    </row>
    <row r="73" ht="27.75">
      <c r="A73" s="1"/>
      <c r="B73" s="154" t="s">
        <v>212</v>
      </c>
      <c r="C73" s="12">
        <f>IFERROR((1+C68)/((1+C72)*(1+C71))-1,"n/a")</f>
        <v>0.09878428293051789</v>
      </c>
      <c r="D73" s="12">
        <f>IFERROR((1+D68)/((1+D72)*(1+D71))-1,"n/a")</f>
        <v>0.049907477957984225</v>
      </c>
      <c r="E73" s="12">
        <f>IFERROR((1+E68)/((1+E72)*(1+E71))-1,"n/a")</f>
        <v>0.041308180769689784</v>
      </c>
      <c r="F73" s="12">
        <f>IFERROR((1+F68)/((1+F72)*(1+F71))-1,"n/a")</f>
        <v>0.0711493977825639</v>
      </c>
      <c r="G73" s="12">
        <f>IFERROR((1+G68)/((1+G72)*(1+G71))-1,"n/a")</f>
        <v>0.06513706362758676</v>
      </c>
      <c r="H73" s="12">
        <f>IFERROR((1+H68)/((1+H72)*(1+H71))-1,"n/a")</f>
        <v>0.023004333051200865</v>
      </c>
      <c r="I73" s="12">
        <f>IFERROR((1+I68)/((1+I72)*(1+I71))-1,"n/a")</f>
        <v>0.04546151487273842</v>
      </c>
      <c r="J73" s="44">
        <f>IFERROR((1+J68)/((1+J72)*(1+J71))-1,"n/a")</f>
        <v>0.03801038007259683</v>
      </c>
      <c r="K73" s="1"/>
    </row>
    <row r="74" ht="27.75">
      <c r="A74" s="1"/>
      <c r="B74" s="154" t="s">
        <v>355</v>
      </c>
      <c r="C74" s="12">
        <f>(C67-C70)/C75-1</f>
        <v>0.09439179612594817</v>
      </c>
      <c r="D74" s="12">
        <f>(D67-D70)/D75-1</f>
        <v>0.04977203647416428</v>
      </c>
      <c r="E74" s="12">
        <f>(E67-E70)/E75-1</f>
        <v>0.04175096807042489</v>
      </c>
      <c r="F74" s="12">
        <f>(F67-F70)/F75-1</f>
        <v>0.07252327330379282</v>
      </c>
      <c r="G74" s="12">
        <f>(G67-G70)/G75-1</f>
        <v>0.06499399104461667</v>
      </c>
      <c r="H74" s="12">
        <f>(H67-H70)/C67-1</f>
        <v>0.024100371894810735</v>
      </c>
      <c r="I74" s="12">
        <f>(I67-I70)/D67-1</f>
        <v>0.04610958478046756</v>
      </c>
      <c r="J74" s="44">
        <f>(J67-J70)/E67-1</f>
        <v>0.03761597829555274</v>
      </c>
      <c r="K74" s="1"/>
    </row>
    <row r="75" ht="27.75">
      <c r="A75" s="1"/>
      <c r="B75" s="144" t="s">
        <v>356</v>
      </c>
      <c r="C75" s="20">
        <v>71.96600000000001</v>
      </c>
      <c r="D75" s="20">
        <v>73.696</v>
      </c>
      <c r="E75" s="20">
        <v>74.633</v>
      </c>
      <c r="F75" s="20">
        <v>98.396</v>
      </c>
      <c r="G75" s="3">
        <f>SUM(C75:F75)</f>
        <v>318.69100000000003</v>
      </c>
      <c r="H75" s="1"/>
      <c r="I75" s="1"/>
      <c r="J75" s="24"/>
      <c r="K75" s="141" t="s">
        <v>172</v>
      </c>
    </row>
    <row r="76" ht="27.75">
      <c r="A76" s="1"/>
      <c r="B76" s="7" t="s">
        <v>250</v>
      </c>
      <c r="C76" s="20">
        <v>11.815</v>
      </c>
      <c r="D76" s="20">
        <v>11.794</v>
      </c>
      <c r="E76" s="3" t="s">
        <v>81</v>
      </c>
      <c r="F76" s="3" t="s">
        <v>81</v>
      </c>
      <c r="G76" s="3" t="s">
        <v>81</v>
      </c>
      <c r="H76" s="20">
        <v>11.474</v>
      </c>
      <c r="I76" s="20">
        <v>13.506</v>
      </c>
      <c r="J76" s="40" t="s">
        <v>76</v>
      </c>
      <c r="K76" s="141" t="s">
        <v>251</v>
      </c>
    </row>
    <row r="77">
      <c r="A77" s="1"/>
      <c r="B77" s="6" t="s">
        <v>252</v>
      </c>
      <c r="C77" s="12">
        <f>IFERROR(C76/C67,"n/a")</f>
        <v>0.15636787146468323</v>
      </c>
      <c r="D77" s="12">
        <f>IFERROR(D76/D67,"n/a")</f>
        <v>0.15284329480068426</v>
      </c>
      <c r="E77" s="12" t="str">
        <f>IFERROR(E76/E67,"n/a")</f>
        <v>n/a</v>
      </c>
      <c r="F77" s="12" t="str">
        <f>IFERROR(F76/F67,"n/a")</f>
        <v>n/a</v>
      </c>
      <c r="G77" s="12" t="str">
        <f>IFERROR(G76/G67,"n/a")</f>
        <v>n/a</v>
      </c>
      <c r="H77" s="12">
        <f>IFERROR(H76/H67,"n/a")</f>
        <v>0.14168930600148183</v>
      </c>
      <c r="I77" s="12">
        <f>IFERROR(I76/I67,"n/a")</f>
        <v>0.16506563027058738</v>
      </c>
      <c r="J77" s="44" t="str">
        <f>IFERROR(J76/J67,"n/a")</f>
        <v>n/a</v>
      </c>
      <c r="K77" s="1"/>
    </row>
    <row r="78">
      <c r="A78" s="1"/>
      <c r="B78" s="18" t="s">
        <v>253</v>
      </c>
      <c r="C78" s="21" t="s">
        <v>76</v>
      </c>
      <c r="D78" s="21" t="s">
        <v>76</v>
      </c>
      <c r="E78" s="21" t="s">
        <v>76</v>
      </c>
      <c r="F78" s="21" t="s">
        <v>76</v>
      </c>
      <c r="G78" s="21" t="s">
        <v>76</v>
      </c>
      <c r="H78" s="21">
        <f>IFERROR((H77-C77)*10000,"n/a")</f>
        <v>-146.78565463201397</v>
      </c>
      <c r="I78" s="21">
        <f>IFERROR((I77-D77)*10000,"n/a")</f>
        <v>122.22335469903118</v>
      </c>
      <c r="J78" s="46" t="str">
        <f>IFERROR((J77-E77)*10000,"n/a")</f>
        <v>n/a</v>
      </c>
      <c r="K78" s="1"/>
    </row>
    <row r="79" ht="27.75">
      <c r="A79" s="1"/>
      <c r="B79" s="154" t="s">
        <v>254</v>
      </c>
      <c r="C79" s="21" t="s">
        <v>76</v>
      </c>
      <c r="D79" s="21">
        <f>IFERROR((D77-C77)*10000,"n/a")</f>
        <v>-35.24576663998968</v>
      </c>
      <c r="E79" s="21" t="str">
        <f>IFERROR((E77-D77)*10000,"n/a")</f>
        <v>n/a</v>
      </c>
      <c r="F79" s="21" t="str">
        <f>IFERROR((F77-E77)*10000,"n/a")</f>
        <v>n/a</v>
      </c>
      <c r="G79" s="21" t="s">
        <v>76</v>
      </c>
      <c r="H79" s="21" t="str">
        <f>IFERROR((H77-F77)*10000,"n/a")</f>
        <v>n/a</v>
      </c>
      <c r="I79" s="21">
        <f>IFERROR((I77-H77)*10000,"n/a")</f>
        <v>233.76324269105547</v>
      </c>
      <c r="J79" s="46" t="str">
        <f>IFERROR((J77-I77)*10000,"n/a")</f>
        <v>n/a</v>
      </c>
      <c r="K79" s="1"/>
    </row>
    <row r="80">
      <c r="A80" s="1"/>
      <c r="B80" s="18" t="s">
        <v>255</v>
      </c>
      <c r="C80" s="12" t="s">
        <v>76</v>
      </c>
      <c r="D80" s="12" t="s">
        <v>76</v>
      </c>
      <c r="E80" s="12" t="s">
        <v>76</v>
      </c>
      <c r="F80" s="12" t="s">
        <v>76</v>
      </c>
      <c r="G80" s="12" t="s">
        <v>76</v>
      </c>
      <c r="H80" s="12">
        <f>IFERROR(H76/C76-1,"n/a")</f>
        <v>-0.028861616589081596</v>
      </c>
      <c r="I80" s="12">
        <f>IFERROR(I76/D76-1,"n/a")</f>
        <v>0.14515855519755805</v>
      </c>
      <c r="J80" s="44" t="str">
        <f>IFERROR(J76/E76-1,"n/a")</f>
        <v>n/a</v>
      </c>
      <c r="K80" s="1"/>
    </row>
    <row r="81" ht="27.75">
      <c r="A81" s="1"/>
      <c r="B81" s="154" t="s">
        <v>256</v>
      </c>
      <c r="C81" s="37" t="s">
        <v>76</v>
      </c>
      <c r="D81" s="37">
        <f>IFERROR(D76-C76,"n/a")</f>
        <v>-0.02099999999999902</v>
      </c>
      <c r="E81" s="37" t="str">
        <f>IFERROR(E76-D76,"n/a")</f>
        <v>n/a</v>
      </c>
      <c r="F81" s="37" t="str">
        <f>IFERROR(F76-E76,"n/a")</f>
        <v>n/a</v>
      </c>
      <c r="G81" s="37" t="s">
        <v>76</v>
      </c>
      <c r="H81" s="37" t="str">
        <f>IFERROR(H76-F76,"n/a")</f>
        <v>n/a</v>
      </c>
      <c r="I81" s="37">
        <f>IFERROR(I76-H76,"n/a")</f>
        <v>2.032</v>
      </c>
      <c r="J81" s="63" t="str">
        <f>IFERROR(J76-I76,"n/a")</f>
        <v>n/a</v>
      </c>
      <c r="K81" s="1"/>
    </row>
    <row r="82" ht="40.5">
      <c r="A82" s="1"/>
      <c r="B82" s="144" t="s">
        <v>257</v>
      </c>
      <c r="C82" s="1"/>
      <c r="D82" s="20">
        <v>11.6</v>
      </c>
      <c r="E82" s="20">
        <v>11.252</v>
      </c>
      <c r="F82" s="1"/>
      <c r="G82" s="1"/>
      <c r="H82" s="1"/>
      <c r="I82" s="1"/>
      <c r="J82" s="24"/>
      <c r="K82" s="141" t="s">
        <v>258</v>
      </c>
    </row>
    <row r="83" ht="27.75">
      <c r="A83" s="1"/>
      <c r="B83" s="142" t="s">
        <v>259</v>
      </c>
      <c r="C83" s="20">
        <v>63.744</v>
      </c>
      <c r="D83" s="20">
        <v>65.37</v>
      </c>
      <c r="E83" s="3" t="s">
        <v>76</v>
      </c>
      <c r="F83" s="3" t="s">
        <v>76</v>
      </c>
      <c r="G83" s="3" t="s">
        <v>76</v>
      </c>
      <c r="H83" s="20">
        <v>69.506</v>
      </c>
      <c r="I83" s="20">
        <v>68.316</v>
      </c>
      <c r="J83" s="40" t="s">
        <v>76</v>
      </c>
      <c r="K83" s="141" t="s">
        <v>316</v>
      </c>
    </row>
    <row r="84" ht="27.75">
      <c r="A84" s="1"/>
      <c r="B84" s="140" t="s">
        <v>261</v>
      </c>
      <c r="C84" s="12">
        <f>IFERROR(C83/C67,"n/a")</f>
        <v>0.8436321285353168</v>
      </c>
      <c r="D84" s="12">
        <f>IFERROR(D83/D67,"n/a")</f>
        <v>0.8471567051993157</v>
      </c>
      <c r="E84" s="12" t="str">
        <f>IFERROR(E83/E67,"n/a")</f>
        <v>n/a</v>
      </c>
      <c r="F84" s="12" t="str">
        <f>IFERROR(F83/F67,"n/a")</f>
        <v>n/a</v>
      </c>
      <c r="G84" s="12" t="str">
        <f>IFERROR(G83/G67,"n/a")</f>
        <v>n/a</v>
      </c>
      <c r="H84" s="12">
        <f>IFERROR(H83/H67,"n/a")</f>
        <v>0.8583106939985181</v>
      </c>
      <c r="I84" s="12">
        <f>IFERROR(I83/I67,"n/a")</f>
        <v>0.8349343697294126</v>
      </c>
      <c r="J84" s="44" t="str">
        <f>IFERROR(J83/J67,"n/a")</f>
        <v>n/a</v>
      </c>
      <c r="K84" s="1"/>
    </row>
    <row r="85">
      <c r="A85" s="1"/>
      <c r="B85" s="18" t="s">
        <v>262</v>
      </c>
      <c r="C85" s="21" t="s">
        <v>76</v>
      </c>
      <c r="D85" s="21" t="s">
        <v>76</v>
      </c>
      <c r="E85" s="21" t="s">
        <v>76</v>
      </c>
      <c r="F85" s="21" t="s">
        <v>76</v>
      </c>
      <c r="G85" s="21" t="s">
        <v>76</v>
      </c>
      <c r="H85" s="21">
        <f>IFERROR((H84-C84)*10000,"n/a")</f>
        <v>146.78565463201343</v>
      </c>
      <c r="I85" s="21">
        <f>IFERROR((I84-D84)*10000,"n/a")</f>
        <v>-122.22335469903145</v>
      </c>
      <c r="J85" s="46" t="str">
        <f>IFERROR((J84-E84)*10000,"n/a")</f>
        <v>n/a</v>
      </c>
      <c r="K85" s="1"/>
    </row>
    <row r="86" ht="27.75">
      <c r="A86" s="1"/>
      <c r="B86" s="154" t="s">
        <v>263</v>
      </c>
      <c r="C86" s="21" t="s">
        <v>76</v>
      </c>
      <c r="D86" s="21">
        <f>IFERROR((D84-C84)*10000,"n/a")</f>
        <v>35.24576663998968</v>
      </c>
      <c r="E86" s="21" t="str">
        <f>IFERROR((E84-D84)*10000,"n/a")</f>
        <v>n/a</v>
      </c>
      <c r="F86" s="21" t="str">
        <f>IFERROR((F84-E84)*10000,"n/a")</f>
        <v>n/a</v>
      </c>
      <c r="G86" s="21" t="s">
        <v>76</v>
      </c>
      <c r="H86" s="21" t="str">
        <f>IFERROR((H84-F84)*10000,"n/a")</f>
        <v>n/a</v>
      </c>
      <c r="I86" s="21">
        <f>IFERROR((I84-H84)*10000,"n/a")</f>
        <v>-233.76324269105518</v>
      </c>
      <c r="J86" s="46" t="str">
        <f>IFERROR((J84-I84)*10000,"n/a")</f>
        <v>n/a</v>
      </c>
      <c r="K86" s="1"/>
    </row>
    <row r="87">
      <c r="A87" s="1"/>
      <c r="B87" s="1"/>
      <c r="C87" s="1"/>
      <c r="D87" s="1"/>
      <c r="E87" s="1"/>
      <c r="F87" s="1"/>
      <c r="G87" s="1"/>
      <c r="H87" s="1"/>
      <c r="I87" s="1"/>
      <c r="J87" s="24"/>
      <c r="K87" s="1"/>
    </row>
    <row r="88">
      <c r="A88" s="1"/>
      <c r="B88" s="1"/>
      <c r="C88" s="1"/>
      <c r="D88" s="1"/>
      <c r="E88" s="1"/>
      <c r="F88" s="1"/>
      <c r="G88" s="1"/>
      <c r="H88" s="1"/>
      <c r="I88" s="1"/>
      <c r="J88" s="1"/>
      <c r="K88" s="1"/>
    </row>
    <row r="89">
      <c r="A89" s="1"/>
      <c r="B89" s="1"/>
      <c r="C89" s="1"/>
      <c r="D89" s="1"/>
      <c r="E89" s="1"/>
      <c r="F89" s="1"/>
      <c r="G89" s="1"/>
      <c r="H89" s="1"/>
      <c r="I89" s="1"/>
      <c r="J89" s="1"/>
      <c r="K89" s="1"/>
    </row>
  </sheetData>
  <legacyDrawing r:id="rId2"/>
</worksheet>
</file>

<file path=xl/worksheets/sheet6.xml><?xml version="1.0" encoding="utf-8"?>
<worksheet xmlns="http://schemas.openxmlformats.org/spreadsheetml/2006/main" xmlns:r="http://schemas.openxmlformats.org/officeDocument/2006/relationships">
  <dimension ref="A1:K133"/>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357</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c r="A9" s="1"/>
      <c r="B9" s="7" t="s">
        <v>358</v>
      </c>
      <c r="C9" s="1"/>
      <c r="D9" s="1"/>
      <c r="E9" s="1"/>
      <c r="F9" s="1"/>
      <c r="G9" s="1"/>
      <c r="H9" s="1"/>
      <c r="I9" s="1"/>
      <c r="J9" s="24"/>
      <c r="K9" s="1"/>
    </row>
    <row r="10">
      <c r="A10" s="1"/>
      <c r="B10" s="2" t="s">
        <v>359</v>
      </c>
      <c r="C10" s="27">
        <f>'Segment - U.S. Stores'!C132</f>
        <v>91.598</v>
      </c>
      <c r="D10" s="27">
        <f>'Segment - U.S. Stores'!D132</f>
        <v>92.456</v>
      </c>
      <c r="E10" s="27">
        <f>'Segment - U.S. Stores'!E132</f>
        <v>82.749</v>
      </c>
      <c r="F10" s="27">
        <f>'Segment - U.S. Stores'!F132</f>
        <v>108.35</v>
      </c>
      <c r="G10" s="27">
        <f>'Segment - U.S. Stores'!G132</f>
        <v>375.153</v>
      </c>
      <c r="H10" s="27">
        <f>'Segment - U.S. Stores'!H132</f>
        <v>82.098</v>
      </c>
      <c r="I10" s="27">
        <f>'Segment - U.S. Stores'!I132</f>
        <v>81.82900000000001</v>
      </c>
      <c r="J10" s="58">
        <f>'Segment - U.S. Stores'!J132</f>
        <v>60.16363490733589</v>
      </c>
      <c r="K10" s="1"/>
    </row>
    <row r="11">
      <c r="A11" s="1"/>
      <c r="B11" s="2" t="s">
        <v>360</v>
      </c>
      <c r="C11" s="27">
        <f>'Segment - U.S. Stores'!C138</f>
        <v>151</v>
      </c>
      <c r="D11" s="27">
        <f>'Segment - U.S. Stores'!D138</f>
        <v>156.261</v>
      </c>
      <c r="E11" s="27">
        <f>'Segment - U.S. Stores'!E138</f>
        <v>157.155</v>
      </c>
      <c r="F11" s="27">
        <f>'Segment - U.S. Stores'!F138</f>
        <v>212.698</v>
      </c>
      <c r="G11" s="27">
        <f>'Segment - U.S. Stores'!G138</f>
        <v>677.114</v>
      </c>
      <c r="H11" s="27">
        <f>'Segment - U.S. Stores'!H138</f>
        <v>158.014</v>
      </c>
      <c r="I11" s="27">
        <f>'Segment - U.S. Stores'!I138</f>
        <v>164.165</v>
      </c>
      <c r="J11" s="58">
        <f>'Segment - U.S. Stores'!J138</f>
        <v>165.89623594838955</v>
      </c>
      <c r="K11" s="1"/>
    </row>
    <row r="12">
      <c r="A12" s="1"/>
      <c r="B12" s="2" t="s">
        <v>361</v>
      </c>
      <c r="C12" s="27">
        <f>'Segment - Supply Chain'!C27</f>
        <v>669.924</v>
      </c>
      <c r="D12" s="27">
        <f>'Segment - Supply Chain'!D27</f>
        <v>687.062</v>
      </c>
      <c r="E12" s="27">
        <f>'Segment - Supply Chain'!E27</f>
        <v>696.9590000000001</v>
      </c>
      <c r="F12" s="27">
        <f>'Segment - Supply Chain'!F27</f>
        <v>935.584</v>
      </c>
      <c r="G12" s="27">
        <f>'Segment - Supply Chain'!G27</f>
        <v>2989.529</v>
      </c>
      <c r="H12" s="27">
        <f>'Segment - Supply Chain'!H27</f>
        <v>698.9730000000001</v>
      </c>
      <c r="I12" s="27">
        <f>'Segment - Supply Chain'!I27</f>
        <v>731.708</v>
      </c>
      <c r="J12" s="58">
        <f>'Segment - Supply Chain'!J27</f>
        <v>729.3161776135134</v>
      </c>
      <c r="K12" s="1"/>
    </row>
    <row r="13" ht="27.75">
      <c r="A13" s="1"/>
      <c r="B13" s="144" t="s">
        <v>362</v>
      </c>
      <c r="C13" s="27">
        <f>'Segment - International'!C67</f>
        <v>75.559</v>
      </c>
      <c r="D13" s="27">
        <f>'Segment - International'!D67</f>
        <v>77.164</v>
      </c>
      <c r="E13" s="27">
        <f>'Segment - International'!E67</f>
        <v>78.549</v>
      </c>
      <c r="F13" s="27">
        <f>'Segment - International'!F67</f>
        <v>107.432</v>
      </c>
      <c r="G13" s="27">
        <f>'Segment - International'!G67</f>
        <v>338.704</v>
      </c>
      <c r="H13" s="27">
        <f>'Segment - International'!H67</f>
        <v>80.98</v>
      </c>
      <c r="I13" s="27">
        <f>'Segment - International'!I67</f>
        <v>81.822</v>
      </c>
      <c r="J13" s="58">
        <f>'Segment - International'!J67</f>
        <v>80.688660504346</v>
      </c>
      <c r="K13" s="1"/>
    </row>
    <row r="14">
      <c r="A14" s="1"/>
      <c r="B14" s="2" t="s">
        <v>363</v>
      </c>
      <c r="C14" s="27">
        <f>'Segment - U.S. Stores'!C144</f>
        <v>123.975</v>
      </c>
      <c r="D14" s="27">
        <f>'Segment - U.S. Stores'!D144</f>
        <v>132.201</v>
      </c>
      <c r="E14" s="27">
        <f>'Segment - U.S. Stores'!E144</f>
        <v>131.642</v>
      </c>
      <c r="F14" s="27">
        <f>'Segment - U.S. Stores'!F144</f>
        <v>171.67600000000002</v>
      </c>
      <c r="G14" s="27">
        <f>'Segment - U.S. Stores'!G144</f>
        <v>559.494</v>
      </c>
      <c r="H14" s="27">
        <f>'Segment - U.S. Stores'!H144</f>
        <v>130.529</v>
      </c>
      <c r="I14" s="27">
        <f>'Segment - U.S. Stores'!I144</f>
        <v>134.903</v>
      </c>
      <c r="J14" s="58">
        <f>'Segment - U.S. Stores'!J144</f>
        <v>137.36963072646444</v>
      </c>
      <c r="K14" s="1"/>
    </row>
    <row r="15">
      <c r="A15" s="1"/>
      <c r="B15" s="13" t="s">
        <v>100</v>
      </c>
      <c r="C15" s="51">
        <f>SUM(C10:C14)</f>
        <v>1112.056</v>
      </c>
      <c r="D15" s="51">
        <f>SUM(D10:D14)</f>
        <v>1145.144</v>
      </c>
      <c r="E15" s="51">
        <f>SUM(E10:E14)</f>
        <v>1147.054</v>
      </c>
      <c r="F15" s="51">
        <f>SUM(F10:F14)</f>
        <v>1535.74</v>
      </c>
      <c r="G15" s="51">
        <f>SUM(G10:G14)</f>
        <v>4939.994</v>
      </c>
      <c r="H15" s="51">
        <f>SUM(H10:H14)</f>
        <v>1150.594</v>
      </c>
      <c r="I15" s="51">
        <f>SUM(I10:I14)</f>
        <v>1194.427</v>
      </c>
      <c r="J15" s="38">
        <f>SUM(J10:J14)</f>
        <v>1173.4343397000493</v>
      </c>
      <c r="K15" s="1"/>
    </row>
    <row r="16">
      <c r="A16" s="1"/>
      <c r="B16" s="18" t="s">
        <v>89</v>
      </c>
      <c r="C16" s="9">
        <f>'Revenue summary'!C60</f>
        <v>0.025269972627038895</v>
      </c>
      <c r="D16" s="9">
        <f>'Revenue summary'!D60</f>
        <v>0.04318706865767363</v>
      </c>
      <c r="E16" s="9">
        <f>'Revenue summary'!E60</f>
        <v>0.06197002367331761</v>
      </c>
      <c r="F16" s="9">
        <f>'Revenue summary'!F60</f>
        <v>0.06359520026816012</v>
      </c>
      <c r="G16" s="9">
        <f>'Revenue summary'!G60</f>
        <v>0.04962969699236086</v>
      </c>
      <c r="H16" s="9">
        <f>'Revenue summary'!H60</f>
        <v>0.034654729617933144</v>
      </c>
      <c r="I16" s="9">
        <f>'Revenue summary'!I60</f>
        <v>0.04303650894559996</v>
      </c>
      <c r="J16" s="77">
        <f>'Revenue summary'!J60</f>
        <v>0.022998341577684434</v>
      </c>
      <c r="K16" s="1"/>
    </row>
    <row r="17" ht="27.75">
      <c r="A17" s="1"/>
      <c r="B17" s="18" t="s">
        <v>90</v>
      </c>
      <c r="C17" s="12" t="s">
        <v>76</v>
      </c>
      <c r="D17" s="12">
        <f>IFERROR(D15/C15-1,"n/a")</f>
        <v>0.029753897285748065</v>
      </c>
      <c r="E17" s="12">
        <f>IFERROR(E15/D15-1,"n/a")</f>
        <v>0.0016679125070733214</v>
      </c>
      <c r="F17" s="12">
        <f>IFERROR(F15/E15-1,"n/a")</f>
        <v>0.33885588647090703</v>
      </c>
      <c r="G17" s="12" t="s">
        <v>76</v>
      </c>
      <c r="H17" s="12">
        <f>IFERROR(H15/F15-1,"n/a")</f>
        <v>-0.2507885449359918</v>
      </c>
      <c r="I17" s="12">
        <f>IFERROR(I15/H15-1,"n/a")</f>
        <v>0.03809597477476845</v>
      </c>
      <c r="J17" s="44">
        <f>IFERROR(J15/I15-1,"n/a")</f>
        <v>-0.01757550716783074</v>
      </c>
      <c r="K17" s="141" t="s">
        <v>364</v>
      </c>
    </row>
    <row r="18" ht="27.75">
      <c r="A18" s="1"/>
      <c r="B18" s="154" t="s">
        <v>103</v>
      </c>
      <c r="C18" s="9">
        <f>'Revenue summary'!C63</f>
        <v>-0.0029502686127376005</v>
      </c>
      <c r="D18" s="9">
        <f>'Revenue summary'!D63</f>
        <v>-0.0001821931684849545</v>
      </c>
      <c r="E18" s="9">
        <f>'Revenue summary'!E63</f>
        <v>0.000740659131077224</v>
      </c>
      <c r="F18" s="9">
        <f>'Revenue summary'!F63</f>
        <v>0.001315867842544639</v>
      </c>
      <c r="G18" s="9">
        <f>'Revenue summary'!G63</f>
        <v>-0.00014873313366264268</v>
      </c>
      <c r="H18" s="9">
        <f>'Revenue summary'!H63</f>
        <v>0.0032372470451128366</v>
      </c>
      <c r="I18" s="9">
        <f>'Revenue summary'!I63</f>
        <v>0.0009605778836548068</v>
      </c>
      <c r="J18" s="77">
        <f>'Revenue summary'!J63</f>
        <v>-0.0007105480428919376</v>
      </c>
      <c r="K18" s="1"/>
    </row>
    <row r="19">
      <c r="A19" s="1"/>
      <c r="B19" s="18" t="s">
        <v>93</v>
      </c>
      <c r="C19" s="12" t="s">
        <v>81</v>
      </c>
      <c r="D19" s="12" t="s">
        <v>81</v>
      </c>
      <c r="E19" s="12" t="s">
        <v>81</v>
      </c>
      <c r="F19" s="12" t="s">
        <v>81</v>
      </c>
      <c r="G19" s="12" t="s">
        <v>81</v>
      </c>
      <c r="H19" s="12" t="s">
        <v>81</v>
      </c>
      <c r="I19" s="12" t="s">
        <v>81</v>
      </c>
      <c r="J19" s="44" t="s">
        <v>81</v>
      </c>
      <c r="K19" s="141" t="s">
        <v>104</v>
      </c>
    </row>
    <row r="20">
      <c r="A20" s="1"/>
      <c r="B20" s="18" t="s">
        <v>94</v>
      </c>
      <c r="C20" s="12" t="s">
        <v>81</v>
      </c>
      <c r="D20" s="12" t="s">
        <v>81</v>
      </c>
      <c r="E20" s="12" t="s">
        <v>81</v>
      </c>
      <c r="F20" s="12" t="s">
        <v>81</v>
      </c>
      <c r="G20" s="12" t="s">
        <v>81</v>
      </c>
      <c r="H20" s="12" t="s">
        <v>81</v>
      </c>
      <c r="I20" s="12" t="s">
        <v>81</v>
      </c>
      <c r="J20" s="44" t="s">
        <v>81</v>
      </c>
      <c r="K20" s="141" t="s">
        <v>105</v>
      </c>
    </row>
    <row r="21">
      <c r="A21" s="1"/>
      <c r="B21" s="7" t="s">
        <v>365</v>
      </c>
      <c r="C21" s="1"/>
      <c r="D21" s="1"/>
      <c r="E21" s="1"/>
      <c r="F21" s="1"/>
      <c r="G21" s="1"/>
      <c r="H21" s="1"/>
      <c r="I21" s="1"/>
      <c r="J21" s="24"/>
      <c r="K21" s="1"/>
    </row>
    <row r="22">
      <c r="A22" s="1"/>
      <c r="B22" s="2" t="s">
        <v>359</v>
      </c>
      <c r="C22" s="27">
        <f>'Segment - U.S. Stores'!C163</f>
        <v>76.911</v>
      </c>
      <c r="D22" s="27">
        <f>'Segment - U.S. Stores'!D163</f>
        <v>78.07300000000001</v>
      </c>
      <c r="E22" s="27">
        <f>'Segment - U.S. Stores'!E163</f>
        <v>69.258</v>
      </c>
      <c r="F22" s="27">
        <f>'Segment - U.S. Stores'!F163</f>
        <v>97.404</v>
      </c>
      <c r="G22" s="27">
        <f>'Segment - U.S. Stores'!G163</f>
        <v>321.646</v>
      </c>
      <c r="H22" s="27">
        <f>'Segment - U.S. Stores'!H163</f>
        <v>72.046</v>
      </c>
      <c r="I22" s="27">
        <f>'Segment - U.S. Stores'!I163</f>
        <v>72.517</v>
      </c>
      <c r="J22" s="58">
        <f>'Segment - U.S. Stores'!J163</f>
        <v>52.94399871845558</v>
      </c>
      <c r="K22" s="1"/>
    </row>
    <row r="23">
      <c r="A23" s="1"/>
      <c r="B23" s="2" t="s">
        <v>361</v>
      </c>
      <c r="C23" s="27">
        <f>'Segment - Supply Chain'!C37</f>
        <v>591.998</v>
      </c>
      <c r="D23" s="27">
        <f>'Segment - Supply Chain'!D37</f>
        <v>606.101</v>
      </c>
      <c r="E23" s="27">
        <f>'Segment - Supply Chain'!E37</f>
        <v>617.894</v>
      </c>
      <c r="F23" s="27">
        <f>'Segment - Supply Chain'!F37</f>
        <v>828.7950000000001</v>
      </c>
      <c r="G23" s="27">
        <f>'Segment - Supply Chain'!G37</f>
        <v>2644.788</v>
      </c>
      <c r="H23" s="27">
        <f>'Segment - Supply Chain'!H37</f>
        <v>614.0360000000001</v>
      </c>
      <c r="I23" s="27">
        <f>'Segment - Supply Chain'!I37</f>
        <v>643.682</v>
      </c>
      <c r="J23" s="58">
        <f>'Segment - Supply Chain'!J37</f>
        <v>644.7571974330498</v>
      </c>
      <c r="K23" s="1"/>
    </row>
    <row r="24">
      <c r="A24" s="1"/>
      <c r="B24" s="13" t="s">
        <v>366</v>
      </c>
      <c r="C24" s="51">
        <f>C22+C23</f>
        <v>668.9090000000001</v>
      </c>
      <c r="D24" s="51">
        <f>D22+D23</f>
        <v>684.174</v>
      </c>
      <c r="E24" s="51">
        <f>E22+E23</f>
        <v>687.152</v>
      </c>
      <c r="F24" s="51">
        <f>F22+F23</f>
        <v>926.1990000000001</v>
      </c>
      <c r="G24" s="51">
        <f>G22+G23</f>
        <v>2966.434</v>
      </c>
      <c r="H24" s="51">
        <f>H22+H23</f>
        <v>686.0820000000001</v>
      </c>
      <c r="I24" s="51">
        <f>I22+I23</f>
        <v>716.1990000000001</v>
      </c>
      <c r="J24" s="38">
        <f>J22+J23</f>
        <v>697.7011961515053</v>
      </c>
      <c r="K24" s="1"/>
    </row>
    <row r="25" ht="27.75">
      <c r="A25" s="1"/>
      <c r="B25" s="18" t="s">
        <v>367</v>
      </c>
      <c r="C25" s="157">
        <f>IFERROR(C24/('Segment - U.S. Stores'!C160+'Segment - Supply Chain'!C58)-1,"n/a")</f>
        <v>0.009251980681285188</v>
      </c>
      <c r="D25" s="157">
        <f>IFERROR(D24/('Segment - U.S. Stores'!D160+'Segment - Supply Chain'!D58)-1,"n/a")</f>
        <v>0.03552114786478078</v>
      </c>
      <c r="E25" s="157">
        <f>IFERROR(E24/('Segment - U.S. Stores'!E160+'Segment - Supply Chain'!E58)-1,"n/a")</f>
        <v>0.04689413929905606</v>
      </c>
      <c r="F25" s="157">
        <f>IFERROR(F24/('Segment - U.S. Stores'!F160+'Segment - Supply Chain'!F58)-1,"n/a")</f>
        <v>0.0548242716898617</v>
      </c>
      <c r="G25" s="157">
        <f>IFERROR(G24/('Segment - U.S. Stores'!G160+'Segment - Supply Chain'!G58)-1,"n/a")</f>
        <v>0.03797175142429077</v>
      </c>
      <c r="H25" s="12">
        <f>IFERROR(H24/C24-1,"n/a")</f>
        <v>0.02567314836547263</v>
      </c>
      <c r="I25" s="12">
        <f>IFERROR(I24/D24-1,"n/a")</f>
        <v>0.04680826807215732</v>
      </c>
      <c r="J25" s="44">
        <f>IFERROR(J24/E24-1,"n/a")</f>
        <v>0.015352056243022272</v>
      </c>
      <c r="K25" s="152" t="s">
        <v>368</v>
      </c>
    </row>
    <row r="26" ht="27.75">
      <c r="A26" s="1"/>
      <c r="B26" s="154" t="s">
        <v>369</v>
      </c>
      <c r="C26" s="37" t="s">
        <v>76</v>
      </c>
      <c r="D26" s="37">
        <f>D24-C24</f>
        <v>15.264999999999873</v>
      </c>
      <c r="E26" s="37">
        <f>E24-D24</f>
        <v>2.9780000000000655</v>
      </c>
      <c r="F26" s="37">
        <f>F24-E24</f>
        <v>239.04700000000003</v>
      </c>
      <c r="G26" s="37" t="s">
        <v>76</v>
      </c>
      <c r="H26" s="37">
        <f>H24-F24</f>
        <v>-240.11699999999996</v>
      </c>
      <c r="I26" s="37">
        <f>I24-H24</f>
        <v>30.116999999999962</v>
      </c>
      <c r="J26" s="63">
        <f>J24-I24</f>
        <v>-18.497803848494755</v>
      </c>
      <c r="K26" s="1"/>
    </row>
    <row r="27" ht="48.75">
      <c r="A27" s="1"/>
      <c r="B27" s="13" t="s">
        <v>370</v>
      </c>
      <c r="C27" s="51">
        <f>C15-C24</f>
        <v>443.14699999999993</v>
      </c>
      <c r="D27" s="51">
        <f>D15-D24</f>
        <v>460.97</v>
      </c>
      <c r="E27" s="51">
        <f>E15-E24</f>
        <v>459.90200000000004</v>
      </c>
      <c r="F27" s="51">
        <f>F15-F24</f>
        <v>609.5409999999999</v>
      </c>
      <c r="G27" s="51">
        <f>G15-G24</f>
        <v>1973.5599999999995</v>
      </c>
      <c r="H27" s="51">
        <f>H15-H24</f>
        <v>464.51199999999994</v>
      </c>
      <c r="I27" s="51">
        <f>I15-I24</f>
        <v>478.22799999999984</v>
      </c>
      <c r="J27" s="38">
        <f>J15-J24</f>
        <v>475.73314354854404</v>
      </c>
      <c r="K27" s="141" t="s">
        <v>371</v>
      </c>
    </row>
    <row r="28" ht="37.5">
      <c r="A28" s="1"/>
      <c r="B28" s="6" t="s">
        <v>372</v>
      </c>
      <c r="C28" s="12">
        <f>C27/C15</f>
        <v>0.398493421194616</v>
      </c>
      <c r="D28" s="12">
        <f>D27/D15</f>
        <v>0.40254326093486936</v>
      </c>
      <c r="E28" s="12">
        <f>E27/E15</f>
        <v>0.4009418911402602</v>
      </c>
      <c r="F28" s="12">
        <f>F27/F15</f>
        <v>0.3969037727740372</v>
      </c>
      <c r="G28" s="12">
        <f>G27/G15</f>
        <v>0.39950655810513125</v>
      </c>
      <c r="H28" s="12">
        <f>H27/H15</f>
        <v>0.4037149507124146</v>
      </c>
      <c r="I28" s="12">
        <f>I27/I15</f>
        <v>0.40038277768335767</v>
      </c>
      <c r="J28" s="44">
        <f>J27/J15</f>
        <v>0.40541948318143634</v>
      </c>
      <c r="K28" s="141" t="s">
        <v>373</v>
      </c>
    </row>
    <row r="29">
      <c r="A29" s="1"/>
      <c r="B29" s="18" t="s">
        <v>374</v>
      </c>
      <c r="C29" s="158">
        <f>IFERROR((C28-(C123-('Segment - U.S. Stores'!C160+'Segment - Supply Chain'!C58))/C123)*10000,"n/a")</f>
        <v>95.46602552237383</v>
      </c>
      <c r="D29" s="158">
        <f>IFERROR((D28-(D123-('Segment - U.S. Stores'!D160+'Segment - Supply Chain'!D58))/D123)*10000,"n/a")</f>
        <v>44.22947854128667</v>
      </c>
      <c r="E29" s="158">
        <f>IFERROR((E28-(E123-('Segment - U.S. Stores'!E160+'Segment - Supply Chain'!E58))/E123)*10000,"n/a")</f>
        <v>86.26785119534797</v>
      </c>
      <c r="F29" s="158">
        <f>IFERROR((F28-(F123-('Segment - U.S. Stores'!F160+'Segment - Supply Chain'!F58))/F123)*10000,"n/a")</f>
        <v>50.147821554824</v>
      </c>
      <c r="G29" s="158">
        <f>IFERROR((G28-(G123-('Segment - U.S. Stores'!G160+'Segment - Supply Chain'!G58))/G123)*10000,"n/a")</f>
        <v>67.44422331327937</v>
      </c>
      <c r="H29" s="21">
        <f>IFERROR((H28-C28)*10000,"n/a")</f>
        <v>52.215295177985844</v>
      </c>
      <c r="I29" s="21">
        <f>IFERROR((I28-D28)*10000,"n/a")</f>
        <v>-21.60483251511691</v>
      </c>
      <c r="J29" s="46">
        <f>IFERROR((J28-E28)*10000,"n/a")</f>
        <v>44.77592041176148</v>
      </c>
      <c r="K29" s="1"/>
    </row>
    <row r="30" ht="27.75">
      <c r="A30" s="1"/>
      <c r="B30" s="154" t="s">
        <v>375</v>
      </c>
      <c r="C30" s="21" t="s">
        <v>76</v>
      </c>
      <c r="D30" s="21">
        <f>IFERROR((D28-C28)*10000,"n/a")</f>
        <v>40.498397402533584</v>
      </c>
      <c r="E30" s="21">
        <f>IFERROR((E28-D28)*10000,"n/a")</f>
        <v>-16.013697946091753</v>
      </c>
      <c r="F30" s="21">
        <f>IFERROR((F28-E28)*10000,"n/a")</f>
        <v>-40.38118366222976</v>
      </c>
      <c r="G30" s="21" t="s">
        <v>76</v>
      </c>
      <c r="H30" s="21">
        <f>IFERROR((H28-F28)*10000,"n/a")</f>
        <v>68.11177938377378</v>
      </c>
      <c r="I30" s="21">
        <f>IFERROR((I28-H28)*10000,"n/a")</f>
        <v>-33.32173029056917</v>
      </c>
      <c r="J30" s="46">
        <f>IFERROR((J28-I28)*10000,"n/a")</f>
        <v>50.36705498078664</v>
      </c>
      <c r="K30" s="1"/>
    </row>
    <row r="31">
      <c r="A31" s="1"/>
      <c r="B31" s="18" t="s">
        <v>376</v>
      </c>
      <c r="C31" s="157">
        <f>IFERROR(C27/(C123-('Segment - U.S. Stores'!C160+'Segment - Supply Chain'!C58))-1,"n/a")</f>
        <v>0.05043496811814041</v>
      </c>
      <c r="D31" s="157">
        <f>IFERROR(D27/(D123-('Segment - U.S. Stores'!D160+'Segment - Supply Chain'!D58))-1,"n/a")</f>
        <v>0.05477643462363102</v>
      </c>
      <c r="E31" s="157">
        <f>IFERROR(E27/(E123-('Segment - U.S. Stores'!E160+'Segment - Supply Chain'!E58))-1,"n/a")</f>
        <v>0.0853221379738387</v>
      </c>
      <c r="F31" s="157">
        <f>IFERROR(F27/(F123-('Segment - U.S. Stores'!F160+'Segment - Supply Chain'!F58))-1,"n/a")</f>
        <v>0.07720542754844884</v>
      </c>
      <c r="G31" s="157">
        <f>IFERROR(G27/(G123-('Segment - U.S. Stores'!G160+'Segment - Supply Chain'!G58))-1,"n/a")</f>
        <v>0.06765370013124095</v>
      </c>
      <c r="H31" s="12">
        <f>IFERROR(H27/C27-1,"n/a")</f>
        <v>0.04821199286015698</v>
      </c>
      <c r="I31" s="12">
        <f>IFERROR(I27/D27-1,"n/a")</f>
        <v>0.03743844501811355</v>
      </c>
      <c r="J31" s="44">
        <f>IFERROR(J27/E27-1,"n/a")</f>
        <v>0.034422863019826</v>
      </c>
      <c r="K31" s="1"/>
    </row>
    <row r="32">
      <c r="A32" s="1"/>
      <c r="B32" s="7" t="s">
        <v>377</v>
      </c>
      <c r="C32" s="1"/>
      <c r="D32" s="1"/>
      <c r="E32" s="1"/>
      <c r="F32" s="1"/>
      <c r="G32" s="1"/>
      <c r="H32" s="1"/>
      <c r="I32" s="1"/>
      <c r="J32" s="24"/>
      <c r="K32" s="1"/>
    </row>
    <row r="33">
      <c r="A33" s="1"/>
      <c r="B33" s="2" t="s">
        <v>378</v>
      </c>
      <c r="C33" s="20">
        <v>109.077</v>
      </c>
      <c r="D33" s="20">
        <v>107.608</v>
      </c>
      <c r="E33" s="20">
        <v>105.092</v>
      </c>
      <c r="F33" s="20">
        <v>142.343</v>
      </c>
      <c r="G33" s="3">
        <f>SUM(C33:F33)</f>
        <v>464.12</v>
      </c>
      <c r="H33" s="20">
        <v>111.406</v>
      </c>
      <c r="I33" s="20">
        <v>115.373</v>
      </c>
      <c r="J33" s="40">
        <f>E33*(1+J34)</f>
        <v>109.29568</v>
      </c>
      <c r="K33" s="141" t="s">
        <v>379</v>
      </c>
    </row>
    <row r="34" ht="27.75">
      <c r="A34" s="1"/>
      <c r="B34" s="18" t="s">
        <v>380</v>
      </c>
      <c r="C34" s="12">
        <f>C33/C122-1</f>
        <v>0.0797137313905607</v>
      </c>
      <c r="D34" s="12">
        <f>D33/D122-1</f>
        <v>-0.07192079139606888</v>
      </c>
      <c r="E34" s="12">
        <f>E33/E122-1</f>
        <v>0.010587454683578468</v>
      </c>
      <c r="F34" s="12">
        <f>F33/F122-1</f>
        <v>0.027524723886522606</v>
      </c>
      <c r="G34" s="12">
        <f>G33/G122-1</f>
        <v>0.010071992548292386</v>
      </c>
      <c r="H34" s="12">
        <f>H33/C33-1</f>
        <v>0.02135188903251839</v>
      </c>
      <c r="I34" s="12">
        <f>I33/D33-1</f>
        <v>0.0721600624488885</v>
      </c>
      <c r="J34" s="66">
        <v>0.04</v>
      </c>
      <c r="K34" s="141" t="s">
        <v>381</v>
      </c>
    </row>
    <row r="35">
      <c r="A35" s="1"/>
      <c r="B35" s="18" t="s">
        <v>382</v>
      </c>
      <c r="C35" s="37" t="s">
        <v>76</v>
      </c>
      <c r="D35" s="37">
        <f>D33-C33</f>
        <v>-1.468999999999994</v>
      </c>
      <c r="E35" s="37">
        <f>E33-D33</f>
        <v>-2.5160000000000053</v>
      </c>
      <c r="F35" s="37">
        <f>F33-E33</f>
        <v>37.25099999999999</v>
      </c>
      <c r="G35" s="37" t="s">
        <v>76</v>
      </c>
      <c r="H35" s="37">
        <f>H33-F33</f>
        <v>-30.936999999999983</v>
      </c>
      <c r="I35" s="37">
        <f>I33-H33</f>
        <v>3.9669999999999987</v>
      </c>
      <c r="J35" s="63">
        <f>J33-I33</f>
        <v>-6.07732</v>
      </c>
      <c r="K35" s="1"/>
    </row>
    <row r="36">
      <c r="A36" s="1"/>
      <c r="B36" s="47" t="s">
        <v>383</v>
      </c>
      <c r="C36" s="27">
        <f>'Segment - U.S. Stores'!C186</f>
        <v>36.755</v>
      </c>
      <c r="D36" s="27">
        <f>'Segment - U.S. Stores'!D186</f>
        <v>39.44</v>
      </c>
      <c r="E36" s="27" t="str">
        <f>'Segment - U.S. Stores'!E186</f>
        <v>unavailable</v>
      </c>
      <c r="F36" s="27" t="str">
        <f>'Segment - U.S. Stores'!F186</f>
        <v>unavailable</v>
      </c>
      <c r="G36" s="27" t="str">
        <f>'Segment - U.S. Stores'!G186</f>
        <v>unavailable</v>
      </c>
      <c r="H36" s="27">
        <f>'Segment - U.S. Stores'!H186</f>
        <v>35.696</v>
      </c>
      <c r="I36" s="27">
        <f>'Segment - U.S. Stores'!I186</f>
        <v>39.263</v>
      </c>
      <c r="J36" s="58" t="str">
        <f>'Segment - U.S. Stores'!J186</f>
        <v>n/a</v>
      </c>
      <c r="K36" s="1"/>
    </row>
    <row r="37">
      <c r="A37" s="1"/>
      <c r="B37" s="47" t="s">
        <v>384</v>
      </c>
      <c r="C37" s="27">
        <f>'Segment - Supply Chain'!C61</f>
        <v>14.321</v>
      </c>
      <c r="D37" s="27">
        <f>'Segment - Supply Chain'!D61</f>
        <v>16.303</v>
      </c>
      <c r="E37" s="27" t="str">
        <f>'Segment - Supply Chain'!E61</f>
        <v>unavailable</v>
      </c>
      <c r="F37" s="27" t="str">
        <f>'Segment - Supply Chain'!F61</f>
        <v>unavailable</v>
      </c>
      <c r="G37" s="27" t="str">
        <f>'Segment - Supply Chain'!G61</f>
        <v>unavailable</v>
      </c>
      <c r="H37" s="27">
        <f>'Segment - Supply Chain'!H61</f>
        <v>19.426</v>
      </c>
      <c r="I37" s="27">
        <f>'Segment - Supply Chain'!I61</f>
        <v>11.665</v>
      </c>
      <c r="J37" s="58" t="str">
        <f>'Segment - Supply Chain'!J61</f>
        <v>n/a</v>
      </c>
      <c r="K37" s="1"/>
    </row>
    <row r="38" ht="27.75">
      <c r="A38" s="1"/>
      <c r="B38" s="155" t="s">
        <v>385</v>
      </c>
      <c r="C38" s="27">
        <f>'Segment - International'!C76</f>
        <v>11.815</v>
      </c>
      <c r="D38" s="27">
        <f>'Segment - International'!D76</f>
        <v>11.794</v>
      </c>
      <c r="E38" s="27" t="str">
        <f>'Segment - International'!E76</f>
        <v>unavailable</v>
      </c>
      <c r="F38" s="27" t="str">
        <f>'Segment - International'!F76</f>
        <v>unavailable</v>
      </c>
      <c r="G38" s="27" t="str">
        <f>'Segment - International'!G76</f>
        <v>unavailable</v>
      </c>
      <c r="H38" s="27">
        <f>'Segment - International'!H76</f>
        <v>11.474</v>
      </c>
      <c r="I38" s="27">
        <f>'Segment - International'!I76</f>
        <v>13.506</v>
      </c>
      <c r="J38" s="58" t="str">
        <f>'Segment - International'!J76</f>
        <v>n/a</v>
      </c>
      <c r="K38" s="1"/>
    </row>
    <row r="39" ht="27.75">
      <c r="A39" s="1"/>
      <c r="B39" s="155" t="s">
        <v>386</v>
      </c>
      <c r="C39" s="20">
        <v>46.186</v>
      </c>
      <c r="D39" s="20">
        <v>40.071</v>
      </c>
      <c r="E39" s="3" t="s">
        <v>81</v>
      </c>
      <c r="F39" s="3" t="s">
        <v>81</v>
      </c>
      <c r="G39" s="3" t="s">
        <v>81</v>
      </c>
      <c r="H39" s="20">
        <v>44.81</v>
      </c>
      <c r="I39" s="20">
        <v>50.939</v>
      </c>
      <c r="J39" s="40" t="s">
        <v>76</v>
      </c>
      <c r="K39" s="141" t="s">
        <v>387</v>
      </c>
    </row>
    <row r="40" ht="27.75">
      <c r="A40" s="1"/>
      <c r="B40" s="154" t="s">
        <v>388</v>
      </c>
      <c r="C40" s="37">
        <f>IFERROR(C36+C37+C38+C39-C33,"n/a")</f>
        <v>0</v>
      </c>
      <c r="D40" s="37">
        <f>IFERROR(D36+D37+D38+D39-D33,"n/a")</f>
        <v>0</v>
      </c>
      <c r="E40" s="37" t="str">
        <f>IFERROR(E36+E37+E38+E39-E33,"n/a")</f>
        <v>n/a</v>
      </c>
      <c r="F40" s="37" t="str">
        <f>IFERROR(F36+F37+F38+F39-F33,"n/a")</f>
        <v>n/a</v>
      </c>
      <c r="G40" s="37" t="str">
        <f>IFERROR(G36+G37+G38+G39-G33,"n/a")</f>
        <v>n/a</v>
      </c>
      <c r="H40" s="37">
        <f>IFERROR(H36+H37+H38+H39-H33,"n/a")</f>
        <v>0</v>
      </c>
      <c r="I40" s="37">
        <f>IFERROR(I36+I37+I38+I39-I33,"n/a")</f>
        <v>0</v>
      </c>
      <c r="J40" s="63" t="str">
        <f>IFERROR(J36+J37+J38+J39-J33,"n/a")</f>
        <v>n/a</v>
      </c>
      <c r="K40" s="1"/>
    </row>
    <row r="41">
      <c r="A41" s="1"/>
      <c r="B41" s="18" t="s">
        <v>389</v>
      </c>
      <c r="C41" s="12">
        <f>C33/C15</f>
        <v>0.098085887761048</v>
      </c>
      <c r="D41" s="12">
        <f>D33/D15</f>
        <v>0.09396896809484222</v>
      </c>
      <c r="E41" s="12">
        <f>E33/E15</f>
        <v>0.09161905193652609</v>
      </c>
      <c r="F41" s="12">
        <f>F33/F15</f>
        <v>0.09268691314936121</v>
      </c>
      <c r="G41" s="12">
        <f>G33/G15</f>
        <v>0.09395153111521999</v>
      </c>
      <c r="H41" s="12">
        <f>H33/H15</f>
        <v>0.09682477050984101</v>
      </c>
      <c r="I41" s="12">
        <f>I33/I15</f>
        <v>0.09659275954076726</v>
      </c>
      <c r="J41" s="44">
        <f>J33/J15</f>
        <v>0.09314170917133542</v>
      </c>
      <c r="K41" s="1"/>
    </row>
    <row r="42">
      <c r="A42" s="1"/>
      <c r="B42" s="18" t="s">
        <v>390</v>
      </c>
      <c r="C42" s="21">
        <f>IFERROR((C41-C122/C123)*10000,"n/a")</f>
        <v>49.45907656921947</v>
      </c>
      <c r="D42" s="21">
        <f>IFERROR((D41-D122/D123)*10000,"n/a")</f>
        <v>-116.54788436782887</v>
      </c>
      <c r="E42" s="21">
        <f>IFERROR((E41-E122/E123)*10000,"n/a")</f>
        <v>-46.583026882884155</v>
      </c>
      <c r="F42" s="21">
        <f>IFERROR((F41-F122/F123)*10000,"n/a")</f>
        <v>-32.537038125908104</v>
      </c>
      <c r="G42" s="21">
        <f>IFERROR((G41-G122/G123)*10000,"n/a")</f>
        <v>-36.794475318014385</v>
      </c>
      <c r="H42" s="21">
        <f>IFERROR((H41-C41)*10000,"n/a")</f>
        <v>-12.611172512069919</v>
      </c>
      <c r="I42" s="21">
        <f>IFERROR((I41-D41)*10000,"n/a")</f>
        <v>26.237914459250472</v>
      </c>
      <c r="J42" s="46">
        <f>IFERROR((J41-E41)*10000,"n/a")</f>
        <v>15.226572348093354</v>
      </c>
      <c r="K42" s="152" t="s">
        <v>391</v>
      </c>
    </row>
    <row r="43" ht="27.75">
      <c r="A43" s="1"/>
      <c r="B43" s="154" t="s">
        <v>392</v>
      </c>
      <c r="C43" s="21" t="s">
        <v>76</v>
      </c>
      <c r="D43" s="21">
        <f>IFERROR((D41-C41)*10000,"n/a")</f>
        <v>-41.169196662057814</v>
      </c>
      <c r="E43" s="21">
        <f>IFERROR((E41-D41)*10000,"n/a")</f>
        <v>-23.499161583161314</v>
      </c>
      <c r="F43" s="21">
        <f>IFERROR((F41-E41)*10000,"n/a")</f>
        <v>10.678612128351277</v>
      </c>
      <c r="G43" s="21" t="s">
        <v>76</v>
      </c>
      <c r="H43" s="21">
        <f>IFERROR((H41-F41)*10000,"n/a")</f>
        <v>41.378573604797936</v>
      </c>
      <c r="I43" s="21">
        <f>IFERROR((I41-H41)*10000,"n/a")</f>
        <v>-2.3201096907374263</v>
      </c>
      <c r="J43" s="46">
        <f>IFERROR((J41-I41)*10000,"n/a")</f>
        <v>-34.51050369431844</v>
      </c>
      <c r="K43" s="1"/>
    </row>
    <row r="44" ht="27.75">
      <c r="A44" s="1"/>
      <c r="B44" s="144" t="s">
        <v>393</v>
      </c>
      <c r="C44" s="3">
        <f>C14</f>
        <v>123.975</v>
      </c>
      <c r="D44" s="3">
        <f>D14</f>
        <v>132.201</v>
      </c>
      <c r="E44" s="3">
        <f>E14</f>
        <v>131.642</v>
      </c>
      <c r="F44" s="3">
        <f>F14</f>
        <v>171.67600000000002</v>
      </c>
      <c r="G44" s="3">
        <f>G14</f>
        <v>559.494</v>
      </c>
      <c r="H44" s="3">
        <f>H14</f>
        <v>130.529</v>
      </c>
      <c r="I44" s="3">
        <f>I14</f>
        <v>134.903</v>
      </c>
      <c r="J44" s="40">
        <f>J14</f>
        <v>137.36963072646444</v>
      </c>
      <c r="K44" s="1"/>
    </row>
    <row r="45">
      <c r="A45" s="1"/>
      <c r="B45" s="2" t="s">
        <v>394</v>
      </c>
      <c r="C45" s="20">
        <v>0</v>
      </c>
      <c r="D45" s="20">
        <v>-3.883</v>
      </c>
      <c r="E45" s="20">
        <v>0</v>
      </c>
      <c r="F45" s="20">
        <v>-0.145</v>
      </c>
      <c r="G45" s="3">
        <f>SUM(C45:F45)</f>
        <v>-4.028</v>
      </c>
      <c r="H45" s="20">
        <v>0</v>
      </c>
      <c r="I45" s="20">
        <v>-4.087</v>
      </c>
      <c r="J45" s="104">
        <v>0</v>
      </c>
      <c r="K45" s="141" t="s">
        <v>395</v>
      </c>
    </row>
    <row r="46" ht="27.75">
      <c r="A46" s="1"/>
      <c r="B46" s="144" t="s">
        <v>396</v>
      </c>
      <c r="C46" s="20">
        <v>0</v>
      </c>
      <c r="D46" s="20">
        <v>0</v>
      </c>
      <c r="E46" s="20">
        <v>0</v>
      </c>
      <c r="F46" s="20">
        <v>0</v>
      </c>
      <c r="G46" s="3">
        <f>SUM(C46:F46)</f>
        <v>0</v>
      </c>
      <c r="H46" s="20">
        <v>-7.78</v>
      </c>
      <c r="I46" s="20">
        <v>0</v>
      </c>
      <c r="J46" s="104">
        <v>0</v>
      </c>
      <c r="K46" s="141" t="s">
        <v>397</v>
      </c>
    </row>
    <row r="47">
      <c r="A47" s="1"/>
      <c r="B47" s="13" t="s">
        <v>398</v>
      </c>
      <c r="C47" s="51">
        <f>C27-C33-C44-C45-C46</f>
        <v>210.09499999999994</v>
      </c>
      <c r="D47" s="51">
        <f>D27-D33-D44-D45-D46</f>
        <v>225.04400000000004</v>
      </c>
      <c r="E47" s="51">
        <f>E27-E33-E44-E45-E46</f>
        <v>223.16800000000006</v>
      </c>
      <c r="F47" s="51">
        <f>F27-F33-F44-F45-F46</f>
        <v>295.6669999999999</v>
      </c>
      <c r="G47" s="51">
        <f>G27-G33-G44-G45-G46</f>
        <v>953.9739999999996</v>
      </c>
      <c r="H47" s="51">
        <f>H27-H33-H44-H45-H46</f>
        <v>230.35699999999994</v>
      </c>
      <c r="I47" s="51">
        <f>I27-I33-I44-I45-I46</f>
        <v>232.03899999999985</v>
      </c>
      <c r="J47" s="38">
        <f>J27-J33-J44-J45-J46</f>
        <v>229.0678328220796</v>
      </c>
      <c r="K47" s="1"/>
    </row>
    <row r="48">
      <c r="A48" s="1"/>
      <c r="B48" s="2" t="s">
        <v>399</v>
      </c>
      <c r="C48" s="20">
        <v>210.095</v>
      </c>
      <c r="D48" s="20">
        <v>225.044</v>
      </c>
      <c r="E48" s="20">
        <v>223.168</v>
      </c>
      <c r="F48" s="20">
        <v>295.66700000000003</v>
      </c>
      <c r="G48" s="3">
        <f>SUM(C48:F48)</f>
        <v>953.974</v>
      </c>
      <c r="H48" s="20">
        <v>230.357</v>
      </c>
      <c r="I48" s="20">
        <v>232.039</v>
      </c>
      <c r="J48" s="24"/>
      <c r="K48" s="141" t="s">
        <v>108</v>
      </c>
    </row>
    <row r="49" ht="27.75">
      <c r="A49" s="1"/>
      <c r="B49" s="140" t="s">
        <v>400</v>
      </c>
      <c r="C49" s="37">
        <f>C47-C48</f>
        <v>0</v>
      </c>
      <c r="D49" s="37">
        <f>D47-D48</f>
        <v>0</v>
      </c>
      <c r="E49" s="37">
        <f>E47-E48</f>
        <v>0</v>
      </c>
      <c r="F49" s="37">
        <f>F47-F48</f>
        <v>0</v>
      </c>
      <c r="G49" s="37">
        <f>G47-G48</f>
        <v>0</v>
      </c>
      <c r="H49" s="37">
        <f>H47-H48</f>
        <v>0</v>
      </c>
      <c r="I49" s="37">
        <f>I47-I48</f>
        <v>0</v>
      </c>
      <c r="J49" s="24"/>
      <c r="K49" s="1"/>
    </row>
    <row r="50" ht="76.5">
      <c r="A50" s="1"/>
      <c r="B50" s="6" t="s">
        <v>401</v>
      </c>
      <c r="C50" s="12">
        <f>C47/C15</f>
        <v>0.18892483831749474</v>
      </c>
      <c r="D50" s="12">
        <f>D47/D15</f>
        <v>0.19652026295382943</v>
      </c>
      <c r="E50" s="12">
        <f>E47/E15</f>
        <v>0.1945575360881005</v>
      </c>
      <c r="F50" s="12">
        <f>F47/F15</f>
        <v>0.19252412517743883</v>
      </c>
      <c r="G50" s="12">
        <f>G47/G15</f>
        <v>0.19311238029843755</v>
      </c>
      <c r="H50" s="12">
        <f>H47/H15</f>
        <v>0.2002070235026429</v>
      </c>
      <c r="I50" s="12">
        <f>I47/I15</f>
        <v>0.19426804651937696</v>
      </c>
      <c r="J50" s="44">
        <f>J47/J15</f>
        <v>0.1952114618365723</v>
      </c>
      <c r="K50" s="141" t="s">
        <v>402</v>
      </c>
    </row>
    <row r="51">
      <c r="A51" s="1"/>
      <c r="B51" s="18" t="s">
        <v>403</v>
      </c>
      <c r="C51" s="21">
        <f>IFERROR((C50-C124)*10000,"n/a")</f>
        <v>-50.673084362417576</v>
      </c>
      <c r="D51" s="21">
        <f>IFERROR((D50-D124)*10000,"n/a")</f>
        <v>178.77128356804246</v>
      </c>
      <c r="E51" s="21">
        <f>IFERROR((E50-E124)*10000,"n/a")</f>
        <v>104.75041474081127</v>
      </c>
      <c r="F51" s="21">
        <f>IFERROR((F50-F124)*10000,"n/a")</f>
        <v>30.031426258464442</v>
      </c>
      <c r="G51" s="21">
        <f>IFERROR((G50-G124)*10000,"n/a")</f>
        <v>63.46272075110071</v>
      </c>
      <c r="H51" s="21">
        <f>IFERROR((H50-C50)*10000,"n/a")</f>
        <v>112.82185185148175</v>
      </c>
      <c r="I51" s="21">
        <f>IFERROR((I50-D50)*10000,"n/a")</f>
        <v>-22.522164344524754</v>
      </c>
      <c r="J51" s="46">
        <f>IFERROR((J50-E50)*10000,"n/a")</f>
        <v>6.539257484717842</v>
      </c>
      <c r="K51" s="1"/>
    </row>
    <row r="52" ht="27.75">
      <c r="A52" s="1"/>
      <c r="B52" s="154" t="s">
        <v>404</v>
      </c>
      <c r="C52" s="21" t="s">
        <v>76</v>
      </c>
      <c r="D52" s="21">
        <f>IFERROR((D50-C50)*10000,"n/a")</f>
        <v>75.95424636334697</v>
      </c>
      <c r="E52" s="21">
        <f>IFERROR((E50-D50)*10000,"n/a")</f>
        <v>-19.62726865728931</v>
      </c>
      <c r="F52" s="21">
        <f>IFERROR((F50-E50)*10000,"n/a")</f>
        <v>-20.334109106616705</v>
      </c>
      <c r="G52" s="21" t="s">
        <v>76</v>
      </c>
      <c r="H52" s="21">
        <f>IFERROR((H50-F50)*10000,"n/a")</f>
        <v>76.8289832520408</v>
      </c>
      <c r="I52" s="21">
        <f>IFERROR((I50-H50)*10000,"n/a")</f>
        <v>-59.38976983265953</v>
      </c>
      <c r="J52" s="46">
        <f>IFERROR((J50-I50)*10000,"n/a")</f>
        <v>9.434153171953286</v>
      </c>
      <c r="K52" s="1"/>
    </row>
    <row r="53">
      <c r="A53" s="1"/>
      <c r="B53" s="18" t="s">
        <v>405</v>
      </c>
      <c r="C53" s="12">
        <f>IFERROR(C47/C120-1,"n/a")</f>
        <v>-0.0015113134644725301</v>
      </c>
      <c r="D53" s="12">
        <f>IFERROR(D47/D120-1,"n/a")</f>
        <v>0.147580608149799</v>
      </c>
      <c r="E53" s="12">
        <f>IFERROR(E47/E120-1,"n/a")</f>
        <v>0.12240043051636862</v>
      </c>
      <c r="F53" s="12">
        <f>IFERROR(F47/F120-1,"n/a")</f>
        <v>0.08044889129259025</v>
      </c>
      <c r="G53" s="12">
        <f>IFERROR(G47/G120-1,"n/a")</f>
        <v>0.08529588770863161</v>
      </c>
      <c r="H53" s="12">
        <f>IFERROR(H47/C47-1,"n/a")</f>
        <v>0.09644208572312518</v>
      </c>
      <c r="I53" s="12">
        <f>IFERROR(I47/D47-1,"n/a")</f>
        <v>0.03108281047261774</v>
      </c>
      <c r="J53" s="44">
        <f>IFERROR(J47/E47-1,"n/a")</f>
        <v>0.02643673296386373</v>
      </c>
      <c r="K53" s="1"/>
    </row>
    <row r="54" ht="40.5">
      <c r="A54" s="1"/>
      <c r="B54" s="144" t="s">
        <v>406</v>
      </c>
      <c r="C54" s="27">
        <f>C47-'Segment - International'!C70+C45+C46</f>
        <v>213.29499999999993</v>
      </c>
      <c r="D54" s="27">
        <f>D47-'Segment - International'!D70+D45+D46</f>
        <v>221.36100000000002</v>
      </c>
      <c r="E54" s="27">
        <f>E47-'Segment - International'!E70+E45+E46</f>
        <v>222.36800000000005</v>
      </c>
      <c r="F54" s="27">
        <f>F47-'Segment - International'!F70+F45+F46</f>
        <v>293.62199999999996</v>
      </c>
      <c r="G54" s="27">
        <f>G47-'Segment - International'!G70+G45+G46</f>
        <v>950.6459999999996</v>
      </c>
      <c r="H54" s="27">
        <f>H47-'Segment - International'!H70+H45+H46</f>
        <v>218.97699999999995</v>
      </c>
      <c r="I54" s="27">
        <f>I47-'Segment - International'!I70+I45+I46</f>
        <v>226.85199999999986</v>
      </c>
      <c r="J54" s="58">
        <f>J47-'Segment - International'!J70+J45+J46</f>
        <v>229.88286979687098</v>
      </c>
      <c r="K54" s="1"/>
    </row>
    <row r="55" ht="40.5">
      <c r="A55" s="1"/>
      <c r="B55" s="154" t="s">
        <v>407</v>
      </c>
      <c r="C55" s="12" t="s">
        <v>76</v>
      </c>
      <c r="D55" s="12" t="s">
        <v>76</v>
      </c>
      <c r="E55" s="12" t="s">
        <v>76</v>
      </c>
      <c r="F55" s="12" t="s">
        <v>76</v>
      </c>
      <c r="G55" s="12" t="s">
        <v>76</v>
      </c>
      <c r="H55" s="12">
        <f>H54/(C47+C45+C46)-1</f>
        <v>0.04227611318689162</v>
      </c>
      <c r="I55" s="12">
        <f>I54/(D47+D45+D46)-1</f>
        <v>0.025732385004588743</v>
      </c>
      <c r="J55" s="44">
        <f>J54/(E47+E45+E46)-1</f>
        <v>0.030088855915144208</v>
      </c>
      <c r="K55" s="1"/>
    </row>
    <row r="56">
      <c r="A56" s="1"/>
      <c r="B56" s="7" t="s">
        <v>408</v>
      </c>
      <c r="C56" s="1"/>
      <c r="D56" s="1"/>
      <c r="E56" s="1"/>
      <c r="F56" s="1"/>
      <c r="G56" s="1"/>
      <c r="H56" s="1"/>
      <c r="I56" s="1"/>
      <c r="J56" s="24"/>
      <c r="K56" s="1"/>
    </row>
    <row r="57" ht="27.75">
      <c r="A57" s="1"/>
      <c r="B57" s="144" t="s">
        <v>409</v>
      </c>
      <c r="C57" s="20">
        <v>24.027</v>
      </c>
      <c r="D57" s="20">
        <v>-15.974</v>
      </c>
      <c r="E57" s="20">
        <v>-3.017</v>
      </c>
      <c r="F57" s="20">
        <v>-7.58</v>
      </c>
      <c r="G57" s="3">
        <f>SUM(C57:F57)</f>
        <v>-2.5439999999999987</v>
      </c>
      <c r="H57" s="20">
        <v>-5.99</v>
      </c>
      <c r="I57" s="20">
        <v>-12.366</v>
      </c>
      <c r="J57" s="40">
        <f>J58*(J60/J59-1)</f>
        <v>-2.330003372681282</v>
      </c>
      <c r="K57" s="141" t="s">
        <v>410</v>
      </c>
    </row>
    <row r="58" ht="27.75">
      <c r="A58" s="1"/>
      <c r="B58" s="155" t="s">
        <v>411</v>
      </c>
      <c r="C58" s="1"/>
      <c r="D58" s="1"/>
      <c r="E58" s="1"/>
      <c r="F58" s="1"/>
      <c r="G58" s="1"/>
      <c r="H58" s="1"/>
      <c r="I58" s="1"/>
      <c r="J58" s="58">
        <f>'Balance Sheet'!I21</f>
        <v>17.714</v>
      </c>
      <c r="K58" s="1"/>
    </row>
    <row r="59" ht="27.75">
      <c r="A59" s="1"/>
      <c r="B59" s="155" t="s">
        <v>412</v>
      </c>
      <c r="C59" s="1"/>
      <c r="D59" s="1"/>
      <c r="E59" s="1"/>
      <c r="F59" s="1"/>
      <c r="G59" s="1"/>
      <c r="H59" s="1"/>
      <c r="I59" s="1"/>
      <c r="J59" s="126">
        <v>35.58</v>
      </c>
      <c r="K59" s="141" t="s">
        <v>413</v>
      </c>
    </row>
    <row r="60" ht="27.75">
      <c r="A60" s="1"/>
      <c r="B60" s="155" t="s">
        <v>414</v>
      </c>
      <c r="C60" s="1"/>
      <c r="D60" s="1"/>
      <c r="E60" s="1"/>
      <c r="F60" s="1"/>
      <c r="G60" s="1"/>
      <c r="H60" s="1"/>
      <c r="I60" s="1"/>
      <c r="J60" s="126">
        <v>30.9</v>
      </c>
      <c r="K60" s="141" t="s">
        <v>415</v>
      </c>
    </row>
    <row r="61" ht="27.75">
      <c r="A61" s="1"/>
      <c r="B61" s="2" t="s">
        <v>416</v>
      </c>
      <c r="C61" s="20">
        <v>3.945</v>
      </c>
      <c r="D61" s="20">
        <v>3.829</v>
      </c>
      <c r="E61" s="20">
        <v>4.0600000000000005</v>
      </c>
      <c r="F61" s="3">
        <f>F70-F62</f>
        <v>3.0460000000000065</v>
      </c>
      <c r="G61" s="3">
        <f>SUM(C61:F61)</f>
        <v>14.880000000000006</v>
      </c>
      <c r="H61" s="20">
        <v>2.502</v>
      </c>
      <c r="I61" s="20">
        <v>1.613</v>
      </c>
      <c r="J61" s="104">
        <v>1.5</v>
      </c>
      <c r="K61" s="141" t="s">
        <v>417</v>
      </c>
    </row>
    <row r="62">
      <c r="A62" s="1"/>
      <c r="B62" s="2" t="s">
        <v>418</v>
      </c>
      <c r="C62" s="20">
        <v>-45.585</v>
      </c>
      <c r="D62" s="20">
        <v>-44.648</v>
      </c>
      <c r="E62" s="20">
        <v>-45.012</v>
      </c>
      <c r="F62" s="3">
        <f>G71-SUM(C62:E62)</f>
        <v>-60.727000000000004</v>
      </c>
      <c r="G62" s="3">
        <f>SUM(C62:F62)</f>
        <v>-195.972</v>
      </c>
      <c r="H62" s="20">
        <v>-46.227</v>
      </c>
      <c r="I62" s="20">
        <v>-46.057</v>
      </c>
      <c r="J62" s="40">
        <f>I62</f>
        <v>-46.057</v>
      </c>
      <c r="K62" s="141" t="s">
        <v>419</v>
      </c>
    </row>
    <row r="63">
      <c r="A63" s="1"/>
      <c r="B63" s="18" t="s">
        <v>420</v>
      </c>
      <c r="C63" s="12" t="s">
        <v>76</v>
      </c>
      <c r="D63" s="12" t="s">
        <v>76</v>
      </c>
      <c r="E63" s="12" t="s">
        <v>76</v>
      </c>
      <c r="F63" s="12" t="s">
        <v>76</v>
      </c>
      <c r="G63" s="12" t="s">
        <v>76</v>
      </c>
      <c r="H63" s="12">
        <f>IFERROR(H61/C61-1,"n/a")</f>
        <v>-0.3657794676806084</v>
      </c>
      <c r="I63" s="12">
        <f>IFERROR(I61/D61-1,"n/a")</f>
        <v>-0.5787411856881692</v>
      </c>
      <c r="J63" s="44">
        <f>IFERROR(J61/E61-1,"n/a")</f>
        <v>-0.6305418719211824</v>
      </c>
      <c r="K63" s="1"/>
    </row>
    <row r="64" ht="27.75">
      <c r="A64" s="1"/>
      <c r="B64" s="154" t="s">
        <v>421</v>
      </c>
      <c r="C64" s="37" t="s">
        <v>76</v>
      </c>
      <c r="D64" s="37">
        <f>D61-C61</f>
        <v>-0.11599999999999966</v>
      </c>
      <c r="E64" s="37">
        <f>E61-D61</f>
        <v>0.23100000000000032</v>
      </c>
      <c r="F64" s="37">
        <f>F61-E61</f>
        <v>-1.013999999999994</v>
      </c>
      <c r="G64" s="37" t="s">
        <v>76</v>
      </c>
      <c r="H64" s="37">
        <f>H61-F61</f>
        <v>-0.5440000000000067</v>
      </c>
      <c r="I64" s="37">
        <f>I61-H61</f>
        <v>-0.8889999999999998</v>
      </c>
      <c r="J64" s="63">
        <f>J61-I61</f>
        <v>-0.11299999999999999</v>
      </c>
      <c r="K64" s="1"/>
    </row>
    <row r="65">
      <c r="A65" s="1"/>
      <c r="B65" s="18" t="s">
        <v>422</v>
      </c>
      <c r="C65" s="12" t="s">
        <v>76</v>
      </c>
      <c r="D65" s="12" t="s">
        <v>76</v>
      </c>
      <c r="E65" s="12" t="s">
        <v>76</v>
      </c>
      <c r="F65" s="12" t="s">
        <v>76</v>
      </c>
      <c r="G65" s="12" t="s">
        <v>76</v>
      </c>
      <c r="H65" s="12">
        <f>IFERROR(H62/C62-1,"n/a")</f>
        <v>0.014083580125040962</v>
      </c>
      <c r="I65" s="12">
        <f>IFERROR(I62/D62-1,"n/a")</f>
        <v>0.03155796452248705</v>
      </c>
      <c r="J65" s="44">
        <f>IFERROR(J62/E62-1,"n/a")</f>
        <v>0.02321603128054739</v>
      </c>
      <c r="K65" s="1"/>
    </row>
    <row r="66" ht="27.75">
      <c r="A66" s="1"/>
      <c r="B66" s="154" t="s">
        <v>423</v>
      </c>
      <c r="C66" s="37" t="s">
        <v>76</v>
      </c>
      <c r="D66" s="37">
        <f>D62-C62</f>
        <v>0.9369999999999976</v>
      </c>
      <c r="E66" s="37">
        <f>E62-D62</f>
        <v>-0.3639999999999972</v>
      </c>
      <c r="F66" s="37">
        <f>F62-E62</f>
        <v>-15.715000000000003</v>
      </c>
      <c r="G66" s="37" t="s">
        <v>76</v>
      </c>
      <c r="H66" s="37">
        <f>H62-F62</f>
        <v>14.500000000000007</v>
      </c>
      <c r="I66" s="37">
        <f>I62-H62</f>
        <v>0.1699999999999946</v>
      </c>
      <c r="J66" s="63">
        <f>J62-I62</f>
        <v>0</v>
      </c>
      <c r="K66" s="1"/>
    </row>
    <row r="67">
      <c r="A67" s="1"/>
      <c r="B67" s="74" t="s">
        <v>424</v>
      </c>
      <c r="C67" s="51">
        <f>C61+C62</f>
        <v>-41.64</v>
      </c>
      <c r="D67" s="51">
        <f>D61+D62</f>
        <v>-40.819</v>
      </c>
      <c r="E67" s="51">
        <f>E61+E62</f>
        <v>-40.952</v>
      </c>
      <c r="F67" s="51">
        <f>F61+F62</f>
        <v>-57.681</v>
      </c>
      <c r="G67" s="51">
        <f>G61+G62</f>
        <v>-181.092</v>
      </c>
      <c r="H67" s="51">
        <f>H61+H62</f>
        <v>-43.724999999999994</v>
      </c>
      <c r="I67" s="51">
        <f>I61+I62</f>
        <v>-44.444</v>
      </c>
      <c r="J67" s="38">
        <f>J61+J62</f>
        <v>-44.557</v>
      </c>
      <c r="K67" s="1"/>
    </row>
    <row r="68">
      <c r="A68" s="1"/>
      <c r="B68" s="18" t="s">
        <v>425</v>
      </c>
      <c r="C68" s="12" t="s">
        <v>76</v>
      </c>
      <c r="D68" s="12" t="s">
        <v>76</v>
      </c>
      <c r="E68" s="12" t="s">
        <v>76</v>
      </c>
      <c r="F68" s="12" t="s">
        <v>76</v>
      </c>
      <c r="G68" s="12" t="s">
        <v>76</v>
      </c>
      <c r="H68" s="12">
        <f>IFERROR(H67/C67-1,"n/a")</f>
        <v>0.05007204610950988</v>
      </c>
      <c r="I68" s="12">
        <f>IFERROR(I67/D67-1,"n/a")</f>
        <v>0.08880668316225293</v>
      </c>
      <c r="J68" s="44">
        <f>IFERROR(J67/E67-1,"n/a")</f>
        <v>0.08802988865012717</v>
      </c>
      <c r="K68" s="1"/>
    </row>
    <row r="69" ht="27.75">
      <c r="A69" s="1"/>
      <c r="B69" s="154" t="s">
        <v>426</v>
      </c>
      <c r="C69" s="37" t="s">
        <v>76</v>
      </c>
      <c r="D69" s="37">
        <f>D67-C67</f>
        <v>0.820999999999998</v>
      </c>
      <c r="E69" s="37">
        <f>E67-D67</f>
        <v>-0.13299999999999557</v>
      </c>
      <c r="F69" s="37">
        <f>F67-E67</f>
        <v>-16.729</v>
      </c>
      <c r="G69" s="37" t="s">
        <v>76</v>
      </c>
      <c r="H69" s="37">
        <f>H67-F67</f>
        <v>13.956000000000003</v>
      </c>
      <c r="I69" s="37">
        <f>I67-H67</f>
        <v>-0.7190000000000083</v>
      </c>
      <c r="J69" s="63">
        <f>J67-I67</f>
        <v>-0.11299999999999955</v>
      </c>
      <c r="K69" s="1"/>
    </row>
    <row r="70" ht="27.75">
      <c r="A70" s="1"/>
      <c r="B70" s="155" t="s">
        <v>427</v>
      </c>
      <c r="C70" s="1"/>
      <c r="D70" s="1"/>
      <c r="E70" s="1"/>
      <c r="F70" s="20">
        <v>-57.681</v>
      </c>
      <c r="G70" s="1"/>
      <c r="H70" s="1"/>
      <c r="I70" s="1"/>
      <c r="J70" s="24"/>
      <c r="K70" s="141" t="s">
        <v>428</v>
      </c>
    </row>
    <row r="71" ht="27.75">
      <c r="A71" s="1"/>
      <c r="B71" s="155" t="s">
        <v>429</v>
      </c>
      <c r="C71" s="1"/>
      <c r="D71" s="1"/>
      <c r="E71" s="1"/>
      <c r="F71" s="1"/>
      <c r="G71" s="20">
        <v>-195.972</v>
      </c>
      <c r="H71" s="1"/>
      <c r="I71" s="1"/>
      <c r="J71" s="24"/>
      <c r="K71" s="141" t="s">
        <v>430</v>
      </c>
    </row>
    <row r="72" ht="27.75">
      <c r="A72" s="1"/>
      <c r="B72" s="143" t="s">
        <v>431</v>
      </c>
      <c r="C72" s="51">
        <f>C47+C57+C67</f>
        <v>192.48199999999997</v>
      </c>
      <c r="D72" s="51">
        <f>D47+D57+D67</f>
        <v>168.25100000000003</v>
      </c>
      <c r="E72" s="51">
        <f>E47+E57+E67</f>
        <v>179.19900000000007</v>
      </c>
      <c r="F72" s="51">
        <f>F47+F57+F67</f>
        <v>230.40599999999995</v>
      </c>
      <c r="G72" s="51">
        <f>G47+G57+G67</f>
        <v>770.3379999999996</v>
      </c>
      <c r="H72" s="51">
        <f>H47+H57+H67</f>
        <v>180.64199999999994</v>
      </c>
      <c r="I72" s="51">
        <f>I47+I57+I67</f>
        <v>175.22899999999981</v>
      </c>
      <c r="J72" s="38">
        <f>J47+J57+J67</f>
        <v>182.1808294493983</v>
      </c>
      <c r="K72" s="1"/>
    </row>
    <row r="73">
      <c r="A73" s="1"/>
      <c r="B73" s="2" t="s">
        <v>432</v>
      </c>
      <c r="C73" s="20">
        <v>42.831</v>
      </c>
      <c r="D73" s="20">
        <v>37.16</v>
      </c>
      <c r="E73" s="20">
        <v>39.88</v>
      </c>
      <c r="F73" s="20">
        <v>48.763</v>
      </c>
      <c r="G73" s="3">
        <f>SUM(C73:F73)</f>
        <v>168.63400000000001</v>
      </c>
      <c r="H73" s="20">
        <v>40.831</v>
      </c>
      <c r="I73" s="20">
        <v>39.479</v>
      </c>
      <c r="J73" s="40">
        <f>J72*J74</f>
        <v>40.808505796665216</v>
      </c>
      <c r="K73" s="141" t="s">
        <v>108</v>
      </c>
    </row>
    <row r="74">
      <c r="A74" s="1"/>
      <c r="B74" s="18" t="s">
        <v>433</v>
      </c>
      <c r="C74" s="12">
        <f>C73/C72</f>
        <v>0.22251950831766093</v>
      </c>
      <c r="D74" s="12">
        <f>D73/D72</f>
        <v>0.2208605000861807</v>
      </c>
      <c r="E74" s="12">
        <f>E73/E72</f>
        <v>0.22254588474266032</v>
      </c>
      <c r="F74" s="12">
        <f>F73/F72</f>
        <v>0.21163945383366756</v>
      </c>
      <c r="G74" s="12">
        <f>G73/G72</f>
        <v>0.2189091022382384</v>
      </c>
      <c r="H74" s="12">
        <f>H73/H72</f>
        <v>0.22603270557234761</v>
      </c>
      <c r="I74" s="12">
        <f>I73/I72</f>
        <v>0.22529946527115968</v>
      </c>
      <c r="J74" s="66">
        <v>0.224</v>
      </c>
      <c r="K74" s="141" t="s">
        <v>434</v>
      </c>
    </row>
    <row r="75">
      <c r="A75" s="1"/>
      <c r="B75" s="18" t="s">
        <v>435</v>
      </c>
      <c r="C75" s="12" t="s">
        <v>76</v>
      </c>
      <c r="D75" s="12" t="s">
        <v>76</v>
      </c>
      <c r="E75" s="12" t="s">
        <v>76</v>
      </c>
      <c r="F75" s="12" t="s">
        <v>76</v>
      </c>
      <c r="G75" s="12" t="s">
        <v>76</v>
      </c>
      <c r="H75" s="12">
        <f>IFERROR(H73/C73-1,"n/a")</f>
        <v>-0.046695150708598865</v>
      </c>
      <c r="I75" s="12">
        <f>IFERROR(I73/D73-1,"n/a")</f>
        <v>0.0624058127018301</v>
      </c>
      <c r="J75" s="44">
        <f>IFERROR(J73/E73-1,"n/a")</f>
        <v>0.02328249239381175</v>
      </c>
      <c r="K75" s="1"/>
    </row>
    <row r="76" ht="27.75">
      <c r="A76" s="1"/>
      <c r="B76" s="154" t="s">
        <v>436</v>
      </c>
      <c r="C76" s="37" t="s">
        <v>76</v>
      </c>
      <c r="D76" s="37">
        <f>D73-C73</f>
        <v>-5.6710000000000065</v>
      </c>
      <c r="E76" s="37">
        <f>E73-D73</f>
        <v>2.720000000000006</v>
      </c>
      <c r="F76" s="37">
        <f>F73-E73</f>
        <v>8.882999999999996</v>
      </c>
      <c r="G76" s="37" t="s">
        <v>76</v>
      </c>
      <c r="H76" s="37">
        <f>H73-F73</f>
        <v>-7.931999999999995</v>
      </c>
      <c r="I76" s="37">
        <f>I73-H73</f>
        <v>-1.3520000000000039</v>
      </c>
      <c r="J76" s="63">
        <f>J73-I73</f>
        <v>1.3295057966652166</v>
      </c>
      <c r="K76" s="1"/>
    </row>
    <row r="77" ht="27.75">
      <c r="A77" s="1"/>
      <c r="B77" s="154" t="s">
        <v>437</v>
      </c>
      <c r="C77" s="21" t="s">
        <v>76</v>
      </c>
      <c r="D77" s="21" t="s">
        <v>76</v>
      </c>
      <c r="E77" s="21" t="s">
        <v>76</v>
      </c>
      <c r="F77" s="21" t="s">
        <v>76</v>
      </c>
      <c r="G77" s="21" t="s">
        <v>76</v>
      </c>
      <c r="H77" s="21">
        <f>IFERROR((H74-C74)*10000,"n/a")</f>
        <v>35.13197254686684</v>
      </c>
      <c r="I77" s="21">
        <f>IFERROR((I74-D74)*10000,"n/a")</f>
        <v>44.389651849789935</v>
      </c>
      <c r="J77" s="46">
        <f>IFERROR((J74-E74)*10000,"n/a")</f>
        <v>14.541152573396833</v>
      </c>
      <c r="K77" s="1"/>
    </row>
    <row r="78" ht="27.75">
      <c r="A78" s="1"/>
      <c r="B78" s="154" t="s">
        <v>438</v>
      </c>
      <c r="C78" s="21" t="s">
        <v>76</v>
      </c>
      <c r="D78" s="21">
        <f>IFERROR((D74-C74)*10000,"n/a")</f>
        <v>-16.590082314802412</v>
      </c>
      <c r="E78" s="21">
        <f>IFERROR((E74-D74)*10000,"n/a")</f>
        <v>16.853846564796328</v>
      </c>
      <c r="F78" s="21">
        <f>IFERROR((F74-E74)*10000,"n/a")</f>
        <v>-109.06430908992765</v>
      </c>
      <c r="G78" s="21" t="s">
        <v>76</v>
      </c>
      <c r="H78" s="21">
        <f>IFERROR((H74-F74)*10000,"n/a")</f>
        <v>143.93251738680058</v>
      </c>
      <c r="I78" s="21">
        <f>IFERROR((I74-H74)*10000,"n/a")</f>
        <v>-7.332403011879318</v>
      </c>
      <c r="J78" s="46">
        <f>IFERROR((J74-I74)*10000,"n/a")</f>
        <v>-12.994652711596776</v>
      </c>
      <c r="K78" s="1"/>
    </row>
    <row r="79" ht="27.75">
      <c r="A79" s="1"/>
      <c r="B79" s="143" t="s">
        <v>439</v>
      </c>
      <c r="C79" s="51">
        <f>C72-C73</f>
        <v>149.65099999999995</v>
      </c>
      <c r="D79" s="51">
        <f>D72-D73</f>
        <v>131.09100000000004</v>
      </c>
      <c r="E79" s="51">
        <f>E72-E73</f>
        <v>139.31900000000007</v>
      </c>
      <c r="F79" s="51">
        <f>F72-F73</f>
        <v>181.64299999999994</v>
      </c>
      <c r="G79" s="51">
        <f>G72-G73</f>
        <v>601.7039999999996</v>
      </c>
      <c r="H79" s="51">
        <f>H72-H73</f>
        <v>139.81099999999992</v>
      </c>
      <c r="I79" s="51">
        <f>I72-I73</f>
        <v>135.74999999999983</v>
      </c>
      <c r="J79" s="38">
        <f>J72-J73</f>
        <v>141.3723236527331</v>
      </c>
      <c r="K79" s="1"/>
    </row>
    <row r="80">
      <c r="A80" s="1"/>
      <c r="B80" s="2" t="s">
        <v>440</v>
      </c>
      <c r="C80" s="20">
        <v>149.651</v>
      </c>
      <c r="D80" s="20">
        <v>131.091</v>
      </c>
      <c r="E80" s="20">
        <v>139.31900000000002</v>
      </c>
      <c r="F80" s="20">
        <v>181.643</v>
      </c>
      <c r="G80" s="3">
        <f>SUM(C80:F80)</f>
        <v>601.7040000000001</v>
      </c>
      <c r="H80" s="20">
        <v>139.811</v>
      </c>
      <c r="I80" s="20">
        <v>135.75</v>
      </c>
      <c r="J80" s="24"/>
      <c r="K80" s="141" t="s">
        <v>108</v>
      </c>
    </row>
    <row r="81" ht="27.75">
      <c r="A81" s="1"/>
      <c r="B81" s="140" t="s">
        <v>400</v>
      </c>
      <c r="C81" s="37">
        <f>C79-C80</f>
        <v>0</v>
      </c>
      <c r="D81" s="37">
        <f>D79-D80</f>
        <v>0</v>
      </c>
      <c r="E81" s="37">
        <f>E79-E80</f>
        <v>0</v>
      </c>
      <c r="F81" s="37">
        <f>F79-F80</f>
        <v>0</v>
      </c>
      <c r="G81" s="37">
        <f>G79-G80</f>
        <v>0</v>
      </c>
      <c r="H81" s="37">
        <f>H79-H80</f>
        <v>0</v>
      </c>
      <c r="I81" s="37">
        <f>I79-I80</f>
        <v>0</v>
      </c>
      <c r="J81" s="24"/>
      <c r="K81" s="1"/>
    </row>
    <row r="82">
      <c r="A82" s="1"/>
      <c r="B82" s="6" t="s">
        <v>441</v>
      </c>
      <c r="C82" s="12">
        <f>C79/C15</f>
        <v>0.13457146043005025</v>
      </c>
      <c r="D82" s="12">
        <f>D79/D15</f>
        <v>0.11447555940562937</v>
      </c>
      <c r="E82" s="12">
        <f>E79/E15</f>
        <v>0.12145810049047391</v>
      </c>
      <c r="F82" s="12">
        <f>F79/F15</f>
        <v>0.11827718233555155</v>
      </c>
      <c r="G82" s="12">
        <f>G79/G15</f>
        <v>0.12180257708815023</v>
      </c>
      <c r="H82" s="12">
        <f>H79/H15</f>
        <v>0.12151201900931163</v>
      </c>
      <c r="I82" s="12">
        <f>I79/I15</f>
        <v>0.11365282265052602</v>
      </c>
      <c r="J82" s="44">
        <f>J79/J15</f>
        <v>0.12047740454644472</v>
      </c>
      <c r="K82" s="1"/>
    </row>
    <row r="83">
      <c r="A83" s="1"/>
      <c r="B83" s="18" t="s">
        <v>442</v>
      </c>
      <c r="C83" s="21" t="s">
        <v>76</v>
      </c>
      <c r="D83" s="21" t="s">
        <v>76</v>
      </c>
      <c r="E83" s="21" t="s">
        <v>76</v>
      </c>
      <c r="F83" s="21" t="s">
        <v>76</v>
      </c>
      <c r="G83" s="21" t="s">
        <v>76</v>
      </c>
      <c r="H83" s="21">
        <f>IFERROR((H82-C82)*10000,"n/a")</f>
        <v>-130.59441420738617</v>
      </c>
      <c r="I83" s="21">
        <f>IFERROR((I82-D82)*10000,"n/a")</f>
        <v>-8.227367551033455</v>
      </c>
      <c r="J83" s="46">
        <f>IFERROR((J82-E82)*10000,"n/a")</f>
        <v>-9.806959440291918</v>
      </c>
      <c r="K83" s="1"/>
    </row>
    <row r="84" ht="27.75">
      <c r="A84" s="1"/>
      <c r="B84" s="154" t="s">
        <v>443</v>
      </c>
      <c r="C84" s="21" t="s">
        <v>76</v>
      </c>
      <c r="D84" s="21">
        <f>IFERROR((D82-C82)*10000,"n/a")</f>
        <v>-200.95901024420883</v>
      </c>
      <c r="E84" s="21">
        <f>IFERROR((E82-D82)*10000,"n/a")</f>
        <v>69.82541084844543</v>
      </c>
      <c r="F84" s="21">
        <f>IFERROR((F82-E82)*10000,"n/a")</f>
        <v>-31.809181549223574</v>
      </c>
      <c r="G84" s="21" t="s">
        <v>76</v>
      </c>
      <c r="H84" s="21">
        <f>IFERROR((H82-F82)*10000,"n/a")</f>
        <v>32.348366737600806</v>
      </c>
      <c r="I84" s="21">
        <f>IFERROR((I82-H82)*10000,"n/a")</f>
        <v>-78.59196358785611</v>
      </c>
      <c r="J84" s="46">
        <f>IFERROR((J82-I82)*10000,"n/a")</f>
        <v>68.24581895918696</v>
      </c>
      <c r="K84" s="1"/>
    </row>
    <row r="85">
      <c r="A85" s="1"/>
      <c r="B85" s="18" t="s">
        <v>444</v>
      </c>
      <c r="C85" s="12">
        <f>IFERROR(C79/C121-1,"n/a")</f>
        <v>0.18936768819938932</v>
      </c>
      <c r="D85" s="12">
        <f>IFERROR(D79/D121-1,"n/a")</f>
        <v>-0.07668089422304847</v>
      </c>
      <c r="E85" s="12">
        <f>IFERROR(E79/E121-1,"n/a")</f>
        <v>-0.051761454901853576</v>
      </c>
      <c r="F85" s="12">
        <f>IFERROR(F79/F121-1,"n/a")</f>
        <v>0.07199428719812984</v>
      </c>
      <c r="G85" s="12">
        <f>IFERROR(G79/G121-1,"n/a")</f>
        <v>0.030015235291096065</v>
      </c>
      <c r="H85" s="12">
        <f>IFERROR(H79/C79-1,"n/a")</f>
        <v>-0.06575298527908291</v>
      </c>
      <c r="I85" s="12">
        <f>IFERROR(I79/D79-1,"n/a")</f>
        <v>0.035540197267545315</v>
      </c>
      <c r="J85" s="44">
        <f>IFERROR(J79/E79-1,"n/a")</f>
        <v>0.014738288767023988</v>
      </c>
      <c r="K85" s="1"/>
    </row>
    <row r="86">
      <c r="A86" s="1"/>
      <c r="B86" s="7" t="s">
        <v>445</v>
      </c>
      <c r="C86" s="1"/>
      <c r="D86" s="1"/>
      <c r="E86" s="1"/>
      <c r="F86" s="1"/>
      <c r="G86" s="1"/>
      <c r="H86" s="1"/>
      <c r="I86" s="1"/>
      <c r="J86" s="24"/>
      <c r="K86" s="1"/>
    </row>
    <row r="87" ht="27.75">
      <c r="A87" s="1"/>
      <c r="B87" s="144" t="s">
        <v>446</v>
      </c>
      <c r="C87" s="17">
        <f>'Share Count'!C22</f>
        <v>34.284051999999996</v>
      </c>
      <c r="D87" s="17">
        <f>'Share Count'!D22</f>
        <v>34.163399</v>
      </c>
      <c r="E87" s="17">
        <f>'Share Count'!E22</f>
        <v>33.919706</v>
      </c>
      <c r="F87" s="17">
        <f>'Share Count'!F22</f>
        <v>33.747614500000005</v>
      </c>
      <c r="G87" s="17">
        <f>'Share Count'!G22</f>
        <v>34.007071</v>
      </c>
      <c r="H87" s="17">
        <f>'Share Count'!H22</f>
        <v>33.609349</v>
      </c>
      <c r="I87" s="17">
        <f>'Share Count'!I22</f>
        <v>33.221944</v>
      </c>
      <c r="J87" s="129">
        <f>'Share Count'!J22</f>
        <v>32.925485</v>
      </c>
      <c r="K87" s="1"/>
    </row>
    <row r="88" ht="27.75">
      <c r="A88" s="1"/>
      <c r="B88" s="144" t="s">
        <v>447</v>
      </c>
      <c r="C88" s="17">
        <f>'Share Count'!C29</f>
        <v>34.55382</v>
      </c>
      <c r="D88" s="17">
        <f>'Share Count'!D29</f>
        <v>34.401016</v>
      </c>
      <c r="E88" s="17">
        <f>'Share Count'!E29</f>
        <v>34.146418</v>
      </c>
      <c r="F88" s="17">
        <f>'Share Count'!F29</f>
        <v>33.958449</v>
      </c>
      <c r="G88" s="17">
        <f>'Share Count'!G29</f>
        <v>34.237646</v>
      </c>
      <c r="H88" s="17">
        <f>'Share Count'!H29</f>
        <v>33.815028</v>
      </c>
      <c r="I88" s="17">
        <f>'Share Count'!I29</f>
        <v>33.318244</v>
      </c>
      <c r="J88" s="129">
        <f>'Share Count'!J29</f>
        <v>33.010485</v>
      </c>
      <c r="K88" s="1"/>
    </row>
    <row r="89">
      <c r="A89" s="1"/>
      <c r="B89" s="2" t="s">
        <v>448</v>
      </c>
      <c r="C89" s="39">
        <f>C79/C87</f>
        <v>4.365032464657327</v>
      </c>
      <c r="D89" s="39">
        <f>D79/D87</f>
        <v>3.837176739937383</v>
      </c>
      <c r="E89" s="39">
        <f>E79/E87</f>
        <v>4.10731743960281</v>
      </c>
      <c r="F89" s="39">
        <f>F79/F87</f>
        <v>5.382395250485035</v>
      </c>
      <c r="G89" s="39">
        <f>G79/G87</f>
        <v>17.693496743662504</v>
      </c>
      <c r="H89" s="39">
        <f>H79/H87</f>
        <v>4.159884203648215</v>
      </c>
      <c r="I89" s="39">
        <f>I79/I87</f>
        <v>4.086154621174481</v>
      </c>
      <c r="J89" s="123">
        <f>J79/J87</f>
        <v>4.293705123940713</v>
      </c>
      <c r="K89" s="1"/>
    </row>
    <row r="90">
      <c r="A90" s="1"/>
      <c r="B90" s="13" t="s">
        <v>449</v>
      </c>
      <c r="C90" s="121">
        <f>C79/C88</f>
        <v>4.330953856910754</v>
      </c>
      <c r="D90" s="121">
        <f>D79/D88</f>
        <v>3.8106723359565904</v>
      </c>
      <c r="E90" s="121">
        <f>E79/E88</f>
        <v>4.080047283436877</v>
      </c>
      <c r="F90" s="121">
        <f>F79/F88</f>
        <v>5.348978099677048</v>
      </c>
      <c r="G90" s="121">
        <f>G79/G88</f>
        <v>17.574339076933025</v>
      </c>
      <c r="H90" s="121">
        <f>H79/H88</f>
        <v>4.134581819657223</v>
      </c>
      <c r="I90" s="121">
        <f>I79/I88</f>
        <v>4.074344374211313</v>
      </c>
      <c r="J90" s="128">
        <f>J79/J88</f>
        <v>4.282649093242134</v>
      </c>
      <c r="K90" s="1"/>
    </row>
    <row r="91">
      <c r="A91" s="1"/>
      <c r="B91" s="2" t="s">
        <v>450</v>
      </c>
      <c r="C91" s="101">
        <v>4.33</v>
      </c>
      <c r="D91" s="101">
        <v>3.81</v>
      </c>
      <c r="E91" s="101">
        <v>4.08</v>
      </c>
      <c r="F91" s="101">
        <v>5.35</v>
      </c>
      <c r="G91" s="101">
        <v>17.57</v>
      </c>
      <c r="H91" s="101">
        <v>4.13</v>
      </c>
      <c r="I91" s="101">
        <v>4.07</v>
      </c>
      <c r="J91" s="24"/>
      <c r="K91" s="141" t="s">
        <v>108</v>
      </c>
    </row>
    <row r="92" ht="27.75">
      <c r="A92" s="1"/>
      <c r="B92" s="140" t="s">
        <v>451</v>
      </c>
      <c r="C92" s="103" t="b">
        <f>ABS(C90-C91)&lt;0.005</f>
        <v>1</v>
      </c>
      <c r="D92" s="103" t="b">
        <f>ABS(D90-D91)&lt;0.005</f>
        <v>1</v>
      </c>
      <c r="E92" s="103" t="b">
        <f>ABS(E90-E91)&lt;0.005</f>
        <v>1</v>
      </c>
      <c r="F92" s="103" t="b">
        <f>ABS(F90-F91)&lt;0.005</f>
        <v>1</v>
      </c>
      <c r="G92" s="103" t="b">
        <f>ABS(G90-G91)&lt;0.005</f>
        <v>1</v>
      </c>
      <c r="H92" s="103" t="b">
        <f>ABS(H90-H91)&lt;0.005</f>
        <v>1</v>
      </c>
      <c r="I92" s="103" t="b">
        <f>ABS(I90-I91)&lt;0.005</f>
        <v>1</v>
      </c>
      <c r="J92" s="24"/>
      <c r="K92" s="1"/>
    </row>
    <row r="93">
      <c r="A93" s="1"/>
      <c r="B93" s="18" t="s">
        <v>452</v>
      </c>
      <c r="C93" s="12">
        <f>IFERROR(C90/C125-1,"n/a")</f>
        <v>0.20976364718177476</v>
      </c>
      <c r="D93" s="12">
        <f>IFERROR(D90/D125-1,"n/a")</f>
        <v>-0.05442373797603217</v>
      </c>
      <c r="E93" s="12">
        <f>IFERROR(E90/E125-1,"n/a")</f>
        <v>-0.026241698463752572</v>
      </c>
      <c r="F93" s="12">
        <f>IFERROR(F90/F125-1,"n/a")</f>
        <v>0.09386055208119592</v>
      </c>
      <c r="G93" s="12">
        <f>IFERROR(G90/G125-1,"n/a")</f>
        <v>0.052986163986400436</v>
      </c>
      <c r="H93" s="12">
        <f>IFERROR(H90/C90-1,"n/a")</f>
        <v>-0.045341521461880085</v>
      </c>
      <c r="I93" s="12">
        <f>IFERROR(I90/D90-1,"n/a")</f>
        <v>0.06919304915481073</v>
      </c>
      <c r="J93" s="44">
        <f>IFERROR(J90/E90-1,"n/a")</f>
        <v>0.04965673084910738</v>
      </c>
      <c r="K93" s="1"/>
    </row>
    <row r="94">
      <c r="A94" s="1"/>
      <c r="B94" s="18" t="s">
        <v>453</v>
      </c>
      <c r="C94" s="122">
        <f>C90-C125</f>
        <v>0.7509538569107539</v>
      </c>
      <c r="D94" s="122">
        <f>D90-D125</f>
        <v>-0.21932766404340986</v>
      </c>
      <c r="E94" s="122">
        <f>E90-E125</f>
        <v>-0.10995271656312333</v>
      </c>
      <c r="F94" s="122">
        <f>F90-F125</f>
        <v>0.45897809967704806</v>
      </c>
      <c r="G94" s="122">
        <f>G90-G125</f>
        <v>0.8843390769330242</v>
      </c>
      <c r="H94" s="122">
        <f>H90-C90</f>
        <v>-0.19637203725353114</v>
      </c>
      <c r="I94" s="122">
        <f>I90-D90</f>
        <v>0.2636720382547222</v>
      </c>
      <c r="J94" s="130">
        <f>J90-E90</f>
        <v>0.2026018098052571</v>
      </c>
      <c r="K94" s="1"/>
    </row>
    <row r="95" ht="27.75">
      <c r="A95" s="1"/>
      <c r="B95" s="142" t="s">
        <v>454</v>
      </c>
      <c r="C95" s="1"/>
      <c r="D95" s="1"/>
      <c r="E95" s="1"/>
      <c r="F95" s="1"/>
      <c r="G95" s="1"/>
      <c r="H95" s="1"/>
      <c r="I95" s="1"/>
      <c r="J95" s="24"/>
      <c r="K95" s="1"/>
    </row>
    <row r="96">
      <c r="A96" s="1"/>
      <c r="B96" s="2" t="s">
        <v>455</v>
      </c>
      <c r="C96" s="3">
        <f>C79</f>
        <v>149.65099999999995</v>
      </c>
      <c r="D96" s="3">
        <f>D79</f>
        <v>131.09100000000004</v>
      </c>
      <c r="E96" s="3">
        <f>E79</f>
        <v>139.31900000000007</v>
      </c>
      <c r="F96" s="3">
        <f>F79</f>
        <v>181.64299999999994</v>
      </c>
      <c r="G96" s="3">
        <f>G79</f>
        <v>601.7039999999996</v>
      </c>
      <c r="H96" s="3">
        <f>H79</f>
        <v>139.81099999999992</v>
      </c>
      <c r="I96" s="3">
        <f>I79</f>
        <v>135.74999999999983</v>
      </c>
      <c r="J96" s="40">
        <f>J79</f>
        <v>141.3723236527331</v>
      </c>
      <c r="K96" s="1"/>
    </row>
    <row r="97" ht="27.75">
      <c r="A97" s="1"/>
      <c r="B97" s="144" t="s">
        <v>456</v>
      </c>
      <c r="C97" s="20">
        <v>0</v>
      </c>
      <c r="D97" s="20">
        <v>0</v>
      </c>
      <c r="E97" s="20">
        <v>0</v>
      </c>
      <c r="F97" s="20">
        <v>0</v>
      </c>
      <c r="G97" s="20">
        <v>0</v>
      </c>
      <c r="H97" s="20">
        <v>0</v>
      </c>
      <c r="I97" s="20">
        <v>0</v>
      </c>
      <c r="J97" s="104">
        <v>0</v>
      </c>
      <c r="K97" s="141" t="s">
        <v>457</v>
      </c>
    </row>
    <row r="98" ht="27.75">
      <c r="A98" s="1"/>
      <c r="B98" s="144" t="s">
        <v>458</v>
      </c>
      <c r="C98" s="20">
        <v>0</v>
      </c>
      <c r="D98" s="20">
        <v>0</v>
      </c>
      <c r="E98" s="20">
        <v>0</v>
      </c>
      <c r="F98" s="20">
        <v>0</v>
      </c>
      <c r="G98" s="20">
        <v>0</v>
      </c>
      <c r="H98" s="20">
        <v>0</v>
      </c>
      <c r="I98" s="20">
        <v>0</v>
      </c>
      <c r="J98" s="104">
        <v>0</v>
      </c>
      <c r="K98" s="141" t="s">
        <v>457</v>
      </c>
    </row>
    <row r="99" ht="27.75">
      <c r="A99" s="1"/>
      <c r="B99" s="144" t="s">
        <v>459</v>
      </c>
      <c r="C99" s="20">
        <v>0</v>
      </c>
      <c r="D99" s="20">
        <v>0</v>
      </c>
      <c r="E99" s="20">
        <v>0</v>
      </c>
      <c r="F99" s="20">
        <v>0</v>
      </c>
      <c r="G99" s="20">
        <v>0</v>
      </c>
      <c r="H99" s="20">
        <v>0</v>
      </c>
      <c r="I99" s="20">
        <v>0</v>
      </c>
      <c r="J99" s="104">
        <v>0</v>
      </c>
      <c r="K99" s="141" t="s">
        <v>457</v>
      </c>
    </row>
    <row r="100" ht="27.75">
      <c r="A100" s="1"/>
      <c r="B100" s="2" t="s">
        <v>460</v>
      </c>
      <c r="C100" s="20">
        <v>0</v>
      </c>
      <c r="D100" s="20">
        <v>0</v>
      </c>
      <c r="E100" s="20">
        <v>0</v>
      </c>
      <c r="F100" s="20">
        <v>0</v>
      </c>
      <c r="G100" s="20">
        <v>0</v>
      </c>
      <c r="H100" s="20">
        <v>0</v>
      </c>
      <c r="I100" s="20">
        <v>0</v>
      </c>
      <c r="J100" s="104">
        <v>0</v>
      </c>
      <c r="K100" s="141" t="s">
        <v>457</v>
      </c>
    </row>
    <row r="101" ht="27.75">
      <c r="A101" s="1"/>
      <c r="B101" s="143" t="s">
        <v>461</v>
      </c>
      <c r="C101" s="51">
        <f>SUM(C96:C100)</f>
        <v>149.65099999999995</v>
      </c>
      <c r="D101" s="51">
        <f>SUM(D96:D100)</f>
        <v>131.09100000000004</v>
      </c>
      <c r="E101" s="51">
        <f>SUM(E96:E100)</f>
        <v>139.31900000000007</v>
      </c>
      <c r="F101" s="51">
        <f>SUM(F96:F100)</f>
        <v>181.64299999999994</v>
      </c>
      <c r="G101" s="51">
        <f>SUM(G96:G100)</f>
        <v>601.7039999999996</v>
      </c>
      <c r="H101" s="51">
        <f>SUM(H96:H100)</f>
        <v>139.81099999999992</v>
      </c>
      <c r="I101" s="51">
        <f>SUM(I96:I100)</f>
        <v>135.74999999999983</v>
      </c>
      <c r="J101" s="38">
        <f>SUM(J96:J100)</f>
        <v>141.3723236527331</v>
      </c>
      <c r="K101" s="1"/>
    </row>
    <row r="102" ht="27.75">
      <c r="A102" s="1"/>
      <c r="B102" s="143" t="s">
        <v>462</v>
      </c>
      <c r="C102" s="121">
        <f>C101/C88</f>
        <v>4.330953856910754</v>
      </c>
      <c r="D102" s="121">
        <f>D101/D88</f>
        <v>3.8106723359565904</v>
      </c>
      <c r="E102" s="121">
        <f>E101/E88</f>
        <v>4.080047283436877</v>
      </c>
      <c r="F102" s="121">
        <f>F101/F88</f>
        <v>5.348978099677048</v>
      </c>
      <c r="G102" s="121">
        <f>G101/G88</f>
        <v>17.574339076933025</v>
      </c>
      <c r="H102" s="121">
        <f>H101/H88</f>
        <v>4.134581819657223</v>
      </c>
      <c r="I102" s="121">
        <f>I101/I88</f>
        <v>4.074344374211313</v>
      </c>
      <c r="J102" s="128">
        <f>J101/J88</f>
        <v>4.282649093242134</v>
      </c>
      <c r="K102" s="1"/>
    </row>
    <row r="103" ht="27.75">
      <c r="A103" s="1"/>
      <c r="B103" s="144" t="s">
        <v>463</v>
      </c>
      <c r="C103" s="4">
        <f>Inputs!C90</f>
        <v>4.33</v>
      </c>
      <c r="D103" s="4">
        <f>Inputs!D90</f>
        <v>3.81</v>
      </c>
      <c r="E103" s="4">
        <f>Inputs!E90</f>
        <v>4.08</v>
      </c>
      <c r="F103" s="4">
        <f>Inputs!F90</f>
        <v>5.35</v>
      </c>
      <c r="G103" s="1"/>
      <c r="H103" s="4">
        <f>Inputs!H90</f>
        <v>4.13</v>
      </c>
      <c r="I103" s="4">
        <f>Inputs!I90</f>
        <v>4.07</v>
      </c>
      <c r="J103" s="24"/>
      <c r="K103" s="141" t="s">
        <v>464</v>
      </c>
    </row>
    <row r="104" ht="27.75">
      <c r="A104" s="1"/>
      <c r="B104" s="140" t="s">
        <v>465</v>
      </c>
      <c r="C104" s="103" t="b">
        <f>ABS(C102-C103)&lt;0.005</f>
        <v>1</v>
      </c>
      <c r="D104" s="103" t="b">
        <f>ABS(D102-D103)&lt;0.005</f>
        <v>1</v>
      </c>
      <c r="E104" s="103" t="b">
        <f>ABS(E102-E103)&lt;0.005</f>
        <v>1</v>
      </c>
      <c r="F104" s="103" t="b">
        <f>ABS(F102-F103)&lt;0.005</f>
        <v>1</v>
      </c>
      <c r="G104" s="1"/>
      <c r="H104" s="103" t="b">
        <f>ABS(H102-H103)&lt;0.005</f>
        <v>1</v>
      </c>
      <c r="I104" s="103" t="b">
        <f>ABS(I102-I103)&lt;0.005</f>
        <v>1</v>
      </c>
      <c r="J104" s="24"/>
      <c r="K104" s="1"/>
    </row>
    <row r="105" ht="40.5">
      <c r="A105" s="1"/>
      <c r="B105" s="144" t="s">
        <v>466</v>
      </c>
      <c r="C105" s="3">
        <f>-C45-C46+C57</f>
        <v>24.027</v>
      </c>
      <c r="D105" s="3">
        <f>-D45-D46+D57</f>
        <v>-12.091000000000001</v>
      </c>
      <c r="E105" s="3">
        <f>-E45-E46+E57</f>
        <v>-3.017</v>
      </c>
      <c r="F105" s="3">
        <f>-F45-F46+F57</f>
        <v>-7.4350000000000005</v>
      </c>
      <c r="G105" s="3">
        <f>-G45-G46+G57</f>
        <v>1.4840000000000009</v>
      </c>
      <c r="H105" s="3">
        <f>-H45-H46+H57</f>
        <v>1.79</v>
      </c>
      <c r="I105" s="3">
        <f>-I45-I46+I57</f>
        <v>-8.279</v>
      </c>
      <c r="J105" s="40">
        <f>-J45-J46+J57</f>
        <v>-2.330003372681282</v>
      </c>
      <c r="K105" s="1"/>
    </row>
    <row r="106" ht="27.75">
      <c r="A106" s="1"/>
      <c r="B106" s="144" t="s">
        <v>467</v>
      </c>
      <c r="C106" s="3">
        <f>C79-C105*(1-C74)</f>
        <v>130.97047622634838</v>
      </c>
      <c r="D106" s="3">
        <f>D79-D105*(1-D74)</f>
        <v>140.511575693458</v>
      </c>
      <c r="E106" s="3">
        <f>E79-E105*(1-E74)</f>
        <v>141.66457906573146</v>
      </c>
      <c r="F106" s="3">
        <f>F79-F105*(1-F74)</f>
        <v>187.50446066074662</v>
      </c>
      <c r="G106" s="3">
        <f>G79-G105*(1-G74)</f>
        <v>600.5448611077212</v>
      </c>
      <c r="H106" s="3">
        <f>H79-H105*(1-H74)</f>
        <v>138.42559854297443</v>
      </c>
      <c r="I106" s="3">
        <f>I79-I105*(1-I74)</f>
        <v>142.1637457270199</v>
      </c>
      <c r="J106" s="40">
        <f>J79-J105*(1-J74)</f>
        <v>143.18040626993377</v>
      </c>
      <c r="K106" s="1"/>
    </row>
    <row r="107" ht="27.75">
      <c r="A107" s="1"/>
      <c r="B107" s="144" t="s">
        <v>468</v>
      </c>
      <c r="C107" s="39">
        <f>C106/C88</f>
        <v>3.7903327686012247</v>
      </c>
      <c r="D107" s="39">
        <f>D106/D88</f>
        <v>4.084518192528326</v>
      </c>
      <c r="E107" s="39">
        <f>E106/E88</f>
        <v>4.148739087822666</v>
      </c>
      <c r="F107" s="39">
        <f>F106/F88</f>
        <v>5.521584942255361</v>
      </c>
      <c r="G107" s="39">
        <f>G106/G88</f>
        <v>17.54048339385603</v>
      </c>
      <c r="H107" s="39">
        <f>H106/H88</f>
        <v>4.093611826758636</v>
      </c>
      <c r="I107" s="39">
        <f>I106/I88</f>
        <v>4.266843886701229</v>
      </c>
      <c r="J107" s="123">
        <f>J106/J88</f>
        <v>4.337422072712163</v>
      </c>
      <c r="K107" s="1"/>
    </row>
    <row r="108" ht="40.5">
      <c r="A108" s="1"/>
      <c r="B108" s="142" t="s">
        <v>469</v>
      </c>
      <c r="C108" s="1"/>
      <c r="D108" s="1"/>
      <c r="E108" s="1"/>
      <c r="F108" s="1"/>
      <c r="G108" s="1"/>
      <c r="H108" s="1"/>
      <c r="I108" s="1"/>
      <c r="J108" s="24"/>
      <c r="K108" s="1"/>
    </row>
    <row r="109">
      <c r="A109" s="1"/>
      <c r="B109" s="2" t="s">
        <v>470</v>
      </c>
      <c r="C109" s="27">
        <f>'Cash Flow Statement'!C11</f>
        <v>20.362</v>
      </c>
      <c r="D109" s="27">
        <f>'Cash Flow Statement'!D11</f>
        <v>20.351000000000003</v>
      </c>
      <c r="E109" s="27">
        <f>'Cash Flow Statement'!E11</f>
        <v>20.415</v>
      </c>
      <c r="F109" s="27">
        <f>'Cash Flow Statement'!F11</f>
        <v>27.698999999999998</v>
      </c>
      <c r="G109" s="27">
        <f>'Cash Flow Statement'!G11</f>
        <v>88.827</v>
      </c>
      <c r="H109" s="27">
        <f>'Cash Flow Statement'!H11</f>
        <v>20.434</v>
      </c>
      <c r="I109" s="27">
        <f>'Cash Flow Statement'!I11</f>
        <v>20.346999999999998</v>
      </c>
      <c r="J109" s="58">
        <f>'Cash Flow Statement'!J11</f>
        <v>20.6</v>
      </c>
      <c r="K109" s="1"/>
    </row>
    <row r="110">
      <c r="A110" s="1"/>
      <c r="B110" s="2" t="s">
        <v>471</v>
      </c>
      <c r="C110" s="27">
        <f>'Cash Flow Statement'!C23</f>
        <v>10.381</v>
      </c>
      <c r="D110" s="27">
        <f>'Cash Flow Statement'!D23</f>
        <v>10.975000000000001</v>
      </c>
      <c r="E110" s="27">
        <f>'Cash Flow Statement'!E23</f>
        <v>10.325</v>
      </c>
      <c r="F110" s="27">
        <f>'Cash Flow Statement'!F23</f>
        <v>12.959</v>
      </c>
      <c r="G110" s="27">
        <f>'Cash Flow Statement'!G23</f>
        <v>44.64</v>
      </c>
      <c r="H110" s="27">
        <f>'Cash Flow Statement'!H23</f>
        <v>8.789</v>
      </c>
      <c r="I110" s="27">
        <f>'Cash Flow Statement'!I23</f>
        <v>12.357000000000001</v>
      </c>
      <c r="J110" s="58">
        <f>'Cash Flow Statement'!J23</f>
        <v>10</v>
      </c>
      <c r="K110" s="1"/>
    </row>
    <row r="111">
      <c r="A111" s="1"/>
      <c r="B111" s="2" t="s">
        <v>472</v>
      </c>
      <c r="C111" s="27">
        <f>'Cash Flow Statement'!C20</f>
        <v>0.266</v>
      </c>
      <c r="D111" s="27">
        <f>'Cash Flow Statement'!D20</f>
        <v>0.346</v>
      </c>
      <c r="E111" s="27">
        <f>'Cash Flow Statement'!E20</f>
        <v>0.09099999999999997</v>
      </c>
      <c r="F111" s="27">
        <f>'Cash Flow Statement'!F20</f>
        <v>1.1520000000000001</v>
      </c>
      <c r="G111" s="27">
        <f>'Cash Flow Statement'!G20</f>
        <v>1.855</v>
      </c>
      <c r="H111" s="27">
        <f>'Cash Flow Statement'!H20</f>
        <v>0.357</v>
      </c>
      <c r="I111" s="27">
        <f>'Cash Flow Statement'!I20</f>
        <v>0.139</v>
      </c>
      <c r="J111" s="58">
        <f>'Cash Flow Statement'!J20</f>
        <v>0</v>
      </c>
      <c r="K111" s="1"/>
    </row>
    <row r="112">
      <c r="A112" s="1"/>
      <c r="B112" s="13" t="s">
        <v>473</v>
      </c>
      <c r="C112" s="51">
        <f>C47+C45+C46+C109+C110+C111</f>
        <v>241.10399999999993</v>
      </c>
      <c r="D112" s="51">
        <f>D47+D45+D46+D109+D110+D111</f>
        <v>252.83300000000003</v>
      </c>
      <c r="E112" s="51">
        <f>E47+E45+E46+E109+E110+E111</f>
        <v>253.99900000000005</v>
      </c>
      <c r="F112" s="51">
        <f>F47+F45+F46+F109+F110+F111</f>
        <v>337.33199999999994</v>
      </c>
      <c r="G112" s="51">
        <f>G47+G45+G46+G109+G110+G111</f>
        <v>1085.2679999999998</v>
      </c>
      <c r="H112" s="51">
        <f>H47+H45+H46+H109+H110+H111</f>
        <v>252.15699999999993</v>
      </c>
      <c r="I112" s="51">
        <f>I47+I45+I46+I109+I110+I111</f>
        <v>260.7949999999999</v>
      </c>
      <c r="J112" s="38">
        <f>J47+J45+J46+J109+J110+J111</f>
        <v>259.6678328220796</v>
      </c>
      <c r="K112" s="1"/>
    </row>
    <row r="113">
      <c r="A113" s="1"/>
      <c r="B113" s="6" t="s">
        <v>474</v>
      </c>
      <c r="C113" s="12">
        <f>C112/C15</f>
        <v>0.21680922543469028</v>
      </c>
      <c r="D113" s="12">
        <f>D112/D15</f>
        <v>0.22078708005281433</v>
      </c>
      <c r="E113" s="12">
        <f>E112/E15</f>
        <v>0.22143595680761327</v>
      </c>
      <c r="F113" s="12">
        <f>F112/F15</f>
        <v>0.21965436857801446</v>
      </c>
      <c r="G113" s="12">
        <f>G112/G15</f>
        <v>0.21969014537264617</v>
      </c>
      <c r="H113" s="12">
        <f>H112/H15</f>
        <v>0.21915375884108548</v>
      </c>
      <c r="I113" s="12">
        <f>I112/I15</f>
        <v>0.2183431888261065</v>
      </c>
      <c r="J113" s="44">
        <f>J112/J15</f>
        <v>0.22128876242743614</v>
      </c>
      <c r="K113" s="1"/>
    </row>
    <row r="114">
      <c r="A114" s="1"/>
      <c r="B114" s="18" t="s">
        <v>475</v>
      </c>
      <c r="C114" s="21" t="s">
        <v>76</v>
      </c>
      <c r="D114" s="21" t="s">
        <v>76</v>
      </c>
      <c r="E114" s="21" t="s">
        <v>76</v>
      </c>
      <c r="F114" s="21" t="s">
        <v>76</v>
      </c>
      <c r="G114" s="21" t="s">
        <v>76</v>
      </c>
      <c r="H114" s="21">
        <f>IFERROR((H113-C113)*10000,"n/a")</f>
        <v>23.44533406395205</v>
      </c>
      <c r="I114" s="21">
        <f>IFERROR((I113-D113)*10000,"n/a")</f>
        <v>-24.438912267078226</v>
      </c>
      <c r="J114" s="46">
        <f>IFERROR((J113-E113)*10000,"n/a")</f>
        <v>-1.4719438017712916</v>
      </c>
      <c r="K114" s="1"/>
    </row>
    <row r="115" ht="27.75">
      <c r="A115" s="1"/>
      <c r="B115" s="154" t="s">
        <v>476</v>
      </c>
      <c r="C115" s="21" t="s">
        <v>76</v>
      </c>
      <c r="D115" s="21">
        <f>IFERROR((D113-C113)*10000,"n/a")</f>
        <v>39.77854618124055</v>
      </c>
      <c r="E115" s="21">
        <f>IFERROR((E113-D113)*10000,"n/a")</f>
        <v>6.488767547989383</v>
      </c>
      <c r="F115" s="21">
        <f>IFERROR((F113-E113)*10000,"n/a")</f>
        <v>-17.81588229598813</v>
      </c>
      <c r="G115" s="21" t="s">
        <v>76</v>
      </c>
      <c r="H115" s="21">
        <f>IFERROR((H113-F113)*10000,"n/a")</f>
        <v>-5.006097369289753</v>
      </c>
      <c r="I115" s="21">
        <f>IFERROR((I113-H113)*10000,"n/a")</f>
        <v>-8.10570014978973</v>
      </c>
      <c r="J115" s="46">
        <f>IFERROR((J113-I113)*10000,"n/a")</f>
        <v>29.455736013296317</v>
      </c>
      <c r="K115" s="1"/>
    </row>
    <row r="116">
      <c r="A116" s="1"/>
      <c r="B116" s="18" t="s">
        <v>477</v>
      </c>
      <c r="C116" s="12" t="s">
        <v>76</v>
      </c>
      <c r="D116" s="12" t="s">
        <v>76</v>
      </c>
      <c r="E116" s="12" t="s">
        <v>76</v>
      </c>
      <c r="F116" s="12" t="s">
        <v>76</v>
      </c>
      <c r="G116" s="12" t="s">
        <v>76</v>
      </c>
      <c r="H116" s="12">
        <f>IFERROR(H112/C112-1,"n/a")</f>
        <v>0.045843287543964495</v>
      </c>
      <c r="I116" s="12">
        <f>IFERROR(I112/D112-1,"n/a")</f>
        <v>0.03149114237461048</v>
      </c>
      <c r="J116" s="44">
        <f>IFERROR(J112/E112-1,"n/a")</f>
        <v>0.022318327324436504</v>
      </c>
      <c r="K116" s="1"/>
    </row>
    <row r="117" ht="40.5">
      <c r="A117" s="1"/>
      <c r="B117" s="144" t="s">
        <v>478</v>
      </c>
      <c r="C117" s="1"/>
      <c r="D117" s="1"/>
      <c r="E117" s="1"/>
      <c r="F117" s="1"/>
      <c r="G117" s="20">
        <v>1085.268</v>
      </c>
      <c r="H117" s="1"/>
      <c r="I117" s="1"/>
      <c r="J117" s="24"/>
      <c r="K117" s="141" t="s">
        <v>428</v>
      </c>
    </row>
    <row r="118" ht="40.5">
      <c r="A118" s="1"/>
      <c r="B118" s="140" t="s">
        <v>479</v>
      </c>
      <c r="C118" s="1"/>
      <c r="D118" s="1"/>
      <c r="E118" s="1"/>
      <c r="F118" s="1"/>
      <c r="G118" s="37">
        <f>G112-G117</f>
        <v>0</v>
      </c>
      <c r="H118" s="1"/>
      <c r="I118" s="1"/>
      <c r="J118" s="24"/>
      <c r="K118" s="1"/>
    </row>
    <row r="119" ht="27.75">
      <c r="A119" s="1"/>
      <c r="B119" s="142" t="s">
        <v>218</v>
      </c>
      <c r="C119" s="1"/>
      <c r="D119" s="1"/>
      <c r="E119" s="1"/>
      <c r="F119" s="1"/>
      <c r="G119" s="1"/>
      <c r="H119" s="1"/>
      <c r="I119" s="1"/>
      <c r="J119" s="24"/>
      <c r="K119" s="1"/>
    </row>
    <row r="120" ht="27.75">
      <c r="A120" s="1"/>
      <c r="B120" s="144" t="s">
        <v>480</v>
      </c>
      <c r="C120" s="20">
        <v>210.413</v>
      </c>
      <c r="D120" s="20">
        <v>196.103</v>
      </c>
      <c r="E120" s="20">
        <v>198.831</v>
      </c>
      <c r="F120" s="20">
        <v>273.652</v>
      </c>
      <c r="G120" s="3">
        <f>SUM(C120:F120)</f>
        <v>878.999</v>
      </c>
      <c r="H120" s="1"/>
      <c r="I120" s="1"/>
      <c r="J120" s="24"/>
      <c r="K120" s="141" t="s">
        <v>172</v>
      </c>
    </row>
    <row r="121">
      <c r="A121" s="1"/>
      <c r="B121" s="2" t="s">
        <v>481</v>
      </c>
      <c r="C121" s="20">
        <v>125.824</v>
      </c>
      <c r="D121" s="20">
        <v>141.978</v>
      </c>
      <c r="E121" s="20">
        <v>146.924</v>
      </c>
      <c r="F121" s="20">
        <v>169.44400000000002</v>
      </c>
      <c r="G121" s="3">
        <f>SUM(C121:F121)</f>
        <v>584.1700000000001</v>
      </c>
      <c r="H121" s="1"/>
      <c r="I121" s="1"/>
      <c r="J121" s="24"/>
      <c r="K121" s="141" t="s">
        <v>172</v>
      </c>
    </row>
    <row r="122" ht="27.75">
      <c r="A122" s="1"/>
      <c r="B122" s="144" t="s">
        <v>482</v>
      </c>
      <c r="C122" s="20">
        <v>101.024</v>
      </c>
      <c r="D122" s="20">
        <v>115.947</v>
      </c>
      <c r="E122" s="20">
        <v>103.991</v>
      </c>
      <c r="F122" s="20">
        <v>138.53</v>
      </c>
      <c r="G122" s="3">
        <f>SUM(C122:F122)</f>
        <v>459.492</v>
      </c>
      <c r="H122" s="1"/>
      <c r="I122" s="1"/>
      <c r="J122" s="24"/>
      <c r="K122" s="141" t="s">
        <v>172</v>
      </c>
    </row>
    <row r="123">
      <c r="A123" s="1"/>
      <c r="B123" s="2" t="s">
        <v>483</v>
      </c>
      <c r="C123" s="27">
        <f>'Revenue summary'!C59</f>
        <v>1084.647</v>
      </c>
      <c r="D123" s="27">
        <f>'Revenue summary'!D59</f>
        <v>1097.7359999999999</v>
      </c>
      <c r="E123" s="27">
        <f>'Revenue summary'!E59</f>
        <v>1080.119</v>
      </c>
      <c r="F123" s="27">
        <f>'Revenue summary'!F59</f>
        <v>1443.914</v>
      </c>
      <c r="G123" s="27">
        <f>'Revenue summary'!G59</f>
        <v>4706.416</v>
      </c>
      <c r="H123" s="1"/>
      <c r="I123" s="1"/>
      <c r="J123" s="24"/>
      <c r="K123" s="1"/>
    </row>
    <row r="124">
      <c r="A124" s="1"/>
      <c r="B124" s="6" t="s">
        <v>484</v>
      </c>
      <c r="C124" s="12">
        <f>C120/C123</f>
        <v>0.1939921467537365</v>
      </c>
      <c r="D124" s="12">
        <f>D120/D123</f>
        <v>0.1786431345970252</v>
      </c>
      <c r="E124" s="12">
        <f>E120/E123</f>
        <v>0.18408249461401938</v>
      </c>
      <c r="F124" s="12">
        <f>F120/F123</f>
        <v>0.1895209825515924</v>
      </c>
      <c r="G124" s="12">
        <f>G120/G123</f>
        <v>0.18676610822332748</v>
      </c>
      <c r="H124" s="1"/>
      <c r="I124" s="1"/>
      <c r="J124" s="24"/>
      <c r="K124" s="1"/>
    </row>
    <row r="125">
      <c r="A125" s="1"/>
      <c r="B125" s="2" t="s">
        <v>485</v>
      </c>
      <c r="C125" s="101">
        <v>3.58</v>
      </c>
      <c r="D125" s="101">
        <v>4.03</v>
      </c>
      <c r="E125" s="101">
        <v>4.19</v>
      </c>
      <c r="F125" s="101">
        <v>4.89</v>
      </c>
      <c r="G125" s="101">
        <v>16.69</v>
      </c>
      <c r="H125" s="1"/>
      <c r="I125" s="1"/>
      <c r="J125" s="24"/>
      <c r="K125" s="141" t="s">
        <v>172</v>
      </c>
    </row>
    <row r="126" ht="40.5">
      <c r="A126" s="1"/>
      <c r="B126" s="142" t="s">
        <v>486</v>
      </c>
      <c r="C126" s="1"/>
      <c r="D126" s="1"/>
      <c r="E126" s="1"/>
      <c r="F126" s="1"/>
      <c r="G126" s="1"/>
      <c r="H126" s="1"/>
      <c r="I126" s="1"/>
      <c r="J126" s="24"/>
      <c r="K126" s="1"/>
    </row>
    <row r="127">
      <c r="A127" s="1"/>
      <c r="B127" s="2" t="s">
        <v>487</v>
      </c>
      <c r="C127" s="1"/>
      <c r="D127" s="1"/>
      <c r="E127" s="1"/>
      <c r="F127" s="1"/>
      <c r="G127" s="20">
        <v>4939.994</v>
      </c>
      <c r="H127" s="1"/>
      <c r="I127" s="1"/>
      <c r="J127" s="24"/>
      <c r="K127" s="141" t="s">
        <v>428</v>
      </c>
    </row>
    <row r="128" ht="27.75">
      <c r="A128" s="1"/>
      <c r="B128" s="144" t="s">
        <v>488</v>
      </c>
      <c r="C128" s="1"/>
      <c r="D128" s="1"/>
      <c r="E128" s="1"/>
      <c r="F128" s="1"/>
      <c r="G128" s="20">
        <v>953.974</v>
      </c>
      <c r="H128" s="1"/>
      <c r="I128" s="1"/>
      <c r="J128" s="24"/>
      <c r="K128" s="141" t="s">
        <v>428</v>
      </c>
    </row>
    <row r="129">
      <c r="A129" s="1"/>
      <c r="B129" s="2" t="s">
        <v>489</v>
      </c>
      <c r="C129" s="1"/>
      <c r="D129" s="1"/>
      <c r="E129" s="1"/>
      <c r="F129" s="1"/>
      <c r="G129" s="20">
        <v>601.704</v>
      </c>
      <c r="H129" s="1"/>
      <c r="I129" s="1"/>
      <c r="J129" s="24"/>
      <c r="K129" s="141" t="s">
        <v>428</v>
      </c>
    </row>
    <row r="130" ht="27.75">
      <c r="A130" s="1"/>
      <c r="B130" s="140" t="s">
        <v>490</v>
      </c>
      <c r="C130" s="1"/>
      <c r="D130" s="1"/>
      <c r="E130" s="1"/>
      <c r="F130" s="1"/>
      <c r="G130" s="37">
        <f>ABS(G15-G127)+ABS(G47-G128)+ABS(G79-G129)</f>
        <v>0</v>
      </c>
      <c r="H130" s="1"/>
      <c r="I130" s="1"/>
      <c r="J130" s="24"/>
      <c r="K130" s="1"/>
    </row>
    <row r="131">
      <c r="A131" s="1"/>
      <c r="B131" s="1"/>
      <c r="C131" s="1"/>
      <c r="D131" s="1"/>
      <c r="E131" s="1"/>
      <c r="F131" s="1"/>
      <c r="G131" s="1"/>
      <c r="H131" s="1"/>
      <c r="I131" s="1"/>
      <c r="J131" s="24"/>
      <c r="K131" s="1"/>
    </row>
    <row r="132">
      <c r="A132" s="1"/>
      <c r="B132" s="1"/>
      <c r="C132" s="1"/>
      <c r="D132" s="1"/>
      <c r="E132" s="1"/>
      <c r="F132" s="1"/>
      <c r="G132" s="1"/>
      <c r="H132" s="1"/>
      <c r="I132" s="1"/>
      <c r="J132" s="1"/>
      <c r="K132" s="1"/>
    </row>
    <row r="133">
      <c r="A133" s="1"/>
      <c r="B133" s="1"/>
      <c r="C133" s="1"/>
      <c r="D133" s="1"/>
      <c r="E133" s="1"/>
      <c r="F133" s="1"/>
      <c r="G133" s="1"/>
      <c r="H133" s="1"/>
      <c r="I133" s="1"/>
      <c r="J133" s="1"/>
      <c r="K133" s="1"/>
    </row>
  </sheetData>
  <legacyDrawing r:id="rId2"/>
</worksheet>
</file>

<file path=xl/worksheets/sheet7.xml><?xml version="1.0" encoding="utf-8"?>
<worksheet xmlns="http://schemas.openxmlformats.org/spreadsheetml/2006/main" xmlns:r="http://schemas.openxmlformats.org/officeDocument/2006/relationships">
  <dimension ref="A1:K57"/>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491</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c r="A9" s="1"/>
      <c r="B9" s="7" t="s">
        <v>492</v>
      </c>
      <c r="C9" s="1"/>
      <c r="D9" s="1"/>
      <c r="E9" s="1"/>
      <c r="F9" s="1"/>
      <c r="G9" s="1"/>
      <c r="H9" s="1"/>
      <c r="I9" s="1"/>
      <c r="J9" s="24"/>
      <c r="K9" s="1"/>
    </row>
    <row r="10">
      <c r="A10" s="1"/>
      <c r="B10" s="2" t="s">
        <v>493</v>
      </c>
      <c r="C10" s="20">
        <v>304.32</v>
      </c>
      <c r="D10" s="20">
        <v>272.859</v>
      </c>
      <c r="E10" s="20">
        <v>139.728</v>
      </c>
      <c r="F10" s="20">
        <v>125.675</v>
      </c>
      <c r="G10" s="3">
        <f>F10</f>
        <v>125.675</v>
      </c>
      <c r="H10" s="20">
        <v>232.922</v>
      </c>
      <c r="I10" s="20">
        <v>164.836</v>
      </c>
      <c r="J10" s="58">
        <f>'Cash Flow Statement'!J66</f>
        <v>150.72632702541404</v>
      </c>
      <c r="K10" s="141" t="s">
        <v>494</v>
      </c>
    </row>
    <row r="11">
      <c r="A11" s="1"/>
      <c r="B11" s="2" t="s">
        <v>495</v>
      </c>
      <c r="C11" s="20">
        <v>197.412</v>
      </c>
      <c r="D11" s="20">
        <v>211.734</v>
      </c>
      <c r="E11" s="20">
        <v>202.501</v>
      </c>
      <c r="F11" s="20">
        <v>216.11</v>
      </c>
      <c r="G11" s="3">
        <f>F11</f>
        <v>216.11</v>
      </c>
      <c r="H11" s="20">
        <v>183.628</v>
      </c>
      <c r="I11" s="20">
        <v>187.885</v>
      </c>
      <c r="J11" s="40">
        <f>I11</f>
        <v>187.885</v>
      </c>
      <c r="K11" s="141" t="s">
        <v>496</v>
      </c>
    </row>
    <row r="12">
      <c r="A12" s="1"/>
      <c r="B12" s="2" t="s">
        <v>497</v>
      </c>
      <c r="C12" s="20">
        <v>302.837</v>
      </c>
      <c r="D12" s="20">
        <v>284.606</v>
      </c>
      <c r="E12" s="20">
        <v>277.175</v>
      </c>
      <c r="F12" s="20">
        <v>315.958</v>
      </c>
      <c r="G12" s="3">
        <f>F12</f>
        <v>315.958</v>
      </c>
      <c r="H12" s="20">
        <v>306.098</v>
      </c>
      <c r="I12" s="20">
        <v>303.182</v>
      </c>
      <c r="J12" s="40">
        <f>I12</f>
        <v>303.182</v>
      </c>
      <c r="K12" s="141" t="s">
        <v>496</v>
      </c>
    </row>
    <row r="13">
      <c r="A13" s="1"/>
      <c r="B13" s="2" t="s">
        <v>498</v>
      </c>
      <c r="C13" s="20">
        <v>73.236</v>
      </c>
      <c r="D13" s="20">
        <v>69.705</v>
      </c>
      <c r="E13" s="20">
        <v>71.155</v>
      </c>
      <c r="F13" s="20">
        <v>79.189</v>
      </c>
      <c r="G13" s="3">
        <f>F13</f>
        <v>79.189</v>
      </c>
      <c r="H13" s="20">
        <v>69.154</v>
      </c>
      <c r="I13" s="20">
        <v>75.057</v>
      </c>
      <c r="J13" s="40">
        <f>I13</f>
        <v>75.057</v>
      </c>
      <c r="K13" s="141" t="s">
        <v>496</v>
      </c>
    </row>
    <row r="14">
      <c r="A14" s="1"/>
      <c r="B14" s="2" t="s">
        <v>499</v>
      </c>
      <c r="C14" s="20">
        <v>38.528</v>
      </c>
      <c r="D14" s="20">
        <v>45.556</v>
      </c>
      <c r="E14" s="20">
        <v>41.349</v>
      </c>
      <c r="F14" s="20">
        <v>39.767</v>
      </c>
      <c r="G14" s="3">
        <f>F14</f>
        <v>39.767</v>
      </c>
      <c r="H14" s="20">
        <v>41.377</v>
      </c>
      <c r="I14" s="20">
        <v>55.049</v>
      </c>
      <c r="J14" s="40">
        <f>I14</f>
        <v>55.049</v>
      </c>
      <c r="K14" s="141" t="s">
        <v>496</v>
      </c>
    </row>
    <row r="15">
      <c r="A15" s="1"/>
      <c r="B15" s="2" t="s">
        <v>500</v>
      </c>
      <c r="C15" s="20">
        <v>99.601</v>
      </c>
      <c r="D15" s="20">
        <v>123.098</v>
      </c>
      <c r="E15" s="20">
        <v>135.826</v>
      </c>
      <c r="F15" s="20">
        <v>117.502</v>
      </c>
      <c r="G15" s="3">
        <f>F15</f>
        <v>117.502</v>
      </c>
      <c r="H15" s="20">
        <v>115.814</v>
      </c>
      <c r="I15" s="20">
        <v>119.41</v>
      </c>
      <c r="J15" s="40">
        <f>I15</f>
        <v>119.41</v>
      </c>
      <c r="K15" s="141" t="s">
        <v>496</v>
      </c>
    </row>
    <row r="16">
      <c r="A16" s="1"/>
      <c r="B16" s="13" t="s">
        <v>501</v>
      </c>
      <c r="C16" s="51">
        <f>SUM(C10:C15)</f>
        <v>1015.934</v>
      </c>
      <c r="D16" s="51">
        <f>SUM(D10:D15)</f>
        <v>1007.558</v>
      </c>
      <c r="E16" s="51">
        <f>SUM(E10:E15)</f>
        <v>867.7339999999999</v>
      </c>
      <c r="F16" s="51">
        <f>SUM(F10:F15)</f>
        <v>894.201</v>
      </c>
      <c r="G16" s="51">
        <f>SUM(G10:G15)</f>
        <v>894.201</v>
      </c>
      <c r="H16" s="51">
        <f>SUM(H10:H15)</f>
        <v>948.993</v>
      </c>
      <c r="I16" s="51">
        <f>SUM(I10:I15)</f>
        <v>905.419</v>
      </c>
      <c r="J16" s="38">
        <f>SUM(J10:J15)</f>
        <v>891.3093270254141</v>
      </c>
      <c r="K16" s="1"/>
    </row>
    <row r="17" ht="40.5">
      <c r="A17" s="1"/>
      <c r="B17" s="2" t="s">
        <v>502</v>
      </c>
      <c r="C17" s="20">
        <v>294.926</v>
      </c>
      <c r="D17" s="20">
        <v>290.27</v>
      </c>
      <c r="E17" s="20">
        <v>290.653</v>
      </c>
      <c r="F17" s="20">
        <v>324.022</v>
      </c>
      <c r="G17" s="3">
        <f>F17</f>
        <v>324.022</v>
      </c>
      <c r="H17" s="20">
        <v>386.73</v>
      </c>
      <c r="I17" s="20">
        <v>374.446</v>
      </c>
      <c r="J17" s="58">
        <f>I17-'Cash Flow Statement'!J35-'Cash Flow Statement'!J11</f>
        <v>375.846</v>
      </c>
      <c r="K17" s="141" t="s">
        <v>503</v>
      </c>
    </row>
    <row r="18">
      <c r="A18" s="1"/>
      <c r="B18" s="2" t="s">
        <v>504</v>
      </c>
      <c r="C18" s="20">
        <v>217.097</v>
      </c>
      <c r="D18" s="20">
        <v>222.676</v>
      </c>
      <c r="E18" s="20">
        <v>223.54</v>
      </c>
      <c r="F18" s="20">
        <v>219.485</v>
      </c>
      <c r="G18" s="3">
        <f>F18</f>
        <v>219.485</v>
      </c>
      <c r="H18" s="20">
        <v>238.908</v>
      </c>
      <c r="I18" s="20">
        <v>227.793</v>
      </c>
      <c r="J18" s="40">
        <f>I18</f>
        <v>227.793</v>
      </c>
      <c r="K18" s="141" t="s">
        <v>505</v>
      </c>
    </row>
    <row r="19">
      <c r="A19" s="1"/>
      <c r="B19" s="2" t="s">
        <v>506</v>
      </c>
      <c r="C19" s="20">
        <v>12.117</v>
      </c>
      <c r="D19" s="20">
        <v>10.764</v>
      </c>
      <c r="E19" s="20">
        <v>10.764</v>
      </c>
      <c r="F19" s="20">
        <v>10.726</v>
      </c>
      <c r="G19" s="3">
        <f>F19</f>
        <v>10.726</v>
      </c>
      <c r="H19" s="20">
        <v>10.689</v>
      </c>
      <c r="I19" s="20">
        <v>7.87</v>
      </c>
      <c r="J19" s="40">
        <f>I19</f>
        <v>7.87</v>
      </c>
      <c r="K19" s="141" t="s">
        <v>505</v>
      </c>
    </row>
    <row r="20">
      <c r="A20" s="1"/>
      <c r="B20" s="2" t="s">
        <v>507</v>
      </c>
      <c r="C20" s="20">
        <v>156.119</v>
      </c>
      <c r="D20" s="20">
        <v>158.166</v>
      </c>
      <c r="E20" s="20">
        <v>159.238</v>
      </c>
      <c r="F20" s="20">
        <v>159.256</v>
      </c>
      <c r="G20" s="3">
        <f>F20</f>
        <v>159.256</v>
      </c>
      <c r="H20" s="20">
        <v>158.768</v>
      </c>
      <c r="I20" s="20">
        <v>161.277</v>
      </c>
      <c r="J20" s="40">
        <f>I20</f>
        <v>161.277</v>
      </c>
      <c r="K20" s="141" t="s">
        <v>505</v>
      </c>
    </row>
    <row r="21">
      <c r="A21" s="1"/>
      <c r="B21" s="2" t="s">
        <v>508</v>
      </c>
      <c r="C21" s="20">
        <v>106.726</v>
      </c>
      <c r="D21" s="20">
        <v>46.667</v>
      </c>
      <c r="E21" s="20">
        <v>43.65</v>
      </c>
      <c r="F21" s="20">
        <v>36.07</v>
      </c>
      <c r="G21" s="3">
        <f>F21</f>
        <v>36.07</v>
      </c>
      <c r="H21" s="20">
        <v>30.08</v>
      </c>
      <c r="I21" s="20">
        <v>17.714</v>
      </c>
      <c r="J21" s="58">
        <f>I21+'Income Statement'!J57</f>
        <v>15.383996627318716</v>
      </c>
      <c r="K21" s="141" t="s">
        <v>494</v>
      </c>
    </row>
    <row r="22">
      <c r="A22" s="1"/>
      <c r="B22" s="2" t="s">
        <v>509</v>
      </c>
      <c r="C22" s="20">
        <v>25.722</v>
      </c>
      <c r="D22" s="20">
        <v>26.135</v>
      </c>
      <c r="E22" s="20">
        <v>14.178</v>
      </c>
      <c r="F22" s="20">
        <v>22.101</v>
      </c>
      <c r="G22" s="3">
        <f>F22</f>
        <v>22.101</v>
      </c>
      <c r="H22" s="20">
        <v>18.634</v>
      </c>
      <c r="I22" s="20">
        <v>16.805</v>
      </c>
      <c r="J22" s="40">
        <f>I22</f>
        <v>16.805</v>
      </c>
      <c r="K22" s="141" t="s">
        <v>505</v>
      </c>
    </row>
    <row r="23">
      <c r="A23" s="1"/>
      <c r="B23" s="2" t="s">
        <v>510</v>
      </c>
      <c r="C23" s="20">
        <v>48.978</v>
      </c>
      <c r="D23" s="20">
        <v>49.057</v>
      </c>
      <c r="E23" s="20">
        <v>50.52</v>
      </c>
      <c r="F23" s="20">
        <v>50.598</v>
      </c>
      <c r="G23" s="3">
        <f>F23</f>
        <v>50.598</v>
      </c>
      <c r="H23" s="20">
        <v>51.686</v>
      </c>
      <c r="I23" s="20">
        <v>51.998</v>
      </c>
      <c r="J23" s="40">
        <f>I23</f>
        <v>51.998</v>
      </c>
      <c r="K23" s="141" t="s">
        <v>505</v>
      </c>
    </row>
    <row r="24">
      <c r="A24" s="1"/>
      <c r="B24" s="13" t="s">
        <v>511</v>
      </c>
      <c r="C24" s="51">
        <f>C16+SUM(C17:C23)</f>
        <v>1877.619</v>
      </c>
      <c r="D24" s="51">
        <f>D16+SUM(D17:D23)</f>
        <v>1811.2930000000001</v>
      </c>
      <c r="E24" s="51">
        <f>E16+SUM(E17:E23)</f>
        <v>1660.277</v>
      </c>
      <c r="F24" s="51">
        <f>F16+SUM(F17:F23)</f>
        <v>1716.459</v>
      </c>
      <c r="G24" s="51">
        <f>G16+SUM(G17:G23)</f>
        <v>1716.459</v>
      </c>
      <c r="H24" s="51">
        <f>H16+SUM(H17:H23)</f>
        <v>1844.488</v>
      </c>
      <c r="I24" s="51">
        <f>I16+SUM(I17:I23)</f>
        <v>1763.3220000000001</v>
      </c>
      <c r="J24" s="38">
        <f>J16+SUM(J17:J23)</f>
        <v>1748.2823236527329</v>
      </c>
      <c r="K24" s="1"/>
    </row>
    <row r="25">
      <c r="A25" s="1"/>
      <c r="B25" s="2" t="s">
        <v>512</v>
      </c>
      <c r="C25" s="20">
        <v>1877.619</v>
      </c>
      <c r="D25" s="20">
        <v>1811.293</v>
      </c>
      <c r="E25" s="20">
        <v>1660.277</v>
      </c>
      <c r="F25" s="20">
        <v>1716.459</v>
      </c>
      <c r="G25" s="3">
        <f>F25</f>
        <v>1716.459</v>
      </c>
      <c r="H25" s="20">
        <v>1844.488</v>
      </c>
      <c r="I25" s="20">
        <v>1763.322</v>
      </c>
      <c r="J25" s="24"/>
      <c r="K25" s="141" t="s">
        <v>108</v>
      </c>
    </row>
    <row r="26" ht="27.75">
      <c r="A26" s="1"/>
      <c r="B26" s="140" t="s">
        <v>513</v>
      </c>
      <c r="C26" s="37">
        <f>ROUND(C24-C25,6)</f>
        <v>0</v>
      </c>
      <c r="D26" s="37">
        <f>ROUND(D24-D25,6)</f>
        <v>0</v>
      </c>
      <c r="E26" s="37">
        <f>ROUND(E24-E25,6)</f>
        <v>0</v>
      </c>
      <c r="F26" s="37">
        <f>ROUND(F24-F25,6)</f>
        <v>0</v>
      </c>
      <c r="G26" s="37">
        <f>ROUND(G24-G25,6)</f>
        <v>0</v>
      </c>
      <c r="H26" s="37">
        <f>ROUND(H24-H25,6)</f>
        <v>0</v>
      </c>
      <c r="I26" s="37">
        <f>ROUND(I24-I25,6)</f>
        <v>0</v>
      </c>
      <c r="J26" s="24"/>
      <c r="K26" s="1"/>
    </row>
    <row r="27">
      <c r="A27" s="1"/>
      <c r="B27" s="7" t="s">
        <v>514</v>
      </c>
      <c r="C27" s="1"/>
      <c r="D27" s="1"/>
      <c r="E27" s="1"/>
      <c r="F27" s="1"/>
      <c r="G27" s="1"/>
      <c r="H27" s="1"/>
      <c r="I27" s="1"/>
      <c r="J27" s="24"/>
      <c r="K27" s="1"/>
    </row>
    <row r="28">
      <c r="A28" s="1"/>
      <c r="B28" s="2" t="s">
        <v>515</v>
      </c>
      <c r="C28" s="20">
        <v>1149.764</v>
      </c>
      <c r="D28" s="20">
        <v>1149.989</v>
      </c>
      <c r="E28" s="20">
        <v>5.521</v>
      </c>
      <c r="F28" s="20">
        <v>6.131</v>
      </c>
      <c r="G28" s="3">
        <f>F28</f>
        <v>6.131</v>
      </c>
      <c r="H28" s="20">
        <v>7.411</v>
      </c>
      <c r="I28" s="20">
        <v>7.423</v>
      </c>
      <c r="J28" s="40">
        <f>I28</f>
        <v>7.423</v>
      </c>
      <c r="K28" s="141" t="s">
        <v>505</v>
      </c>
    </row>
    <row r="29">
      <c r="A29" s="1"/>
      <c r="B29" s="2" t="s">
        <v>516</v>
      </c>
      <c r="C29" s="20">
        <v>123.086</v>
      </c>
      <c r="D29" s="20">
        <v>131.088</v>
      </c>
      <c r="E29" s="20">
        <v>113.071</v>
      </c>
      <c r="F29" s="20">
        <v>135.029</v>
      </c>
      <c r="G29" s="3">
        <f>F29</f>
        <v>135.029</v>
      </c>
      <c r="H29" s="20">
        <v>124.376</v>
      </c>
      <c r="I29" s="20">
        <v>137.429</v>
      </c>
      <c r="J29" s="40">
        <f>I29</f>
        <v>137.429</v>
      </c>
      <c r="K29" s="141" t="s">
        <v>496</v>
      </c>
    </row>
    <row r="30">
      <c r="A30" s="1"/>
      <c r="B30" s="2" t="s">
        <v>517</v>
      </c>
      <c r="C30" s="20">
        <v>42.194</v>
      </c>
      <c r="D30" s="20">
        <v>43.003</v>
      </c>
      <c r="E30" s="20">
        <v>45.163</v>
      </c>
      <c r="F30" s="20">
        <v>47.553</v>
      </c>
      <c r="G30" s="3">
        <f>F30</f>
        <v>47.553</v>
      </c>
      <c r="H30" s="20">
        <v>49.49</v>
      </c>
      <c r="I30" s="20">
        <v>45.964</v>
      </c>
      <c r="J30" s="40">
        <f>I30</f>
        <v>45.964</v>
      </c>
      <c r="K30" s="141" t="s">
        <v>505</v>
      </c>
    </row>
    <row r="31">
      <c r="A31" s="1"/>
      <c r="B31" s="2" t="s">
        <v>518</v>
      </c>
      <c r="C31" s="20">
        <v>24.646</v>
      </c>
      <c r="D31" s="20">
        <v>24.88</v>
      </c>
      <c r="E31" s="20">
        <v>24.824</v>
      </c>
      <c r="F31" s="20">
        <v>26.169</v>
      </c>
      <c r="G31" s="3">
        <f>F31</f>
        <v>26.169</v>
      </c>
      <c r="H31" s="20">
        <v>26.304</v>
      </c>
      <c r="I31" s="20">
        <v>25.895</v>
      </c>
      <c r="J31" s="40">
        <f>I31</f>
        <v>25.895</v>
      </c>
      <c r="K31" s="141" t="s">
        <v>505</v>
      </c>
    </row>
    <row r="32">
      <c r="A32" s="1"/>
      <c r="B32" s="2" t="s">
        <v>519</v>
      </c>
      <c r="C32" s="20">
        <v>61.429</v>
      </c>
      <c r="D32" s="20">
        <v>61.246</v>
      </c>
      <c r="E32" s="20">
        <v>61.183</v>
      </c>
      <c r="F32" s="20">
        <v>2.714</v>
      </c>
      <c r="G32" s="3">
        <f>F32</f>
        <v>2.714</v>
      </c>
      <c r="H32" s="20">
        <v>68.533</v>
      </c>
      <c r="I32" s="20">
        <v>67.912</v>
      </c>
      <c r="J32" s="58">
        <f>I32+'Cash Flow Statement'!J54+'Share Count'!J43</f>
        <v>65.83265265</v>
      </c>
      <c r="K32" s="141" t="s">
        <v>494</v>
      </c>
    </row>
    <row r="33">
      <c r="A33" s="1"/>
      <c r="B33" s="2" t="s">
        <v>520</v>
      </c>
      <c r="C33" s="20">
        <v>97.403</v>
      </c>
      <c r="D33" s="20">
        <v>120.79</v>
      </c>
      <c r="E33" s="20">
        <v>132.705</v>
      </c>
      <c r="F33" s="20">
        <v>115.412</v>
      </c>
      <c r="G33" s="3">
        <f>F33</f>
        <v>115.412</v>
      </c>
      <c r="H33" s="20">
        <v>113.449</v>
      </c>
      <c r="I33" s="20">
        <v>117.83</v>
      </c>
      <c r="J33" s="40">
        <f>I33</f>
        <v>117.83</v>
      </c>
      <c r="K33" s="141" t="s">
        <v>496</v>
      </c>
    </row>
    <row r="34">
      <c r="A34" s="1"/>
      <c r="B34" s="2" t="s">
        <v>521</v>
      </c>
      <c r="C34" s="20">
        <v>198.238</v>
      </c>
      <c r="D34" s="20">
        <v>157.185</v>
      </c>
      <c r="E34" s="20">
        <v>156.686</v>
      </c>
      <c r="F34" s="20">
        <v>208.613</v>
      </c>
      <c r="G34" s="3">
        <f>F34</f>
        <v>208.613</v>
      </c>
      <c r="H34" s="20">
        <v>202.437</v>
      </c>
      <c r="I34" s="20">
        <v>186.217</v>
      </c>
      <c r="J34" s="40">
        <f>I34</f>
        <v>186.217</v>
      </c>
      <c r="K34" s="141" t="s">
        <v>496</v>
      </c>
    </row>
    <row r="35">
      <c r="A35" s="1"/>
      <c r="B35" s="13" t="s">
        <v>522</v>
      </c>
      <c r="C35" s="51">
        <f>SUM(C28:C34)</f>
        <v>1696.76</v>
      </c>
      <c r="D35" s="51">
        <f>SUM(D28:D34)</f>
        <v>1688.181</v>
      </c>
      <c r="E35" s="51">
        <f>SUM(E28:E34)</f>
        <v>539.153</v>
      </c>
      <c r="F35" s="51">
        <f>SUM(F28:F34)</f>
        <v>541.621</v>
      </c>
      <c r="G35" s="51">
        <f>SUM(G28:G34)</f>
        <v>541.621</v>
      </c>
      <c r="H35" s="51">
        <f>SUM(H28:H34)</f>
        <v>592</v>
      </c>
      <c r="I35" s="51">
        <f>SUM(I28:I34)</f>
        <v>588.6700000000001</v>
      </c>
      <c r="J35" s="38">
        <f>SUM(J28:J34)</f>
        <v>586.59065265</v>
      </c>
      <c r="K35" s="1"/>
    </row>
    <row r="36">
      <c r="A36" s="1"/>
      <c r="B36" s="2" t="s">
        <v>523</v>
      </c>
      <c r="C36" s="20">
        <v>3825.995</v>
      </c>
      <c r="D36" s="20">
        <v>3825.847</v>
      </c>
      <c r="E36" s="20">
        <v>4810.274</v>
      </c>
      <c r="F36" s="20">
        <v>4810.683</v>
      </c>
      <c r="G36" s="3">
        <f>F36</f>
        <v>4810.683</v>
      </c>
      <c r="H36" s="20">
        <v>4876.122</v>
      </c>
      <c r="I36" s="20">
        <v>4876.221</v>
      </c>
      <c r="J36" s="58">
        <f>I36+'Cash Flow Statement'!J21+'Cash Flow Statement'!J50+'Cash Flow Statement'!J49</f>
        <v>4877.721</v>
      </c>
      <c r="K36" s="141" t="s">
        <v>494</v>
      </c>
    </row>
    <row r="37">
      <c r="A37" s="1"/>
      <c r="B37" s="2" t="s">
        <v>517</v>
      </c>
      <c r="C37" s="20">
        <v>188.547</v>
      </c>
      <c r="D37" s="20">
        <v>192.739</v>
      </c>
      <c r="E37" s="20">
        <v>190.757</v>
      </c>
      <c r="F37" s="20">
        <v>183.917</v>
      </c>
      <c r="G37" s="3">
        <f>F37</f>
        <v>183.917</v>
      </c>
      <c r="H37" s="20">
        <v>202.75</v>
      </c>
      <c r="I37" s="20">
        <v>193.245</v>
      </c>
      <c r="J37" s="40">
        <f>I37</f>
        <v>193.245</v>
      </c>
      <c r="K37" s="141" t="s">
        <v>505</v>
      </c>
    </row>
    <row r="38">
      <c r="A38" s="1"/>
      <c r="B38" s="2" t="s">
        <v>518</v>
      </c>
      <c r="C38" s="20">
        <v>32.667</v>
      </c>
      <c r="D38" s="20">
        <v>33.148</v>
      </c>
      <c r="E38" s="20">
        <v>34.757</v>
      </c>
      <c r="F38" s="20">
        <v>32.959</v>
      </c>
      <c r="G38" s="3">
        <f>F38</f>
        <v>32.959</v>
      </c>
      <c r="H38" s="20">
        <v>33.614</v>
      </c>
      <c r="I38" s="20">
        <v>36.722</v>
      </c>
      <c r="J38" s="40">
        <f>I38</f>
        <v>36.722</v>
      </c>
      <c r="K38" s="141" t="s">
        <v>505</v>
      </c>
    </row>
    <row r="39">
      <c r="A39" s="1"/>
      <c r="B39" s="2" t="s">
        <v>521</v>
      </c>
      <c r="C39" s="20">
        <v>46.338</v>
      </c>
      <c r="D39" s="20">
        <v>46.005</v>
      </c>
      <c r="E39" s="20">
        <v>47.295</v>
      </c>
      <c r="F39" s="20">
        <v>48.421</v>
      </c>
      <c r="G39" s="3">
        <f>F39</f>
        <v>48.421</v>
      </c>
      <c r="H39" s="20">
        <v>46.775</v>
      </c>
      <c r="I39" s="20">
        <v>50.895</v>
      </c>
      <c r="J39" s="40">
        <f>I39</f>
        <v>50.895</v>
      </c>
      <c r="K39" s="141" t="s">
        <v>505</v>
      </c>
    </row>
    <row r="40">
      <c r="A40" s="1"/>
      <c r="B40" s="13" t="s">
        <v>524</v>
      </c>
      <c r="C40" s="51">
        <f>SUM(C36:C39)</f>
        <v>4093.547</v>
      </c>
      <c r="D40" s="51">
        <f>SUM(D36:D39)</f>
        <v>4097.7390000000005</v>
      </c>
      <c r="E40" s="51">
        <f>SUM(E36:E39)</f>
        <v>5083.0830000000005</v>
      </c>
      <c r="F40" s="51">
        <f>SUM(F36:F39)</f>
        <v>5075.98</v>
      </c>
      <c r="G40" s="51">
        <f>SUM(G36:G39)</f>
        <v>5075.98</v>
      </c>
      <c r="H40" s="51">
        <f>SUM(H36:H39)</f>
        <v>5159.261</v>
      </c>
      <c r="I40" s="51">
        <f>SUM(I36:I39)</f>
        <v>5157.083</v>
      </c>
      <c r="J40" s="38">
        <f>SUM(J36:J39)</f>
        <v>5158.583</v>
      </c>
      <c r="K40" s="1"/>
    </row>
    <row r="41">
      <c r="A41" s="1"/>
      <c r="B41" s="13" t="s">
        <v>525</v>
      </c>
      <c r="C41" s="51">
        <f>C35+C40</f>
        <v>5790.307</v>
      </c>
      <c r="D41" s="51">
        <f>D35+D40</f>
        <v>5785.92</v>
      </c>
      <c r="E41" s="51">
        <f>E35+E40</f>
        <v>5622.236000000001</v>
      </c>
      <c r="F41" s="51">
        <f>F35+F40</f>
        <v>5617.601</v>
      </c>
      <c r="G41" s="51">
        <f>G35+G40</f>
        <v>5617.601</v>
      </c>
      <c r="H41" s="51">
        <f>H35+H40</f>
        <v>5751.261</v>
      </c>
      <c r="I41" s="51">
        <f>I35+I40</f>
        <v>5745.753</v>
      </c>
      <c r="J41" s="38">
        <f>J35+J40</f>
        <v>5745.17365265</v>
      </c>
      <c r="K41" s="1"/>
    </row>
    <row r="42">
      <c r="A42" s="1"/>
      <c r="B42" s="7" t="s">
        <v>526</v>
      </c>
      <c r="C42" s="1"/>
      <c r="D42" s="1"/>
      <c r="E42" s="1"/>
      <c r="F42" s="1"/>
      <c r="G42" s="1"/>
      <c r="H42" s="1"/>
      <c r="I42" s="1"/>
      <c r="J42" s="24"/>
      <c r="K42" s="1"/>
    </row>
    <row r="43">
      <c r="A43" s="1"/>
      <c r="B43" s="2" t="s">
        <v>527</v>
      </c>
      <c r="C43" s="20">
        <v>0.342</v>
      </c>
      <c r="D43" s="20">
        <v>0.339</v>
      </c>
      <c r="E43" s="20">
        <v>0.338</v>
      </c>
      <c r="F43" s="20">
        <v>0.336</v>
      </c>
      <c r="G43" s="3">
        <f>F43</f>
        <v>0.336</v>
      </c>
      <c r="H43" s="20">
        <v>0.335</v>
      </c>
      <c r="I43" s="20">
        <v>0.331</v>
      </c>
      <c r="J43" s="40">
        <f>I43</f>
        <v>0.331</v>
      </c>
      <c r="K43" s="141" t="s">
        <v>505</v>
      </c>
    </row>
    <row r="44">
      <c r="A44" s="1"/>
      <c r="B44" s="2" t="s">
        <v>528</v>
      </c>
      <c r="C44" s="20">
        <v>0.892</v>
      </c>
      <c r="D44" s="20">
        <v>0.843</v>
      </c>
      <c r="E44" s="20">
        <v>0.619</v>
      </c>
      <c r="F44" s="20">
        <v>1.91</v>
      </c>
      <c r="G44" s="3">
        <f>F44</f>
        <v>1.91</v>
      </c>
      <c r="H44" s="20">
        <v>0.161</v>
      </c>
      <c r="I44" s="20">
        <v>0.841</v>
      </c>
      <c r="J44" s="40">
        <f>I44</f>
        <v>0.841</v>
      </c>
      <c r="K44" s="141" t="s">
        <v>505</v>
      </c>
    </row>
    <row r="45">
      <c r="A45" s="1"/>
      <c r="B45" s="2" t="s">
        <v>529</v>
      </c>
      <c r="C45" s="20">
        <v>-3906.833</v>
      </c>
      <c r="D45" s="20">
        <v>-3971.182</v>
      </c>
      <c r="E45" s="20">
        <v>-3957.671</v>
      </c>
      <c r="F45" s="20">
        <v>-3898.622</v>
      </c>
      <c r="G45" s="3">
        <f>F45</f>
        <v>-3898.622</v>
      </c>
      <c r="H45" s="20">
        <v>-3902.172</v>
      </c>
      <c r="I45" s="20">
        <v>-3977.546</v>
      </c>
      <c r="J45" s="58">
        <f>I45+'Income Statement'!J79-'Share Count'!J43+'Cash Flow Statement'!J52+'Cash Flow Statement'!J23+'Cash Flow Statement'!J51+'Cash Flow Statement'!J53</f>
        <v>-3992.006328997267</v>
      </c>
      <c r="K45" s="141" t="s">
        <v>494</v>
      </c>
    </row>
    <row r="46">
      <c r="A46" s="1"/>
      <c r="B46" s="2" t="s">
        <v>530</v>
      </c>
      <c r="C46" s="20">
        <v>-7.089</v>
      </c>
      <c r="D46" s="20">
        <v>-4.627</v>
      </c>
      <c r="E46" s="20">
        <v>-5.245</v>
      </c>
      <c r="F46" s="20">
        <v>-4.766</v>
      </c>
      <c r="G46" s="3">
        <f>F46</f>
        <v>-4.766</v>
      </c>
      <c r="H46" s="20">
        <v>-5.097</v>
      </c>
      <c r="I46" s="20">
        <v>-6.057</v>
      </c>
      <c r="J46" s="40">
        <f>I46</f>
        <v>-6.057</v>
      </c>
      <c r="K46" s="141" t="s">
        <v>505</v>
      </c>
    </row>
    <row r="47">
      <c r="A47" s="1"/>
      <c r="B47" s="13" t="s">
        <v>531</v>
      </c>
      <c r="C47" s="51">
        <f>SUM(C43:C46)</f>
        <v>-3912.688</v>
      </c>
      <c r="D47" s="51">
        <f>SUM(D43:D46)</f>
        <v>-3974.627</v>
      </c>
      <c r="E47" s="51">
        <f>SUM(E43:E46)</f>
        <v>-3961.959</v>
      </c>
      <c r="F47" s="51">
        <f>SUM(F43:F46)</f>
        <v>-3901.142</v>
      </c>
      <c r="G47" s="51">
        <f>SUM(G43:G46)</f>
        <v>-3901.142</v>
      </c>
      <c r="H47" s="51">
        <f>SUM(H43:H46)</f>
        <v>-3906.773</v>
      </c>
      <c r="I47" s="51">
        <f>SUM(I43:I46)</f>
        <v>-3982.4309999999996</v>
      </c>
      <c r="J47" s="38">
        <f>SUM(J43:J46)</f>
        <v>-3996.8913289972666</v>
      </c>
      <c r="K47" s="1"/>
    </row>
    <row r="48" ht="27.75">
      <c r="A48" s="1"/>
      <c r="B48" s="144" t="s">
        <v>532</v>
      </c>
      <c r="C48" s="20">
        <v>-3912.688</v>
      </c>
      <c r="D48" s="20">
        <v>-3974.627</v>
      </c>
      <c r="E48" s="20">
        <v>-3961.959</v>
      </c>
      <c r="F48" s="20">
        <v>-3901.142</v>
      </c>
      <c r="G48" s="3">
        <f>F48</f>
        <v>-3901.142</v>
      </c>
      <c r="H48" s="20">
        <v>-3906.773</v>
      </c>
      <c r="I48" s="20">
        <v>-3982.431</v>
      </c>
      <c r="J48" s="24"/>
      <c r="K48" s="141" t="s">
        <v>533</v>
      </c>
    </row>
    <row r="49" ht="27.75">
      <c r="A49" s="1"/>
      <c r="B49" s="143" t="s">
        <v>534</v>
      </c>
      <c r="C49" s="51">
        <f>C41+C47</f>
        <v>1877.6189999999997</v>
      </c>
      <c r="D49" s="51">
        <f>D41+D47</f>
        <v>1811.2930000000001</v>
      </c>
      <c r="E49" s="51">
        <f>E41+E47</f>
        <v>1660.277000000001</v>
      </c>
      <c r="F49" s="51">
        <f>F41+F47</f>
        <v>1716.4589999999998</v>
      </c>
      <c r="G49" s="51">
        <f>G41+G47</f>
        <v>1716.4589999999998</v>
      </c>
      <c r="H49" s="51">
        <f>H41+H47</f>
        <v>1844.4880000000003</v>
      </c>
      <c r="I49" s="51">
        <f>I41+I47</f>
        <v>1763.3220000000001</v>
      </c>
      <c r="J49" s="38">
        <f>J41+J47</f>
        <v>1748.2823236527333</v>
      </c>
      <c r="K49" s="1"/>
    </row>
    <row r="50" ht="27.75">
      <c r="A50" s="1"/>
      <c r="B50" s="156" t="s">
        <v>535</v>
      </c>
      <c r="C50" s="60">
        <f>C24-C41-C47</f>
        <v>0</v>
      </c>
      <c r="D50" s="60">
        <f>D24-D41-D47</f>
        <v>0</v>
      </c>
      <c r="E50" s="60">
        <f>E24-E41-E47</f>
        <v>0</v>
      </c>
      <c r="F50" s="60">
        <f>F24-F41-F47</f>
        <v>0</v>
      </c>
      <c r="G50" s="60">
        <f>G24-G41-G47</f>
        <v>0</v>
      </c>
      <c r="H50" s="60">
        <f>H24-H41-H47</f>
        <v>0</v>
      </c>
      <c r="I50" s="60">
        <f>I24-I41-I47</f>
        <v>0</v>
      </c>
      <c r="J50" s="53">
        <f>J24-J41-J47</f>
        <v>0</v>
      </c>
      <c r="K50" s="1"/>
    </row>
    <row r="51">
      <c r="A51" s="1"/>
      <c r="B51" s="7" t="s">
        <v>536</v>
      </c>
      <c r="C51" s="1"/>
      <c r="D51" s="1"/>
      <c r="E51" s="1"/>
      <c r="F51" s="1"/>
      <c r="G51" s="1"/>
      <c r="H51" s="1"/>
      <c r="I51" s="1"/>
      <c r="J51" s="24"/>
      <c r="K51" s="1"/>
    </row>
    <row r="52" ht="27.75">
      <c r="A52" s="1"/>
      <c r="B52" s="144" t="s">
        <v>537</v>
      </c>
      <c r="C52" s="3">
        <f>C28+C36</f>
        <v>4975.759</v>
      </c>
      <c r="D52" s="3">
        <f>D28+D36</f>
        <v>4975.836</v>
      </c>
      <c r="E52" s="3">
        <f>E28+E36</f>
        <v>4815.795</v>
      </c>
      <c r="F52" s="3">
        <f>F28+F36</f>
        <v>4816.814</v>
      </c>
      <c r="G52" s="3">
        <f>G28+G36</f>
        <v>4816.814</v>
      </c>
      <c r="H52" s="3">
        <f>H28+H36</f>
        <v>4883.533</v>
      </c>
      <c r="I52" s="3">
        <f>I28+I36</f>
        <v>4883.643999999999</v>
      </c>
      <c r="J52" s="40">
        <f>J28+J36</f>
        <v>4885.143999999999</v>
      </c>
      <c r="K52" s="1"/>
    </row>
    <row r="53" ht="27.75">
      <c r="A53" s="1"/>
      <c r="B53" s="144" t="s">
        <v>538</v>
      </c>
      <c r="C53" s="3">
        <f>C52-C10</f>
        <v>4671.439</v>
      </c>
      <c r="D53" s="3">
        <f>D52-D10</f>
        <v>4702.977</v>
      </c>
      <c r="E53" s="3">
        <f>E52-E10</f>
        <v>4676.067</v>
      </c>
      <c r="F53" s="3">
        <f>F52-F10</f>
        <v>4691.139</v>
      </c>
      <c r="G53" s="3">
        <f>G52-G10</f>
        <v>4691.139</v>
      </c>
      <c r="H53" s="3">
        <f>H52-H10</f>
        <v>4650.611000000001</v>
      </c>
      <c r="I53" s="3">
        <f>I52-I10</f>
        <v>4718.807999999999</v>
      </c>
      <c r="J53" s="40">
        <f>J52-J10</f>
        <v>4734.417672974585</v>
      </c>
      <c r="K53" s="1"/>
    </row>
    <row r="54" ht="40.5">
      <c r="A54" s="1"/>
      <c r="B54" s="144" t="s">
        <v>539</v>
      </c>
      <c r="C54" s="43" t="s">
        <v>76</v>
      </c>
      <c r="D54" s="71">
        <v>4.7</v>
      </c>
      <c r="E54" s="43" t="s">
        <v>76</v>
      </c>
      <c r="F54" s="71">
        <v>4.4</v>
      </c>
      <c r="G54" s="43">
        <f>F54</f>
        <v>4.4</v>
      </c>
      <c r="H54" s="43" t="s">
        <v>76</v>
      </c>
      <c r="I54" s="71">
        <v>4.3</v>
      </c>
      <c r="J54" s="69" t="s">
        <v>76</v>
      </c>
      <c r="K54" s="141" t="s">
        <v>540</v>
      </c>
    </row>
    <row r="55">
      <c r="A55" s="1"/>
      <c r="B55" s="1"/>
      <c r="C55" s="1"/>
      <c r="D55" s="1"/>
      <c r="E55" s="1"/>
      <c r="F55" s="1"/>
      <c r="G55" s="1"/>
      <c r="H55" s="1"/>
      <c r="I55" s="1"/>
      <c r="J55" s="24"/>
      <c r="K55" s="1"/>
    </row>
    <row r="56">
      <c r="A56" s="1"/>
      <c r="B56" s="1"/>
      <c r="C56" s="1"/>
      <c r="D56" s="1"/>
      <c r="E56" s="1"/>
      <c r="F56" s="1"/>
      <c r="G56" s="1"/>
      <c r="H56" s="1"/>
      <c r="I56" s="1"/>
      <c r="J56" s="1"/>
      <c r="K56" s="1"/>
    </row>
    <row r="57">
      <c r="A57" s="1"/>
      <c r="B57" s="1"/>
      <c r="C57" s="1"/>
      <c r="D57" s="1"/>
      <c r="E57" s="1"/>
      <c r="F57" s="1"/>
      <c r="G57" s="1"/>
      <c r="H57" s="1"/>
      <c r="I57" s="1"/>
      <c r="J57" s="1"/>
      <c r="K57" s="1"/>
    </row>
  </sheetData>
  <legacyDrawing r:id="rId2"/>
</worksheet>
</file>

<file path=xl/worksheets/sheet8.xml><?xml version="1.0" encoding="utf-8"?>
<worksheet xmlns="http://schemas.openxmlformats.org/spreadsheetml/2006/main" xmlns:r="http://schemas.openxmlformats.org/officeDocument/2006/relationships">
  <dimension ref="A1:K114"/>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541</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ht="40.5">
      <c r="A9" s="1"/>
      <c r="B9" s="142" t="s">
        <v>542</v>
      </c>
      <c r="C9" s="1"/>
      <c r="D9" s="1"/>
      <c r="E9" s="1"/>
      <c r="F9" s="1"/>
      <c r="G9" s="1"/>
      <c r="H9" s="1"/>
      <c r="I9" s="1"/>
      <c r="J9" s="24"/>
      <c r="K9" s="1"/>
    </row>
    <row r="10">
      <c r="A10" s="1"/>
      <c r="B10" s="2" t="s">
        <v>543</v>
      </c>
      <c r="C10" s="3">
        <f>C80</f>
        <v>149.65099999999995</v>
      </c>
      <c r="D10" s="3">
        <f>D80-C80</f>
        <v>131.091</v>
      </c>
      <c r="E10" s="3">
        <f>E80-D80</f>
        <v>139.31900000000007</v>
      </c>
      <c r="F10" s="3">
        <f>F80-E80</f>
        <v>181.64299999999992</v>
      </c>
      <c r="G10" s="3">
        <f>SUM(C10:F10)</f>
        <v>601.704</v>
      </c>
      <c r="H10" s="3">
        <f>H80</f>
        <v>139.81099999999992</v>
      </c>
      <c r="I10" s="3">
        <f>I80-H80</f>
        <v>135.74999999999983</v>
      </c>
      <c r="J10" s="58">
        <f>'Income Statement'!J79</f>
        <v>141.3723236527331</v>
      </c>
      <c r="K10" s="141" t="s">
        <v>544</v>
      </c>
    </row>
    <row r="11">
      <c r="A11" s="1"/>
      <c r="B11" s="2" t="s">
        <v>470</v>
      </c>
      <c r="C11" s="3">
        <f>C81</f>
        <v>20.362</v>
      </c>
      <c r="D11" s="3">
        <f>D81-C81</f>
        <v>20.351000000000003</v>
      </c>
      <c r="E11" s="3">
        <f>E81-D81</f>
        <v>20.415</v>
      </c>
      <c r="F11" s="3">
        <f>F81-E81</f>
        <v>27.698999999999998</v>
      </c>
      <c r="G11" s="3">
        <f>SUM(C11:F11)</f>
        <v>88.827</v>
      </c>
      <c r="H11" s="3">
        <f>H81</f>
        <v>20.434</v>
      </c>
      <c r="I11" s="3">
        <f>I81-H81</f>
        <v>20.346999999999998</v>
      </c>
      <c r="J11" s="104">
        <v>20.6</v>
      </c>
      <c r="K11" s="141" t="s">
        <v>545</v>
      </c>
    </row>
    <row r="12" ht="27.75">
      <c r="A12" s="1"/>
      <c r="B12" s="154" t="s">
        <v>546</v>
      </c>
      <c r="C12" s="12" t="s">
        <v>76</v>
      </c>
      <c r="D12" s="12" t="s">
        <v>76</v>
      </c>
      <c r="E12" s="12" t="s">
        <v>76</v>
      </c>
      <c r="F12" s="12" t="s">
        <v>76</v>
      </c>
      <c r="G12" s="12" t="s">
        <v>76</v>
      </c>
      <c r="H12" s="12">
        <f>IFERROR(H11/C11-1,"n/a")</f>
        <v>0.0035359984284453194</v>
      </c>
      <c r="I12" s="12">
        <f>IFERROR(I11/D11-1,"n/a")</f>
        <v>-0.00019655053805733846</v>
      </c>
      <c r="J12" s="44">
        <f>IFERROR(J11/E11-1,"n/a")</f>
        <v>0.009061964241979137</v>
      </c>
      <c r="K12" s="1"/>
    </row>
    <row r="13" ht="27.75">
      <c r="A13" s="1"/>
      <c r="B13" s="154" t="s">
        <v>547</v>
      </c>
      <c r="C13" s="37" t="s">
        <v>76</v>
      </c>
      <c r="D13" s="37">
        <f>D11-C11</f>
        <v>-0.01099999999999568</v>
      </c>
      <c r="E13" s="37">
        <f>E11-D11</f>
        <v>0.0639999999999965</v>
      </c>
      <c r="F13" s="37">
        <f>F11-E11</f>
        <v>7.283999999999999</v>
      </c>
      <c r="G13" s="37" t="s">
        <v>76</v>
      </c>
      <c r="H13" s="37">
        <f>H11-F11</f>
        <v>-7.264999999999997</v>
      </c>
      <c r="I13" s="37">
        <f>I11-H11</f>
        <v>-0.0870000000000033</v>
      </c>
      <c r="J13" s="63">
        <f>J11-I11</f>
        <v>0.25300000000000367</v>
      </c>
      <c r="K13" s="1"/>
    </row>
    <row r="14" ht="27.75">
      <c r="A14" s="1"/>
      <c r="B14" s="47" t="s">
        <v>548</v>
      </c>
      <c r="C14" s="20">
        <v>2.82</v>
      </c>
      <c r="D14" s="20">
        <v>2.737</v>
      </c>
      <c r="E14" s="3" t="s">
        <v>81</v>
      </c>
      <c r="F14" s="3" t="s">
        <v>81</v>
      </c>
      <c r="G14" s="3" t="s">
        <v>81</v>
      </c>
      <c r="H14" s="20">
        <v>2.5580000000000003</v>
      </c>
      <c r="I14" s="20">
        <v>2.1710000000000003</v>
      </c>
      <c r="J14" s="40" t="s">
        <v>76</v>
      </c>
      <c r="K14" s="141" t="s">
        <v>549</v>
      </c>
    </row>
    <row r="15" ht="27.75">
      <c r="A15" s="1"/>
      <c r="B15" s="47" t="s">
        <v>550</v>
      </c>
      <c r="C15" s="20">
        <v>9.212</v>
      </c>
      <c r="D15" s="20">
        <v>9.455</v>
      </c>
      <c r="E15" s="3" t="s">
        <v>81</v>
      </c>
      <c r="F15" s="3" t="s">
        <v>81</v>
      </c>
      <c r="G15" s="3" t="s">
        <v>81</v>
      </c>
      <c r="H15" s="20">
        <v>9.753</v>
      </c>
      <c r="I15" s="20">
        <v>10.967</v>
      </c>
      <c r="J15" s="40" t="s">
        <v>76</v>
      </c>
      <c r="K15" s="141" t="s">
        <v>549</v>
      </c>
    </row>
    <row r="16" ht="27.75">
      <c r="A16" s="1"/>
      <c r="B16" s="155" t="s">
        <v>551</v>
      </c>
      <c r="C16" s="20">
        <v>0.035</v>
      </c>
      <c r="D16" s="20">
        <v>0.077</v>
      </c>
      <c r="E16" s="3" t="s">
        <v>81</v>
      </c>
      <c r="F16" s="3" t="s">
        <v>81</v>
      </c>
      <c r="G16" s="3" t="s">
        <v>81</v>
      </c>
      <c r="H16" s="20">
        <v>0.018000000000000002</v>
      </c>
      <c r="I16" s="20">
        <v>0.018000000000000002</v>
      </c>
      <c r="J16" s="40" t="s">
        <v>76</v>
      </c>
      <c r="K16" s="141" t="s">
        <v>549</v>
      </c>
    </row>
    <row r="17" ht="27.75">
      <c r="A17" s="1"/>
      <c r="B17" s="155" t="s">
        <v>552</v>
      </c>
      <c r="C17" s="3">
        <f>IFERROR(C11-C14-C15-C16,"n/a")</f>
        <v>8.294999999999998</v>
      </c>
      <c r="D17" s="3">
        <f>IFERROR(D11-D14-D15-D16,"n/a")</f>
        <v>8.082000000000004</v>
      </c>
      <c r="E17" s="3" t="str">
        <f>IFERROR(E11-E14-E15-E16,"n/a")</f>
        <v>n/a</v>
      </c>
      <c r="F17" s="3" t="str">
        <f>IFERROR(F11-F14-F15-F16,"n/a")</f>
        <v>n/a</v>
      </c>
      <c r="G17" s="3" t="str">
        <f>IFERROR(G11-G14-G15-G16,"n/a")</f>
        <v>n/a</v>
      </c>
      <c r="H17" s="3">
        <f>IFERROR(H11-H14-H15-H16,"n/a")</f>
        <v>8.105</v>
      </c>
      <c r="I17" s="3">
        <f>IFERROR(I11-I14-I15-I16,"n/a")</f>
        <v>7.190999999999998</v>
      </c>
      <c r="J17" s="40" t="str">
        <f>IFERROR(J11-J14-J15-J16,"n/a")</f>
        <v>n/a</v>
      </c>
      <c r="K17" s="1"/>
    </row>
    <row r="18">
      <c r="A18" s="1"/>
      <c r="B18" s="2" t="s">
        <v>394</v>
      </c>
      <c r="C18" s="3">
        <f>C82</f>
        <v>0</v>
      </c>
      <c r="D18" s="3">
        <f>D82-C82</f>
        <v>-3.883</v>
      </c>
      <c r="E18" s="3">
        <f>E82-D82</f>
        <v>0</v>
      </c>
      <c r="F18" s="3">
        <f>F82-E82</f>
        <v>-0.14499999999999957</v>
      </c>
      <c r="G18" s="3">
        <f>SUM(C18:F18)</f>
        <v>-4.028</v>
      </c>
      <c r="H18" s="3">
        <f>H82</f>
        <v>0</v>
      </c>
      <c r="I18" s="3">
        <f>I82-H82</f>
        <v>-4.087</v>
      </c>
      <c r="J18" s="58">
        <f>'Income Statement'!J45</f>
        <v>0</v>
      </c>
      <c r="K18" s="141" t="s">
        <v>544</v>
      </c>
    </row>
    <row r="19">
      <c r="A19" s="1"/>
      <c r="B19" s="2" t="s">
        <v>553</v>
      </c>
      <c r="C19" s="3">
        <f>C83</f>
        <v>0</v>
      </c>
      <c r="D19" s="3">
        <f>D83-C83</f>
        <v>0</v>
      </c>
      <c r="E19" s="3">
        <f>E83-D83</f>
        <v>0</v>
      </c>
      <c r="F19" s="3">
        <f>F83-E83</f>
        <v>0</v>
      </c>
      <c r="G19" s="3">
        <f>SUM(C19:F19)</f>
        <v>0</v>
      </c>
      <c r="H19" s="3">
        <f>H83</f>
        <v>-7.78</v>
      </c>
      <c r="I19" s="3">
        <f>I83-H83</f>
        <v>0</v>
      </c>
      <c r="J19" s="58">
        <f>'Income Statement'!J46</f>
        <v>0</v>
      </c>
      <c r="K19" s="141" t="s">
        <v>544</v>
      </c>
    </row>
    <row r="20">
      <c r="A20" s="1"/>
      <c r="B20" s="2" t="s">
        <v>472</v>
      </c>
      <c r="C20" s="3">
        <f>C84</f>
        <v>0.266</v>
      </c>
      <c r="D20" s="3">
        <f>D84-C84</f>
        <v>0.346</v>
      </c>
      <c r="E20" s="3">
        <f>E84-D84</f>
        <v>0.09099999999999997</v>
      </c>
      <c r="F20" s="3">
        <f>F84-E84</f>
        <v>1.1520000000000001</v>
      </c>
      <c r="G20" s="3">
        <f>SUM(C20:F20)</f>
        <v>1.855</v>
      </c>
      <c r="H20" s="3">
        <f>H84</f>
        <v>0.357</v>
      </c>
      <c r="I20" s="3">
        <f>I84-H84</f>
        <v>0.139</v>
      </c>
      <c r="J20" s="104">
        <v>0</v>
      </c>
      <c r="K20" s="141" t="s">
        <v>544</v>
      </c>
    </row>
    <row r="21">
      <c r="A21" s="1"/>
      <c r="B21" s="2" t="s">
        <v>554</v>
      </c>
      <c r="C21" s="3">
        <f>C85</f>
        <v>1.21</v>
      </c>
      <c r="D21" s="3">
        <f>D85-C85</f>
        <v>1.209</v>
      </c>
      <c r="E21" s="3">
        <f>E85-D85</f>
        <v>1.3489999999999998</v>
      </c>
      <c r="F21" s="3">
        <f>F85-E85</f>
        <v>1.9800000000000004</v>
      </c>
      <c r="G21" s="3">
        <f>SUM(C21:F21)</f>
        <v>5.748</v>
      </c>
      <c r="H21" s="3">
        <f>H85</f>
        <v>1.485</v>
      </c>
      <c r="I21" s="3">
        <f>I85-H85</f>
        <v>1.485</v>
      </c>
      <c r="J21" s="104">
        <v>1.5</v>
      </c>
      <c r="K21" s="141" t="s">
        <v>555</v>
      </c>
    </row>
    <row r="22" ht="27.75">
      <c r="A22" s="1"/>
      <c r="B22" s="144" t="s">
        <v>556</v>
      </c>
      <c r="C22" s="3">
        <f>C86</f>
        <v>-2.29</v>
      </c>
      <c r="D22" s="3">
        <f>D86-C86</f>
        <v>-0.41000000000000014</v>
      </c>
      <c r="E22" s="3">
        <f>E86-D86</f>
        <v>11.955000000000002</v>
      </c>
      <c r="F22" s="3">
        <f>F86-E86</f>
        <v>-7.9670000000000005</v>
      </c>
      <c r="G22" s="3">
        <f>SUM(C22:F22)</f>
        <v>1.288000000000002</v>
      </c>
      <c r="H22" s="3">
        <f>H86</f>
        <v>3.319</v>
      </c>
      <c r="I22" s="3">
        <f>I86-H86</f>
        <v>1.8310000000000004</v>
      </c>
      <c r="J22" s="104">
        <v>0</v>
      </c>
      <c r="K22" s="141" t="s">
        <v>544</v>
      </c>
    </row>
    <row r="23" ht="27.75">
      <c r="A23" s="1"/>
      <c r="B23" s="144" t="s">
        <v>557</v>
      </c>
      <c r="C23" s="3">
        <f>C87</f>
        <v>10.381</v>
      </c>
      <c r="D23" s="3">
        <f>D87-C87</f>
        <v>10.975000000000001</v>
      </c>
      <c r="E23" s="3">
        <f>E87-D87</f>
        <v>10.325</v>
      </c>
      <c r="F23" s="3">
        <f>F87-E87</f>
        <v>12.959</v>
      </c>
      <c r="G23" s="3">
        <f>SUM(C23:F23)</f>
        <v>44.64</v>
      </c>
      <c r="H23" s="3">
        <f>H87</f>
        <v>8.789</v>
      </c>
      <c r="I23" s="3">
        <f>I87-H87</f>
        <v>12.357000000000001</v>
      </c>
      <c r="J23" s="104">
        <v>10</v>
      </c>
      <c r="K23" s="141" t="s">
        <v>558</v>
      </c>
    </row>
    <row r="24" ht="27.75">
      <c r="A24" s="1"/>
      <c r="B24" s="154" t="s">
        <v>559</v>
      </c>
      <c r="C24" s="12" t="s">
        <v>76</v>
      </c>
      <c r="D24" s="12" t="s">
        <v>76</v>
      </c>
      <c r="E24" s="12" t="s">
        <v>76</v>
      </c>
      <c r="F24" s="12" t="s">
        <v>76</v>
      </c>
      <c r="G24" s="12" t="s">
        <v>76</v>
      </c>
      <c r="H24" s="12">
        <f>IFERROR(H23/C23-1,"n/a")</f>
        <v>-0.15335709469222625</v>
      </c>
      <c r="I24" s="12">
        <f>IFERROR(I23/D23-1,"n/a")</f>
        <v>0.12592255125284724</v>
      </c>
      <c r="J24" s="44">
        <f>IFERROR(J23/E23-1,"n/a")</f>
        <v>-0.03147699757869238</v>
      </c>
      <c r="K24" s="1"/>
    </row>
    <row r="25" ht="40.5">
      <c r="A25" s="1"/>
      <c r="B25" s="154" t="s">
        <v>560</v>
      </c>
      <c r="C25" s="37" t="s">
        <v>76</v>
      </c>
      <c r="D25" s="37">
        <f>D23-C23</f>
        <v>0.5940000000000012</v>
      </c>
      <c r="E25" s="37">
        <f>E23-D23</f>
        <v>-0.6500000000000021</v>
      </c>
      <c r="F25" s="37">
        <f>F23-E23</f>
        <v>2.6340000000000003</v>
      </c>
      <c r="G25" s="37" t="s">
        <v>76</v>
      </c>
      <c r="H25" s="37">
        <f>H23-F23</f>
        <v>-4.17</v>
      </c>
      <c r="I25" s="37">
        <f>I23-H23</f>
        <v>3.5680000000000014</v>
      </c>
      <c r="J25" s="63">
        <f>J23-I23</f>
        <v>-2.357000000000001</v>
      </c>
      <c r="K25" s="1"/>
    </row>
    <row r="26" ht="27.75">
      <c r="A26" s="1"/>
      <c r="B26" s="144" t="s">
        <v>561</v>
      </c>
      <c r="C26" s="3">
        <f>C88</f>
        <v>-1.569</v>
      </c>
      <c r="D26" s="3">
        <f>D88-C88</f>
        <v>-0.774</v>
      </c>
      <c r="E26" s="3">
        <f>E88-D88</f>
        <v>-0.4079999999999999</v>
      </c>
      <c r="F26" s="3">
        <f>F88-E88</f>
        <v>-0.40700000000000003</v>
      </c>
      <c r="G26" s="3">
        <f>SUM(C26:F26)</f>
        <v>-3.158</v>
      </c>
      <c r="H26" s="3">
        <f>H88</f>
        <v>-0.463</v>
      </c>
      <c r="I26" s="3">
        <f>I88-H88</f>
        <v>-0.16199999999999998</v>
      </c>
      <c r="J26" s="104">
        <v>0</v>
      </c>
      <c r="K26" s="141" t="s">
        <v>544</v>
      </c>
    </row>
    <row r="27" ht="27.75">
      <c r="A27" s="1"/>
      <c r="B27" s="144" t="s">
        <v>562</v>
      </c>
      <c r="C27" s="3">
        <f>C89</f>
        <v>-0.057</v>
      </c>
      <c r="D27" s="3">
        <f>D89-C89</f>
        <v>0.053000000000000005</v>
      </c>
      <c r="E27" s="3">
        <f>E89-D89</f>
        <v>-0.045</v>
      </c>
      <c r="F27" s="3">
        <f>F89-E89</f>
        <v>-0.06</v>
      </c>
      <c r="G27" s="3">
        <f>SUM(C27:F27)</f>
        <v>-0.10899999999999999</v>
      </c>
      <c r="H27" s="3">
        <f>H89</f>
        <v>0.044</v>
      </c>
      <c r="I27" s="3">
        <f>I89-H89</f>
        <v>-0.005999999999999998</v>
      </c>
      <c r="J27" s="104">
        <v>0</v>
      </c>
      <c r="K27" s="141" t="s">
        <v>544</v>
      </c>
    </row>
    <row r="28" ht="27.75">
      <c r="A28" s="1"/>
      <c r="B28" s="144" t="s">
        <v>563</v>
      </c>
      <c r="C28" s="3">
        <f>C90</f>
        <v>-24.027</v>
      </c>
      <c r="D28" s="3">
        <f>D90-C90</f>
        <v>15.974</v>
      </c>
      <c r="E28" s="3">
        <f>E90-D90</f>
        <v>3.0170000000000012</v>
      </c>
      <c r="F28" s="3">
        <f>F90-E90</f>
        <v>7.58</v>
      </c>
      <c r="G28" s="3">
        <f>SUM(C28:F28)</f>
        <v>2.5440000000000005</v>
      </c>
      <c r="H28" s="3">
        <f>H90</f>
        <v>5.99</v>
      </c>
      <c r="I28" s="3">
        <f>I90-H90</f>
        <v>12.366000000000001</v>
      </c>
      <c r="J28" s="58">
        <f>-'Income Statement'!J57</f>
        <v>2.330003372681282</v>
      </c>
      <c r="K28" s="141" t="s">
        <v>564</v>
      </c>
    </row>
    <row r="29" ht="27.75">
      <c r="A29" s="1"/>
      <c r="B29" s="144" t="s">
        <v>565</v>
      </c>
      <c r="C29" s="3">
        <f>C91</f>
        <v>34.244</v>
      </c>
      <c r="D29" s="3">
        <f>D91-C91</f>
        <v>-14.581</v>
      </c>
      <c r="E29" s="3">
        <f>E91-D91</f>
        <v>-9.421</v>
      </c>
      <c r="F29" s="3">
        <f>F91-E91</f>
        <v>31.773</v>
      </c>
      <c r="G29" s="3">
        <f>SUM(C29:F29)</f>
        <v>42.015</v>
      </c>
      <c r="H29" s="3">
        <f>H91</f>
        <v>-0.37</v>
      </c>
      <c r="I29" s="3">
        <f>I91-H91</f>
        <v>-0.8270000000000001</v>
      </c>
      <c r="J29" s="104">
        <v>0</v>
      </c>
      <c r="K29" s="141" t="s">
        <v>566</v>
      </c>
    </row>
    <row r="30" ht="27.75">
      <c r="A30" s="1"/>
      <c r="B30" s="144" t="s">
        <v>567</v>
      </c>
      <c r="C30" s="3">
        <f>C92</f>
        <v>-9.095</v>
      </c>
      <c r="D30" s="3">
        <f>D92-C92</f>
        <v>27.433</v>
      </c>
      <c r="E30" s="3">
        <f>E92-D92</f>
        <v>8.799</v>
      </c>
      <c r="F30" s="3">
        <f>F92-E92</f>
        <v>-16.401</v>
      </c>
      <c r="G30" s="3">
        <f>SUM(C30:F30)</f>
        <v>10.736</v>
      </c>
      <c r="H30" s="3">
        <f>H92</f>
        <v>-9.661</v>
      </c>
      <c r="I30" s="3">
        <f>I92-H92</f>
        <v>11.455</v>
      </c>
      <c r="J30" s="104">
        <v>0</v>
      </c>
      <c r="K30" s="141" t="s">
        <v>568</v>
      </c>
    </row>
    <row r="31" ht="27.75">
      <c r="A31" s="1"/>
      <c r="B31" s="143" t="s">
        <v>569</v>
      </c>
      <c r="C31" s="51">
        <f>C10+C11+C18+C19+C20+C21+C22+C23+C26+C27+C28+C29+C30</f>
        <v>179.07599999999996</v>
      </c>
      <c r="D31" s="51">
        <f>D10+D11+D18+D19+D20+D21+D22+D23+D26+D27+D28+D29+D30</f>
        <v>187.784</v>
      </c>
      <c r="E31" s="51">
        <f>E10+E11+E18+E19+E20+E21+E22+E23+E26+E27+E28+E29+E30</f>
        <v>185.3960000000001</v>
      </c>
      <c r="F31" s="51">
        <f>F10+F11+F18+F19+F20+F21+F22+F23+F26+F27+F28+F29+F30</f>
        <v>239.80599999999987</v>
      </c>
      <c r="G31" s="51">
        <f>G10+G11+G18+G19+G20+G21+G22+G23+G26+G27+G28+G29+G30</f>
        <v>792.0619999999999</v>
      </c>
      <c r="H31" s="51">
        <f>H10+H11+H18+H19+H20+H21+H22+H23+H26+H27+H28+H29+H30</f>
        <v>161.95499999999993</v>
      </c>
      <c r="I31" s="51">
        <f>I10+I11+I18+I19+I20+I21+I22+I23+I26+I27+I28+I29+I30</f>
        <v>190.64799999999988</v>
      </c>
      <c r="J31" s="38">
        <f>J10+J11+J18+J19+J20+J21+J22+J23+J26+J27+J28+J29+J30</f>
        <v>175.80232702541437</v>
      </c>
      <c r="K31" s="1"/>
    </row>
    <row r="32">
      <c r="A32" s="1"/>
      <c r="B32" s="2" t="s">
        <v>570</v>
      </c>
      <c r="C32" s="3">
        <f>C93</f>
        <v>179.076</v>
      </c>
      <c r="D32" s="3">
        <f>D93-C93</f>
        <v>187.78400000000002</v>
      </c>
      <c r="E32" s="3">
        <f>E93-D93</f>
        <v>185.39599999999996</v>
      </c>
      <c r="F32" s="3">
        <f>F93-E93</f>
        <v>239.80600000000004</v>
      </c>
      <c r="G32" s="3">
        <f>SUM(C32:F32)</f>
        <v>792.062</v>
      </c>
      <c r="H32" s="3">
        <f>H93</f>
        <v>161.955</v>
      </c>
      <c r="I32" s="3">
        <f>I93-H93</f>
        <v>190.648</v>
      </c>
      <c r="J32" s="24"/>
      <c r="K32" s="1"/>
    </row>
    <row r="33" ht="27.75">
      <c r="A33" s="1"/>
      <c r="B33" s="140" t="s">
        <v>400</v>
      </c>
      <c r="C33" s="37">
        <f>ROUND(C31-C32,6)</f>
        <v>0</v>
      </c>
      <c r="D33" s="37">
        <f>ROUND(D31-D32,6)</f>
        <v>0</v>
      </c>
      <c r="E33" s="37">
        <f>ROUND(E31-E32,6)</f>
        <v>0</v>
      </c>
      <c r="F33" s="37">
        <f>ROUND(F31-F32,6)</f>
        <v>0</v>
      </c>
      <c r="G33" s="37">
        <f>ROUND(G31-G32,6)</f>
        <v>0</v>
      </c>
      <c r="H33" s="37">
        <f>ROUND(H31-H32,6)</f>
        <v>0</v>
      </c>
      <c r="I33" s="37">
        <f>ROUND(I31-I32,6)</f>
        <v>0</v>
      </c>
      <c r="J33" s="24"/>
      <c r="K33" s="1"/>
    </row>
    <row r="34">
      <c r="A34" s="1"/>
      <c r="B34" s="7" t="s">
        <v>571</v>
      </c>
      <c r="C34" s="1"/>
      <c r="D34" s="1"/>
      <c r="E34" s="1"/>
      <c r="F34" s="1"/>
      <c r="G34" s="1"/>
      <c r="H34" s="1"/>
      <c r="I34" s="1"/>
      <c r="J34" s="24"/>
      <c r="K34" s="1"/>
    </row>
    <row r="35">
      <c r="A35" s="1"/>
      <c r="B35" s="2" t="s">
        <v>572</v>
      </c>
      <c r="C35" s="3">
        <f>C94</f>
        <v>-14.745</v>
      </c>
      <c r="D35" s="3">
        <f>D94-C94</f>
        <v>-20.486000000000004</v>
      </c>
      <c r="E35" s="3">
        <f>E94-D94</f>
        <v>-21.436</v>
      </c>
      <c r="F35" s="3">
        <f>F94-E94</f>
        <v>-63.891000000000005</v>
      </c>
      <c r="G35" s="3">
        <f>SUM(C35:F35)</f>
        <v>-120.558</v>
      </c>
      <c r="H35" s="3">
        <f>H94</f>
        <v>-15.043</v>
      </c>
      <c r="I35" s="3">
        <f>I94-H94</f>
        <v>-23.965000000000003</v>
      </c>
      <c r="J35" s="104">
        <v>-22</v>
      </c>
      <c r="K35" s="141" t="s">
        <v>573</v>
      </c>
    </row>
    <row r="36">
      <c r="A36" s="1"/>
      <c r="B36" s="18" t="s">
        <v>574</v>
      </c>
      <c r="C36" s="12" t="s">
        <v>76</v>
      </c>
      <c r="D36" s="12" t="s">
        <v>76</v>
      </c>
      <c r="E36" s="12" t="s">
        <v>76</v>
      </c>
      <c r="F36" s="12" t="s">
        <v>76</v>
      </c>
      <c r="G36" s="12" t="s">
        <v>76</v>
      </c>
      <c r="H36" s="12">
        <f>IFERROR(H35/C35-1,"n/a")</f>
        <v>0.020210240759579445</v>
      </c>
      <c r="I36" s="12">
        <f>IFERROR(I35/D35-1,"n/a")</f>
        <v>0.16982329395684848</v>
      </c>
      <c r="J36" s="44">
        <f>IFERROR(J35/E35-1,"n/a")</f>
        <v>0.02631087889531636</v>
      </c>
      <c r="K36" s="1"/>
    </row>
    <row r="37" ht="27.75">
      <c r="A37" s="1"/>
      <c r="B37" s="154" t="s">
        <v>575</v>
      </c>
      <c r="C37" s="37" t="s">
        <v>76</v>
      </c>
      <c r="D37" s="37">
        <f>D35-C35</f>
        <v>-5.741000000000005</v>
      </c>
      <c r="E37" s="37">
        <f>E35-D35</f>
        <v>-0.9499999999999957</v>
      </c>
      <c r="F37" s="37">
        <f>F35-E35</f>
        <v>-42.455000000000005</v>
      </c>
      <c r="G37" s="37" t="s">
        <v>76</v>
      </c>
      <c r="H37" s="37">
        <f>H35-F35</f>
        <v>48.848000000000006</v>
      </c>
      <c r="I37" s="37">
        <f>I35-H35</f>
        <v>-8.922000000000004</v>
      </c>
      <c r="J37" s="63">
        <f>J35-I35</f>
        <v>1.9650000000000034</v>
      </c>
      <c r="K37" s="1"/>
    </row>
    <row r="38" ht="27.75">
      <c r="A38" s="1"/>
      <c r="B38" s="155" t="s">
        <v>576</v>
      </c>
      <c r="C38" s="20">
        <v>-0.976</v>
      </c>
      <c r="D38" s="20">
        <v>-1.983</v>
      </c>
      <c r="E38" s="20">
        <v>-2.629</v>
      </c>
      <c r="F38" s="3" t="s">
        <v>81</v>
      </c>
      <c r="G38" s="3" t="s">
        <v>81</v>
      </c>
      <c r="H38" s="20">
        <v>-2.67</v>
      </c>
      <c r="I38" s="20">
        <v>-2.309</v>
      </c>
      <c r="J38" s="40" t="s">
        <v>76</v>
      </c>
      <c r="K38" s="141" t="s">
        <v>549</v>
      </c>
    </row>
    <row r="39" ht="27.75">
      <c r="A39" s="1"/>
      <c r="B39" s="155" t="s">
        <v>577</v>
      </c>
      <c r="C39" s="20">
        <v>-5.51</v>
      </c>
      <c r="D39" s="20">
        <v>-9.076</v>
      </c>
      <c r="E39" s="20">
        <v>-8.248</v>
      </c>
      <c r="F39" s="3" t="s">
        <v>81</v>
      </c>
      <c r="G39" s="3" t="s">
        <v>81</v>
      </c>
      <c r="H39" s="20">
        <v>-5.248</v>
      </c>
      <c r="I39" s="20">
        <v>-9.908</v>
      </c>
      <c r="J39" s="40" t="s">
        <v>76</v>
      </c>
      <c r="K39" s="141" t="s">
        <v>549</v>
      </c>
    </row>
    <row r="40" ht="27.75">
      <c r="A40" s="1"/>
      <c r="B40" s="155" t="s">
        <v>578</v>
      </c>
      <c r="C40" s="20">
        <v>0</v>
      </c>
      <c r="D40" s="20">
        <v>0</v>
      </c>
      <c r="E40" s="20">
        <v>-0.139</v>
      </c>
      <c r="F40" s="3" t="s">
        <v>81</v>
      </c>
      <c r="G40" s="3" t="s">
        <v>81</v>
      </c>
      <c r="H40" s="20">
        <v>0</v>
      </c>
      <c r="I40" s="20">
        <v>0</v>
      </c>
      <c r="J40" s="40" t="s">
        <v>76</v>
      </c>
      <c r="K40" s="141" t="s">
        <v>549</v>
      </c>
    </row>
    <row r="41" ht="27.75">
      <c r="A41" s="1"/>
      <c r="B41" s="155" t="s">
        <v>579</v>
      </c>
      <c r="C41" s="3">
        <f>IFERROR(C35-C38-C39-C40,"n/a")</f>
        <v>-8.258999999999999</v>
      </c>
      <c r="D41" s="3">
        <f>IFERROR(D35-D38-D39-D40,"n/a")</f>
        <v>-9.427000000000003</v>
      </c>
      <c r="E41" s="3">
        <f>IFERROR(E35-E38-E39-E40,"n/a")</f>
        <v>-10.42</v>
      </c>
      <c r="F41" s="3" t="str">
        <f>IFERROR(F35-F38-F39-F40,"n/a")</f>
        <v>n/a</v>
      </c>
      <c r="G41" s="3" t="str">
        <f>IFERROR(G35-G38-G39-G40,"n/a")</f>
        <v>n/a</v>
      </c>
      <c r="H41" s="3">
        <f>IFERROR(H35-H38-H39-H40,"n/a")</f>
        <v>-7.124999999999999</v>
      </c>
      <c r="I41" s="3">
        <f>IFERROR(I35-I38-I39-I40,"n/a")</f>
        <v>-11.748000000000003</v>
      </c>
      <c r="J41" s="40" t="str">
        <f>IFERROR(J35-J38-J39-J40,"n/a")</f>
        <v>n/a</v>
      </c>
      <c r="K41" s="1"/>
    </row>
    <row r="42">
      <c r="A42" s="1"/>
      <c r="B42" s="2" t="s">
        <v>580</v>
      </c>
      <c r="C42" s="3">
        <f>C95</f>
        <v>0</v>
      </c>
      <c r="D42" s="3">
        <f>D95-C95</f>
        <v>8.458</v>
      </c>
      <c r="E42" s="3">
        <f>E95-D95</f>
        <v>0</v>
      </c>
      <c r="F42" s="3">
        <f>F95-E95</f>
        <v>0.09999999999999964</v>
      </c>
      <c r="G42" s="3">
        <f>SUM(C42:F42)</f>
        <v>8.558</v>
      </c>
      <c r="H42" s="3">
        <f>H95</f>
        <v>7.78</v>
      </c>
      <c r="I42" s="3">
        <f>I95-H95</f>
        <v>7.403999999999999</v>
      </c>
      <c r="J42" s="104">
        <v>0</v>
      </c>
      <c r="K42" s="141" t="s">
        <v>108</v>
      </c>
    </row>
    <row r="43">
      <c r="A43" s="1"/>
      <c r="B43" s="2" t="s">
        <v>581</v>
      </c>
      <c r="C43" s="3">
        <f>C96</f>
        <v>0</v>
      </c>
      <c r="D43" s="3">
        <f>D96-C96</f>
        <v>44.085</v>
      </c>
      <c r="E43" s="3">
        <f>E96-D96</f>
        <v>0</v>
      </c>
      <c r="F43" s="3">
        <f>F96-E96</f>
        <v>0</v>
      </c>
      <c r="G43" s="3">
        <f>SUM(C43:F43)</f>
        <v>44.085</v>
      </c>
      <c r="H43" s="3">
        <f>H96</f>
        <v>0</v>
      </c>
      <c r="I43" s="3">
        <f>I96-H96</f>
        <v>0</v>
      </c>
      <c r="J43" s="104">
        <v>0</v>
      </c>
      <c r="K43" s="141" t="s">
        <v>108</v>
      </c>
    </row>
    <row r="44">
      <c r="A44" s="1"/>
      <c r="B44" s="2" t="s">
        <v>582</v>
      </c>
      <c r="C44" s="3">
        <f>C97</f>
        <v>-1.225</v>
      </c>
      <c r="D44" s="3">
        <f>D97-C97</f>
        <v>-1.2919999999999998</v>
      </c>
      <c r="E44" s="3">
        <f>E97-D97</f>
        <v>0.5779999999999998</v>
      </c>
      <c r="F44" s="3">
        <f>F97-E97</f>
        <v>-0.33599999999999985</v>
      </c>
      <c r="G44" s="3">
        <f>SUM(C44:F44)</f>
        <v>-2.275</v>
      </c>
      <c r="H44" s="3">
        <f>H97</f>
        <v>-0.804</v>
      </c>
      <c r="I44" s="3">
        <f>I97-H97</f>
        <v>-0.02199999999999991</v>
      </c>
      <c r="J44" s="104">
        <v>0</v>
      </c>
      <c r="K44" s="141" t="s">
        <v>108</v>
      </c>
    </row>
    <row r="45">
      <c r="A45" s="1"/>
      <c r="B45" s="13" t="s">
        <v>583</v>
      </c>
      <c r="C45" s="51">
        <f>C35+C42+C43+C44</f>
        <v>-15.969999999999999</v>
      </c>
      <c r="D45" s="51">
        <f>D35+D42+D43+D44</f>
        <v>30.764999999999993</v>
      </c>
      <c r="E45" s="51">
        <f>E35+E42+E43+E44</f>
        <v>-20.858</v>
      </c>
      <c r="F45" s="51">
        <f>F35+F42+F43+F44</f>
        <v>-64.12700000000001</v>
      </c>
      <c r="G45" s="51">
        <f>G35+G42+G43+G44</f>
        <v>-70.19</v>
      </c>
      <c r="H45" s="51">
        <f>H35+H42+H43+H44</f>
        <v>-8.066999999999998</v>
      </c>
      <c r="I45" s="51">
        <f>I35+I42+I43+I44</f>
        <v>-16.583000000000002</v>
      </c>
      <c r="J45" s="38">
        <f>J35+J42+J43+J44</f>
        <v>-22</v>
      </c>
      <c r="K45" s="1"/>
    </row>
    <row r="46">
      <c r="A46" s="1"/>
      <c r="B46" s="2" t="s">
        <v>570</v>
      </c>
      <c r="C46" s="3">
        <f>C98</f>
        <v>-15.97</v>
      </c>
      <c r="D46" s="3">
        <f>D98-C98</f>
        <v>30.765</v>
      </c>
      <c r="E46" s="3">
        <f>E98-D98</f>
        <v>-20.858</v>
      </c>
      <c r="F46" s="3">
        <f>F98-E98</f>
        <v>-64.127</v>
      </c>
      <c r="G46" s="3">
        <f>SUM(C46:F46)</f>
        <v>-70.19</v>
      </c>
      <c r="H46" s="3">
        <f>H98</f>
        <v>-8.067</v>
      </c>
      <c r="I46" s="3">
        <f>I98-H98</f>
        <v>-16.583</v>
      </c>
      <c r="J46" s="24"/>
      <c r="K46" s="1"/>
    </row>
    <row r="47" ht="27.75">
      <c r="A47" s="1"/>
      <c r="B47" s="140" t="s">
        <v>400</v>
      </c>
      <c r="C47" s="37">
        <f>C45-C46</f>
        <v>0</v>
      </c>
      <c r="D47" s="37">
        <f>D45-D46</f>
        <v>0</v>
      </c>
      <c r="E47" s="37">
        <f>E45-E46</f>
        <v>0</v>
      </c>
      <c r="F47" s="37">
        <f>F45-F46</f>
        <v>0</v>
      </c>
      <c r="G47" s="37">
        <f>G45-G46</f>
        <v>0</v>
      </c>
      <c r="H47" s="37">
        <f>H45-H46</f>
        <v>0</v>
      </c>
      <c r="I47" s="37">
        <f>I45-I46</f>
        <v>0</v>
      </c>
      <c r="J47" s="24"/>
      <c r="K47" s="1"/>
    </row>
    <row r="48">
      <c r="A48" s="1"/>
      <c r="B48" s="7" t="s">
        <v>584</v>
      </c>
      <c r="C48" s="1"/>
      <c r="D48" s="1"/>
      <c r="E48" s="1"/>
      <c r="F48" s="1"/>
      <c r="G48" s="1"/>
      <c r="H48" s="1"/>
      <c r="I48" s="1"/>
      <c r="J48" s="24"/>
      <c r="K48" s="1"/>
    </row>
    <row r="49" ht="27.75">
      <c r="A49" s="1"/>
      <c r="B49" s="144" t="s">
        <v>585</v>
      </c>
      <c r="C49" s="3">
        <f>C99</f>
        <v>0</v>
      </c>
      <c r="D49" s="3">
        <f>D99-C99</f>
        <v>0</v>
      </c>
      <c r="E49" s="3">
        <f>E99-D99</f>
        <v>1000</v>
      </c>
      <c r="F49" s="3">
        <f>F99-E99</f>
        <v>0</v>
      </c>
      <c r="G49" s="3">
        <f>SUM(C49:F49)</f>
        <v>1000</v>
      </c>
      <c r="H49" s="3">
        <f>H99</f>
        <v>0</v>
      </c>
      <c r="I49" s="3">
        <f>I99-H99</f>
        <v>0</v>
      </c>
      <c r="J49" s="104">
        <v>0</v>
      </c>
      <c r="K49" s="141" t="s">
        <v>108</v>
      </c>
    </row>
    <row r="50" ht="27.75">
      <c r="A50" s="1"/>
      <c r="B50" s="144" t="s">
        <v>586</v>
      </c>
      <c r="C50" s="3">
        <f>C100</f>
        <v>-0.646</v>
      </c>
      <c r="D50" s="3">
        <f>D100-C100</f>
        <v>-1.2149999999999999</v>
      </c>
      <c r="E50" s="3">
        <f>E100-D100</f>
        <v>-1145.9119999999998</v>
      </c>
      <c r="F50" s="3">
        <f>F100-E100</f>
        <v>-1.7550000000001091</v>
      </c>
      <c r="G50" s="3">
        <f>SUM(C50:F50)</f>
        <v>-1149.528</v>
      </c>
      <c r="H50" s="3">
        <f>H100</f>
        <v>-0.84</v>
      </c>
      <c r="I50" s="3">
        <f>I100-H100</f>
        <v>-0.735</v>
      </c>
      <c r="J50" s="104">
        <v>0</v>
      </c>
      <c r="K50" s="141" t="s">
        <v>108</v>
      </c>
    </row>
    <row r="51" ht="27.75">
      <c r="A51" s="1"/>
      <c r="B51" s="144" t="s">
        <v>587</v>
      </c>
      <c r="C51" s="3">
        <f>C101</f>
        <v>7.529</v>
      </c>
      <c r="D51" s="3">
        <f>D101-C101</f>
        <v>4.790000000000001</v>
      </c>
      <c r="E51" s="3">
        <f>E101-D101</f>
        <v>0.5629999999999988</v>
      </c>
      <c r="F51" s="3">
        <f>F101-E101</f>
        <v>5.910000000000002</v>
      </c>
      <c r="G51" s="3">
        <f>SUM(C51:F51)</f>
        <v>18.792</v>
      </c>
      <c r="H51" s="3">
        <f>H101</f>
        <v>1.892</v>
      </c>
      <c r="I51" s="3">
        <f>I101-H101</f>
        <v>1.0860000000000003</v>
      </c>
      <c r="J51" s="104">
        <v>0</v>
      </c>
      <c r="K51" s="141" t="s">
        <v>108</v>
      </c>
    </row>
    <row r="52">
      <c r="A52" s="1"/>
      <c r="B52" s="2" t="s">
        <v>588</v>
      </c>
      <c r="C52" s="3">
        <f>C102</f>
        <v>-50</v>
      </c>
      <c r="D52" s="3">
        <f>D102-C102</f>
        <v>-153.041</v>
      </c>
      <c r="E52" s="3">
        <f>E102-D102</f>
        <v>-74.65699999999998</v>
      </c>
      <c r="F52" s="3">
        <f>F102-E102</f>
        <v>-79.99900000000002</v>
      </c>
      <c r="G52" s="3">
        <f>SUM(C52:F52)</f>
        <v>-357.697</v>
      </c>
      <c r="H52" s="3">
        <f>H102</f>
        <v>-75.098</v>
      </c>
      <c r="I52" s="3">
        <f>I102-H102</f>
        <v>-159.51800000000003</v>
      </c>
      <c r="J52" s="58">
        <f>-'Share Count'!J33</f>
        <v>-100</v>
      </c>
      <c r="K52" s="141" t="s">
        <v>589</v>
      </c>
    </row>
    <row r="53" ht="40.5">
      <c r="A53" s="1"/>
      <c r="B53" s="144" t="s">
        <v>590</v>
      </c>
      <c r="C53" s="3">
        <f>C103</f>
        <v>-8.158</v>
      </c>
      <c r="D53" s="3">
        <f>D103-C103</f>
        <v>-0.31400000000000006</v>
      </c>
      <c r="E53" s="3">
        <f>E103-D103</f>
        <v>-2.3900000000000006</v>
      </c>
      <c r="F53" s="3">
        <f>F103-E103</f>
        <v>-0.49799999999999933</v>
      </c>
      <c r="G53" s="3">
        <f>SUM(C53:F53)</f>
        <v>-11.36</v>
      </c>
      <c r="H53" s="3">
        <f>H103</f>
        <v>-12.895</v>
      </c>
      <c r="I53" s="3">
        <f>I103-H103</f>
        <v>0.03200000000000003</v>
      </c>
      <c r="J53" s="104">
        <v>0</v>
      </c>
      <c r="K53" s="141" t="s">
        <v>591</v>
      </c>
    </row>
    <row r="54" ht="27.75">
      <c r="A54" s="1"/>
      <c r="B54" s="144" t="s">
        <v>592</v>
      </c>
      <c r="C54" s="3">
        <f>C104</f>
        <v>-0.617</v>
      </c>
      <c r="D54" s="3">
        <f>D104-C104</f>
        <v>-59.64</v>
      </c>
      <c r="E54" s="3">
        <f>E104-D104</f>
        <v>-59.246</v>
      </c>
      <c r="F54" s="3">
        <f>F104-E104</f>
        <v>-117.35799999999999</v>
      </c>
      <c r="G54" s="3">
        <f>SUM(C54:F54)</f>
        <v>-236.861</v>
      </c>
      <c r="H54" s="3">
        <f>H104</f>
        <v>-1.459</v>
      </c>
      <c r="I54" s="3">
        <f>I104-H104</f>
        <v>-66.783</v>
      </c>
      <c r="J54" s="58">
        <f>-'Balance Sheet'!I32</f>
        <v>-67.912</v>
      </c>
      <c r="K54" s="141" t="s">
        <v>593</v>
      </c>
    </row>
    <row r="55">
      <c r="A55" s="1"/>
      <c r="B55" s="2" t="s">
        <v>594</v>
      </c>
      <c r="C55" s="3">
        <f>C105</f>
        <v>0</v>
      </c>
      <c r="D55" s="3">
        <f>D105-C105</f>
        <v>0</v>
      </c>
      <c r="E55" s="3">
        <f>E105-D105</f>
        <v>-15.287</v>
      </c>
      <c r="F55" s="3">
        <f>F105-E105</f>
        <v>-0.15199999999999925</v>
      </c>
      <c r="G55" s="3">
        <f>SUM(C55:F55)</f>
        <v>-15.439</v>
      </c>
      <c r="H55" s="3">
        <f>H105</f>
        <v>0</v>
      </c>
      <c r="I55" s="3">
        <f>I105-H105</f>
        <v>0</v>
      </c>
      <c r="J55" s="104">
        <v>0</v>
      </c>
      <c r="K55" s="141" t="s">
        <v>108</v>
      </c>
    </row>
    <row r="56">
      <c r="A56" s="1"/>
      <c r="B56" s="13" t="s">
        <v>595</v>
      </c>
      <c r="C56" s="51">
        <f>SUM(C49:C55)</f>
        <v>-51.891999999999996</v>
      </c>
      <c r="D56" s="51">
        <f>SUM(D49:D55)</f>
        <v>-209.42000000000002</v>
      </c>
      <c r="E56" s="51">
        <f>SUM(E49:E55)</f>
        <v>-296.9289999999998</v>
      </c>
      <c r="F56" s="51">
        <f>SUM(F49:F55)</f>
        <v>-193.85200000000012</v>
      </c>
      <c r="G56" s="51">
        <f>SUM(G49:G55)</f>
        <v>-752.093</v>
      </c>
      <c r="H56" s="51">
        <f>SUM(H49:H55)</f>
        <v>-88.39999999999999</v>
      </c>
      <c r="I56" s="51">
        <f>SUM(I49:I55)</f>
        <v>-225.91800000000003</v>
      </c>
      <c r="J56" s="38">
        <f>SUM(J49:J55)</f>
        <v>-167.912</v>
      </c>
      <c r="K56" s="1"/>
    </row>
    <row r="57">
      <c r="A57" s="1"/>
      <c r="B57" s="2" t="s">
        <v>570</v>
      </c>
      <c r="C57" s="3">
        <f>C106</f>
        <v>-51.892</v>
      </c>
      <c r="D57" s="3">
        <f>D106-C106</f>
        <v>-209.42000000000002</v>
      </c>
      <c r="E57" s="3">
        <f>E106-D106</f>
        <v>-296.929</v>
      </c>
      <c r="F57" s="3">
        <f>F106-E106</f>
        <v>-193.85199999999998</v>
      </c>
      <c r="G57" s="3">
        <f>SUM(C57:F57)</f>
        <v>-752.093</v>
      </c>
      <c r="H57" s="3">
        <f>H106</f>
        <v>-88.4</v>
      </c>
      <c r="I57" s="3">
        <f>I106-H106</f>
        <v>-225.91799999999998</v>
      </c>
      <c r="J57" s="24"/>
      <c r="K57" s="1"/>
    </row>
    <row r="58" ht="27.75">
      <c r="A58" s="1"/>
      <c r="B58" s="140" t="s">
        <v>400</v>
      </c>
      <c r="C58" s="37">
        <f>C56-C57</f>
        <v>0</v>
      </c>
      <c r="D58" s="37">
        <f>D56-D57</f>
        <v>0</v>
      </c>
      <c r="E58" s="37">
        <f>E56-E57</f>
        <v>0</v>
      </c>
      <c r="F58" s="37">
        <f>F56-F57</f>
        <v>0</v>
      </c>
      <c r="G58" s="37">
        <f>G56-G57</f>
        <v>0</v>
      </c>
      <c r="H58" s="37">
        <f>H56-H57</f>
        <v>0</v>
      </c>
      <c r="I58" s="37">
        <f>I56-I57</f>
        <v>0</v>
      </c>
      <c r="J58" s="24"/>
      <c r="K58" s="1"/>
    </row>
    <row r="59" ht="27.75">
      <c r="A59" s="1"/>
      <c r="B59" s="144" t="s">
        <v>596</v>
      </c>
      <c r="C59" s="3">
        <f>C107</f>
        <v>0.296</v>
      </c>
      <c r="D59" s="3">
        <f>D107-C107</f>
        <v>1.552</v>
      </c>
      <c r="E59" s="3">
        <f>E107-D107</f>
        <v>-0.361</v>
      </c>
      <c r="F59" s="3">
        <f>F107-E107</f>
        <v>0.29499999999999993</v>
      </c>
      <c r="G59" s="3">
        <f>SUM(C59:F59)</f>
        <v>1.782</v>
      </c>
      <c r="H59" s="3">
        <f>H107</f>
        <v>-0.108</v>
      </c>
      <c r="I59" s="3">
        <f>I107-H107</f>
        <v>-0.712</v>
      </c>
      <c r="J59" s="104">
        <v>0</v>
      </c>
      <c r="K59" s="141" t="s">
        <v>568</v>
      </c>
    </row>
    <row r="60" ht="27.75">
      <c r="A60" s="1"/>
      <c r="B60" s="143" t="s">
        <v>597</v>
      </c>
      <c r="C60" s="51">
        <f>C31+C45+C56+C59</f>
        <v>111.50999999999998</v>
      </c>
      <c r="D60" s="51">
        <f>D31+D45+D56+D59</f>
        <v>10.680999999999962</v>
      </c>
      <c r="E60" s="51">
        <f>E31+E45+E56+E59</f>
        <v>-132.7519999999997</v>
      </c>
      <c r="F60" s="51">
        <f>F31+F45+F56+F59</f>
        <v>-17.878000000000256</v>
      </c>
      <c r="G60" s="51">
        <f>G31+G45+G56+G59</f>
        <v>-28.439000000000117</v>
      </c>
      <c r="H60" s="51">
        <f>H31+H45+H56+H59</f>
        <v>65.37999999999992</v>
      </c>
      <c r="I60" s="51">
        <f>I31+I45+I56+I59</f>
        <v>-52.565000000000154</v>
      </c>
      <c r="J60" s="38">
        <f>J31+J45+J56+J59</f>
        <v>-14.109672974585635</v>
      </c>
      <c r="K60" s="1"/>
    </row>
    <row r="61">
      <c r="A61" s="1"/>
      <c r="B61" s="2" t="s">
        <v>570</v>
      </c>
      <c r="C61" s="3">
        <f>C108</f>
        <v>111.51</v>
      </c>
      <c r="D61" s="3">
        <f>D108-C108</f>
        <v>10.680999999999997</v>
      </c>
      <c r="E61" s="3">
        <f>E108-D108</f>
        <v>-132.752</v>
      </c>
      <c r="F61" s="3">
        <f>F108-E108</f>
        <v>-17.878</v>
      </c>
      <c r="G61" s="3">
        <f>SUM(C61:F61)</f>
        <v>-28.439000000000007</v>
      </c>
      <c r="H61" s="3">
        <f>H108</f>
        <v>65.38</v>
      </c>
      <c r="I61" s="3">
        <f>I108-H108</f>
        <v>-52.565</v>
      </c>
      <c r="J61" s="24"/>
      <c r="K61" s="1"/>
    </row>
    <row r="62" ht="27.75">
      <c r="A62" s="1"/>
      <c r="B62" s="140" t="s">
        <v>400</v>
      </c>
      <c r="C62" s="37">
        <f>C60-C61</f>
        <v>0</v>
      </c>
      <c r="D62" s="37">
        <f>D60-D61</f>
        <v>0</v>
      </c>
      <c r="E62" s="37">
        <f>E60-E61</f>
        <v>0</v>
      </c>
      <c r="F62" s="37">
        <f>F60-F61</f>
        <v>0</v>
      </c>
      <c r="G62" s="37">
        <f>G60-G61</f>
        <v>0</v>
      </c>
      <c r="H62" s="37">
        <f>H60-H61</f>
        <v>0</v>
      </c>
      <c r="I62" s="37">
        <f>I60-I61</f>
        <v>0</v>
      </c>
      <c r="J62" s="24"/>
      <c r="K62" s="1"/>
    </row>
    <row r="63">
      <c r="A63" s="1"/>
      <c r="B63" s="7" t="s">
        <v>598</v>
      </c>
      <c r="C63" s="1"/>
      <c r="D63" s="1"/>
      <c r="E63" s="1"/>
      <c r="F63" s="1"/>
      <c r="G63" s="1"/>
      <c r="H63" s="1"/>
      <c r="I63" s="1"/>
      <c r="J63" s="24"/>
      <c r="K63" s="1"/>
    </row>
    <row r="64" ht="27.75">
      <c r="A64" s="1"/>
      <c r="B64" s="144" t="s">
        <v>599</v>
      </c>
      <c r="C64" s="20">
        <v>462.424</v>
      </c>
      <c r="D64" s="3">
        <f>C65</f>
        <v>573.934</v>
      </c>
      <c r="E64" s="3">
        <f>D65</f>
        <v>584.6149999999999</v>
      </c>
      <c r="F64" s="3">
        <f>E65</f>
        <v>451.86300000000017</v>
      </c>
      <c r="G64" s="3">
        <f>C64</f>
        <v>462.424</v>
      </c>
      <c r="H64" s="3">
        <f>F65</f>
        <v>433.9849999999999</v>
      </c>
      <c r="I64" s="3">
        <f>H65</f>
        <v>499.36499999999984</v>
      </c>
      <c r="J64" s="40">
        <f>I65</f>
        <v>446.79999999999967</v>
      </c>
      <c r="K64" s="141" t="s">
        <v>600</v>
      </c>
    </row>
    <row r="65" ht="27.75">
      <c r="A65" s="1"/>
      <c r="B65" s="150" t="s">
        <v>601</v>
      </c>
      <c r="C65" s="51">
        <f>C64+C60</f>
        <v>573.934</v>
      </c>
      <c r="D65" s="51">
        <f>D64+D60</f>
        <v>584.6149999999999</v>
      </c>
      <c r="E65" s="51">
        <f>E64+E60</f>
        <v>451.86300000000017</v>
      </c>
      <c r="F65" s="51">
        <f>F64+F60</f>
        <v>433.9849999999999</v>
      </c>
      <c r="G65" s="51">
        <f>G64+G60</f>
        <v>433.98499999999984</v>
      </c>
      <c r="H65" s="51">
        <f>H64+H60</f>
        <v>499.36499999999984</v>
      </c>
      <c r="I65" s="51">
        <f>I64+I60</f>
        <v>446.79999999999967</v>
      </c>
      <c r="J65" s="38">
        <f>J64+J60</f>
        <v>432.69032702541404</v>
      </c>
      <c r="K65" s="1"/>
    </row>
    <row r="66" ht="27.75">
      <c r="A66" s="1"/>
      <c r="B66" s="155" t="s">
        <v>602</v>
      </c>
      <c r="C66" s="3">
        <f>C109</f>
        <v>304.32</v>
      </c>
      <c r="D66" s="3">
        <f>D109</f>
        <v>272.859</v>
      </c>
      <c r="E66" s="3">
        <f>E109</f>
        <v>139.728</v>
      </c>
      <c r="F66" s="3">
        <f>F109</f>
        <v>125.675</v>
      </c>
      <c r="G66" s="3">
        <f>F66</f>
        <v>125.675</v>
      </c>
      <c r="H66" s="3">
        <f>H109</f>
        <v>232.922</v>
      </c>
      <c r="I66" s="3">
        <f>I109</f>
        <v>164.836</v>
      </c>
      <c r="J66" s="40">
        <f>J65-J67-J68</f>
        <v>150.72632702541404</v>
      </c>
      <c r="K66" s="141" t="s">
        <v>603</v>
      </c>
    </row>
    <row r="67" ht="27.75">
      <c r="A67" s="1"/>
      <c r="B67" s="155" t="s">
        <v>604</v>
      </c>
      <c r="C67" s="3">
        <f>C110</f>
        <v>197.412</v>
      </c>
      <c r="D67" s="3">
        <f>D110</f>
        <v>211.734</v>
      </c>
      <c r="E67" s="3">
        <f>E110</f>
        <v>202.501</v>
      </c>
      <c r="F67" s="3">
        <f>F110</f>
        <v>216.11</v>
      </c>
      <c r="G67" s="3">
        <f>F67</f>
        <v>216.11</v>
      </c>
      <c r="H67" s="3">
        <f>H110</f>
        <v>183.628</v>
      </c>
      <c r="I67" s="3">
        <f>I110</f>
        <v>187.885</v>
      </c>
      <c r="J67" s="40">
        <f>I67</f>
        <v>187.885</v>
      </c>
      <c r="K67" s="141" t="s">
        <v>605</v>
      </c>
    </row>
    <row r="68" ht="27.75">
      <c r="A68" s="1"/>
      <c r="B68" s="155" t="s">
        <v>606</v>
      </c>
      <c r="C68" s="3">
        <f>C111</f>
        <v>72.202</v>
      </c>
      <c r="D68" s="3">
        <f>D111</f>
        <v>100.022</v>
      </c>
      <c r="E68" s="3">
        <f>E111</f>
        <v>109.634</v>
      </c>
      <c r="F68" s="3">
        <f>F111</f>
        <v>92.2</v>
      </c>
      <c r="G68" s="3">
        <f>F68</f>
        <v>92.2</v>
      </c>
      <c r="H68" s="3">
        <f>H111</f>
        <v>82.815</v>
      </c>
      <c r="I68" s="3">
        <f>I111</f>
        <v>94.079</v>
      </c>
      <c r="J68" s="40">
        <f>I68</f>
        <v>94.079</v>
      </c>
      <c r="K68" s="141" t="s">
        <v>605</v>
      </c>
    </row>
    <row r="69" ht="53.25">
      <c r="A69" s="1"/>
      <c r="B69" s="140" t="s">
        <v>607</v>
      </c>
      <c r="C69" s="37">
        <f>C65-C66-C67-C68</f>
        <v>0</v>
      </c>
      <c r="D69" s="37">
        <f>D65-D66-D67-D68</f>
        <v>0</v>
      </c>
      <c r="E69" s="37">
        <f>E65-E66-E67-E68</f>
        <v>0</v>
      </c>
      <c r="F69" s="37">
        <f>F65-F66-F67-F68</f>
        <v>0</v>
      </c>
      <c r="G69" s="37">
        <f>G65-G66-G67-G68</f>
        <v>0</v>
      </c>
      <c r="H69" s="37">
        <f>H65-H66-H67-H68</f>
        <v>0</v>
      </c>
      <c r="I69" s="37">
        <f>I65-I66-I67-I68</f>
        <v>0</v>
      </c>
      <c r="J69" s="63">
        <f>J65-J66-J67-J68</f>
        <v>0</v>
      </c>
      <c r="K69" s="1"/>
    </row>
    <row r="70" ht="40.5">
      <c r="A70" s="1"/>
      <c r="B70" s="142" t="s">
        <v>608</v>
      </c>
      <c r="C70" s="1"/>
      <c r="D70" s="1"/>
      <c r="E70" s="1"/>
      <c r="F70" s="1"/>
      <c r="G70" s="1"/>
      <c r="H70" s="1"/>
      <c r="I70" s="1"/>
      <c r="J70" s="24"/>
      <c r="K70" s="1"/>
    </row>
    <row r="71">
      <c r="A71" s="1"/>
      <c r="B71" s="13" t="s">
        <v>609</v>
      </c>
      <c r="C71" s="51">
        <f>C31+C35</f>
        <v>164.33099999999996</v>
      </c>
      <c r="D71" s="51">
        <f>D31+D35</f>
        <v>167.298</v>
      </c>
      <c r="E71" s="51">
        <f>E31+E35</f>
        <v>163.9600000000001</v>
      </c>
      <c r="F71" s="51">
        <f>F31+F35</f>
        <v>175.91499999999985</v>
      </c>
      <c r="G71" s="51">
        <f>G31+G35</f>
        <v>671.5039999999999</v>
      </c>
      <c r="H71" s="51">
        <f>H31+H35</f>
        <v>146.91199999999992</v>
      </c>
      <c r="I71" s="51">
        <f>I31+I35</f>
        <v>166.68299999999988</v>
      </c>
      <c r="J71" s="38">
        <f>J31+J35</f>
        <v>153.80232702541437</v>
      </c>
      <c r="K71" s="1"/>
    </row>
    <row r="72">
      <c r="A72" s="1"/>
      <c r="B72" s="18" t="s">
        <v>89</v>
      </c>
      <c r="C72" s="12" t="s">
        <v>76</v>
      </c>
      <c r="D72" s="12" t="s">
        <v>76</v>
      </c>
      <c r="E72" s="12" t="s">
        <v>76</v>
      </c>
      <c r="F72" s="12" t="s">
        <v>76</v>
      </c>
      <c r="G72" s="12" t="s">
        <v>76</v>
      </c>
      <c r="H72" s="12">
        <f>IFERROR(H71/C71-1,"n/a")</f>
        <v>-0.10599947666599752</v>
      </c>
      <c r="I72" s="12">
        <f>IFERROR(I71/D71-1,"n/a")</f>
        <v>-0.0036760750277954335</v>
      </c>
      <c r="J72" s="44">
        <f>IFERROR(J71/E71-1,"n/a")</f>
        <v>-0.0619521406110376</v>
      </c>
      <c r="K72" s="1"/>
    </row>
    <row r="73">
      <c r="A73" s="1"/>
      <c r="B73" s="6" t="s">
        <v>610</v>
      </c>
      <c r="C73" s="12">
        <f>C71/C10</f>
        <v>1.098094900802534</v>
      </c>
      <c r="D73" s="12">
        <f>D71/D10</f>
        <v>1.276197450625901</v>
      </c>
      <c r="E73" s="12">
        <f>E71/E10</f>
        <v>1.1768674767978524</v>
      </c>
      <c r="F73" s="12">
        <f>F71/F10</f>
        <v>0.9684656166216146</v>
      </c>
      <c r="G73" s="12">
        <f>G71/G10</f>
        <v>1.1160038823075797</v>
      </c>
      <c r="H73" s="12">
        <f>H71/H10</f>
        <v>1.0507899950647661</v>
      </c>
      <c r="I73" s="12">
        <f>I71/I10</f>
        <v>1.2278674033149177</v>
      </c>
      <c r="J73" s="44">
        <f>J71/J10</f>
        <v>1.0879238810788336</v>
      </c>
      <c r="K73" s="1"/>
    </row>
    <row r="74">
      <c r="A74" s="1"/>
      <c r="B74" s="18" t="s">
        <v>611</v>
      </c>
      <c r="C74" s="21" t="s">
        <v>76</v>
      </c>
      <c r="D74" s="21" t="s">
        <v>76</v>
      </c>
      <c r="E74" s="21" t="s">
        <v>76</v>
      </c>
      <c r="F74" s="21" t="s">
        <v>76</v>
      </c>
      <c r="G74" s="21" t="s">
        <v>76</v>
      </c>
      <c r="H74" s="21">
        <f>IFERROR((H73-C73)*10000,"n/a")</f>
        <v>-473.0490573776791</v>
      </c>
      <c r="I74" s="21">
        <f>IFERROR((I73-D73)*10000,"n/a")</f>
        <v>-483.3004731098334</v>
      </c>
      <c r="J74" s="46">
        <f>IFERROR((J73-E73)*10000,"n/a")</f>
        <v>-889.4359571901878</v>
      </c>
      <c r="K74" s="1"/>
    </row>
    <row r="75" ht="27.75">
      <c r="A75" s="1"/>
      <c r="B75" s="154" t="s">
        <v>612</v>
      </c>
      <c r="C75" s="21" t="s">
        <v>76</v>
      </c>
      <c r="D75" s="21">
        <f>IFERROR((D73-C73)*10000,"n/a")</f>
        <v>1781.0254982336703</v>
      </c>
      <c r="E75" s="21">
        <f>IFERROR((E73-D73)*10000,"n/a")</f>
        <v>-993.2997382804865</v>
      </c>
      <c r="F75" s="21">
        <f>IFERROR((F73-E73)*10000,"n/a")</f>
        <v>-2084.0186017623787</v>
      </c>
      <c r="G75" s="21" t="s">
        <v>76</v>
      </c>
      <c r="H75" s="21">
        <f>IFERROR((H73-F73)*10000,"n/a")</f>
        <v>823.2437844315155</v>
      </c>
      <c r="I75" s="21">
        <f>IFERROR((I73-H73)*10000,"n/a")</f>
        <v>1770.7740825015162</v>
      </c>
      <c r="J75" s="46">
        <f>IFERROR((J73-I73)*10000,"n/a")</f>
        <v>-1399.4352223608407</v>
      </c>
      <c r="K75" s="1"/>
    </row>
    <row r="76">
      <c r="A76" s="1"/>
      <c r="B76" s="6" t="s">
        <v>613</v>
      </c>
      <c r="C76" s="9">
        <f>-C35/'Income Statement'!C15</f>
        <v>0.01325922435560799</v>
      </c>
      <c r="D76" s="9">
        <f>-D35/'Income Statement'!D15</f>
        <v>0.01788945320413852</v>
      </c>
      <c r="E76" s="9">
        <f>-E35/'Income Statement'!E15</f>
        <v>0.018687873456698638</v>
      </c>
      <c r="F76" s="9">
        <f>-F35/'Income Statement'!F15</f>
        <v>0.0416027452563585</v>
      </c>
      <c r="G76" s="9">
        <f>-G35/'Income Statement'!G15</f>
        <v>0.02440448308236812</v>
      </c>
      <c r="H76" s="9">
        <f>-H35/'Income Statement'!H15</f>
        <v>0.013074116499825306</v>
      </c>
      <c r="I76" s="9">
        <f>-I35/'Income Statement'!I15</f>
        <v>0.020064013958157347</v>
      </c>
      <c r="J76" s="77">
        <f>-J35/'Income Statement'!J15</f>
        <v>0.01874838604571909</v>
      </c>
      <c r="K76" s="1"/>
    </row>
    <row r="77" ht="27.75">
      <c r="A77" s="1"/>
      <c r="B77" s="154" t="s">
        <v>614</v>
      </c>
      <c r="C77" s="21" t="s">
        <v>76</v>
      </c>
      <c r="D77" s="21" t="s">
        <v>76</v>
      </c>
      <c r="E77" s="21" t="s">
        <v>76</v>
      </c>
      <c r="F77" s="21" t="s">
        <v>76</v>
      </c>
      <c r="G77" s="21" t="s">
        <v>76</v>
      </c>
      <c r="H77" s="21">
        <f>IFERROR((H76-C76)*10000,"n/a")</f>
        <v>-1.851078557826829</v>
      </c>
      <c r="I77" s="21">
        <f>IFERROR((I76-D76)*10000,"n/a")</f>
        <v>21.745607540188256</v>
      </c>
      <c r="J77" s="46">
        <f>IFERROR((J76-E76)*10000,"n/a")</f>
        <v>0.6051258902045262</v>
      </c>
      <c r="K77" s="1"/>
    </row>
    <row r="78" ht="27.75">
      <c r="A78" s="1"/>
      <c r="B78" s="154" t="s">
        <v>615</v>
      </c>
      <c r="C78" s="21" t="s">
        <v>76</v>
      </c>
      <c r="D78" s="21">
        <f>IFERROR((D76-C76)*10000,"n/a")</f>
        <v>46.302288485305326</v>
      </c>
      <c r="E78" s="21">
        <f>IFERROR((E76-D76)*10000,"n/a")</f>
        <v>7.984202525601162</v>
      </c>
      <c r="F78" s="21">
        <f>IFERROR((F76-E76)*10000,"n/a")</f>
        <v>229.14871799659863</v>
      </c>
      <c r="G78" s="21" t="s">
        <v>76</v>
      </c>
      <c r="H78" s="21">
        <f>IFERROR((H76-F76)*10000,"n/a")</f>
        <v>-285.2862875653319</v>
      </c>
      <c r="I78" s="21">
        <f>IFERROR((I76-H76)*10000,"n/a")</f>
        <v>69.89897458332041</v>
      </c>
      <c r="J78" s="46">
        <f>IFERROR((J76-I76)*10000,"n/a")</f>
        <v>-13.156279124382566</v>
      </c>
      <c r="K78" s="1"/>
    </row>
    <row r="79" ht="104.25">
      <c r="A79" s="1"/>
      <c r="B79" s="142" t="s">
        <v>616</v>
      </c>
      <c r="C79" s="1"/>
      <c r="D79" s="1"/>
      <c r="E79" s="1"/>
      <c r="F79" s="1"/>
      <c r="G79" s="1"/>
      <c r="H79" s="1"/>
      <c r="I79" s="1"/>
      <c r="J79" s="24"/>
      <c r="K79" s="1"/>
    </row>
    <row r="80">
      <c r="A80" s="1"/>
      <c r="B80" s="2" t="s">
        <v>617</v>
      </c>
      <c r="C80" s="27">
        <f>'Income Statement'!C79</f>
        <v>149.65099999999995</v>
      </c>
      <c r="D80" s="27">
        <f>'Income Statement'!C79+'Income Statement'!D79</f>
        <v>280.74199999999996</v>
      </c>
      <c r="E80" s="27">
        <f>'Income Statement'!C79+'Income Statement'!D79+'Income Statement'!E79</f>
        <v>420.06100000000004</v>
      </c>
      <c r="F80" s="27">
        <f>'Income Statement'!C79+'Income Statement'!D79+'Income Statement'!E79+'Income Statement'!F79</f>
        <v>601.704</v>
      </c>
      <c r="G80" s="1"/>
      <c r="H80" s="27">
        <f>'Income Statement'!H79</f>
        <v>139.81099999999992</v>
      </c>
      <c r="I80" s="27">
        <f>'Income Statement'!H79+'Income Statement'!I79</f>
        <v>275.56099999999975</v>
      </c>
      <c r="J80" s="24"/>
      <c r="K80" s="141" t="s">
        <v>618</v>
      </c>
    </row>
    <row r="81">
      <c r="A81" s="1"/>
      <c r="B81" s="2" t="s">
        <v>619</v>
      </c>
      <c r="C81" s="20">
        <v>20.362</v>
      </c>
      <c r="D81" s="20">
        <v>40.713</v>
      </c>
      <c r="E81" s="20">
        <v>61.128</v>
      </c>
      <c r="F81" s="20">
        <v>88.827</v>
      </c>
      <c r="G81" s="1"/>
      <c r="H81" s="20">
        <v>20.434</v>
      </c>
      <c r="I81" s="20">
        <v>40.781</v>
      </c>
      <c r="J81" s="24"/>
      <c r="K81" s="141" t="s">
        <v>620</v>
      </c>
    </row>
    <row r="82">
      <c r="A82" s="1"/>
      <c r="B82" s="2" t="s">
        <v>621</v>
      </c>
      <c r="C82" s="27">
        <f>'Income Statement'!C45</f>
        <v>0</v>
      </c>
      <c r="D82" s="27">
        <f>'Income Statement'!C45+'Income Statement'!D45</f>
        <v>-3.883</v>
      </c>
      <c r="E82" s="27">
        <f>'Income Statement'!C45+'Income Statement'!D45+'Income Statement'!E45</f>
        <v>-3.883</v>
      </c>
      <c r="F82" s="27">
        <f>'Income Statement'!C45+'Income Statement'!D45+'Income Statement'!E45+'Income Statement'!F45</f>
        <v>-4.028</v>
      </c>
      <c r="G82" s="1"/>
      <c r="H82" s="27">
        <f>'Income Statement'!H45</f>
        <v>0</v>
      </c>
      <c r="I82" s="27">
        <f>'Income Statement'!H45+'Income Statement'!I45</f>
        <v>-4.087</v>
      </c>
      <c r="J82" s="24"/>
      <c r="K82" s="141" t="s">
        <v>618</v>
      </c>
    </row>
    <row r="83">
      <c r="A83" s="1"/>
      <c r="B83" s="2" t="s">
        <v>622</v>
      </c>
      <c r="C83" s="27">
        <f>'Income Statement'!C46</f>
        <v>0</v>
      </c>
      <c r="D83" s="27">
        <f>'Income Statement'!C46+'Income Statement'!D46</f>
        <v>0</v>
      </c>
      <c r="E83" s="27">
        <f>'Income Statement'!C46+'Income Statement'!D46+'Income Statement'!E46</f>
        <v>0</v>
      </c>
      <c r="F83" s="27">
        <f>'Income Statement'!C46+'Income Statement'!D46+'Income Statement'!E46+'Income Statement'!F46</f>
        <v>0</v>
      </c>
      <c r="G83" s="1"/>
      <c r="H83" s="27">
        <f>'Income Statement'!H46</f>
        <v>-7.78</v>
      </c>
      <c r="I83" s="27">
        <f>'Income Statement'!H46+'Income Statement'!I46</f>
        <v>-7.78</v>
      </c>
      <c r="J83" s="24"/>
      <c r="K83" s="141" t="s">
        <v>618</v>
      </c>
    </row>
    <row r="84" ht="27.75">
      <c r="A84" s="1"/>
      <c r="B84" s="144" t="s">
        <v>623</v>
      </c>
      <c r="C84" s="20">
        <v>0.266</v>
      </c>
      <c r="D84" s="20">
        <v>0.612</v>
      </c>
      <c r="E84" s="20">
        <v>0.703</v>
      </c>
      <c r="F84" s="20">
        <v>1.855</v>
      </c>
      <c r="G84" s="1"/>
      <c r="H84" s="20">
        <v>0.357</v>
      </c>
      <c r="I84" s="20">
        <v>0.496</v>
      </c>
      <c r="J84" s="24"/>
      <c r="K84" s="141" t="s">
        <v>620</v>
      </c>
    </row>
    <row r="85" ht="27.75">
      <c r="A85" s="1"/>
      <c r="B85" s="144" t="s">
        <v>624</v>
      </c>
      <c r="C85" s="20">
        <v>1.21</v>
      </c>
      <c r="D85" s="20">
        <v>2.419</v>
      </c>
      <c r="E85" s="20">
        <v>3.768</v>
      </c>
      <c r="F85" s="20">
        <v>5.748</v>
      </c>
      <c r="G85" s="1"/>
      <c r="H85" s="20">
        <v>1.485</v>
      </c>
      <c r="I85" s="20">
        <v>2.97</v>
      </c>
      <c r="J85" s="24"/>
      <c r="K85" s="141" t="s">
        <v>620</v>
      </c>
    </row>
    <row r="86" ht="27.75">
      <c r="A86" s="1"/>
      <c r="B86" s="144" t="s">
        <v>625</v>
      </c>
      <c r="C86" s="20">
        <v>-2.29</v>
      </c>
      <c r="D86" s="20">
        <v>-2.7</v>
      </c>
      <c r="E86" s="20">
        <v>9.255</v>
      </c>
      <c r="F86" s="20">
        <v>1.288</v>
      </c>
      <c r="G86" s="1"/>
      <c r="H86" s="20">
        <v>3.319</v>
      </c>
      <c r="I86" s="20">
        <v>5.15</v>
      </c>
      <c r="J86" s="24"/>
      <c r="K86" s="141" t="s">
        <v>620</v>
      </c>
    </row>
    <row r="87" ht="27.75">
      <c r="A87" s="1"/>
      <c r="B87" s="144" t="s">
        <v>626</v>
      </c>
      <c r="C87" s="20">
        <v>10.381</v>
      </c>
      <c r="D87" s="20">
        <v>21.356</v>
      </c>
      <c r="E87" s="20">
        <v>31.681</v>
      </c>
      <c r="F87" s="20">
        <v>44.64</v>
      </c>
      <c r="G87" s="1"/>
      <c r="H87" s="20">
        <v>8.789</v>
      </c>
      <c r="I87" s="20">
        <v>21.146</v>
      </c>
      <c r="J87" s="24"/>
      <c r="K87" s="141" t="s">
        <v>620</v>
      </c>
    </row>
    <row r="88" ht="27.75">
      <c r="A88" s="1"/>
      <c r="B88" s="144" t="s">
        <v>627</v>
      </c>
      <c r="C88" s="20">
        <v>-1.569</v>
      </c>
      <c r="D88" s="20">
        <v>-2.343</v>
      </c>
      <c r="E88" s="20">
        <v>-2.751</v>
      </c>
      <c r="F88" s="20">
        <v>-3.158</v>
      </c>
      <c r="G88" s="1"/>
      <c r="H88" s="20">
        <v>-0.463</v>
      </c>
      <c r="I88" s="20">
        <v>-0.625</v>
      </c>
      <c r="J88" s="24"/>
      <c r="K88" s="141" t="s">
        <v>620</v>
      </c>
    </row>
    <row r="89" ht="40.5">
      <c r="A89" s="1"/>
      <c r="B89" s="144" t="s">
        <v>628</v>
      </c>
      <c r="C89" s="20">
        <v>-0.057</v>
      </c>
      <c r="D89" s="20">
        <v>-0.004</v>
      </c>
      <c r="E89" s="20">
        <v>-0.049</v>
      </c>
      <c r="F89" s="20">
        <v>-0.109</v>
      </c>
      <c r="G89" s="1"/>
      <c r="H89" s="20">
        <v>0.044</v>
      </c>
      <c r="I89" s="20">
        <v>0.038</v>
      </c>
      <c r="J89" s="24"/>
      <c r="K89" s="141" t="s">
        <v>620</v>
      </c>
    </row>
    <row r="90" ht="27.75">
      <c r="A90" s="1"/>
      <c r="B90" s="144" t="s">
        <v>629</v>
      </c>
      <c r="C90" s="20">
        <v>-24.027</v>
      </c>
      <c r="D90" s="20">
        <v>-8.053</v>
      </c>
      <c r="E90" s="20">
        <v>-5.036</v>
      </c>
      <c r="F90" s="20">
        <v>2.544</v>
      </c>
      <c r="G90" s="1"/>
      <c r="H90" s="20">
        <v>5.99</v>
      </c>
      <c r="I90" s="20">
        <v>18.356</v>
      </c>
      <c r="J90" s="24"/>
      <c r="K90" s="141" t="s">
        <v>620</v>
      </c>
    </row>
    <row r="91" ht="27.75">
      <c r="A91" s="1"/>
      <c r="B91" s="144" t="s">
        <v>630</v>
      </c>
      <c r="C91" s="20">
        <v>34.244</v>
      </c>
      <c r="D91" s="20">
        <v>19.663</v>
      </c>
      <c r="E91" s="20">
        <v>10.242</v>
      </c>
      <c r="F91" s="20">
        <v>42.015</v>
      </c>
      <c r="G91" s="1"/>
      <c r="H91" s="20">
        <v>-0.37</v>
      </c>
      <c r="I91" s="20">
        <v>-1.197</v>
      </c>
      <c r="J91" s="24"/>
      <c r="K91" s="141" t="s">
        <v>620</v>
      </c>
    </row>
    <row r="92" ht="40.5">
      <c r="A92" s="1"/>
      <c r="B92" s="144" t="s">
        <v>631</v>
      </c>
      <c r="C92" s="20">
        <v>-9.095</v>
      </c>
      <c r="D92" s="20">
        <v>18.338</v>
      </c>
      <c r="E92" s="20">
        <v>27.137</v>
      </c>
      <c r="F92" s="20">
        <v>10.736</v>
      </c>
      <c r="G92" s="1"/>
      <c r="H92" s="20">
        <v>-9.661</v>
      </c>
      <c r="I92" s="20">
        <v>1.794</v>
      </c>
      <c r="J92" s="24"/>
      <c r="K92" s="141" t="s">
        <v>620</v>
      </c>
    </row>
    <row r="93" ht="27.75">
      <c r="A93" s="1"/>
      <c r="B93" s="144" t="s">
        <v>632</v>
      </c>
      <c r="C93" s="20">
        <v>179.076</v>
      </c>
      <c r="D93" s="20">
        <v>366.86</v>
      </c>
      <c r="E93" s="20">
        <v>552.256</v>
      </c>
      <c r="F93" s="20">
        <v>792.062</v>
      </c>
      <c r="G93" s="1"/>
      <c r="H93" s="20">
        <v>161.955</v>
      </c>
      <c r="I93" s="20">
        <v>352.603</v>
      </c>
      <c r="J93" s="24"/>
      <c r="K93" s="141" t="s">
        <v>620</v>
      </c>
    </row>
    <row r="94">
      <c r="A94" s="1"/>
      <c r="B94" s="2" t="s">
        <v>633</v>
      </c>
      <c r="C94" s="20">
        <v>-14.745</v>
      </c>
      <c r="D94" s="20">
        <v>-35.231</v>
      </c>
      <c r="E94" s="20">
        <v>-56.667</v>
      </c>
      <c r="F94" s="20">
        <v>-120.558</v>
      </c>
      <c r="G94" s="1"/>
      <c r="H94" s="20">
        <v>-15.043</v>
      </c>
      <c r="I94" s="20">
        <v>-39.008</v>
      </c>
      <c r="J94" s="24"/>
      <c r="K94" s="141" t="s">
        <v>620</v>
      </c>
    </row>
    <row r="95">
      <c r="A95" s="1"/>
      <c r="B95" s="2" t="s">
        <v>634</v>
      </c>
      <c r="C95" s="20">
        <v>0</v>
      </c>
      <c r="D95" s="20">
        <v>8.458</v>
      </c>
      <c r="E95" s="20">
        <v>8.458</v>
      </c>
      <c r="F95" s="20">
        <v>8.558</v>
      </c>
      <c r="G95" s="1"/>
      <c r="H95" s="20">
        <v>7.78</v>
      </c>
      <c r="I95" s="20">
        <v>15.184</v>
      </c>
      <c r="J95" s="24"/>
      <c r="K95" s="141" t="s">
        <v>620</v>
      </c>
    </row>
    <row r="96">
      <c r="A96" s="1"/>
      <c r="B96" s="2" t="s">
        <v>635</v>
      </c>
      <c r="C96" s="20">
        <v>0</v>
      </c>
      <c r="D96" s="20">
        <v>44.085</v>
      </c>
      <c r="E96" s="20">
        <v>44.085</v>
      </c>
      <c r="F96" s="20">
        <v>44.085</v>
      </c>
      <c r="G96" s="1"/>
      <c r="H96" s="20">
        <v>0</v>
      </c>
      <c r="I96" s="20">
        <v>0</v>
      </c>
      <c r="J96" s="24"/>
      <c r="K96" s="141" t="s">
        <v>620</v>
      </c>
    </row>
    <row r="97">
      <c r="A97" s="1"/>
      <c r="B97" s="2" t="s">
        <v>636</v>
      </c>
      <c r="C97" s="20">
        <v>-1.225</v>
      </c>
      <c r="D97" s="20">
        <v>-2.517</v>
      </c>
      <c r="E97" s="20">
        <v>-1.939</v>
      </c>
      <c r="F97" s="20">
        <v>-2.275</v>
      </c>
      <c r="G97" s="1"/>
      <c r="H97" s="20">
        <v>-0.804</v>
      </c>
      <c r="I97" s="20">
        <v>-0.826</v>
      </c>
      <c r="J97" s="24"/>
      <c r="K97" s="141" t="s">
        <v>620</v>
      </c>
    </row>
    <row r="98" ht="40.5">
      <c r="A98" s="1"/>
      <c r="B98" s="144" t="s">
        <v>637</v>
      </c>
      <c r="C98" s="20">
        <v>-15.97</v>
      </c>
      <c r="D98" s="20">
        <v>14.795</v>
      </c>
      <c r="E98" s="20">
        <v>-6.063</v>
      </c>
      <c r="F98" s="20">
        <v>-70.19</v>
      </c>
      <c r="G98" s="1"/>
      <c r="H98" s="20">
        <v>-8.067</v>
      </c>
      <c r="I98" s="20">
        <v>-24.65</v>
      </c>
      <c r="J98" s="24"/>
      <c r="K98" s="141" t="s">
        <v>620</v>
      </c>
    </row>
    <row r="99" ht="27.75">
      <c r="A99" s="1"/>
      <c r="B99" s="144" t="s">
        <v>638</v>
      </c>
      <c r="C99" s="20">
        <v>0</v>
      </c>
      <c r="D99" s="20">
        <v>0</v>
      </c>
      <c r="E99" s="20">
        <v>1000</v>
      </c>
      <c r="F99" s="20">
        <v>1000</v>
      </c>
      <c r="G99" s="1"/>
      <c r="H99" s="20">
        <v>0</v>
      </c>
      <c r="I99" s="20">
        <v>0</v>
      </c>
      <c r="J99" s="24"/>
      <c r="K99" s="141" t="s">
        <v>620</v>
      </c>
    </row>
    <row r="100" ht="27.75">
      <c r="A100" s="1"/>
      <c r="B100" s="144" t="s">
        <v>639</v>
      </c>
      <c r="C100" s="20">
        <v>-0.646</v>
      </c>
      <c r="D100" s="20">
        <v>-1.861</v>
      </c>
      <c r="E100" s="20">
        <v>-1147.773</v>
      </c>
      <c r="F100" s="20">
        <v>-1149.528</v>
      </c>
      <c r="G100" s="1"/>
      <c r="H100" s="20">
        <v>-0.84</v>
      </c>
      <c r="I100" s="20">
        <v>-1.575</v>
      </c>
      <c r="J100" s="24"/>
      <c r="K100" s="141" t="s">
        <v>620</v>
      </c>
    </row>
    <row r="101" ht="27.75">
      <c r="A101" s="1"/>
      <c r="B101" s="144" t="s">
        <v>640</v>
      </c>
      <c r="C101" s="20">
        <v>7.529</v>
      </c>
      <c r="D101" s="20">
        <v>12.319</v>
      </c>
      <c r="E101" s="20">
        <v>12.882</v>
      </c>
      <c r="F101" s="20">
        <v>18.792</v>
      </c>
      <c r="G101" s="1"/>
      <c r="H101" s="20">
        <v>1.892</v>
      </c>
      <c r="I101" s="20">
        <v>2.978</v>
      </c>
      <c r="J101" s="24"/>
      <c r="K101" s="141" t="s">
        <v>620</v>
      </c>
    </row>
    <row r="102">
      <c r="A102" s="1"/>
      <c r="B102" s="2" t="s">
        <v>641</v>
      </c>
      <c r="C102" s="20">
        <v>-50</v>
      </c>
      <c r="D102" s="20">
        <v>-203.041</v>
      </c>
      <c r="E102" s="20">
        <v>-277.698</v>
      </c>
      <c r="F102" s="20">
        <v>-357.697</v>
      </c>
      <c r="G102" s="1"/>
      <c r="H102" s="20">
        <v>-75.098</v>
      </c>
      <c r="I102" s="20">
        <v>-234.616</v>
      </c>
      <c r="J102" s="24"/>
      <c r="K102" s="141" t="s">
        <v>620</v>
      </c>
    </row>
    <row r="103" ht="27.75">
      <c r="A103" s="1"/>
      <c r="B103" s="144" t="s">
        <v>642</v>
      </c>
      <c r="C103" s="20">
        <v>-8.158</v>
      </c>
      <c r="D103" s="20">
        <v>-8.472</v>
      </c>
      <c r="E103" s="20">
        <v>-10.862</v>
      </c>
      <c r="F103" s="20">
        <v>-11.36</v>
      </c>
      <c r="G103" s="1"/>
      <c r="H103" s="20">
        <v>-12.895</v>
      </c>
      <c r="I103" s="20">
        <v>-12.863</v>
      </c>
      <c r="J103" s="24"/>
      <c r="K103" s="141" t="s">
        <v>620</v>
      </c>
    </row>
    <row r="104" ht="27.75">
      <c r="A104" s="1"/>
      <c r="B104" s="144" t="s">
        <v>643</v>
      </c>
      <c r="C104" s="20">
        <v>-0.617</v>
      </c>
      <c r="D104" s="20">
        <v>-60.257</v>
      </c>
      <c r="E104" s="20">
        <v>-119.503</v>
      </c>
      <c r="F104" s="20">
        <v>-236.861</v>
      </c>
      <c r="G104" s="1"/>
      <c r="H104" s="20">
        <v>-1.459</v>
      </c>
      <c r="I104" s="20">
        <v>-68.242</v>
      </c>
      <c r="J104" s="24"/>
      <c r="K104" s="141" t="s">
        <v>620</v>
      </c>
    </row>
    <row r="105">
      <c r="A105" s="1"/>
      <c r="B105" s="2" t="s">
        <v>644</v>
      </c>
      <c r="C105" s="20">
        <v>0</v>
      </c>
      <c r="D105" s="20">
        <v>0</v>
      </c>
      <c r="E105" s="20">
        <v>-15.287</v>
      </c>
      <c r="F105" s="20">
        <v>-15.439</v>
      </c>
      <c r="G105" s="1"/>
      <c r="H105" s="20">
        <v>0</v>
      </c>
      <c r="I105" s="20">
        <v>0</v>
      </c>
      <c r="J105" s="24"/>
      <c r="K105" s="141" t="s">
        <v>620</v>
      </c>
    </row>
    <row r="106" ht="27.75">
      <c r="A106" s="1"/>
      <c r="B106" s="144" t="s">
        <v>645</v>
      </c>
      <c r="C106" s="20">
        <v>-51.892</v>
      </c>
      <c r="D106" s="20">
        <v>-261.312</v>
      </c>
      <c r="E106" s="20">
        <v>-558.241</v>
      </c>
      <c r="F106" s="20">
        <v>-752.093</v>
      </c>
      <c r="G106" s="1"/>
      <c r="H106" s="20">
        <v>-88.4</v>
      </c>
      <c r="I106" s="20">
        <v>-314.318</v>
      </c>
      <c r="J106" s="24"/>
      <c r="K106" s="141" t="s">
        <v>620</v>
      </c>
    </row>
    <row r="107" ht="27.75">
      <c r="A107" s="1"/>
      <c r="B107" s="144" t="s">
        <v>646</v>
      </c>
      <c r="C107" s="20">
        <v>0.296</v>
      </c>
      <c r="D107" s="20">
        <v>1.848</v>
      </c>
      <c r="E107" s="20">
        <v>1.487</v>
      </c>
      <c r="F107" s="20">
        <v>1.782</v>
      </c>
      <c r="G107" s="1"/>
      <c r="H107" s="20">
        <v>-0.108</v>
      </c>
      <c r="I107" s="20">
        <v>-0.82</v>
      </c>
      <c r="J107" s="24"/>
      <c r="K107" s="141" t="s">
        <v>620</v>
      </c>
    </row>
    <row r="108" ht="40.5">
      <c r="A108" s="1"/>
      <c r="B108" s="144" t="s">
        <v>647</v>
      </c>
      <c r="C108" s="20">
        <v>111.51</v>
      </c>
      <c r="D108" s="20">
        <v>122.191</v>
      </c>
      <c r="E108" s="20">
        <v>-10.561</v>
      </c>
      <c r="F108" s="20">
        <v>-28.439</v>
      </c>
      <c r="G108" s="1"/>
      <c r="H108" s="20">
        <v>65.38</v>
      </c>
      <c r="I108" s="20">
        <v>12.815</v>
      </c>
      <c r="J108" s="24"/>
      <c r="K108" s="141" t="s">
        <v>620</v>
      </c>
    </row>
    <row r="109" ht="27.75">
      <c r="A109" s="1"/>
      <c r="B109" s="144" t="s">
        <v>648</v>
      </c>
      <c r="C109" s="27">
        <f>'Balance Sheet'!C10</f>
        <v>304.32</v>
      </c>
      <c r="D109" s="27">
        <f>'Balance Sheet'!D10</f>
        <v>272.859</v>
      </c>
      <c r="E109" s="27">
        <f>'Balance Sheet'!E10</f>
        <v>139.728</v>
      </c>
      <c r="F109" s="27">
        <f>'Balance Sheet'!F10</f>
        <v>125.675</v>
      </c>
      <c r="G109" s="1"/>
      <c r="H109" s="27">
        <f>'Balance Sheet'!H10</f>
        <v>232.922</v>
      </c>
      <c r="I109" s="27">
        <f>'Balance Sheet'!I10</f>
        <v>164.836</v>
      </c>
      <c r="J109" s="24"/>
      <c r="K109" s="141" t="s">
        <v>649</v>
      </c>
    </row>
    <row r="110" ht="27.75">
      <c r="A110" s="1"/>
      <c r="B110" s="144" t="s">
        <v>650</v>
      </c>
      <c r="C110" s="27">
        <f>'Balance Sheet'!C11</f>
        <v>197.412</v>
      </c>
      <c r="D110" s="27">
        <f>'Balance Sheet'!D11</f>
        <v>211.734</v>
      </c>
      <c r="E110" s="27">
        <f>'Balance Sheet'!E11</f>
        <v>202.501</v>
      </c>
      <c r="F110" s="27">
        <f>'Balance Sheet'!F11</f>
        <v>216.11</v>
      </c>
      <c r="G110" s="1"/>
      <c r="H110" s="27">
        <f>'Balance Sheet'!H11</f>
        <v>183.628</v>
      </c>
      <c r="I110" s="27">
        <f>'Balance Sheet'!I11</f>
        <v>187.885</v>
      </c>
      <c r="J110" s="24"/>
      <c r="K110" s="141" t="s">
        <v>649</v>
      </c>
    </row>
    <row r="111" ht="40.5">
      <c r="A111" s="1"/>
      <c r="B111" s="144" t="s">
        <v>651</v>
      </c>
      <c r="C111" s="20">
        <v>72.202</v>
      </c>
      <c r="D111" s="20">
        <v>100.022</v>
      </c>
      <c r="E111" s="20">
        <v>109.634</v>
      </c>
      <c r="F111" s="20">
        <v>92.2</v>
      </c>
      <c r="G111" s="1"/>
      <c r="H111" s="20">
        <v>82.815</v>
      </c>
      <c r="I111" s="20">
        <v>94.079</v>
      </c>
      <c r="J111" s="24"/>
      <c r="K111" s="141" t="s">
        <v>620</v>
      </c>
    </row>
    <row r="112">
      <c r="A112" s="1"/>
      <c r="B112" s="1"/>
      <c r="C112" s="1"/>
      <c r="D112" s="1"/>
      <c r="E112" s="1"/>
      <c r="F112" s="1"/>
      <c r="G112" s="1"/>
      <c r="H112" s="1"/>
      <c r="I112" s="1"/>
      <c r="J112" s="24"/>
      <c r="K112" s="1"/>
    </row>
    <row r="113">
      <c r="A113" s="1"/>
      <c r="B113" s="1"/>
      <c r="C113" s="1"/>
      <c r="D113" s="1"/>
      <c r="E113" s="1"/>
      <c r="F113" s="1"/>
      <c r="G113" s="1"/>
      <c r="H113" s="1"/>
      <c r="I113" s="1"/>
      <c r="J113" s="1"/>
      <c r="K113" s="1"/>
    </row>
    <row r="114">
      <c r="A114" s="1"/>
      <c r="B114" s="1"/>
      <c r="C114" s="1"/>
      <c r="D114" s="1"/>
      <c r="E114" s="1"/>
      <c r="F114" s="1"/>
      <c r="G114" s="1"/>
      <c r="H114" s="1"/>
      <c r="I114" s="1"/>
      <c r="J114" s="1"/>
      <c r="K114" s="1"/>
    </row>
  </sheetData>
  <legacyDrawing r:id="rId2"/>
</worksheet>
</file>

<file path=xl/worksheets/sheet9.xml><?xml version="1.0" encoding="utf-8"?>
<worksheet xmlns="http://schemas.openxmlformats.org/spreadsheetml/2006/main" xmlns:r="http://schemas.openxmlformats.org/officeDocument/2006/relationships">
  <dimension ref="A1:K55"/>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652</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ht="40.5">
      <c r="A9" s="1"/>
      <c r="B9" s="142" t="s">
        <v>653</v>
      </c>
      <c r="C9" s="1"/>
      <c r="D9" s="1"/>
      <c r="E9" s="1"/>
      <c r="F9" s="1"/>
      <c r="G9" s="1"/>
      <c r="H9" s="1"/>
      <c r="I9" s="1"/>
      <c r="J9" s="24"/>
      <c r="K9" s="1"/>
    </row>
    <row r="10">
      <c r="A10" s="1"/>
      <c r="B10" s="2" t="s">
        <v>654</v>
      </c>
      <c r="C10" s="27">
        <f>'Segment - U.S. Stores'!C100</f>
        <v>2240.8</v>
      </c>
      <c r="D10" s="27">
        <f>'Segment - U.S. Stores'!D100</f>
        <v>2335.6</v>
      </c>
      <c r="E10" s="27">
        <f>'Segment - U.S. Stores'!E100</f>
        <v>2320.4</v>
      </c>
      <c r="F10" s="27">
        <f>'Segment - U.S. Stores'!F100</f>
        <v>3056.1</v>
      </c>
      <c r="G10" s="27">
        <f>'Segment - U.S. Stores'!G100</f>
        <v>9952.9</v>
      </c>
      <c r="H10" s="27">
        <f>'Segment - U.S. Stores'!H100</f>
        <v>2302.6</v>
      </c>
      <c r="I10" s="27">
        <f>'Segment - U.S. Stores'!I100</f>
        <v>2381.1</v>
      </c>
      <c r="J10" s="58">
        <f>'Segment - U.S. Stores'!J100</f>
        <v>2378.7023704</v>
      </c>
      <c r="K10" s="1"/>
    </row>
    <row r="11">
      <c r="A11" s="1"/>
      <c r="B11" s="18" t="s">
        <v>89</v>
      </c>
      <c r="C11" s="9">
        <f>'Segment - U.S. Stores'!C102</f>
        <v>0.013019891500904324</v>
      </c>
      <c r="D11" s="9">
        <f>'Segment - U.S. Stores'!D102</f>
        <v>0.05107780927951033</v>
      </c>
      <c r="E11" s="9">
        <f>'Segment - U.S. Stores'!E102</f>
        <v>0.07009776793949452</v>
      </c>
      <c r="F11" s="9">
        <f>'Segment - U.S. Stores'!F102</f>
        <v>0.054700441744892414</v>
      </c>
      <c r="G11" s="9">
        <f>'Segment - U.S. Stores'!G102</f>
        <v>0.047662656182566376</v>
      </c>
      <c r="H11" s="9">
        <f>'Segment - U.S. Stores'!H102</f>
        <v>0.027579435915744188</v>
      </c>
      <c r="I11" s="9">
        <f>'Segment - U.S. Stores'!I102</f>
        <v>0.019481075526631253</v>
      </c>
      <c r="J11" s="77">
        <f>'Segment - U.S. Stores'!J102</f>
        <v>0.02512599999999998</v>
      </c>
      <c r="K11" s="1"/>
    </row>
    <row r="12">
      <c r="A12" s="1"/>
      <c r="B12" s="2" t="s">
        <v>655</v>
      </c>
      <c r="C12" s="27">
        <f>'Segment - International'!C45</f>
        <v>2223.5</v>
      </c>
      <c r="D12" s="27">
        <f>'Segment - International'!D45</f>
        <v>2334.2</v>
      </c>
      <c r="E12" s="27">
        <f>'Segment - International'!E45</f>
        <v>2375.8</v>
      </c>
      <c r="F12" s="27">
        <f>'Segment - International'!F45</f>
        <v>3240.4</v>
      </c>
      <c r="G12" s="27">
        <f>'Segment - International'!G45</f>
        <v>10173.9</v>
      </c>
      <c r="H12" s="27">
        <f>'Segment - International'!H45</f>
        <v>2437.1</v>
      </c>
      <c r="I12" s="27">
        <f>'Segment - International'!I45</f>
        <v>2468.9</v>
      </c>
      <c r="J12" s="58">
        <f>'Segment - International'!J45</f>
        <v>2465.532730584</v>
      </c>
      <c r="K12" s="1"/>
    </row>
    <row r="13">
      <c r="A13" s="1"/>
      <c r="B13" s="18" t="s">
        <v>656</v>
      </c>
      <c r="C13" s="9">
        <f>'Segment - International'!C47</f>
        <v>0.0331768969843409</v>
      </c>
      <c r="D13" s="9">
        <f>'Segment - International'!D47</f>
        <v>0.058066270794614905</v>
      </c>
      <c r="E13" s="9">
        <f>'Segment - International'!E47</f>
        <v>0.06844756251124307</v>
      </c>
      <c r="F13" s="9">
        <f>'Segment - International'!F47</f>
        <v>0.065150220235356</v>
      </c>
      <c r="G13" s="9">
        <f>'Segment - International'!G47</f>
        <v>0.0571384039900249</v>
      </c>
      <c r="H13" s="9">
        <f>'Segment - International'!H47</f>
        <v>0.09606476276141218</v>
      </c>
      <c r="I13" s="9">
        <f>'Segment - International'!I47</f>
        <v>0.057707137348984805</v>
      </c>
      <c r="J13" s="77">
        <f>'Segment - International'!J47</f>
        <v>0.03776947999999991</v>
      </c>
      <c r="K13" s="1"/>
    </row>
    <row r="14">
      <c r="A14" s="1"/>
      <c r="B14" s="13" t="s">
        <v>657</v>
      </c>
      <c r="C14" s="51">
        <f>C10+C12</f>
        <v>4464.3</v>
      </c>
      <c r="D14" s="51">
        <f>D10+D12</f>
        <v>4669.799999999999</v>
      </c>
      <c r="E14" s="51">
        <f>E10+E12</f>
        <v>4696.200000000001</v>
      </c>
      <c r="F14" s="51">
        <f>F10+F12</f>
        <v>6296.5</v>
      </c>
      <c r="G14" s="51">
        <f>G10+G12</f>
        <v>20126.8</v>
      </c>
      <c r="H14" s="51">
        <f>H10+H12</f>
        <v>4739.7</v>
      </c>
      <c r="I14" s="51">
        <f>I10+I12</f>
        <v>4850</v>
      </c>
      <c r="J14" s="38">
        <f>J10+J12</f>
        <v>4844.235100984</v>
      </c>
      <c r="K14" s="1"/>
    </row>
    <row r="15" ht="27.75">
      <c r="A15" s="1"/>
      <c r="B15" s="144" t="s">
        <v>658</v>
      </c>
      <c r="C15" s="27">
        <f>'Segment - U.S. Stores'!C101+'Segment - International'!C46</f>
        <v>4364.1</v>
      </c>
      <c r="D15" s="27">
        <f>'Segment - U.S. Stores'!D101+'Segment - International'!D46</f>
        <v>4428.2</v>
      </c>
      <c r="E15" s="27">
        <f>'Segment - U.S. Stores'!E101+'Segment - International'!E46</f>
        <v>4392</v>
      </c>
      <c r="F15" s="27">
        <f>'Segment - U.S. Stores'!F101+'Segment - International'!F46</f>
        <v>5939.799999999999</v>
      </c>
      <c r="G15" s="27">
        <f>'Segment - U.S. Stores'!G101+'Segment - International'!G46</f>
        <v>19124.1</v>
      </c>
      <c r="H15" s="1"/>
      <c r="I15" s="1"/>
      <c r="J15" s="24"/>
      <c r="K15" s="1"/>
    </row>
    <row r="16">
      <c r="A16" s="1"/>
      <c r="B16" s="18" t="s">
        <v>656</v>
      </c>
      <c r="C16" s="12">
        <f>IFERROR(C14/C15-1,"n/a")</f>
        <v>0.022960060493572465</v>
      </c>
      <c r="D16" s="12">
        <f>IFERROR(D14/D15-1,"n/a")</f>
        <v>0.05455941466058434</v>
      </c>
      <c r="E16" s="12">
        <f>IFERROR(E14/E15-1,"n/a")</f>
        <v>0.06926229508196746</v>
      </c>
      <c r="F16" s="12">
        <f>IFERROR(F14/F15-1,"n/a")</f>
        <v>0.06005252702111186</v>
      </c>
      <c r="G16" s="12">
        <f>IFERROR(G14/G15-1,"n/a")</f>
        <v>0.05243122552172386</v>
      </c>
      <c r="H16" s="12">
        <f>IFERROR(H14/C14-1,"n/a")</f>
        <v>0.061689402593911646</v>
      </c>
      <c r="I16" s="12">
        <f>IFERROR(I14/D14-1,"n/a")</f>
        <v>0.0385883763758621</v>
      </c>
      <c r="J16" s="44">
        <f>IFERROR(J14/E14-1,"n/a")</f>
        <v>0.03152231612452616</v>
      </c>
      <c r="K16" s="1"/>
    </row>
    <row r="17" ht="27.75">
      <c r="A17" s="1"/>
      <c r="B17" s="18" t="s">
        <v>208</v>
      </c>
      <c r="C17" s="37" t="s">
        <v>76</v>
      </c>
      <c r="D17" s="37">
        <f>D14-C14</f>
        <v>205.4999999999991</v>
      </c>
      <c r="E17" s="37">
        <f>E14-D14</f>
        <v>26.400000000001455</v>
      </c>
      <c r="F17" s="37">
        <f>F14-E14</f>
        <v>1600.2999999999993</v>
      </c>
      <c r="G17" s="37" t="s">
        <v>76</v>
      </c>
      <c r="H17" s="37">
        <f>H14-F14</f>
        <v>-1556.8000000000002</v>
      </c>
      <c r="I17" s="37">
        <f>I14-H14</f>
        <v>110.30000000000018</v>
      </c>
      <c r="J17" s="63">
        <f>J14-I14</f>
        <v>-5.764899015999617</v>
      </c>
      <c r="K17" s="141" t="s">
        <v>659</v>
      </c>
    </row>
    <row r="18">
      <c r="A18" s="1"/>
      <c r="B18" s="6" t="s">
        <v>660</v>
      </c>
      <c r="C18" s="12">
        <f>C10/C14</f>
        <v>0.5019375937996998</v>
      </c>
      <c r="D18" s="12">
        <f>D10/D14</f>
        <v>0.5001498993532915</v>
      </c>
      <c r="E18" s="12">
        <f>E10/E14</f>
        <v>0.49410161407095093</v>
      </c>
      <c r="F18" s="12">
        <f>F10/F14</f>
        <v>0.48536488525371235</v>
      </c>
      <c r="G18" s="12">
        <f>G10/G14</f>
        <v>0.4945098078184311</v>
      </c>
      <c r="H18" s="12">
        <f>H10/H14</f>
        <v>0.48581133827035466</v>
      </c>
      <c r="I18" s="12">
        <f>I10/I14</f>
        <v>0.4909484536082474</v>
      </c>
      <c r="J18" s="44">
        <f>J10/J14</f>
        <v>0.49103776361242635</v>
      </c>
      <c r="K18" s="1"/>
    </row>
    <row r="19">
      <c r="A19" s="1"/>
      <c r="B19" s="18" t="s">
        <v>661</v>
      </c>
      <c r="C19" s="21" t="s">
        <v>76</v>
      </c>
      <c r="D19" s="21" t="s">
        <v>76</v>
      </c>
      <c r="E19" s="21" t="s">
        <v>76</v>
      </c>
      <c r="F19" s="21" t="s">
        <v>76</v>
      </c>
      <c r="G19" s="21" t="s">
        <v>76</v>
      </c>
      <c r="H19" s="21">
        <f>IFERROR((H18-C18)*10000,"n/a")</f>
        <v>-161.26255529345158</v>
      </c>
      <c r="I19" s="21">
        <f>IFERROR((I18-D18)*10000,"n/a")</f>
        <v>-92.01445745044057</v>
      </c>
      <c r="J19" s="46">
        <f>IFERROR((J18-E18)*10000,"n/a")</f>
        <v>-30.63850458524586</v>
      </c>
      <c r="K19" s="1"/>
    </row>
    <row r="20" ht="27.75">
      <c r="A20" s="1"/>
      <c r="B20" s="154" t="s">
        <v>662</v>
      </c>
      <c r="C20" s="21" t="s">
        <v>76</v>
      </c>
      <c r="D20" s="21">
        <f>IFERROR((D18-C18)*10000,"n/a")</f>
        <v>-17.87694446408361</v>
      </c>
      <c r="E20" s="21">
        <f>IFERROR((E18-D18)*10000,"n/a")</f>
        <v>-60.48285282340527</v>
      </c>
      <c r="F20" s="21">
        <f>IFERROR((F18-E18)*10000,"n/a")</f>
        <v>-87.36728817238581</v>
      </c>
      <c r="G20" s="21" t="s">
        <v>76</v>
      </c>
      <c r="H20" s="21">
        <f>IFERROR((H18-F18)*10000,"n/a")</f>
        <v>4.46453016642312</v>
      </c>
      <c r="I20" s="21">
        <f>IFERROR((I18-H18)*10000,"n/a")</f>
        <v>51.37115337892739</v>
      </c>
      <c r="J20" s="46">
        <f>IFERROR((J18-I18)*10000,"n/a")</f>
        <v>0.8931000417894408</v>
      </c>
      <c r="K20" s="1"/>
    </row>
    <row r="21" ht="27.75">
      <c r="A21" s="1"/>
      <c r="B21" s="140" t="s">
        <v>663</v>
      </c>
      <c r="C21" s="12">
        <f>C12/C14</f>
        <v>0.4980624062003001</v>
      </c>
      <c r="D21" s="12">
        <f>D12/D14</f>
        <v>0.49985010064670865</v>
      </c>
      <c r="E21" s="12">
        <f>E12/E14</f>
        <v>0.505898385929049</v>
      </c>
      <c r="F21" s="12">
        <f>F12/F14</f>
        <v>0.5146351147462876</v>
      </c>
      <c r="G21" s="12">
        <f>G12/G14</f>
        <v>0.5054901921815689</v>
      </c>
      <c r="H21" s="12">
        <f>H12/H14</f>
        <v>0.5141886617296454</v>
      </c>
      <c r="I21" s="12">
        <f>I12/I14</f>
        <v>0.5090515463917525</v>
      </c>
      <c r="J21" s="44">
        <f>J12/J14</f>
        <v>0.5089622363875735</v>
      </c>
      <c r="K21" s="1"/>
    </row>
    <row r="22" ht="27.75">
      <c r="A22" s="1"/>
      <c r="B22" s="154" t="s">
        <v>664</v>
      </c>
      <c r="C22" s="21" t="s">
        <v>76</v>
      </c>
      <c r="D22" s="21" t="s">
        <v>76</v>
      </c>
      <c r="E22" s="21" t="s">
        <v>76</v>
      </c>
      <c r="F22" s="21" t="s">
        <v>76</v>
      </c>
      <c r="G22" s="21" t="s">
        <v>76</v>
      </c>
      <c r="H22" s="21">
        <f>IFERROR((H21-C21)*10000,"n/a")</f>
        <v>161.2625552934527</v>
      </c>
      <c r="I22" s="21">
        <f>IFERROR((I21-D21)*10000,"n/a")</f>
        <v>92.0144574504389</v>
      </c>
      <c r="J22" s="46">
        <f>IFERROR((J21-E21)*10000,"n/a")</f>
        <v>30.638504585245308</v>
      </c>
      <c r="K22" s="1"/>
    </row>
    <row r="23" ht="27.75">
      <c r="A23" s="1"/>
      <c r="B23" s="154" t="s">
        <v>665</v>
      </c>
      <c r="C23" s="21" t="s">
        <v>76</v>
      </c>
      <c r="D23" s="21">
        <f>IFERROR((D21-C21)*10000,"n/a")</f>
        <v>17.876944464085277</v>
      </c>
      <c r="E23" s="21">
        <f>IFERROR((E21-D21)*10000,"n/a")</f>
        <v>60.4828528234036</v>
      </c>
      <c r="F23" s="21">
        <f>IFERROR((F21-E21)*10000,"n/a")</f>
        <v>87.36728817238637</v>
      </c>
      <c r="G23" s="21" t="s">
        <v>76</v>
      </c>
      <c r="H23" s="21">
        <f>IFERROR((H21-F21)*10000,"n/a")</f>
        <v>-4.4645301664225645</v>
      </c>
      <c r="I23" s="21">
        <f>IFERROR((I21-H21)*10000,"n/a")</f>
        <v>-51.371153378928504</v>
      </c>
      <c r="J23" s="46">
        <f>IFERROR((J21-I21)*10000,"n/a")</f>
        <v>-0.8931000417899959</v>
      </c>
      <c r="K23" s="1"/>
    </row>
    <row r="24" ht="27.75">
      <c r="A24" s="1"/>
      <c r="B24" s="140" t="s">
        <v>666</v>
      </c>
      <c r="C24" s="37">
        <f>C10+C12-C14</f>
        <v>0</v>
      </c>
      <c r="D24" s="37">
        <f>D10+D12-D14</f>
        <v>0</v>
      </c>
      <c r="E24" s="37">
        <f>E10+E12-E14</f>
        <v>0</v>
      </c>
      <c r="F24" s="37">
        <f>F10+F12-F14</f>
        <v>0</v>
      </c>
      <c r="G24" s="37">
        <f>G10+G12-G14</f>
        <v>0</v>
      </c>
      <c r="H24" s="37">
        <f>H10+H12-H14</f>
        <v>0</v>
      </c>
      <c r="I24" s="37">
        <f>I10+I12-I14</f>
        <v>0</v>
      </c>
      <c r="J24" s="63">
        <f>J10+J12-J14</f>
        <v>0</v>
      </c>
      <c r="K24" s="1"/>
    </row>
    <row r="25" ht="27.75">
      <c r="A25" s="1"/>
      <c r="B25" s="142" t="s">
        <v>667</v>
      </c>
      <c r="C25" s="1"/>
      <c r="D25" s="1"/>
      <c r="E25" s="1"/>
      <c r="F25" s="1"/>
      <c r="G25" s="1"/>
      <c r="H25" s="1"/>
      <c r="I25" s="1"/>
      <c r="J25" s="24"/>
      <c r="K25" s="1"/>
    </row>
    <row r="26">
      <c r="A26" s="1"/>
      <c r="B26" s="6" t="s">
        <v>668</v>
      </c>
      <c r="C26" s="9">
        <f>'Segment - U.S. Stores'!C104</f>
        <v>0.013</v>
      </c>
      <c r="D26" s="9">
        <f>'Segment - U.S. Stores'!D104</f>
        <v>0.051</v>
      </c>
      <c r="E26" s="9">
        <f>'Segment - U.S. Stores'!E104</f>
        <v>0.07</v>
      </c>
      <c r="F26" s="9">
        <f>'Segment - U.S. Stores'!F104</f>
        <v>0.055</v>
      </c>
      <c r="G26" s="9">
        <f>'Segment - U.S. Stores'!G104</f>
        <v>0.048</v>
      </c>
      <c r="H26" s="9">
        <f>'Segment - U.S. Stores'!H104</f>
        <v>0.027999999999999997</v>
      </c>
      <c r="I26" s="9">
        <f>'Segment - U.S. Stores'!I104</f>
        <v>0.019</v>
      </c>
      <c r="J26" s="77">
        <f>'Segment - U.S. Stores'!J104</f>
        <v>0.02512599999999998</v>
      </c>
      <c r="K26" s="1"/>
    </row>
    <row r="27">
      <c r="A27" s="1"/>
      <c r="B27" s="6" t="s">
        <v>669</v>
      </c>
      <c r="C27" s="9">
        <f>'Segment - International'!C49</f>
        <v>0.08199999999999999</v>
      </c>
      <c r="D27" s="9">
        <f>'Segment - International'!D49</f>
        <v>0.06</v>
      </c>
      <c r="E27" s="9">
        <f>'Segment - International'!E49</f>
        <v>0.057</v>
      </c>
      <c r="F27" s="9">
        <f>'Segment - International'!F49</f>
        <v>0.045</v>
      </c>
      <c r="G27" s="9">
        <f>'Segment - International'!G49</f>
        <v>0.059</v>
      </c>
      <c r="H27" s="9">
        <f>'Segment - International'!H49</f>
        <v>0.04</v>
      </c>
      <c r="I27" s="9">
        <f>'Segment - International'!I49</f>
        <v>0.040999999999999995</v>
      </c>
      <c r="J27" s="77">
        <f>'Segment - International'!J49</f>
        <v>0.04825199999999996</v>
      </c>
      <c r="K27" s="1"/>
    </row>
    <row r="28">
      <c r="A28" s="1"/>
      <c r="B28" s="6" t="s">
        <v>670</v>
      </c>
      <c r="C28" s="36">
        <v>0.047</v>
      </c>
      <c r="D28" s="36">
        <v>0.055999999999999994</v>
      </c>
      <c r="E28" s="36">
        <v>0.063</v>
      </c>
      <c r="F28" s="36">
        <v>0.049</v>
      </c>
      <c r="G28" s="36">
        <v>0.054000000000000006</v>
      </c>
      <c r="H28" s="36">
        <v>0.034</v>
      </c>
      <c r="I28" s="36">
        <v>0.03</v>
      </c>
      <c r="J28" s="77">
        <f>(J10+J12/(1+'Segment - International'!J52))/(E10+E12)-1</f>
        <v>0.03682540607299489</v>
      </c>
      <c r="K28" s="141" t="s">
        <v>671</v>
      </c>
    </row>
    <row r="29" ht="27.75">
      <c r="A29" s="1"/>
      <c r="B29" s="154" t="s">
        <v>672</v>
      </c>
      <c r="C29" s="21" t="s">
        <v>76</v>
      </c>
      <c r="D29" s="21" t="s">
        <v>76</v>
      </c>
      <c r="E29" s="21" t="s">
        <v>76</v>
      </c>
      <c r="F29" s="21" t="s">
        <v>76</v>
      </c>
      <c r="G29" s="21" t="s">
        <v>76</v>
      </c>
      <c r="H29" s="21">
        <f>IFERROR((H28-C28)*10000,"n/a")</f>
        <v>-129.99999999999997</v>
      </c>
      <c r="I29" s="21">
        <f>IFERROR((I28-D28)*10000,"n/a")</f>
        <v>-259.99999999999994</v>
      </c>
      <c r="J29" s="46">
        <f>IFERROR((J28-E28)*10000,"n/a")</f>
        <v>-261.74593927005105</v>
      </c>
      <c r="K29" s="1"/>
    </row>
    <row r="30" ht="27.75">
      <c r="A30" s="1"/>
      <c r="B30" s="154" t="s">
        <v>673</v>
      </c>
      <c r="C30" s="21" t="s">
        <v>76</v>
      </c>
      <c r="D30" s="21">
        <f>IFERROR((D28-C28)*10000,"n/a")</f>
        <v>89.99999999999994</v>
      </c>
      <c r="E30" s="21">
        <f>IFERROR((E28-D28)*10000,"n/a")</f>
        <v>70.00000000000006</v>
      </c>
      <c r="F30" s="21">
        <f>IFERROR((F28-E28)*10000,"n/a")</f>
        <v>-139.99999999999997</v>
      </c>
      <c r="G30" s="21" t="s">
        <v>76</v>
      </c>
      <c r="H30" s="21">
        <f>IFERROR((H28-F28)*10000,"n/a")</f>
        <v>-150</v>
      </c>
      <c r="I30" s="21">
        <f>IFERROR((I28-H28)*10000,"n/a")</f>
        <v>-40.000000000000036</v>
      </c>
      <c r="J30" s="46">
        <f>IFERROR((J28-I28)*10000,"n/a")</f>
        <v>68.25406072994895</v>
      </c>
      <c r="K30" s="1"/>
    </row>
    <row r="31" ht="40.5">
      <c r="A31" s="1"/>
      <c r="B31" s="142" t="s">
        <v>674</v>
      </c>
      <c r="C31" s="1"/>
      <c r="D31" s="1"/>
      <c r="E31" s="1"/>
      <c r="F31" s="1"/>
      <c r="G31" s="1"/>
      <c r="H31" s="1"/>
      <c r="I31" s="1"/>
      <c r="J31" s="24"/>
      <c r="K31" s="1"/>
    </row>
    <row r="32" ht="27.75">
      <c r="A32" s="1"/>
      <c r="B32" s="144" t="s">
        <v>675</v>
      </c>
      <c r="C32" s="27">
        <f>'Revenue summary'!C34+'Revenue summary'!C42</f>
        <v>1036.4969999999998</v>
      </c>
      <c r="D32" s="27">
        <f>'Revenue summary'!D34+'Revenue summary'!D42</f>
        <v>1067.98</v>
      </c>
      <c r="E32" s="27">
        <f>'Revenue summary'!E34+'Revenue summary'!E42</f>
        <v>1068.505</v>
      </c>
      <c r="F32" s="27">
        <f>'Revenue summary'!F34+'Revenue summary'!F42</f>
        <v>1428.308</v>
      </c>
      <c r="G32" s="27">
        <f>'Revenue summary'!G34+'Revenue summary'!G42</f>
        <v>4601.29</v>
      </c>
      <c r="H32" s="27">
        <f>'Revenue summary'!H34+'Revenue summary'!H42</f>
        <v>1069.614</v>
      </c>
      <c r="I32" s="27">
        <f>'Revenue summary'!I34+'Revenue summary'!I42</f>
        <v>1112.605</v>
      </c>
      <c r="J32" s="58">
        <f>'Revenue summary'!J34+'Revenue summary'!J42</f>
        <v>1092.7456791957034</v>
      </c>
      <c r="K32" s="141" t="s">
        <v>676</v>
      </c>
    </row>
    <row r="33">
      <c r="A33" s="1"/>
      <c r="B33" s="47" t="s">
        <v>88</v>
      </c>
      <c r="C33" s="27">
        <f>'Revenue summary'!C35+'Revenue summary'!C43</f>
        <v>1012.681</v>
      </c>
      <c r="D33" s="27">
        <f>'Revenue summary'!D35+'Revenue summary'!D43</f>
        <v>1024.04</v>
      </c>
      <c r="E33" s="27">
        <f>'Revenue summary'!E35+'Revenue summary'!E43</f>
        <v>1005.486</v>
      </c>
      <c r="F33" s="27">
        <f>'Revenue summary'!F35+'Revenue summary'!F43</f>
        <v>1345.518</v>
      </c>
      <c r="G33" s="27">
        <f>'Revenue summary'!G35+'Revenue summary'!G43</f>
        <v>4387.725</v>
      </c>
      <c r="H33" s="1"/>
      <c r="I33" s="1"/>
      <c r="J33" s="24"/>
      <c r="K33" s="1"/>
    </row>
    <row r="34">
      <c r="A34" s="1"/>
      <c r="B34" s="18" t="s">
        <v>89</v>
      </c>
      <c r="C34" s="12">
        <f>IFERROR(C32/C33-1,"n/a")</f>
        <v>0.023517771144121236</v>
      </c>
      <c r="D34" s="12">
        <f>IFERROR(D32/D33-1,"n/a")</f>
        <v>0.0429084801374946</v>
      </c>
      <c r="E34" s="12">
        <f>IFERROR(E32/E33-1,"n/a")</f>
        <v>0.0626751640500216</v>
      </c>
      <c r="F34" s="12">
        <f>IFERROR(F32/F33-1,"n/a")</f>
        <v>0.06153020621054495</v>
      </c>
      <c r="G34" s="12">
        <f>IFERROR(G32/G33-1,"n/a")</f>
        <v>0.0486732874097624</v>
      </c>
      <c r="H34" s="12">
        <f>IFERROR(H32/C32-1,"n/a")</f>
        <v>0.031950888425147594</v>
      </c>
      <c r="I34" s="12">
        <f>IFERROR(I32/D32-1,"n/a")</f>
        <v>0.041784490346261194</v>
      </c>
      <c r="J34" s="44">
        <f>IFERROR(J32/E32-1,"n/a")</f>
        <v>0.022686537915782568</v>
      </c>
      <c r="K34" s="1"/>
    </row>
    <row r="35">
      <c r="A35" s="1"/>
      <c r="B35" s="18" t="s">
        <v>91</v>
      </c>
      <c r="C35" s="12">
        <f>IFERROR(C32/C46,"n/a")</f>
        <v>0.9320546806995331</v>
      </c>
      <c r="D35" s="12">
        <f>IFERROR(D32/D46,"n/a")</f>
        <v>0.9326163347142368</v>
      </c>
      <c r="E35" s="12">
        <f>IFERROR(E32/E46,"n/a")</f>
        <v>0.9315210966528167</v>
      </c>
      <c r="F35" s="12">
        <f>IFERROR(F32/F46,"n/a")</f>
        <v>0.9300454504017607</v>
      </c>
      <c r="G35" s="12">
        <f>IFERROR(G32/G46,"n/a")</f>
        <v>0.9314363539712802</v>
      </c>
      <c r="H35" s="12">
        <f>IFERROR(H32/H46,"n/a")</f>
        <v>0.9296189620317853</v>
      </c>
      <c r="I35" s="12">
        <f>IFERROR(I32/I46,"n/a")</f>
        <v>0.9314968600006529</v>
      </c>
      <c r="J35" s="44">
        <f>IFERROR(J32/J46,"n/a")</f>
        <v>0.9312371746978434</v>
      </c>
      <c r="K35" s="1"/>
    </row>
    <row r="36">
      <c r="A36" s="1"/>
      <c r="B36" s="18" t="s">
        <v>92</v>
      </c>
      <c r="C36" s="12" t="s">
        <v>81</v>
      </c>
      <c r="D36" s="12" t="s">
        <v>81</v>
      </c>
      <c r="E36" s="12" t="s">
        <v>81</v>
      </c>
      <c r="F36" s="12" t="s">
        <v>81</v>
      </c>
      <c r="G36" s="12" t="s">
        <v>81</v>
      </c>
      <c r="H36" s="12" t="s">
        <v>81</v>
      </c>
      <c r="I36" s="12" t="s">
        <v>81</v>
      </c>
      <c r="J36" s="44" t="s">
        <v>81</v>
      </c>
      <c r="K36" s="141" t="s">
        <v>677</v>
      </c>
    </row>
    <row r="37">
      <c r="A37" s="1"/>
      <c r="B37" s="18" t="s">
        <v>93</v>
      </c>
      <c r="C37" s="12" t="s">
        <v>81</v>
      </c>
      <c r="D37" s="12" t="s">
        <v>81</v>
      </c>
      <c r="E37" s="12" t="s">
        <v>81</v>
      </c>
      <c r="F37" s="12" t="s">
        <v>81</v>
      </c>
      <c r="G37" s="12" t="s">
        <v>81</v>
      </c>
      <c r="H37" s="12" t="s">
        <v>81</v>
      </c>
      <c r="I37" s="12" t="s">
        <v>81</v>
      </c>
      <c r="J37" s="44" t="s">
        <v>81</v>
      </c>
      <c r="K37" s="141" t="s">
        <v>678</v>
      </c>
    </row>
    <row r="38">
      <c r="A38" s="1"/>
      <c r="B38" s="18" t="s">
        <v>94</v>
      </c>
      <c r="C38" s="12" t="s">
        <v>81</v>
      </c>
      <c r="D38" s="12" t="s">
        <v>81</v>
      </c>
      <c r="E38" s="12" t="s">
        <v>81</v>
      </c>
      <c r="F38" s="12" t="s">
        <v>81</v>
      </c>
      <c r="G38" s="12" t="s">
        <v>81</v>
      </c>
      <c r="H38" s="12" t="s">
        <v>81</v>
      </c>
      <c r="I38" s="12" t="s">
        <v>81</v>
      </c>
      <c r="J38" s="44" t="s">
        <v>81</v>
      </c>
      <c r="K38" s="141" t="s">
        <v>98</v>
      </c>
    </row>
    <row r="39" ht="27.75">
      <c r="A39" s="1"/>
      <c r="B39" s="144" t="s">
        <v>679</v>
      </c>
      <c r="C39" s="27">
        <f>'Revenue summary'!C50</f>
        <v>75.559</v>
      </c>
      <c r="D39" s="27">
        <f>'Revenue summary'!D50</f>
        <v>77.164</v>
      </c>
      <c r="E39" s="27">
        <f>'Revenue summary'!E50</f>
        <v>78.549</v>
      </c>
      <c r="F39" s="27">
        <f>'Revenue summary'!F50</f>
        <v>107.432</v>
      </c>
      <c r="G39" s="27">
        <f>'Revenue summary'!G50</f>
        <v>338.704</v>
      </c>
      <c r="H39" s="27">
        <f>'Revenue summary'!H50</f>
        <v>80.98</v>
      </c>
      <c r="I39" s="27">
        <f>'Revenue summary'!I50</f>
        <v>81.822</v>
      </c>
      <c r="J39" s="58">
        <f>'Revenue summary'!J50</f>
        <v>80.688660504346</v>
      </c>
      <c r="K39" s="1"/>
    </row>
    <row r="40">
      <c r="A40" s="1"/>
      <c r="B40" s="47" t="s">
        <v>88</v>
      </c>
      <c r="C40" s="27">
        <f>'Revenue summary'!C51</f>
        <v>71.96600000000001</v>
      </c>
      <c r="D40" s="27">
        <f>'Revenue summary'!D51</f>
        <v>73.696</v>
      </c>
      <c r="E40" s="27">
        <f>'Revenue summary'!E51</f>
        <v>74.633</v>
      </c>
      <c r="F40" s="27">
        <f>'Revenue summary'!F51</f>
        <v>98.396</v>
      </c>
      <c r="G40" s="27">
        <f>'Revenue summary'!G51</f>
        <v>318.69100000000003</v>
      </c>
      <c r="H40" s="1"/>
      <c r="I40" s="1"/>
      <c r="J40" s="24"/>
      <c r="K40" s="1"/>
    </row>
    <row r="41">
      <c r="A41" s="1"/>
      <c r="B41" s="18" t="s">
        <v>89</v>
      </c>
      <c r="C41" s="12">
        <f>IFERROR(C39/C40-1,"n/a")</f>
        <v>0.049926354111663684</v>
      </c>
      <c r="D41" s="12">
        <f>IFERROR(D39/D40-1,"n/a")</f>
        <v>0.047058184976118245</v>
      </c>
      <c r="E41" s="12">
        <f>IFERROR(E39/E40-1,"n/a")</f>
        <v>0.052470086958852136</v>
      </c>
      <c r="F41" s="12">
        <f>IFERROR(F39/F40-1,"n/a")</f>
        <v>0.09183300134151806</v>
      </c>
      <c r="G41" s="12">
        <f>IFERROR(G39/G40-1,"n/a")</f>
        <v>0.06279750604817824</v>
      </c>
      <c r="H41" s="12">
        <f>IFERROR(H39/C39-1,"n/a")</f>
        <v>0.0717452586720313</v>
      </c>
      <c r="I41" s="12">
        <f>IFERROR(I39/D39-1,"n/a")</f>
        <v>0.060364937017261866</v>
      </c>
      <c r="J41" s="44">
        <f>IFERROR(J39/E39-1,"n/a")</f>
        <v>0.02723981851259727</v>
      </c>
      <c r="K41" s="1"/>
    </row>
    <row r="42">
      <c r="A42" s="1"/>
      <c r="B42" s="18" t="s">
        <v>91</v>
      </c>
      <c r="C42" s="12">
        <f>IFERROR(C39/C46,"n/a")</f>
        <v>0.06794531930046689</v>
      </c>
      <c r="D42" s="12">
        <f>IFERROR(D39/D46,"n/a")</f>
        <v>0.06738366528576319</v>
      </c>
      <c r="E42" s="12">
        <f>IFERROR(E39/E46,"n/a")</f>
        <v>0.0684789033471833</v>
      </c>
      <c r="F42" s="12">
        <f>IFERROR(F39/F46,"n/a")</f>
        <v>0.06995454959823928</v>
      </c>
      <c r="G42" s="12">
        <f>IFERROR(G39/G46,"n/a")</f>
        <v>0.06856364602871988</v>
      </c>
      <c r="H42" s="12">
        <f>IFERROR(H39/H46,"n/a")</f>
        <v>0.07038103796821468</v>
      </c>
      <c r="I42" s="12">
        <f>IFERROR(I39/I46,"n/a")</f>
        <v>0.06850313999934696</v>
      </c>
      <c r="J42" s="44">
        <f>IFERROR(J39/J46,"n/a")</f>
        <v>0.06876282530215662</v>
      </c>
      <c r="K42" s="1"/>
    </row>
    <row r="43">
      <c r="A43" s="1"/>
      <c r="B43" s="18" t="s">
        <v>92</v>
      </c>
      <c r="C43" s="9">
        <f>'Segment - International'!C71</f>
        <v>-0.04446544201428452</v>
      </c>
      <c r="D43" s="9">
        <f>'Segment - International'!D71</f>
        <v>-0.0027138514980460274</v>
      </c>
      <c r="E43" s="9">
        <f>'Segment - International'!E71</f>
        <v>0.010719118888427373</v>
      </c>
      <c r="F43" s="9">
        <f>'Segment - International'!F71</f>
        <v>0.01930972803772511</v>
      </c>
      <c r="G43" s="9">
        <f>'Segment - International'!G71</f>
        <v>-0.002196484996438557</v>
      </c>
      <c r="H43" s="9">
        <f>'Segment - International'!H71</f>
        <v>0.04764488677722045</v>
      </c>
      <c r="I43" s="9">
        <f>'Segment - International'!I71</f>
        <v>0.01425535223679436</v>
      </c>
      <c r="J43" s="77">
        <f>'Segment - International'!J71</f>
        <v>-0.010376159782955462</v>
      </c>
      <c r="K43" s="1"/>
    </row>
    <row r="44">
      <c r="A44" s="1"/>
      <c r="B44" s="18" t="s">
        <v>93</v>
      </c>
      <c r="C44" s="9">
        <f>'Segment - International'!C72</f>
        <v>0</v>
      </c>
      <c r="D44" s="9">
        <f>'Segment - International'!D72</f>
        <v>0</v>
      </c>
      <c r="E44" s="9">
        <f>'Segment - International'!E72</f>
        <v>0</v>
      </c>
      <c r="F44" s="9">
        <f>'Segment - International'!F72</f>
        <v>0</v>
      </c>
      <c r="G44" s="9">
        <f>'Segment - International'!G72</f>
        <v>0</v>
      </c>
      <c r="H44" s="9">
        <f>'Segment - International'!H72</f>
        <v>0</v>
      </c>
      <c r="I44" s="9">
        <f>'Segment - International'!I72</f>
        <v>0</v>
      </c>
      <c r="J44" s="77">
        <f>'Segment - International'!J72</f>
        <v>0</v>
      </c>
      <c r="K44" s="1"/>
    </row>
    <row r="45">
      <c r="A45" s="1"/>
      <c r="B45" s="18" t="s">
        <v>94</v>
      </c>
      <c r="C45" s="9">
        <f>'Segment - International'!C73</f>
        <v>0.09878428293051789</v>
      </c>
      <c r="D45" s="9">
        <f>'Segment - International'!D73</f>
        <v>0.049907477957984225</v>
      </c>
      <c r="E45" s="9">
        <f>'Segment - International'!E73</f>
        <v>0.041308180769689784</v>
      </c>
      <c r="F45" s="9">
        <f>'Segment - International'!F73</f>
        <v>0.0711493977825639</v>
      </c>
      <c r="G45" s="9">
        <f>'Segment - International'!G73</f>
        <v>0.06513706362758676</v>
      </c>
      <c r="H45" s="9">
        <f>'Segment - International'!H73</f>
        <v>0.023004333051200865</v>
      </c>
      <c r="I45" s="9">
        <f>'Segment - International'!I73</f>
        <v>0.04546151487273842</v>
      </c>
      <c r="J45" s="77">
        <f>'Segment - International'!J73</f>
        <v>0.03801038007259683</v>
      </c>
      <c r="K45" s="1"/>
    </row>
    <row r="46">
      <c r="A46" s="1"/>
      <c r="B46" s="13" t="s">
        <v>100</v>
      </c>
      <c r="C46" s="51">
        <f>C32+C39</f>
        <v>1112.0559999999998</v>
      </c>
      <c r="D46" s="51">
        <f>D32+D39</f>
        <v>1145.144</v>
      </c>
      <c r="E46" s="51">
        <f>E32+E39</f>
        <v>1147.054</v>
      </c>
      <c r="F46" s="51">
        <f>F32+F39</f>
        <v>1535.74</v>
      </c>
      <c r="G46" s="51">
        <f>G32+G39</f>
        <v>4939.994</v>
      </c>
      <c r="H46" s="51">
        <f>H32+H39</f>
        <v>1150.594</v>
      </c>
      <c r="I46" s="51">
        <f>I32+I39</f>
        <v>1194.4270000000001</v>
      </c>
      <c r="J46" s="38">
        <f>J32+J39</f>
        <v>1173.4343397000493</v>
      </c>
      <c r="K46" s="1"/>
    </row>
    <row r="47">
      <c r="A47" s="1"/>
      <c r="B47" s="2" t="s">
        <v>101</v>
      </c>
      <c r="C47" s="3">
        <f>C33+C40</f>
        <v>1084.647</v>
      </c>
      <c r="D47" s="3">
        <f>D33+D40</f>
        <v>1097.7359999999999</v>
      </c>
      <c r="E47" s="3">
        <f>E33+E40</f>
        <v>1080.119</v>
      </c>
      <c r="F47" s="3">
        <f>F33+F40</f>
        <v>1443.914</v>
      </c>
      <c r="G47" s="3">
        <f>G33+G40</f>
        <v>4706.416</v>
      </c>
      <c r="H47" s="1"/>
      <c r="I47" s="1"/>
      <c r="J47" s="24"/>
      <c r="K47" s="1"/>
    </row>
    <row r="48">
      <c r="A48" s="1"/>
      <c r="B48" s="18" t="s">
        <v>89</v>
      </c>
      <c r="C48" s="12">
        <f>IFERROR(C46/C47-1,"n/a")</f>
        <v>0.025269972627038895</v>
      </c>
      <c r="D48" s="12">
        <f>IFERROR(D46/D47-1,"n/a")</f>
        <v>0.04318706865767363</v>
      </c>
      <c r="E48" s="12">
        <f>IFERROR(E46/E47-1,"n/a")</f>
        <v>0.06197002367331761</v>
      </c>
      <c r="F48" s="12">
        <f>IFERROR(F46/F47-1,"n/a")</f>
        <v>0.06359520026816012</v>
      </c>
      <c r="G48" s="12">
        <f>IFERROR(G46/G47-1,"n/a")</f>
        <v>0.04962969699236086</v>
      </c>
      <c r="H48" s="12">
        <f>IFERROR(H46/C46-1,"n/a")</f>
        <v>0.034654729617933144</v>
      </c>
      <c r="I48" s="12">
        <f>IFERROR(I46/D46-1,"n/a")</f>
        <v>0.04303650894559996</v>
      </c>
      <c r="J48" s="44">
        <f>IFERROR(J46/E46-1,"n/a")</f>
        <v>0.022998341577684434</v>
      </c>
      <c r="K48" s="1"/>
    </row>
    <row r="49" ht="27.75">
      <c r="A49" s="1"/>
      <c r="B49" s="154" t="s">
        <v>103</v>
      </c>
      <c r="C49" s="9">
        <f>'Revenue summary'!C63</f>
        <v>-0.0029502686127376005</v>
      </c>
      <c r="D49" s="9">
        <f>'Revenue summary'!D63</f>
        <v>-0.0001821931684849545</v>
      </c>
      <c r="E49" s="9">
        <f>'Revenue summary'!E63</f>
        <v>0.000740659131077224</v>
      </c>
      <c r="F49" s="9">
        <f>'Revenue summary'!F63</f>
        <v>0.001315867842544639</v>
      </c>
      <c r="G49" s="9">
        <f>'Revenue summary'!G63</f>
        <v>-0.00014873313366264268</v>
      </c>
      <c r="H49" s="9">
        <f>'Revenue summary'!H63</f>
        <v>0.0032372470451128366</v>
      </c>
      <c r="I49" s="9">
        <f>'Revenue summary'!I63</f>
        <v>0.0009605778836548068</v>
      </c>
      <c r="J49" s="77">
        <f>'Revenue summary'!J63</f>
        <v>-0.0007105480428919376</v>
      </c>
      <c r="K49" s="1"/>
    </row>
    <row r="50">
      <c r="A50" s="1"/>
      <c r="B50" s="18" t="s">
        <v>93</v>
      </c>
      <c r="C50" s="12" t="s">
        <v>81</v>
      </c>
      <c r="D50" s="12" t="s">
        <v>81</v>
      </c>
      <c r="E50" s="12" t="s">
        <v>81</v>
      </c>
      <c r="F50" s="12" t="s">
        <v>81</v>
      </c>
      <c r="G50" s="12" t="s">
        <v>81</v>
      </c>
      <c r="H50" s="12" t="s">
        <v>81</v>
      </c>
      <c r="I50" s="12" t="s">
        <v>81</v>
      </c>
      <c r="J50" s="44" t="s">
        <v>81</v>
      </c>
      <c r="K50" s="141" t="s">
        <v>97</v>
      </c>
    </row>
    <row r="51">
      <c r="A51" s="1"/>
      <c r="B51" s="18" t="s">
        <v>94</v>
      </c>
      <c r="C51" s="12" t="s">
        <v>81</v>
      </c>
      <c r="D51" s="12" t="s">
        <v>81</v>
      </c>
      <c r="E51" s="12" t="s">
        <v>81</v>
      </c>
      <c r="F51" s="12" t="s">
        <v>81</v>
      </c>
      <c r="G51" s="12" t="s">
        <v>81</v>
      </c>
      <c r="H51" s="12" t="s">
        <v>81</v>
      </c>
      <c r="I51" s="12" t="s">
        <v>81</v>
      </c>
      <c r="J51" s="44" t="s">
        <v>81</v>
      </c>
      <c r="K51" s="141" t="s">
        <v>98</v>
      </c>
    </row>
    <row r="52" ht="40.5">
      <c r="A52" s="1"/>
      <c r="B52" s="156" t="s">
        <v>680</v>
      </c>
      <c r="C52" s="79">
        <f>C46-'Income Statement'!C15</f>
        <v>0</v>
      </c>
      <c r="D52" s="79">
        <f>D46-'Income Statement'!D15</f>
        <v>0</v>
      </c>
      <c r="E52" s="79">
        <f>E46-'Income Statement'!E15</f>
        <v>0</v>
      </c>
      <c r="F52" s="79">
        <f>F46-'Income Statement'!F15</f>
        <v>0</v>
      </c>
      <c r="G52" s="79">
        <f>G46-'Income Statement'!G15</f>
        <v>0</v>
      </c>
      <c r="H52" s="79">
        <f>H46-'Income Statement'!H15</f>
        <v>0</v>
      </c>
      <c r="I52" s="79">
        <f>I46-'Income Statement'!I15</f>
        <v>0</v>
      </c>
      <c r="J52" s="87">
        <f>J46-'Income Statement'!J15</f>
        <v>0</v>
      </c>
      <c r="K52" s="1"/>
    </row>
    <row r="53">
      <c r="A53" s="1"/>
      <c r="B53" s="1"/>
      <c r="C53" s="1"/>
      <c r="D53" s="1"/>
      <c r="E53" s="1"/>
      <c r="F53" s="1"/>
      <c r="G53" s="1"/>
      <c r="H53" s="1"/>
      <c r="I53" s="1"/>
      <c r="J53" s="24"/>
      <c r="K53" s="1"/>
    </row>
    <row r="54">
      <c r="A54" s="1"/>
      <c r="B54" s="1"/>
      <c r="C54" s="1"/>
      <c r="D54" s="1"/>
      <c r="E54" s="1"/>
      <c r="F54" s="1"/>
      <c r="G54" s="1"/>
      <c r="H54" s="1"/>
      <c r="I54" s="1"/>
      <c r="J54" s="1"/>
      <c r="K54" s="1"/>
    </row>
    <row r="55">
      <c r="A55" s="1"/>
      <c r="B55" s="1"/>
      <c r="C55" s="1"/>
      <c r="D55" s="1"/>
      <c r="E55" s="1"/>
      <c r="F55" s="1"/>
      <c r="G55" s="1"/>
      <c r="H55" s="1"/>
      <c r="I55" s="1"/>
      <c r="J55" s="1"/>
      <c r="K55" s="1"/>
    </row>
  </sheetData>
  <legacyDrawing r:id="rId2"/>
</worksheet>
</file>

<file path=xl/worksheets/sheet10.xml><?xml version="1.0" encoding="utf-8"?>
<worksheet xmlns="http://schemas.openxmlformats.org/spreadsheetml/2006/main" xmlns:r="http://schemas.openxmlformats.org/officeDocument/2006/relationships">
  <dimension ref="A1:K47"/>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681</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
      <c r="C8" s="1"/>
      <c r="D8" s="1"/>
      <c r="E8" s="1"/>
      <c r="F8" s="1"/>
      <c r="G8" s="1"/>
      <c r="H8" s="1"/>
      <c r="I8" s="1"/>
      <c r="J8" s="24"/>
      <c r="K8" s="1"/>
    </row>
    <row r="9">
      <c r="A9" s="1"/>
      <c r="B9" s="7" t="s">
        <v>682</v>
      </c>
      <c r="C9" s="1"/>
      <c r="D9" s="1"/>
      <c r="E9" s="1"/>
      <c r="F9" s="1"/>
      <c r="G9" s="1"/>
      <c r="H9" s="1"/>
      <c r="I9" s="1"/>
      <c r="J9" s="24"/>
      <c r="K9" s="1"/>
    </row>
    <row r="10" ht="27.75">
      <c r="A10" s="1"/>
      <c r="B10" s="144" t="s">
        <v>683</v>
      </c>
      <c r="C10" s="91">
        <v>34.281927</v>
      </c>
      <c r="D10" s="88">
        <f>C17</f>
        <v>34.230813</v>
      </c>
      <c r="E10" s="88">
        <f>D17</f>
        <v>33.937222</v>
      </c>
      <c r="F10" s="88">
        <f>E17</f>
        <v>33.785145</v>
      </c>
      <c r="G10" s="88">
        <f>C10</f>
        <v>34.281927</v>
      </c>
      <c r="H10" s="88">
        <f>F17</f>
        <v>33.627992</v>
      </c>
      <c r="I10" s="88">
        <f>H17</f>
        <v>33.503323</v>
      </c>
      <c r="J10" s="97">
        <f>I17</f>
        <v>33.068844999999996</v>
      </c>
      <c r="K10" s="141" t="s">
        <v>600</v>
      </c>
    </row>
    <row r="11">
      <c r="A11" s="1"/>
      <c r="B11" s="2" t="s">
        <v>684</v>
      </c>
      <c r="C11" s="91">
        <v>-0.11528</v>
      </c>
      <c r="D11" s="91">
        <v>-0.315696</v>
      </c>
      <c r="E11" s="91">
        <v>-0.16577799999999998</v>
      </c>
      <c r="F11" s="88" t="s">
        <v>81</v>
      </c>
      <c r="G11" s="88" t="s">
        <v>81</v>
      </c>
      <c r="H11" s="91">
        <v>-0.188304</v>
      </c>
      <c r="I11" s="91">
        <v>-0.443917</v>
      </c>
      <c r="J11" s="97">
        <f>-J33/J34</f>
        <v>-0.3125</v>
      </c>
      <c r="K11" s="141" t="s">
        <v>685</v>
      </c>
    </row>
    <row r="12" ht="27.75">
      <c r="A12" s="1"/>
      <c r="B12" s="144" t="s">
        <v>686</v>
      </c>
      <c r="C12" s="88">
        <f>C17-C10-C11</f>
        <v>0.06416599999999456</v>
      </c>
      <c r="D12" s="88">
        <f>D17-D10-D11</f>
        <v>0.022105000000000707</v>
      </c>
      <c r="E12" s="88">
        <f>E17-E10-E11</f>
        <v>0.013701000000001518</v>
      </c>
      <c r="F12" s="88" t="s">
        <v>81</v>
      </c>
      <c r="G12" s="88" t="s">
        <v>81</v>
      </c>
      <c r="H12" s="88">
        <f>H17-H10-H11</f>
        <v>0.06363500000000274</v>
      </c>
      <c r="I12" s="88">
        <f>I17-I10-I11</f>
        <v>0.009438999999994313</v>
      </c>
      <c r="J12" s="97">
        <f>J20-I17</f>
        <v>0.012890000000005841</v>
      </c>
      <c r="K12" s="141" t="s">
        <v>687</v>
      </c>
    </row>
    <row r="13" ht="27.75">
      <c r="A13" s="1"/>
      <c r="B13" s="154" t="s">
        <v>688</v>
      </c>
      <c r="C13" s="90" t="s">
        <v>76</v>
      </c>
      <c r="D13" s="90" t="s">
        <v>76</v>
      </c>
      <c r="E13" s="90" t="s">
        <v>76</v>
      </c>
      <c r="F13" s="90" t="s">
        <v>76</v>
      </c>
      <c r="G13" s="90" t="s">
        <v>76</v>
      </c>
      <c r="H13" s="90">
        <f>H11-C11</f>
        <v>-0.073024</v>
      </c>
      <c r="I13" s="90">
        <f>I11-D11</f>
        <v>-0.12822100000000003</v>
      </c>
      <c r="J13" s="95">
        <f>J11-E11</f>
        <v>-0.14672200000000002</v>
      </c>
      <c r="K13" s="1"/>
    </row>
    <row r="14" ht="27.75">
      <c r="A14" s="1"/>
      <c r="B14" s="154" t="s">
        <v>689</v>
      </c>
      <c r="C14" s="90" t="s">
        <v>76</v>
      </c>
      <c r="D14" s="90">
        <f>IFERROR(D11-C11,"n/a")</f>
        <v>-0.20041599999999998</v>
      </c>
      <c r="E14" s="90">
        <f>IFERROR(E11-D11,"n/a")</f>
        <v>0.149918</v>
      </c>
      <c r="F14" s="90" t="str">
        <f>IFERROR(F11-E11,"n/a")</f>
        <v>n/a</v>
      </c>
      <c r="G14" s="90" t="s">
        <v>76</v>
      </c>
      <c r="H14" s="90" t="str">
        <f>IFERROR(H11-F11,"n/a")</f>
        <v>n/a</v>
      </c>
      <c r="I14" s="90">
        <f>IFERROR(I11-H11,"n/a")</f>
        <v>-0.255613</v>
      </c>
      <c r="J14" s="95">
        <f>IFERROR(J11-I11,"n/a")</f>
        <v>0.131417</v>
      </c>
      <c r="K14" s="1"/>
    </row>
    <row r="15">
      <c r="A15" s="1"/>
      <c r="B15" s="18" t="s">
        <v>690</v>
      </c>
      <c r="C15" s="90" t="s">
        <v>76</v>
      </c>
      <c r="D15" s="90" t="s">
        <v>76</v>
      </c>
      <c r="E15" s="90" t="s">
        <v>76</v>
      </c>
      <c r="F15" s="90" t="s">
        <v>76</v>
      </c>
      <c r="G15" s="90" t="s">
        <v>76</v>
      </c>
      <c r="H15" s="90">
        <f>IFERROR(H12-C12,"n/a")</f>
        <v>-0.0005309999999918158</v>
      </c>
      <c r="I15" s="90">
        <f>IFERROR(I12-D12,"n/a")</f>
        <v>-0.012666000000006394</v>
      </c>
      <c r="J15" s="95">
        <f>IFERROR(J12-E12,"n/a")</f>
        <v>-0.0008109999999956763</v>
      </c>
      <c r="K15" s="1"/>
    </row>
    <row r="16" ht="27.75">
      <c r="A16" s="1"/>
      <c r="B16" s="154" t="s">
        <v>691</v>
      </c>
      <c r="C16" s="90" t="s">
        <v>76</v>
      </c>
      <c r="D16" s="90">
        <f>IFERROR(D12-C12,"n/a")</f>
        <v>-0.04206099999999385</v>
      </c>
      <c r="E16" s="90">
        <f>IFERROR(E12-D12,"n/a")</f>
        <v>-0.00840399999999919</v>
      </c>
      <c r="F16" s="90" t="str">
        <f>IFERROR(F12-E12,"n/a")</f>
        <v>n/a</v>
      </c>
      <c r="G16" s="90" t="s">
        <v>76</v>
      </c>
      <c r="H16" s="90" t="str">
        <f>IFERROR(H12-F12,"n/a")</f>
        <v>n/a</v>
      </c>
      <c r="I16" s="90">
        <f>IFERROR(I12-H12,"n/a")</f>
        <v>-0.05419600000000843</v>
      </c>
      <c r="J16" s="95">
        <f>IFERROR(J12-I12,"n/a")</f>
        <v>0.003451000000011528</v>
      </c>
      <c r="K16" s="1"/>
    </row>
    <row r="17">
      <c r="A17" s="1"/>
      <c r="B17" s="74" t="s">
        <v>692</v>
      </c>
      <c r="C17" s="92">
        <v>34.230813</v>
      </c>
      <c r="D17" s="92">
        <v>33.937222</v>
      </c>
      <c r="E17" s="92">
        <v>33.785145</v>
      </c>
      <c r="F17" s="92">
        <v>33.627992</v>
      </c>
      <c r="G17" s="119">
        <f>F17</f>
        <v>33.627992</v>
      </c>
      <c r="H17" s="92">
        <v>33.503323</v>
      </c>
      <c r="I17" s="92">
        <v>33.068844999999996</v>
      </c>
      <c r="J17" s="112">
        <f>J10+J11+J12</f>
        <v>32.769235</v>
      </c>
      <c r="K17" s="141" t="s">
        <v>108</v>
      </c>
    </row>
    <row r="18">
      <c r="A18" s="1"/>
      <c r="B18" s="18" t="s">
        <v>693</v>
      </c>
      <c r="C18" s="90">
        <f>C17-C10</f>
        <v>-0.05111400000000543</v>
      </c>
      <c r="D18" s="90">
        <f>D17-D10</f>
        <v>-0.29359099999999927</v>
      </c>
      <c r="E18" s="90">
        <f>E17-E10</f>
        <v>-0.15207699999999846</v>
      </c>
      <c r="F18" s="90">
        <f>F17-F10</f>
        <v>-0.157153000000001</v>
      </c>
      <c r="G18" s="90">
        <f>G17-G10</f>
        <v>-0.6539350000000042</v>
      </c>
      <c r="H18" s="90">
        <f>H17-H10</f>
        <v>-0.12466899999999725</v>
      </c>
      <c r="I18" s="90">
        <f>I17-I10</f>
        <v>-0.4344780000000057</v>
      </c>
      <c r="J18" s="95">
        <f>J17-J10</f>
        <v>-0.29960999999999416</v>
      </c>
      <c r="K18" s="1"/>
    </row>
    <row r="19">
      <c r="A19" s="1"/>
      <c r="B19" s="18" t="s">
        <v>694</v>
      </c>
      <c r="C19" s="12" t="s">
        <v>76</v>
      </c>
      <c r="D19" s="12" t="s">
        <v>76</v>
      </c>
      <c r="E19" s="12" t="s">
        <v>76</v>
      </c>
      <c r="F19" s="12" t="s">
        <v>76</v>
      </c>
      <c r="G19" s="12" t="s">
        <v>76</v>
      </c>
      <c r="H19" s="12">
        <f>IFERROR(H17/C17-1,"n/a")</f>
        <v>-0.021252489679400743</v>
      </c>
      <c r="I19" s="12">
        <f>IFERROR(I17/D17-1,"n/a")</f>
        <v>-0.025587745514350058</v>
      </c>
      <c r="J19" s="44">
        <f>IFERROR(J17/E17-1,"n/a")</f>
        <v>-0.030069724430663136</v>
      </c>
      <c r="K19" s="1"/>
    </row>
    <row r="20" ht="27.75">
      <c r="A20" s="1"/>
      <c r="B20" s="144" t="s">
        <v>695</v>
      </c>
      <c r="C20" s="1"/>
      <c r="D20" s="1"/>
      <c r="E20" s="1"/>
      <c r="F20" s="1"/>
      <c r="G20" s="1"/>
      <c r="H20" s="1"/>
      <c r="I20" s="1"/>
      <c r="J20" s="117">
        <v>33.081735</v>
      </c>
      <c r="K20" s="141" t="s">
        <v>696</v>
      </c>
    </row>
    <row r="21">
      <c r="A21" s="1"/>
      <c r="B21" s="7" t="s">
        <v>697</v>
      </c>
      <c r="C21" s="1"/>
      <c r="D21" s="1"/>
      <c r="E21" s="1"/>
      <c r="F21" s="1"/>
      <c r="G21" s="1"/>
      <c r="H21" s="1"/>
      <c r="I21" s="1"/>
      <c r="J21" s="24"/>
      <c r="K21" s="1"/>
    </row>
    <row r="22">
      <c r="A22" s="1"/>
      <c r="B22" s="2" t="s">
        <v>698</v>
      </c>
      <c r="C22" s="91">
        <v>34.284051999999996</v>
      </c>
      <c r="D22" s="91">
        <v>34.163399</v>
      </c>
      <c r="E22" s="91">
        <v>33.919706</v>
      </c>
      <c r="F22" s="88">
        <f>(G22*G7-E25*(C7+D7+E7))/F7</f>
        <v>33.747614500000005</v>
      </c>
      <c r="G22" s="91">
        <v>34.007071</v>
      </c>
      <c r="H22" s="91">
        <v>33.609349</v>
      </c>
      <c r="I22" s="91">
        <v>33.221944</v>
      </c>
      <c r="J22" s="97">
        <f>J10+J12+J11*J39</f>
        <v>32.925485</v>
      </c>
      <c r="K22" s="141" t="s">
        <v>699</v>
      </c>
    </row>
    <row r="23">
      <c r="A23" s="1"/>
      <c r="B23" s="18" t="s">
        <v>700</v>
      </c>
      <c r="C23" s="12" t="s">
        <v>76</v>
      </c>
      <c r="D23" s="12" t="s">
        <v>76</v>
      </c>
      <c r="E23" s="12" t="s">
        <v>76</v>
      </c>
      <c r="F23" s="12" t="s">
        <v>76</v>
      </c>
      <c r="G23" s="12" t="s">
        <v>76</v>
      </c>
      <c r="H23" s="12">
        <f>IFERROR(H22/C22-1,"n/a")</f>
        <v>-0.019679791641897926</v>
      </c>
      <c r="I23" s="12">
        <f>IFERROR(I22/D22-1,"n/a")</f>
        <v>-0.027557416052190753</v>
      </c>
      <c r="J23" s="44">
        <f>IFERROR(J22/E22-1,"n/a")</f>
        <v>-0.029311014665044488</v>
      </c>
      <c r="K23" s="1"/>
    </row>
    <row r="24" ht="27.75">
      <c r="A24" s="1"/>
      <c r="B24" s="154" t="s">
        <v>701</v>
      </c>
      <c r="C24" s="90" t="s">
        <v>76</v>
      </c>
      <c r="D24" s="90">
        <f>D22-C22</f>
        <v>-0.12065299999999723</v>
      </c>
      <c r="E24" s="90">
        <f>E22-D22</f>
        <v>-0.24369300000000038</v>
      </c>
      <c r="F24" s="90">
        <f>F22-E22</f>
        <v>-0.1720914999999934</v>
      </c>
      <c r="G24" s="90" t="s">
        <v>76</v>
      </c>
      <c r="H24" s="90">
        <f>H22-F22</f>
        <v>-0.13826550000000282</v>
      </c>
      <c r="I24" s="90">
        <f>I22-H22</f>
        <v>-0.3874050000000011</v>
      </c>
      <c r="J24" s="95">
        <f>J22-I22</f>
        <v>-0.2964589999999987</v>
      </c>
      <c r="K24" s="1"/>
    </row>
    <row r="25" ht="27.75">
      <c r="A25" s="1"/>
      <c r="B25" s="155" t="s">
        <v>702</v>
      </c>
      <c r="C25" s="1"/>
      <c r="D25" s="1"/>
      <c r="E25" s="91">
        <v>34.122385</v>
      </c>
      <c r="F25" s="1"/>
      <c r="G25" s="1"/>
      <c r="H25" s="1"/>
      <c r="I25" s="1"/>
      <c r="J25" s="24"/>
      <c r="K25" s="141" t="s">
        <v>703</v>
      </c>
    </row>
    <row r="26">
      <c r="A26" s="1"/>
      <c r="B26" s="2" t="s">
        <v>704</v>
      </c>
      <c r="C26" s="88">
        <f>C29-C22</f>
        <v>0.2697680000000062</v>
      </c>
      <c r="D26" s="88">
        <f>D29-D22</f>
        <v>0.2376170000000002</v>
      </c>
      <c r="E26" s="88">
        <f>E29-E22</f>
        <v>0.22671199999999914</v>
      </c>
      <c r="F26" s="88">
        <f>F29-F22</f>
        <v>0.21083449999999715</v>
      </c>
      <c r="G26" s="88">
        <f>G29-G22</f>
        <v>0.23057499999999465</v>
      </c>
      <c r="H26" s="88">
        <f>H29-H22</f>
        <v>0.2056789999999964</v>
      </c>
      <c r="I26" s="88">
        <f>I29-I22</f>
        <v>0.09629999999999939</v>
      </c>
      <c r="J26" s="117">
        <v>0.085</v>
      </c>
      <c r="K26" s="141" t="s">
        <v>705</v>
      </c>
    </row>
    <row r="27" ht="27.75">
      <c r="A27" s="1"/>
      <c r="B27" s="154" t="s">
        <v>706</v>
      </c>
      <c r="C27" s="90" t="s">
        <v>76</v>
      </c>
      <c r="D27" s="90" t="s">
        <v>76</v>
      </c>
      <c r="E27" s="90" t="s">
        <v>76</v>
      </c>
      <c r="F27" s="90" t="s">
        <v>76</v>
      </c>
      <c r="G27" s="90" t="s">
        <v>76</v>
      </c>
      <c r="H27" s="90">
        <f>H26-C26</f>
        <v>-0.06408900000000983</v>
      </c>
      <c r="I27" s="90">
        <f>I26-D26</f>
        <v>-0.1413170000000008</v>
      </c>
      <c r="J27" s="95">
        <f>J26-E26</f>
        <v>-0.14171199999999912</v>
      </c>
      <c r="K27" s="1"/>
    </row>
    <row r="28" ht="27.75">
      <c r="A28" s="1"/>
      <c r="B28" s="154" t="s">
        <v>707</v>
      </c>
      <c r="C28" s="90" t="s">
        <v>76</v>
      </c>
      <c r="D28" s="90">
        <f>D26-C26</f>
        <v>-0.032151000000006036</v>
      </c>
      <c r="E28" s="90">
        <f>E26-D26</f>
        <v>-0.010905000000001053</v>
      </c>
      <c r="F28" s="90">
        <f>F26-E26</f>
        <v>-0.015877500000001987</v>
      </c>
      <c r="G28" s="90" t="s">
        <v>76</v>
      </c>
      <c r="H28" s="90">
        <f>H26-F26</f>
        <v>-0.005155500000000757</v>
      </c>
      <c r="I28" s="90">
        <f>I26-H26</f>
        <v>-0.109378999999997</v>
      </c>
      <c r="J28" s="95">
        <f>J26-I26</f>
        <v>-0.01129999999999938</v>
      </c>
      <c r="K28" s="1"/>
    </row>
    <row r="29" ht="27.75">
      <c r="A29" s="1"/>
      <c r="B29" s="143" t="s">
        <v>708</v>
      </c>
      <c r="C29" s="92">
        <v>34.55382</v>
      </c>
      <c r="D29" s="92">
        <v>34.401016</v>
      </c>
      <c r="E29" s="92">
        <v>34.146418</v>
      </c>
      <c r="F29" s="92">
        <v>33.958449</v>
      </c>
      <c r="G29" s="92">
        <v>34.237646</v>
      </c>
      <c r="H29" s="92">
        <v>33.815028</v>
      </c>
      <c r="I29" s="92">
        <v>33.318244</v>
      </c>
      <c r="J29" s="112">
        <f>J22+J26</f>
        <v>33.010485</v>
      </c>
      <c r="K29" s="141" t="s">
        <v>709</v>
      </c>
    </row>
    <row r="30">
      <c r="A30" s="1"/>
      <c r="B30" s="18" t="s">
        <v>710</v>
      </c>
      <c r="C30" s="12" t="s">
        <v>76</v>
      </c>
      <c r="D30" s="12" t="s">
        <v>76</v>
      </c>
      <c r="E30" s="12" t="s">
        <v>76</v>
      </c>
      <c r="F30" s="12" t="s">
        <v>76</v>
      </c>
      <c r="G30" s="12" t="s">
        <v>76</v>
      </c>
      <c r="H30" s="12">
        <f>IFERROR(H29/C29-1,"n/a")</f>
        <v>-0.02138090665518322</v>
      </c>
      <c r="I30" s="12">
        <f>IFERROR(I29/D29-1,"n/a")</f>
        <v>-0.031475000622074645</v>
      </c>
      <c r="J30" s="44">
        <f>IFERROR(J29/E29-1,"n/a")</f>
        <v>-0.03326653472115271</v>
      </c>
      <c r="K30" s="1"/>
    </row>
    <row r="31" ht="27.75">
      <c r="A31" s="1"/>
      <c r="B31" s="154" t="s">
        <v>711</v>
      </c>
      <c r="C31" s="90" t="s">
        <v>76</v>
      </c>
      <c r="D31" s="90">
        <f>D29-C29</f>
        <v>-0.15280400000000327</v>
      </c>
      <c r="E31" s="90">
        <f>E29-D29</f>
        <v>-0.25459800000000143</v>
      </c>
      <c r="F31" s="90">
        <f>F29-E29</f>
        <v>-0.1879689999999954</v>
      </c>
      <c r="G31" s="90" t="s">
        <v>76</v>
      </c>
      <c r="H31" s="90">
        <f>H29-F29</f>
        <v>-0.14342100000000357</v>
      </c>
      <c r="I31" s="90">
        <f>I29-H29</f>
        <v>-0.4967839999999981</v>
      </c>
      <c r="J31" s="95">
        <f>J29-I29</f>
        <v>-0.30775899999999723</v>
      </c>
      <c r="K31" s="1"/>
    </row>
    <row r="32">
      <c r="A32" s="1"/>
      <c r="B32" s="7" t="s">
        <v>712</v>
      </c>
      <c r="C32" s="1"/>
      <c r="D32" s="1"/>
      <c r="E32" s="1"/>
      <c r="F32" s="1"/>
      <c r="G32" s="1"/>
      <c r="H32" s="1"/>
      <c r="I32" s="1"/>
      <c r="J32" s="24"/>
      <c r="K32" s="1"/>
    </row>
    <row r="33">
      <c r="A33" s="1"/>
      <c r="B33" s="2" t="s">
        <v>713</v>
      </c>
      <c r="C33" s="27">
        <f>-'Cash Flow Statement'!C52</f>
        <v>50</v>
      </c>
      <c r="D33" s="27">
        <f>-'Cash Flow Statement'!D52</f>
        <v>153.041</v>
      </c>
      <c r="E33" s="27">
        <f>-'Cash Flow Statement'!E52</f>
        <v>74.65699999999998</v>
      </c>
      <c r="F33" s="27">
        <f>-'Cash Flow Statement'!F52</f>
        <v>79.99900000000002</v>
      </c>
      <c r="G33" s="27">
        <f>-'Cash Flow Statement'!G52</f>
        <v>357.697</v>
      </c>
      <c r="H33" s="27">
        <f>-'Cash Flow Statement'!H52</f>
        <v>75.098</v>
      </c>
      <c r="I33" s="27">
        <f>-'Cash Flow Statement'!I52</f>
        <v>159.51800000000003</v>
      </c>
      <c r="J33" s="104">
        <v>100</v>
      </c>
      <c r="K33" s="141" t="s">
        <v>714</v>
      </c>
    </row>
    <row r="34" ht="40.5">
      <c r="A34" s="1"/>
      <c r="B34" s="144" t="s">
        <v>715</v>
      </c>
      <c r="C34" s="96">
        <f>IFERROR(C33/-C11,"n/a")</f>
        <v>433.7265787647467</v>
      </c>
      <c r="D34" s="96">
        <f>IFERROR(D33/-D11,"n/a")</f>
        <v>484.77332623789977</v>
      </c>
      <c r="E34" s="96">
        <f>IFERROR(E33/-E11,"n/a")</f>
        <v>450.34323010290865</v>
      </c>
      <c r="F34" s="96" t="s">
        <v>76</v>
      </c>
      <c r="G34" s="96" t="s">
        <v>76</v>
      </c>
      <c r="H34" s="96">
        <f>IFERROR(H33/-H11,"n/a")</f>
        <v>398.8125584161781</v>
      </c>
      <c r="I34" s="96">
        <f>IFERROR(I33/-I11,"n/a")</f>
        <v>359.3419490580447</v>
      </c>
      <c r="J34" s="93">
        <v>320</v>
      </c>
      <c r="K34" s="141" t="s">
        <v>716</v>
      </c>
    </row>
    <row r="35">
      <c r="A35" s="1"/>
      <c r="B35" s="18" t="s">
        <v>717</v>
      </c>
      <c r="C35" s="37" t="s">
        <v>76</v>
      </c>
      <c r="D35" s="37" t="s">
        <v>76</v>
      </c>
      <c r="E35" s="37" t="s">
        <v>76</v>
      </c>
      <c r="F35" s="37" t="s">
        <v>76</v>
      </c>
      <c r="G35" s="37" t="s">
        <v>76</v>
      </c>
      <c r="H35" s="37">
        <f>H33-C33</f>
        <v>25.098</v>
      </c>
      <c r="I35" s="37">
        <f>I33-D33</f>
        <v>6.477000000000032</v>
      </c>
      <c r="J35" s="63">
        <f>J33-E33</f>
        <v>25.343000000000018</v>
      </c>
      <c r="K35" s="1"/>
    </row>
    <row r="36" ht="27.75">
      <c r="A36" s="1"/>
      <c r="B36" s="154" t="s">
        <v>718</v>
      </c>
      <c r="C36" s="37" t="s">
        <v>76</v>
      </c>
      <c r="D36" s="37">
        <f>D33-C33</f>
        <v>103.041</v>
      </c>
      <c r="E36" s="37">
        <f>E33-D33</f>
        <v>-78.38400000000001</v>
      </c>
      <c r="F36" s="37">
        <f>F33-E33</f>
        <v>5.342000000000041</v>
      </c>
      <c r="G36" s="37" t="s">
        <v>76</v>
      </c>
      <c r="H36" s="37">
        <f>H33-F33</f>
        <v>-4.901000000000025</v>
      </c>
      <c r="I36" s="37">
        <f>I33-H33</f>
        <v>84.42000000000003</v>
      </c>
      <c r="J36" s="63">
        <f>J33-I33</f>
        <v>-59.51800000000003</v>
      </c>
      <c r="K36" s="1"/>
    </row>
    <row r="37">
      <c r="A37" s="1"/>
      <c r="B37" s="18" t="s">
        <v>719</v>
      </c>
      <c r="C37" s="12" t="s">
        <v>76</v>
      </c>
      <c r="D37" s="12" t="s">
        <v>76</v>
      </c>
      <c r="E37" s="12" t="s">
        <v>76</v>
      </c>
      <c r="F37" s="12" t="s">
        <v>76</v>
      </c>
      <c r="G37" s="12" t="s">
        <v>76</v>
      </c>
      <c r="H37" s="12">
        <f>IFERROR(H34/C34-1,"n/a")</f>
        <v>-0.08049776531565977</v>
      </c>
      <c r="I37" s="12">
        <f>IFERROR(I34/D34-1,"n/a")</f>
        <v>-0.2587423242802356</v>
      </c>
      <c r="J37" s="44">
        <f>IFERROR(J34/E34-1,"n/a")</f>
        <v>-0.2894308638171905</v>
      </c>
      <c r="K37" s="1"/>
    </row>
    <row r="38" ht="27.75">
      <c r="A38" s="1"/>
      <c r="B38" s="154" t="s">
        <v>720</v>
      </c>
      <c r="C38" s="89" t="s">
        <v>76</v>
      </c>
      <c r="D38" s="89">
        <f>IFERROR(D34-C34,"n/a")</f>
        <v>51.04674747315306</v>
      </c>
      <c r="E38" s="89">
        <f>IFERROR(E34-D34,"n/a")</f>
        <v>-34.43009613499112</v>
      </c>
      <c r="F38" s="89" t="str">
        <f>IFERROR(F34-E34,"n/a")</f>
        <v>n/a</v>
      </c>
      <c r="G38" s="89" t="s">
        <v>76</v>
      </c>
      <c r="H38" s="89" t="str">
        <f>IFERROR(H34-F34,"n/a")</f>
        <v>n/a</v>
      </c>
      <c r="I38" s="89">
        <f>IFERROR(I34-H34,"n/a")</f>
        <v>-39.4706093581334</v>
      </c>
      <c r="J38" s="94">
        <f>IFERROR(J34-I34,"n/a")</f>
        <v>-39.34194905804469</v>
      </c>
      <c r="K38" s="1"/>
    </row>
    <row r="39" ht="53.25">
      <c r="A39" s="1"/>
      <c r="B39" s="140" t="s">
        <v>721</v>
      </c>
      <c r="C39" s="1"/>
      <c r="D39" s="1"/>
      <c r="E39" s="1"/>
      <c r="F39" s="1"/>
      <c r="G39" s="1"/>
      <c r="H39" s="1"/>
      <c r="I39" s="1"/>
      <c r="J39" s="66">
        <v>0.5</v>
      </c>
      <c r="K39" s="141" t="s">
        <v>722</v>
      </c>
    </row>
    <row r="40" ht="52.5">
      <c r="A40" s="1"/>
      <c r="B40" s="2" t="s">
        <v>723</v>
      </c>
      <c r="C40" s="99">
        <v>1.74</v>
      </c>
      <c r="D40" s="99">
        <v>1.74</v>
      </c>
      <c r="E40" s="99">
        <v>1.74</v>
      </c>
      <c r="F40" s="96" t="s">
        <v>724</v>
      </c>
      <c r="G40" s="96" t="s">
        <v>724</v>
      </c>
      <c r="H40" s="99">
        <v>1.99</v>
      </c>
      <c r="I40" s="99">
        <v>1.99</v>
      </c>
      <c r="J40" s="93">
        <v>1.99</v>
      </c>
      <c r="K40" s="141" t="s">
        <v>725</v>
      </c>
    </row>
    <row r="41">
      <c r="A41" s="1"/>
      <c r="B41" s="18" t="s">
        <v>726</v>
      </c>
      <c r="C41" s="12" t="s">
        <v>76</v>
      </c>
      <c r="D41" s="12" t="s">
        <v>76</v>
      </c>
      <c r="E41" s="12" t="s">
        <v>76</v>
      </c>
      <c r="F41" s="12" t="s">
        <v>76</v>
      </c>
      <c r="G41" s="12" t="s">
        <v>76</v>
      </c>
      <c r="H41" s="12">
        <f>IFERROR(H40/C40-1,"n/a")</f>
        <v>0.14367816091954033</v>
      </c>
      <c r="I41" s="12">
        <f>IFERROR(I40/D40-1,"n/a")</f>
        <v>0.14367816091954033</v>
      </c>
      <c r="J41" s="44">
        <f>IFERROR(J40/E40-1,"n/a")</f>
        <v>0.14367816091954033</v>
      </c>
      <c r="K41" s="1"/>
    </row>
    <row r="42" ht="27.75">
      <c r="A42" s="1"/>
      <c r="B42" s="154" t="s">
        <v>727</v>
      </c>
      <c r="C42" s="89" t="s">
        <v>76</v>
      </c>
      <c r="D42" s="89">
        <f>IFERROR(D40-C40,"n/a")</f>
        <v>0</v>
      </c>
      <c r="E42" s="89">
        <f>IFERROR(E40-D40,"n/a")</f>
        <v>0</v>
      </c>
      <c r="F42" s="89" t="str">
        <f>IFERROR(F40-E40,"n/a")</f>
        <v>n/a</v>
      </c>
      <c r="G42" s="89" t="s">
        <v>76</v>
      </c>
      <c r="H42" s="89" t="str">
        <f>IFERROR(H40-F40,"n/a")</f>
        <v>n/a</v>
      </c>
      <c r="I42" s="89">
        <f>IFERROR(I40-H40,"n/a")</f>
        <v>0</v>
      </c>
      <c r="J42" s="94">
        <f>IFERROR(J40-I40,"n/a")</f>
        <v>0</v>
      </c>
      <c r="K42" s="1"/>
    </row>
    <row r="43" ht="52.5">
      <c r="A43" s="1"/>
      <c r="B43" s="2" t="s">
        <v>728</v>
      </c>
      <c r="C43" s="20">
        <v>59.8</v>
      </c>
      <c r="D43" s="20">
        <v>59.457</v>
      </c>
      <c r="E43" s="20">
        <v>59.184000000000005</v>
      </c>
      <c r="F43" s="3" t="s">
        <v>724</v>
      </c>
      <c r="G43" s="3" t="s">
        <v>724</v>
      </c>
      <c r="H43" s="20">
        <v>67.278</v>
      </c>
      <c r="I43" s="20">
        <v>66.162</v>
      </c>
      <c r="J43" s="40">
        <f>J40*J20</f>
        <v>65.83265265</v>
      </c>
      <c r="K43" s="141" t="s">
        <v>729</v>
      </c>
    </row>
    <row r="44" ht="27.75">
      <c r="A44" s="1"/>
      <c r="B44" s="143" t="s">
        <v>730</v>
      </c>
      <c r="C44" s="1"/>
      <c r="D44" s="1"/>
      <c r="E44" s="1"/>
      <c r="F44" s="1"/>
      <c r="G44" s="1"/>
      <c r="H44" s="1"/>
      <c r="I44" s="1"/>
      <c r="J44" s="112">
        <f>J29</f>
        <v>33.010485</v>
      </c>
      <c r="K44" s="1"/>
    </row>
    <row r="45">
      <c r="A45" s="1"/>
      <c r="B45" s="1"/>
      <c r="C45" s="1"/>
      <c r="D45" s="1"/>
      <c r="E45" s="1"/>
      <c r="F45" s="1"/>
      <c r="G45" s="1"/>
      <c r="H45" s="1"/>
      <c r="I45" s="1"/>
      <c r="J45" s="24"/>
      <c r="K45" s="1"/>
    </row>
    <row r="46">
      <c r="A46" s="1"/>
      <c r="B46" s="1"/>
      <c r="C46" s="1"/>
      <c r="D46" s="1"/>
      <c r="E46" s="1"/>
      <c r="F46" s="1"/>
      <c r="G46" s="1"/>
      <c r="H46" s="1"/>
      <c r="I46" s="1"/>
      <c r="J46" s="1"/>
      <c r="K46" s="1"/>
    </row>
    <row r="47">
      <c r="A47" s="1"/>
      <c r="B47" s="1"/>
      <c r="C47" s="1"/>
      <c r="D47" s="1"/>
      <c r="E47" s="1"/>
      <c r="F47" s="1"/>
      <c r="G47" s="1"/>
      <c r="H47" s="1"/>
      <c r="I47" s="1"/>
      <c r="J47" s="1"/>
      <c r="K47" s="1"/>
    </row>
  </sheetData>
  <legacyDrawing r:id="rId2"/>
</worksheet>
</file>

<file path=xl/worksheets/sheet11.xml><?xml version="1.0" encoding="utf-8"?>
<worksheet xmlns="http://schemas.openxmlformats.org/spreadsheetml/2006/main" xmlns:r="http://schemas.openxmlformats.org/officeDocument/2006/relationships">
  <dimension ref="A1:K41"/>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731</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31" t="s">
        <v>732</v>
      </c>
      <c r="C8" s="1"/>
      <c r="D8" s="1"/>
      <c r="E8" s="1"/>
      <c r="F8" s="1"/>
      <c r="G8" s="1"/>
      <c r="H8" s="1"/>
      <c r="I8" s="1"/>
      <c r="J8" s="1"/>
      <c r="K8" s="1"/>
    </row>
    <row r="9" ht="40.5">
      <c r="A9" s="1"/>
      <c r="B9" s="143" t="s">
        <v>733</v>
      </c>
      <c r="C9" s="135" t="s">
        <v>734</v>
      </c>
      <c r="D9" s="161" t="s">
        <v>3</v>
      </c>
      <c r="E9" s="135" t="s">
        <v>735</v>
      </c>
      <c r="F9" s="135" t="s">
        <v>736</v>
      </c>
      <c r="G9" s="135" t="s">
        <v>737</v>
      </c>
      <c r="H9" s="135" t="s">
        <v>738</v>
      </c>
      <c r="I9" s="135" t="s">
        <v>739</v>
      </c>
      <c r="J9" s="1"/>
      <c r="K9" s="1"/>
    </row>
    <row r="10">
      <c r="A10" s="1"/>
      <c r="B10" s="2" t="s">
        <v>740</v>
      </c>
      <c r="C10" s="48">
        <v>45712</v>
      </c>
      <c r="D10" s="162" t="s">
        <v>741</v>
      </c>
      <c r="E10" s="105">
        <v>0.03</v>
      </c>
      <c r="F10" s="105">
        <v>0.03</v>
      </c>
      <c r="G10" s="111">
        <f>IF(OR(E10="",F10=""),IF(E10="","n/a",E10),(E10+F10)/2)</f>
        <v>0.03</v>
      </c>
      <c r="H10" s="109">
        <f>'Segment - U.S. Stores'!G94</f>
        <v>0.03</v>
      </c>
      <c r="I10" s="111" t="str">
        <f>IF(ISNUMBER(H10),IF(AND(ISNUMBER(F10),H10&gt;F10),"beat",IF(H10&lt;E10,"miss","in range")),"pending")</f>
        <v>in range</v>
      </c>
      <c r="J10" s="1"/>
      <c r="K10" s="141" t="s">
        <v>742</v>
      </c>
    </row>
    <row r="11" ht="27.75">
      <c r="A11" s="1"/>
      <c r="B11" s="144" t="s">
        <v>743</v>
      </c>
      <c r="C11" s="48">
        <v>45712</v>
      </c>
      <c r="D11" s="162" t="s">
        <v>741</v>
      </c>
      <c r="E11" s="105">
        <v>0.01</v>
      </c>
      <c r="F11" s="105">
        <v>0.02</v>
      </c>
      <c r="G11" s="111">
        <f>IF(OR(E11="",F11=""),IF(E11="","n/a",E11),(E11+F11)/2)</f>
        <v>0.015</v>
      </c>
      <c r="H11" s="109">
        <f>'Segment - International'!G39</f>
        <v>0.019</v>
      </c>
      <c r="I11" s="111" t="str">
        <f>IF(ISNUMBER(H11),IF(AND(ISNUMBER(F11),H11&gt;F11),"beat",IF(H11&lt;E11,"miss","in range")),"pending")</f>
        <v>in range</v>
      </c>
      <c r="J11" s="1"/>
      <c r="K11" s="141" t="s">
        <v>742</v>
      </c>
    </row>
    <row r="12" ht="27.75">
      <c r="A12" s="1"/>
      <c r="B12" s="144" t="s">
        <v>744</v>
      </c>
      <c r="C12" s="48">
        <v>45712</v>
      </c>
      <c r="D12" s="162" t="s">
        <v>741</v>
      </c>
      <c r="E12" s="105">
        <v>0.06</v>
      </c>
      <c r="F12" s="105">
        <v>0.06</v>
      </c>
      <c r="G12" s="111">
        <f>IF(OR(E12="",F12=""),IF(E12="","n/a",E12),(E12+F12)/2)</f>
        <v>0.06</v>
      </c>
      <c r="H12" s="109">
        <f>Geo!G28</f>
        <v>0.054000000000000006</v>
      </c>
      <c r="I12" s="111" t="str">
        <f>IF(ISNUMBER(H12),IF(AND(ISNUMBER(F12),H12&gt;F12),"beat",IF(H12&lt;E12,"miss","in range")),"pending")</f>
        <v>miss</v>
      </c>
      <c r="J12" s="1"/>
      <c r="K12" s="141" t="s">
        <v>742</v>
      </c>
    </row>
    <row r="13" ht="27.75">
      <c r="A13" s="1"/>
      <c r="B13" s="144" t="s">
        <v>745</v>
      </c>
      <c r="C13" s="48">
        <v>45712</v>
      </c>
      <c r="D13" s="162" t="s">
        <v>741</v>
      </c>
      <c r="E13" s="105">
        <v>0.08</v>
      </c>
      <c r="F13" s="105">
        <v>0.08</v>
      </c>
      <c r="G13" s="111">
        <f>IF(OR(E13="",F13=""),IF(E13="","n/a",E13),(E13+F13)/2)</f>
        <v>0.08</v>
      </c>
      <c r="H13" s="105">
        <v>0.086</v>
      </c>
      <c r="I13" s="111" t="str">
        <f>IF(ISNUMBER(H13),IF(AND(ISNUMBER(F13),H13&gt;F13),"beat",IF(H13&lt;E13,"miss","in range")),"pending")</f>
        <v>beat</v>
      </c>
      <c r="J13" s="1"/>
      <c r="K13" s="141" t="s">
        <v>746</v>
      </c>
    </row>
    <row r="14">
      <c r="A14" s="1"/>
      <c r="B14" s="2" t="s">
        <v>747</v>
      </c>
      <c r="C14" s="48">
        <v>45712</v>
      </c>
      <c r="D14" s="160" t="s">
        <v>741</v>
      </c>
      <c r="E14" s="32">
        <v>175</v>
      </c>
      <c r="F14" s="1"/>
      <c r="G14" s="22">
        <f>IF(OR(E14="",F14=""),IF(E14="","n/a",E14),(E14+F14)/2)</f>
        <v>175</v>
      </c>
      <c r="H14" s="67">
        <f>'Segment - U.S. Stores'!G71</f>
        <v>172</v>
      </c>
      <c r="I14" s="22" t="str">
        <f>IF(ISNUMBER(H14),IF(AND(ISNUMBER(F14),H14&gt;F14),"beat",IF(H14&lt;E14,"miss","in range")),"pending")</f>
        <v>miss</v>
      </c>
      <c r="J14" s="1"/>
      <c r="K14" s="141" t="s">
        <v>742</v>
      </c>
    </row>
    <row r="15" ht="27.75">
      <c r="A15" s="1"/>
      <c r="B15" s="144" t="s">
        <v>748</v>
      </c>
      <c r="C15" s="48">
        <v>46076</v>
      </c>
      <c r="D15" s="162" t="s">
        <v>749</v>
      </c>
      <c r="E15" s="105">
        <v>0.03</v>
      </c>
      <c r="F15" s="105">
        <v>0.03</v>
      </c>
      <c r="G15" s="111">
        <f>IF(OR(E15="",F15=""),IF(E15="","n/a",E15),(E15+F15)/2)</f>
        <v>0.03</v>
      </c>
      <c r="H15" s="137" t="s">
        <v>750</v>
      </c>
      <c r="I15" s="111" t="str">
        <f>IF(ISNUMBER(H15),IF(AND(ISNUMBER(F15),H15&gt;F15),"beat",IF(H15&lt;E15,"miss","in range")),"pending")</f>
        <v>pending</v>
      </c>
      <c r="J15" s="1"/>
      <c r="K15" s="141" t="s">
        <v>751</v>
      </c>
    </row>
    <row r="16" ht="27.75">
      <c r="A16" s="1"/>
      <c r="B16" s="144" t="s">
        <v>752</v>
      </c>
      <c r="C16" s="48">
        <v>46076</v>
      </c>
      <c r="D16" s="162" t="s">
        <v>749</v>
      </c>
      <c r="E16" s="105">
        <v>0.01</v>
      </c>
      <c r="F16" s="105">
        <v>0.02</v>
      </c>
      <c r="G16" s="111">
        <f>IF(OR(E16="",F16=""),IF(E16="","n/a",E16),(E16+F16)/2)</f>
        <v>0.015</v>
      </c>
      <c r="H16" s="137" t="s">
        <v>750</v>
      </c>
      <c r="I16" s="111" t="str">
        <f>IF(ISNUMBER(H16),IF(AND(ISNUMBER(F16),H16&gt;F16),"beat",IF(H16&lt;E16,"miss","in range")),"pending")</f>
        <v>pending</v>
      </c>
      <c r="J16" s="1"/>
      <c r="K16" s="141" t="s">
        <v>751</v>
      </c>
    </row>
    <row r="17" ht="27.75">
      <c r="A17" s="1"/>
      <c r="B17" s="144" t="s">
        <v>753</v>
      </c>
      <c r="C17" s="48">
        <v>46076</v>
      </c>
      <c r="D17" s="162" t="s">
        <v>749</v>
      </c>
      <c r="E17" s="105">
        <v>0.06</v>
      </c>
      <c r="F17" s="105">
        <v>0.06</v>
      </c>
      <c r="G17" s="111">
        <f>IF(OR(E17="",F17=""),IF(E17="","n/a",E17),(E17+F17)/2)</f>
        <v>0.06</v>
      </c>
      <c r="H17" s="137" t="s">
        <v>750</v>
      </c>
      <c r="I17" s="111" t="str">
        <f>IF(ISNUMBER(H17),IF(AND(ISNUMBER(F17),H17&gt;F17),"beat",IF(H17&lt;E17,"miss","in range")),"pending")</f>
        <v>pending</v>
      </c>
      <c r="J17" s="1"/>
      <c r="K17" s="141" t="s">
        <v>751</v>
      </c>
    </row>
    <row r="18" ht="27.75">
      <c r="A18" s="1"/>
      <c r="B18" s="144" t="s">
        <v>754</v>
      </c>
      <c r="C18" s="48">
        <v>46076</v>
      </c>
      <c r="D18" s="162" t="s">
        <v>749</v>
      </c>
      <c r="E18" s="105">
        <v>0.08</v>
      </c>
      <c r="F18" s="105">
        <v>0.08</v>
      </c>
      <c r="G18" s="111">
        <f>IF(OR(E18="",F18=""),IF(E18="","n/a",E18),(E18+F18)/2)</f>
        <v>0.08</v>
      </c>
      <c r="H18" s="137" t="s">
        <v>750</v>
      </c>
      <c r="I18" s="111" t="str">
        <f>IF(ISNUMBER(H18),IF(AND(ISNUMBER(F18),H18&gt;F18),"beat",IF(H18&lt;E18,"miss","in range")),"pending")</f>
        <v>pending</v>
      </c>
      <c r="J18" s="1"/>
      <c r="K18" s="141" t="s">
        <v>751</v>
      </c>
    </row>
    <row r="19" ht="27.75">
      <c r="A19" s="1"/>
      <c r="B19" s="144" t="s">
        <v>755</v>
      </c>
      <c r="C19" s="48">
        <v>46139</v>
      </c>
      <c r="D19" s="162" t="s">
        <v>749</v>
      </c>
      <c r="E19" s="105">
        <v>0.01</v>
      </c>
      <c r="F19" s="105">
        <v>0.03</v>
      </c>
      <c r="G19" s="111">
        <f>IF(OR(E19="",F19=""),IF(E19="","n/a",E19),(E19+F19)/2)</f>
        <v>0.02</v>
      </c>
      <c r="H19" s="137" t="s">
        <v>750</v>
      </c>
      <c r="I19" s="111" t="str">
        <f>IF(ISNUMBER(H19),IF(AND(ISNUMBER(F19),H19&gt;F19),"beat",IF(H19&lt;E19,"miss","in range")),"pending")</f>
        <v>pending</v>
      </c>
      <c r="J19" s="1"/>
      <c r="K19" s="141" t="s">
        <v>756</v>
      </c>
    </row>
    <row r="20" ht="27.75">
      <c r="A20" s="1"/>
      <c r="B20" s="144" t="s">
        <v>757</v>
      </c>
      <c r="C20" s="48">
        <v>46139</v>
      </c>
      <c r="D20" s="162" t="s">
        <v>749</v>
      </c>
      <c r="E20" s="105">
        <v>0.01</v>
      </c>
      <c r="F20" s="105">
        <v>0.03</v>
      </c>
      <c r="G20" s="111">
        <f>IF(OR(E20="",F20=""),IF(E20="","n/a",E20),(E20+F20)/2)</f>
        <v>0.02</v>
      </c>
      <c r="H20" s="137" t="s">
        <v>750</v>
      </c>
      <c r="I20" s="111" t="str">
        <f>IF(ISNUMBER(H20),IF(AND(ISNUMBER(F20),H20&gt;F20),"beat",IF(H20&lt;E20,"miss","in range")),"pending")</f>
        <v>pending</v>
      </c>
      <c r="J20" s="1"/>
      <c r="K20" s="141" t="s">
        <v>758</v>
      </c>
    </row>
    <row r="21" ht="27.75">
      <c r="A21" s="1"/>
      <c r="B21" s="144" t="s">
        <v>759</v>
      </c>
      <c r="C21" s="48">
        <v>46139</v>
      </c>
      <c r="D21" s="162" t="s">
        <v>749</v>
      </c>
      <c r="E21" s="105">
        <v>0.04</v>
      </c>
      <c r="F21" s="105">
        <v>0.06</v>
      </c>
      <c r="G21" s="111">
        <f>IF(OR(E21="",F21=""),IF(E21="","n/a",E21),(E21+F21)/2)</f>
        <v>0.05</v>
      </c>
      <c r="H21" s="137" t="s">
        <v>750</v>
      </c>
      <c r="I21" s="111" t="str">
        <f>IF(ISNUMBER(H21),IF(AND(ISNUMBER(F21),H21&gt;F21),"beat",IF(H21&lt;E21,"miss","in range")),"pending")</f>
        <v>pending</v>
      </c>
      <c r="J21" s="1"/>
      <c r="K21" s="141" t="s">
        <v>758</v>
      </c>
    </row>
    <row r="22" ht="53.25">
      <c r="A22" s="1"/>
      <c r="B22" s="144" t="s">
        <v>760</v>
      </c>
      <c r="C22" s="48">
        <v>46139</v>
      </c>
      <c r="D22" s="162" t="s">
        <v>749</v>
      </c>
      <c r="E22" s="105">
        <v>0.05</v>
      </c>
      <c r="F22" s="105">
        <v>0.09</v>
      </c>
      <c r="G22" s="111">
        <f>IF(OR(E22="",F22=""),IF(E22="","n/a",E22),(E22+F22)/2)</f>
        <v>0.07</v>
      </c>
      <c r="H22" s="137" t="s">
        <v>750</v>
      </c>
      <c r="I22" s="111" t="str">
        <f>IF(ISNUMBER(H22),IF(AND(ISNUMBER(F22),H22&gt;F22),"beat",IF(H22&lt;E22,"miss","in range")),"pending")</f>
        <v>pending</v>
      </c>
      <c r="J22" s="1"/>
      <c r="K22" s="141" t="s">
        <v>758</v>
      </c>
    </row>
    <row r="23" ht="27.75">
      <c r="A23" s="1"/>
      <c r="B23" s="144" t="s">
        <v>761</v>
      </c>
      <c r="C23" s="48">
        <v>46223</v>
      </c>
      <c r="D23" s="160" t="s">
        <v>749</v>
      </c>
      <c r="E23" s="32">
        <v>175</v>
      </c>
      <c r="F23" s="32">
        <v>175</v>
      </c>
      <c r="G23" s="22">
        <f>IF(OR(E23="",F23=""),IF(E23="","n/a",E23),(E23+F23)/2)</f>
        <v>175</v>
      </c>
      <c r="H23" s="136" t="s">
        <v>750</v>
      </c>
      <c r="I23" s="22" t="str">
        <f>IF(ISNUMBER(H23),IF(AND(ISNUMBER(F23),H23&gt;F23),"beat",IF(H23&lt;E23,"miss","in range")),"pending")</f>
        <v>pending</v>
      </c>
      <c r="J23" s="1"/>
      <c r="K23" s="141" t="s">
        <v>762</v>
      </c>
    </row>
    <row r="24">
      <c r="A24" s="1"/>
      <c r="B24" s="2" t="s">
        <v>763</v>
      </c>
      <c r="C24" s="48">
        <v>46223</v>
      </c>
      <c r="D24" s="160" t="s">
        <v>749</v>
      </c>
      <c r="E24" s="32">
        <v>800</v>
      </c>
      <c r="F24" s="32">
        <v>800</v>
      </c>
      <c r="G24" s="22">
        <f>IF(OR(E24="",F24=""),IF(E24="","n/a",E24),(E24+F24)/2)</f>
        <v>800</v>
      </c>
      <c r="H24" s="136" t="s">
        <v>750</v>
      </c>
      <c r="I24" s="22" t="str">
        <f>IF(ISNUMBER(H24),IF(AND(ISNUMBER(F24),H24&gt;F24),"beat",IF(H24&lt;E24,"miss","in range")),"pending")</f>
        <v>pending</v>
      </c>
      <c r="J24" s="1"/>
      <c r="K24" s="141" t="s">
        <v>762</v>
      </c>
    </row>
    <row r="25" ht="27.75">
      <c r="A25" s="1"/>
      <c r="B25" s="144" t="s">
        <v>764</v>
      </c>
      <c r="C25" s="138" t="s">
        <v>765</v>
      </c>
      <c r="D25" s="163" t="s">
        <v>766</v>
      </c>
      <c r="E25" s="1"/>
      <c r="F25" s="1"/>
      <c r="G25" s="138" t="s">
        <v>76</v>
      </c>
      <c r="H25" s="138" t="s">
        <v>750</v>
      </c>
      <c r="I25" s="138" t="s">
        <v>76</v>
      </c>
      <c r="J25" s="1"/>
      <c r="K25" s="141" t="s">
        <v>767</v>
      </c>
    </row>
    <row r="26" ht="27.75">
      <c r="A26" s="1"/>
      <c r="B26" s="140" t="s">
        <v>768</v>
      </c>
      <c r="C26" s="1"/>
      <c r="D26" s="1"/>
      <c r="E26" s="1"/>
      <c r="F26" s="1"/>
      <c r="G26" s="1"/>
      <c r="H26" s="9">
        <f>AVERAGE('Segment - U.S. Stores'!H94,'Segment - U.S. Stores'!I94)</f>
        <v>0.005000000000000001</v>
      </c>
      <c r="I26" s="1"/>
      <c r="J26" s="1"/>
      <c r="K26" s="141" t="s">
        <v>769</v>
      </c>
    </row>
    <row r="27" ht="53.25">
      <c r="A27" s="1"/>
      <c r="B27" s="142" t="s">
        <v>770</v>
      </c>
      <c r="C27" s="132" t="s">
        <v>771</v>
      </c>
      <c r="D27" s="1"/>
      <c r="E27" s="1"/>
      <c r="F27" s="1"/>
      <c r="G27" s="1"/>
      <c r="H27" s="1"/>
      <c r="I27" s="1"/>
      <c r="J27" s="1"/>
      <c r="K27" s="1"/>
    </row>
    <row r="28" ht="27.75">
      <c r="A28" s="1"/>
      <c r="B28" s="140" t="s">
        <v>772</v>
      </c>
      <c r="C28" s="12">
        <f>G22</f>
        <v>0.07</v>
      </c>
      <c r="D28" s="1"/>
      <c r="E28" s="1"/>
      <c r="F28" s="1"/>
      <c r="G28" s="1"/>
      <c r="H28" s="1"/>
      <c r="I28" s="1"/>
      <c r="J28" s="1"/>
      <c r="K28" s="1"/>
    </row>
    <row r="29">
      <c r="A29" s="1"/>
      <c r="B29" s="2" t="s">
        <v>773</v>
      </c>
      <c r="C29" s="27">
        <f>'Income Statement'!E47</f>
        <v>223.16800000000006</v>
      </c>
      <c r="D29" s="1"/>
      <c r="E29" s="1"/>
      <c r="F29" s="1"/>
      <c r="G29" s="1"/>
      <c r="H29" s="1"/>
      <c r="I29" s="1"/>
      <c r="J29" s="1"/>
      <c r="K29" s="1"/>
    </row>
    <row r="30" ht="27.75">
      <c r="A30" s="1"/>
      <c r="B30" s="144" t="s">
        <v>774</v>
      </c>
      <c r="C30" s="3">
        <f>C29*(1+C28)</f>
        <v>238.7897600000001</v>
      </c>
      <c r="D30" s="1"/>
      <c r="E30" s="1"/>
      <c r="F30" s="1"/>
      <c r="G30" s="1"/>
      <c r="H30" s="1"/>
      <c r="I30" s="1"/>
      <c r="J30" s="1"/>
      <c r="K30" s="1"/>
    </row>
    <row r="31" ht="27.75">
      <c r="A31" s="1"/>
      <c r="B31" s="144" t="s">
        <v>775</v>
      </c>
      <c r="C31" s="27">
        <f>'Segment - International'!J70</f>
        <v>-0.8150369747913686</v>
      </c>
      <c r="D31" s="1"/>
      <c r="E31" s="1"/>
      <c r="F31" s="1"/>
      <c r="G31" s="1"/>
      <c r="H31" s="1"/>
      <c r="I31" s="1"/>
      <c r="J31" s="1"/>
      <c r="K31" s="1"/>
    </row>
    <row r="32" ht="27.75">
      <c r="A32" s="1"/>
      <c r="B32" s="150" t="s">
        <v>776</v>
      </c>
      <c r="C32" s="51">
        <f>C30+C31</f>
        <v>237.97472302520873</v>
      </c>
      <c r="D32" s="1"/>
      <c r="E32" s="1"/>
      <c r="F32" s="1"/>
      <c r="G32" s="1"/>
      <c r="H32" s="1"/>
      <c r="I32" s="1"/>
      <c r="J32" s="1"/>
      <c r="K32" s="1"/>
    </row>
    <row r="33" ht="27.75">
      <c r="A33" s="1"/>
      <c r="B33" s="144" t="s">
        <v>777</v>
      </c>
      <c r="C33" s="27">
        <f>'Income Statement'!J67+'Income Statement'!J57</f>
        <v>-46.887003372681285</v>
      </c>
      <c r="D33" s="1"/>
      <c r="E33" s="1"/>
      <c r="F33" s="1"/>
      <c r="G33" s="1"/>
      <c r="H33" s="1"/>
      <c r="I33" s="1"/>
      <c r="J33" s="1"/>
      <c r="K33" s="1"/>
    </row>
    <row r="34">
      <c r="A34" s="1"/>
      <c r="B34" s="2" t="s">
        <v>778</v>
      </c>
      <c r="C34" s="3">
        <f>C32+C33</f>
        <v>191.08771965252745</v>
      </c>
      <c r="D34" s="1"/>
      <c r="E34" s="1"/>
      <c r="F34" s="1"/>
      <c r="G34" s="1"/>
      <c r="H34" s="1"/>
      <c r="I34" s="1"/>
      <c r="J34" s="1"/>
      <c r="K34" s="1"/>
    </row>
    <row r="35" ht="27.75">
      <c r="A35" s="1"/>
      <c r="B35" s="150" t="s">
        <v>779</v>
      </c>
      <c r="C35" s="100">
        <f>C34*(1-'Income Statement'!J74)</f>
        <v>148.2840704503613</v>
      </c>
      <c r="D35" s="1"/>
      <c r="E35" s="1"/>
      <c r="F35" s="1"/>
      <c r="G35" s="1"/>
      <c r="H35" s="1"/>
      <c r="I35" s="1"/>
      <c r="J35" s="1"/>
      <c r="K35" s="1"/>
    </row>
    <row r="36" ht="27.75">
      <c r="A36" s="1"/>
      <c r="B36" s="150" t="s">
        <v>780</v>
      </c>
      <c r="C36" s="120">
        <f>C35/'Income Statement'!J88</f>
        <v>4.49202944005098</v>
      </c>
      <c r="D36" s="1"/>
      <c r="E36" s="1"/>
      <c r="F36" s="1"/>
      <c r="G36" s="1"/>
      <c r="H36" s="1"/>
      <c r="I36" s="1"/>
      <c r="J36" s="1"/>
      <c r="K36" s="1"/>
    </row>
    <row r="37">
      <c r="A37" s="1"/>
      <c r="B37" s="2" t="s">
        <v>781</v>
      </c>
      <c r="C37" s="138" t="s">
        <v>44</v>
      </c>
      <c r="D37" s="1"/>
      <c r="E37" s="1"/>
      <c r="F37" s="1"/>
      <c r="G37" s="1"/>
      <c r="H37" s="1"/>
      <c r="I37" s="1"/>
      <c r="J37" s="1"/>
      <c r="K37" s="1"/>
    </row>
    <row r="38" ht="66">
      <c r="A38" s="1"/>
      <c r="B38" s="142" t="s">
        <v>782</v>
      </c>
      <c r="C38" s="1"/>
      <c r="D38" s="1"/>
      <c r="E38" s="1"/>
      <c r="F38" s="1"/>
      <c r="G38" s="1"/>
      <c r="H38" s="1"/>
      <c r="I38" s="1"/>
      <c r="J38" s="1"/>
      <c r="K38" s="1"/>
    </row>
    <row r="39">
      <c r="A39" s="1"/>
      <c r="B39" s="1"/>
      <c r="C39" s="1"/>
      <c r="D39" s="1"/>
      <c r="E39" s="1"/>
      <c r="F39" s="1"/>
      <c r="G39" s="1"/>
      <c r="H39" s="1"/>
      <c r="I39" s="1"/>
      <c r="J39" s="1"/>
      <c r="K39" s="1"/>
    </row>
    <row r="40">
      <c r="A40" s="1"/>
      <c r="B40" s="1"/>
      <c r="C40" s="1"/>
      <c r="D40" s="1"/>
      <c r="E40" s="1"/>
      <c r="F40" s="1"/>
      <c r="G40" s="1"/>
      <c r="H40" s="1"/>
      <c r="I40" s="1"/>
      <c r="J40" s="1"/>
      <c r="K40" s="1"/>
    </row>
    <row r="41">
      <c r="A41" s="1"/>
      <c r="B41" s="1"/>
      <c r="C41" s="1"/>
      <c r="D41" s="1"/>
      <c r="E41" s="1"/>
      <c r="F41" s="1"/>
      <c r="G41" s="1"/>
      <c r="H41" s="1"/>
      <c r="I41" s="1"/>
      <c r="J41" s="1"/>
      <c r="K41" s="1"/>
    </row>
  </sheetData>
</worksheet>
</file>

<file path=xl/worksheets/sheet12.xml><?xml version="1.0" encoding="utf-8"?>
<worksheet xmlns="http://schemas.openxmlformats.org/spreadsheetml/2006/main" xmlns:r="http://schemas.openxmlformats.org/officeDocument/2006/relationships">
  <dimension ref="A1:K131"/>
  <sheetViews>
    <sheetView showGridLines="0" workbookViewId="0"/>
  </sheetViews>
  <sheetFormatPr defaultColWidth="8.42578125" defaultRowHeight="15"/>
  <cols>
    <col min="1" max="1" width="2" customWidth="1"/>
    <col min="2" max="2" width="32" customWidth="1"/>
    <col min="3" max="10" width="12" customWidth="1"/>
    <col min="11" max="11" width="60" customWidth="1"/>
  </cols>
  <sheetData>
    <row r="1">
      <c r="A1" s="1"/>
      <c r="B1" s="61" t="s">
        <v>0</v>
      </c>
      <c r="C1" s="1"/>
      <c r="D1" s="1"/>
      <c r="E1" s="1"/>
      <c r="F1" s="1"/>
      <c r="G1" s="1"/>
      <c r="H1" s="1"/>
      <c r="I1" s="1"/>
      <c r="J1" s="1"/>
      <c r="K1" s="1"/>
    </row>
    <row r="2">
      <c r="A2" s="1"/>
      <c r="B2" s="13" t="s">
        <v>783</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ht="40.5">
      <c r="A7" s="1"/>
      <c r="B7" s="5" t="s">
        <v>14</v>
      </c>
      <c r="C7" s="28">
        <f>C6-DATE(2024,12,29)</f>
        <v>84</v>
      </c>
      <c r="D7" s="28">
        <f>D6-C6</f>
        <v>84</v>
      </c>
      <c r="E7" s="28">
        <f>E6-D6</f>
        <v>84</v>
      </c>
      <c r="F7" s="28">
        <f>F6-E6</f>
        <v>112</v>
      </c>
      <c r="G7" s="28">
        <f>G6-DATE(2024,12,29)</f>
        <v>364</v>
      </c>
      <c r="H7" s="28">
        <f>H6-F6</f>
        <v>84</v>
      </c>
      <c r="I7" s="28">
        <f>I6-H6</f>
        <v>84</v>
      </c>
      <c r="J7" s="19">
        <f>J6-I6</f>
        <v>84</v>
      </c>
      <c r="K7" s="149" t="s">
        <v>15</v>
      </c>
    </row>
    <row r="8">
      <c r="A8" s="1"/>
      <c r="B8" s="131" t="s">
        <v>784</v>
      </c>
      <c r="C8" s="1"/>
      <c r="D8" s="1"/>
      <c r="E8" s="1"/>
      <c r="F8" s="1"/>
      <c r="G8" s="1"/>
      <c r="H8" s="1"/>
      <c r="I8" s="1"/>
      <c r="J8" s="1"/>
      <c r="K8" s="1"/>
    </row>
    <row r="9" ht="53.25">
      <c r="A9" s="1"/>
      <c r="B9" s="142" t="s">
        <v>785</v>
      </c>
      <c r="C9" s="164" t="s">
        <v>786</v>
      </c>
      <c r="D9" s="1"/>
      <c r="E9" s="1"/>
      <c r="F9" s="1"/>
      <c r="G9" s="1"/>
      <c r="H9" s="1"/>
      <c r="I9" s="1"/>
      <c r="J9" s="1"/>
      <c r="K9" s="1"/>
    </row>
    <row r="10">
      <c r="A10" s="1"/>
      <c r="B10" s="2" t="s">
        <v>787</v>
      </c>
      <c r="C10" s="114" t="s">
        <v>21</v>
      </c>
      <c r="D10" s="1"/>
      <c r="E10" s="1"/>
      <c r="F10" s="1"/>
      <c r="G10" s="1"/>
      <c r="H10" s="1"/>
      <c r="I10" s="1"/>
      <c r="J10" s="1"/>
      <c r="K10" s="141" t="s">
        <v>788</v>
      </c>
    </row>
    <row r="11">
      <c r="A11" s="1"/>
      <c r="B11" s="2" t="s">
        <v>789</v>
      </c>
      <c r="C11" s="114" t="s">
        <v>19</v>
      </c>
      <c r="D11" s="1"/>
      <c r="E11" s="1"/>
      <c r="F11" s="1"/>
      <c r="G11" s="1"/>
      <c r="H11" s="1"/>
      <c r="I11" s="1"/>
      <c r="J11" s="1"/>
      <c r="K11" s="141" t="s">
        <v>788</v>
      </c>
    </row>
    <row r="12">
      <c r="A12" s="1"/>
      <c r="B12" s="2" t="s">
        <v>790</v>
      </c>
      <c r="C12" s="114" t="s">
        <v>791</v>
      </c>
      <c r="D12" s="1"/>
      <c r="E12" s="1"/>
      <c r="F12" s="1"/>
      <c r="G12" s="1"/>
      <c r="H12" s="1"/>
      <c r="I12" s="1"/>
      <c r="J12" s="1"/>
      <c r="K12" s="141" t="s">
        <v>788</v>
      </c>
    </row>
    <row r="13">
      <c r="A13" s="1"/>
      <c r="B13" s="2" t="s">
        <v>792</v>
      </c>
      <c r="C13" s="114">
        <v>3132512</v>
      </c>
      <c r="D13" s="1"/>
      <c r="E13" s="1"/>
      <c r="F13" s="1"/>
      <c r="G13" s="1"/>
      <c r="H13" s="1"/>
      <c r="I13" s="1"/>
      <c r="J13" s="1"/>
      <c r="K13" s="141" t="s">
        <v>788</v>
      </c>
    </row>
    <row r="14">
      <c r="A14" s="1"/>
      <c r="B14" s="2" t="s">
        <v>793</v>
      </c>
      <c r="C14" s="114" t="s">
        <v>794</v>
      </c>
      <c r="D14" s="1"/>
      <c r="E14" s="1"/>
      <c r="F14" s="1"/>
      <c r="G14" s="1"/>
      <c r="H14" s="1"/>
      <c r="I14" s="1"/>
      <c r="J14" s="1"/>
      <c r="K14" s="141" t="s">
        <v>788</v>
      </c>
    </row>
    <row r="15">
      <c r="A15" s="1"/>
      <c r="B15" s="2" t="s">
        <v>795</v>
      </c>
      <c r="C15" s="1"/>
      <c r="D15" s="1"/>
      <c r="E15" s="1"/>
      <c r="F15" s="1"/>
      <c r="G15" s="1"/>
      <c r="H15" s="1"/>
      <c r="I15" s="1"/>
      <c r="J15" s="1"/>
      <c r="K15" s="141" t="s">
        <v>796</v>
      </c>
    </row>
    <row r="16">
      <c r="A16" s="1"/>
      <c r="B16" s="2" t="s">
        <v>797</v>
      </c>
      <c r="C16" s="114" t="s">
        <v>798</v>
      </c>
      <c r="D16" s="1"/>
      <c r="E16" s="1"/>
      <c r="F16" s="1"/>
      <c r="G16" s="1"/>
      <c r="H16" s="1"/>
      <c r="I16" s="1"/>
      <c r="J16" s="1"/>
      <c r="K16" s="141" t="s">
        <v>788</v>
      </c>
    </row>
    <row r="17">
      <c r="A17" s="1"/>
      <c r="B17" s="2" t="s">
        <v>799</v>
      </c>
      <c r="C17" s="48">
        <v>46295</v>
      </c>
      <c r="D17" s="1"/>
      <c r="E17" s="1"/>
      <c r="F17" s="1"/>
      <c r="G17" s="1"/>
      <c r="H17" s="1"/>
      <c r="I17" s="1"/>
      <c r="J17" s="1"/>
      <c r="K17" s="141" t="s">
        <v>788</v>
      </c>
    </row>
    <row r="18" ht="27.75">
      <c r="A18" s="1"/>
      <c r="B18" s="2" t="s">
        <v>800</v>
      </c>
      <c r="C18" s="48">
        <v>46307</v>
      </c>
      <c r="D18" s="1"/>
      <c r="E18" s="1"/>
      <c r="F18" s="1"/>
      <c r="G18" s="1"/>
      <c r="H18" s="1"/>
      <c r="I18" s="1"/>
      <c r="J18" s="1"/>
      <c r="K18" s="141" t="s">
        <v>801</v>
      </c>
    </row>
    <row r="19">
      <c r="A19" s="1"/>
      <c r="B19" s="2" t="s">
        <v>802</v>
      </c>
      <c r="C19" s="114" t="s">
        <v>803</v>
      </c>
      <c r="D19" s="1"/>
      <c r="E19" s="1"/>
      <c r="F19" s="1"/>
      <c r="G19" s="1"/>
      <c r="H19" s="1"/>
      <c r="I19" s="1"/>
      <c r="J19" s="1"/>
      <c r="K19" s="141" t="s">
        <v>788</v>
      </c>
    </row>
    <row r="20">
      <c r="A20" s="1"/>
      <c r="B20" s="2" t="s">
        <v>804</v>
      </c>
      <c r="C20" s="32">
        <v>30</v>
      </c>
      <c r="D20" s="1"/>
      <c r="E20" s="1"/>
      <c r="F20" s="1"/>
      <c r="G20" s="1"/>
      <c r="H20" s="1"/>
      <c r="I20" s="1"/>
      <c r="J20" s="1"/>
      <c r="K20" s="141" t="s">
        <v>788</v>
      </c>
    </row>
    <row r="21">
      <c r="A21" s="1"/>
      <c r="B21" s="2" t="s">
        <v>805</v>
      </c>
      <c r="C21" s="101">
        <v>4.38</v>
      </c>
      <c r="D21" s="1"/>
      <c r="E21" s="1"/>
      <c r="F21" s="1"/>
      <c r="G21" s="1"/>
      <c r="H21" s="1"/>
      <c r="I21" s="1"/>
      <c r="J21" s="1"/>
      <c r="K21" s="141" t="s">
        <v>788</v>
      </c>
    </row>
    <row r="22">
      <c r="A22" s="1"/>
      <c r="B22" s="2" t="s">
        <v>806</v>
      </c>
      <c r="C22" s="101">
        <v>4.37</v>
      </c>
      <c r="D22" s="1"/>
      <c r="E22" s="1"/>
      <c r="F22" s="1"/>
      <c r="G22" s="1"/>
      <c r="H22" s="1"/>
      <c r="I22" s="1"/>
      <c r="J22" s="1"/>
      <c r="K22" s="141" t="s">
        <v>788</v>
      </c>
    </row>
    <row r="23">
      <c r="A23" s="1"/>
      <c r="B23" s="2" t="s">
        <v>807</v>
      </c>
      <c r="C23" s="101">
        <v>4.71</v>
      </c>
      <c r="D23" s="1"/>
      <c r="E23" s="1"/>
      <c r="F23" s="1"/>
      <c r="G23" s="1"/>
      <c r="H23" s="1"/>
      <c r="I23" s="1"/>
      <c r="J23" s="1"/>
      <c r="K23" s="141" t="s">
        <v>788</v>
      </c>
    </row>
    <row r="24">
      <c r="A24" s="1"/>
      <c r="B24" s="2" t="s">
        <v>808</v>
      </c>
      <c r="C24" s="101">
        <v>4.18</v>
      </c>
      <c r="D24" s="1"/>
      <c r="E24" s="1"/>
      <c r="F24" s="1"/>
      <c r="G24" s="1"/>
      <c r="H24" s="1"/>
      <c r="I24" s="1"/>
      <c r="J24" s="1"/>
      <c r="K24" s="141" t="s">
        <v>788</v>
      </c>
    </row>
    <row r="25">
      <c r="A25" s="1"/>
      <c r="B25" s="2" t="s">
        <v>809</v>
      </c>
      <c r="C25" s="101">
        <v>0.1</v>
      </c>
      <c r="D25" s="1"/>
      <c r="E25" s="1"/>
      <c r="F25" s="1"/>
      <c r="G25" s="1"/>
      <c r="H25" s="1"/>
      <c r="I25" s="1"/>
      <c r="J25" s="1"/>
      <c r="K25" s="141" t="s">
        <v>788</v>
      </c>
    </row>
    <row r="26">
      <c r="A26" s="1"/>
      <c r="B26" s="2" t="s">
        <v>810</v>
      </c>
      <c r="C26" s="32">
        <v>26</v>
      </c>
      <c r="D26" s="1"/>
      <c r="E26" s="1"/>
      <c r="F26" s="1"/>
      <c r="G26" s="1"/>
      <c r="H26" s="1"/>
      <c r="I26" s="1"/>
      <c r="J26" s="1"/>
      <c r="K26" s="141" t="s">
        <v>788</v>
      </c>
    </row>
    <row r="27">
      <c r="A27" s="1"/>
      <c r="B27" s="2" t="s">
        <v>811</v>
      </c>
      <c r="C27" s="1"/>
      <c r="D27" s="1"/>
      <c r="E27" s="1"/>
      <c r="F27" s="1"/>
      <c r="G27" s="1"/>
      <c r="H27" s="1"/>
      <c r="I27" s="1"/>
      <c r="J27" s="1"/>
      <c r="K27" s="141" t="s">
        <v>796</v>
      </c>
    </row>
    <row r="28">
      <c r="A28" s="1"/>
      <c r="B28" s="2" t="s">
        <v>812</v>
      </c>
      <c r="C28" s="1"/>
      <c r="D28" s="1"/>
      <c r="E28" s="1"/>
      <c r="F28" s="1"/>
      <c r="G28" s="1"/>
      <c r="H28" s="1"/>
      <c r="I28" s="1"/>
      <c r="J28" s="1"/>
      <c r="K28" s="141" t="s">
        <v>796</v>
      </c>
    </row>
    <row r="29">
      <c r="A29" s="1"/>
      <c r="B29" s="2" t="s">
        <v>813</v>
      </c>
      <c r="C29" s="1"/>
      <c r="D29" s="1"/>
      <c r="E29" s="1"/>
      <c r="F29" s="1"/>
      <c r="G29" s="1"/>
      <c r="H29" s="1"/>
      <c r="I29" s="1"/>
      <c r="J29" s="1"/>
      <c r="K29" s="141" t="s">
        <v>796</v>
      </c>
    </row>
    <row r="30">
      <c r="A30" s="1"/>
      <c r="B30" s="2" t="s">
        <v>814</v>
      </c>
      <c r="C30" s="101">
        <v>4.39</v>
      </c>
      <c r="D30" s="1"/>
      <c r="E30" s="1"/>
      <c r="F30" s="1"/>
      <c r="G30" s="1"/>
      <c r="H30" s="1"/>
      <c r="I30" s="1"/>
      <c r="J30" s="1"/>
      <c r="K30" s="141" t="s">
        <v>788</v>
      </c>
    </row>
    <row r="31">
      <c r="A31" s="1"/>
      <c r="B31" s="2" t="s">
        <v>815</v>
      </c>
      <c r="C31" s="101">
        <v>4.37</v>
      </c>
      <c r="D31" s="1"/>
      <c r="E31" s="1"/>
      <c r="F31" s="1"/>
      <c r="G31" s="1"/>
      <c r="H31" s="1"/>
      <c r="I31" s="1"/>
      <c r="J31" s="1"/>
      <c r="K31" s="141" t="s">
        <v>788</v>
      </c>
    </row>
    <row r="32">
      <c r="A32" s="1"/>
      <c r="B32" s="2" t="s">
        <v>816</v>
      </c>
      <c r="C32" s="101">
        <v>4.71</v>
      </c>
      <c r="D32" s="1"/>
      <c r="E32" s="1"/>
      <c r="F32" s="1"/>
      <c r="G32" s="1"/>
      <c r="H32" s="1"/>
      <c r="I32" s="1"/>
      <c r="J32" s="1"/>
      <c r="K32" s="141" t="s">
        <v>788</v>
      </c>
    </row>
    <row r="33">
      <c r="A33" s="1"/>
      <c r="B33" s="2" t="s">
        <v>817</v>
      </c>
      <c r="C33" s="101">
        <v>4.2</v>
      </c>
      <c r="D33" s="1"/>
      <c r="E33" s="1"/>
      <c r="F33" s="1"/>
      <c r="G33" s="1"/>
      <c r="H33" s="1"/>
      <c r="I33" s="1"/>
      <c r="J33" s="1"/>
      <c r="K33" s="141" t="s">
        <v>788</v>
      </c>
    </row>
    <row r="34">
      <c r="A34" s="1"/>
      <c r="B34" s="2" t="s">
        <v>818</v>
      </c>
      <c r="C34" s="101">
        <v>0.1</v>
      </c>
      <c r="D34" s="1"/>
      <c r="E34" s="1"/>
      <c r="F34" s="1"/>
      <c r="G34" s="1"/>
      <c r="H34" s="1"/>
      <c r="I34" s="1"/>
      <c r="J34" s="1"/>
      <c r="K34" s="141" t="s">
        <v>788</v>
      </c>
    </row>
    <row r="35">
      <c r="A35" s="1"/>
      <c r="B35" s="2" t="s">
        <v>819</v>
      </c>
      <c r="C35" s="32">
        <v>22</v>
      </c>
      <c r="D35" s="1"/>
      <c r="E35" s="1"/>
      <c r="F35" s="1"/>
      <c r="G35" s="1"/>
      <c r="H35" s="1"/>
      <c r="I35" s="1"/>
      <c r="J35" s="1"/>
      <c r="K35" s="141" t="s">
        <v>788</v>
      </c>
    </row>
    <row r="36">
      <c r="A36" s="1"/>
      <c r="B36" s="2" t="s">
        <v>820</v>
      </c>
      <c r="C36" s="1"/>
      <c r="D36" s="1"/>
      <c r="E36" s="1"/>
      <c r="F36" s="1"/>
      <c r="G36" s="1"/>
      <c r="H36" s="1"/>
      <c r="I36" s="1"/>
      <c r="J36" s="1"/>
      <c r="K36" s="141" t="s">
        <v>796</v>
      </c>
    </row>
    <row r="37">
      <c r="A37" s="1"/>
      <c r="B37" s="2" t="s">
        <v>821</v>
      </c>
      <c r="C37" s="20">
        <v>1172.63</v>
      </c>
      <c r="D37" s="1"/>
      <c r="E37" s="1"/>
      <c r="F37" s="1"/>
      <c r="G37" s="1"/>
      <c r="H37" s="1"/>
      <c r="I37" s="1"/>
      <c r="J37" s="1"/>
      <c r="K37" s="141" t="s">
        <v>788</v>
      </c>
    </row>
    <row r="38">
      <c r="A38" s="1"/>
      <c r="B38" s="2" t="s">
        <v>822</v>
      </c>
      <c r="C38" s="20">
        <v>1172.91</v>
      </c>
      <c r="D38" s="1"/>
      <c r="E38" s="1"/>
      <c r="F38" s="1"/>
      <c r="G38" s="1"/>
      <c r="H38" s="1"/>
      <c r="I38" s="1"/>
      <c r="J38" s="1"/>
      <c r="K38" s="141" t="s">
        <v>788</v>
      </c>
    </row>
    <row r="39">
      <c r="A39" s="1"/>
      <c r="B39" s="2" t="s">
        <v>823</v>
      </c>
      <c r="C39" s="20">
        <v>1209.5</v>
      </c>
      <c r="D39" s="1"/>
      <c r="E39" s="1"/>
      <c r="F39" s="1"/>
      <c r="G39" s="1"/>
      <c r="H39" s="1"/>
      <c r="I39" s="1"/>
      <c r="J39" s="1"/>
      <c r="K39" s="141" t="s">
        <v>788</v>
      </c>
    </row>
    <row r="40">
      <c r="A40" s="1"/>
      <c r="B40" s="2" t="s">
        <v>824</v>
      </c>
      <c r="C40" s="20">
        <v>1149</v>
      </c>
      <c r="D40" s="1"/>
      <c r="E40" s="1"/>
      <c r="F40" s="1"/>
      <c r="G40" s="1"/>
      <c r="H40" s="1"/>
      <c r="I40" s="1"/>
      <c r="J40" s="1"/>
      <c r="K40" s="141" t="s">
        <v>788</v>
      </c>
    </row>
    <row r="41">
      <c r="A41" s="1"/>
      <c r="B41" s="2" t="s">
        <v>825</v>
      </c>
      <c r="C41" s="20">
        <v>12.28</v>
      </c>
      <c r="D41" s="1"/>
      <c r="E41" s="1"/>
      <c r="F41" s="1"/>
      <c r="G41" s="1"/>
      <c r="H41" s="1"/>
      <c r="I41" s="1"/>
      <c r="J41" s="1"/>
      <c r="K41" s="141" t="s">
        <v>788</v>
      </c>
    </row>
    <row r="42">
      <c r="A42" s="1"/>
      <c r="B42" s="2" t="s">
        <v>826</v>
      </c>
      <c r="C42" s="32">
        <v>24</v>
      </c>
      <c r="D42" s="1"/>
      <c r="E42" s="1"/>
      <c r="F42" s="1"/>
      <c r="G42" s="1"/>
      <c r="H42" s="1"/>
      <c r="I42" s="1"/>
      <c r="J42" s="1"/>
      <c r="K42" s="141" t="s">
        <v>788</v>
      </c>
    </row>
    <row r="43">
      <c r="A43" s="1"/>
      <c r="B43" s="2" t="s">
        <v>827</v>
      </c>
      <c r="C43" s="1"/>
      <c r="D43" s="1"/>
      <c r="E43" s="1"/>
      <c r="F43" s="1"/>
      <c r="G43" s="1"/>
      <c r="H43" s="1"/>
      <c r="I43" s="1"/>
      <c r="J43" s="1"/>
      <c r="K43" s="141" t="s">
        <v>796</v>
      </c>
    </row>
    <row r="44">
      <c r="A44" s="1"/>
      <c r="B44" s="2" t="s">
        <v>828</v>
      </c>
      <c r="C44" s="1"/>
      <c r="D44" s="1"/>
      <c r="E44" s="1"/>
      <c r="F44" s="1"/>
      <c r="G44" s="1"/>
      <c r="H44" s="1"/>
      <c r="I44" s="1"/>
      <c r="J44" s="1"/>
      <c r="K44" s="141" t="s">
        <v>796</v>
      </c>
    </row>
    <row r="45">
      <c r="A45" s="1"/>
      <c r="B45" s="2" t="s">
        <v>829</v>
      </c>
      <c r="C45" s="1"/>
      <c r="D45" s="1"/>
      <c r="E45" s="1"/>
      <c r="F45" s="1"/>
      <c r="G45" s="1"/>
      <c r="H45" s="1"/>
      <c r="I45" s="1"/>
      <c r="J45" s="1"/>
      <c r="K45" s="141" t="s">
        <v>796</v>
      </c>
    </row>
    <row r="46">
      <c r="A46" s="1"/>
      <c r="B46" s="2" t="s">
        <v>830</v>
      </c>
      <c r="C46" s="20">
        <v>250.88</v>
      </c>
      <c r="D46" s="1"/>
      <c r="E46" s="1"/>
      <c r="F46" s="1"/>
      <c r="G46" s="1"/>
      <c r="H46" s="1"/>
      <c r="I46" s="1"/>
      <c r="J46" s="1"/>
      <c r="K46" s="141" t="s">
        <v>788</v>
      </c>
    </row>
    <row r="47">
      <c r="A47" s="1"/>
      <c r="B47" s="2" t="s">
        <v>831</v>
      </c>
      <c r="C47" s="20">
        <v>230.12</v>
      </c>
      <c r="D47" s="1"/>
      <c r="E47" s="1"/>
      <c r="F47" s="1"/>
      <c r="G47" s="1"/>
      <c r="H47" s="1"/>
      <c r="I47" s="1"/>
      <c r="J47" s="1"/>
      <c r="K47" s="141" t="s">
        <v>788</v>
      </c>
    </row>
    <row r="48">
      <c r="A48" s="1"/>
      <c r="B48" s="2" t="s">
        <v>832</v>
      </c>
      <c r="C48" s="20">
        <v>185.74</v>
      </c>
      <c r="D48" s="1"/>
      <c r="E48" s="1"/>
      <c r="F48" s="1"/>
      <c r="G48" s="1"/>
      <c r="H48" s="1"/>
      <c r="I48" s="1"/>
      <c r="J48" s="1"/>
      <c r="K48" s="141" t="s">
        <v>788</v>
      </c>
    </row>
    <row r="49">
      <c r="A49" s="1"/>
      <c r="B49" s="2" t="s">
        <v>833</v>
      </c>
      <c r="C49" s="20">
        <v>186.05</v>
      </c>
      <c r="D49" s="1"/>
      <c r="E49" s="1"/>
      <c r="F49" s="1"/>
      <c r="G49" s="1"/>
      <c r="H49" s="1"/>
      <c r="I49" s="1"/>
      <c r="J49" s="1"/>
      <c r="K49" s="141" t="s">
        <v>788</v>
      </c>
    </row>
    <row r="50">
      <c r="A50" s="1"/>
      <c r="B50" s="2" t="s">
        <v>834</v>
      </c>
      <c r="C50" s="20">
        <v>145.08</v>
      </c>
      <c r="D50" s="1"/>
      <c r="E50" s="1"/>
      <c r="F50" s="1"/>
      <c r="G50" s="1"/>
      <c r="H50" s="1"/>
      <c r="I50" s="1"/>
      <c r="J50" s="1"/>
      <c r="K50" s="141" t="s">
        <v>788</v>
      </c>
    </row>
    <row r="51">
      <c r="A51" s="1"/>
      <c r="B51" s="2" t="s">
        <v>835</v>
      </c>
      <c r="C51" s="20">
        <v>145.26</v>
      </c>
      <c r="D51" s="1"/>
      <c r="E51" s="1"/>
      <c r="F51" s="1"/>
      <c r="G51" s="1"/>
      <c r="H51" s="1"/>
      <c r="I51" s="1"/>
      <c r="J51" s="1"/>
      <c r="K51" s="141" t="s">
        <v>788</v>
      </c>
    </row>
    <row r="52">
      <c r="A52" s="1"/>
      <c r="B52" s="2" t="s">
        <v>836</v>
      </c>
      <c r="C52" s="1"/>
      <c r="D52" s="1"/>
      <c r="E52" s="1"/>
      <c r="F52" s="1"/>
      <c r="G52" s="1"/>
      <c r="H52" s="1"/>
      <c r="I52" s="1"/>
      <c r="J52" s="1"/>
      <c r="K52" s="141" t="s">
        <v>796</v>
      </c>
    </row>
    <row r="53">
      <c r="A53" s="1"/>
      <c r="B53" s="2" t="s">
        <v>837</v>
      </c>
      <c r="C53" s="1"/>
      <c r="D53" s="1"/>
      <c r="E53" s="1"/>
      <c r="F53" s="1"/>
      <c r="G53" s="1"/>
      <c r="H53" s="1"/>
      <c r="I53" s="1"/>
      <c r="J53" s="1"/>
      <c r="K53" s="141" t="s">
        <v>796</v>
      </c>
    </row>
    <row r="54">
      <c r="A54" s="1"/>
      <c r="B54" s="2" t="s">
        <v>838</v>
      </c>
      <c r="C54" s="20">
        <v>21.33</v>
      </c>
      <c r="D54" s="1"/>
      <c r="E54" s="1"/>
      <c r="F54" s="1"/>
      <c r="G54" s="1"/>
      <c r="H54" s="1"/>
      <c r="I54" s="1"/>
      <c r="J54" s="1"/>
      <c r="K54" s="141" t="s">
        <v>788</v>
      </c>
    </row>
    <row r="55">
      <c r="A55" s="1"/>
      <c r="B55" s="2" t="s">
        <v>839</v>
      </c>
      <c r="C55" s="1"/>
      <c r="D55" s="1"/>
      <c r="E55" s="1"/>
      <c r="F55" s="1"/>
      <c r="G55" s="1"/>
      <c r="H55" s="1"/>
      <c r="I55" s="1"/>
      <c r="J55" s="1"/>
      <c r="K55" s="141" t="s">
        <v>796</v>
      </c>
    </row>
    <row r="56">
      <c r="A56" s="1"/>
      <c r="B56" s="2" t="s">
        <v>840</v>
      </c>
      <c r="C56" s="1"/>
      <c r="D56" s="1"/>
      <c r="E56" s="1"/>
      <c r="F56" s="1"/>
      <c r="G56" s="1"/>
      <c r="H56" s="1"/>
      <c r="I56" s="1"/>
      <c r="J56" s="1"/>
      <c r="K56" s="141" t="s">
        <v>796</v>
      </c>
    </row>
    <row r="57">
      <c r="A57" s="1"/>
      <c r="B57" s="2" t="s">
        <v>841</v>
      </c>
      <c r="C57" s="1"/>
      <c r="D57" s="1"/>
      <c r="E57" s="1"/>
      <c r="F57" s="1"/>
      <c r="G57" s="1"/>
      <c r="H57" s="1"/>
      <c r="I57" s="1"/>
      <c r="J57" s="1"/>
      <c r="K57" s="141" t="s">
        <v>796</v>
      </c>
    </row>
    <row r="58">
      <c r="A58" s="1"/>
      <c r="B58" s="2" t="s">
        <v>842</v>
      </c>
      <c r="C58" s="20">
        <v>-43.75</v>
      </c>
      <c r="D58" s="1"/>
      <c r="E58" s="1"/>
      <c r="F58" s="1"/>
      <c r="G58" s="1"/>
      <c r="H58" s="1"/>
      <c r="I58" s="1"/>
      <c r="J58" s="1"/>
      <c r="K58" s="141" t="s">
        <v>788</v>
      </c>
    </row>
    <row r="59">
      <c r="A59" s="1"/>
      <c r="B59" s="2" t="s">
        <v>843</v>
      </c>
      <c r="C59" s="20">
        <v>4728.49</v>
      </c>
      <c r="D59" s="1"/>
      <c r="E59" s="1"/>
      <c r="F59" s="1"/>
      <c r="G59" s="1"/>
      <c r="H59" s="1"/>
      <c r="I59" s="1"/>
      <c r="J59" s="1"/>
      <c r="K59" s="141" t="s">
        <v>788</v>
      </c>
    </row>
    <row r="60">
      <c r="A60" s="1"/>
      <c r="B60" s="2" t="s">
        <v>844</v>
      </c>
      <c r="C60" s="1"/>
      <c r="D60" s="1"/>
      <c r="E60" s="1"/>
      <c r="F60" s="1"/>
      <c r="G60" s="1"/>
      <c r="H60" s="1"/>
      <c r="I60" s="1"/>
      <c r="J60" s="1"/>
      <c r="K60" s="141" t="s">
        <v>796</v>
      </c>
    </row>
    <row r="61">
      <c r="A61" s="1"/>
      <c r="B61" s="2" t="s">
        <v>845</v>
      </c>
      <c r="C61" s="1"/>
      <c r="D61" s="1"/>
      <c r="E61" s="1"/>
      <c r="F61" s="1"/>
      <c r="G61" s="1"/>
      <c r="H61" s="1"/>
      <c r="I61" s="1"/>
      <c r="J61" s="1"/>
      <c r="K61" s="141" t="s">
        <v>796</v>
      </c>
    </row>
    <row r="62">
      <c r="A62" s="1"/>
      <c r="B62" s="2" t="s">
        <v>846</v>
      </c>
      <c r="C62" s="1"/>
      <c r="D62" s="1"/>
      <c r="E62" s="1"/>
      <c r="F62" s="1"/>
      <c r="G62" s="1"/>
      <c r="H62" s="1"/>
      <c r="I62" s="1"/>
      <c r="J62" s="1"/>
      <c r="K62" s="141" t="s">
        <v>796</v>
      </c>
    </row>
    <row r="63">
      <c r="A63" s="1"/>
      <c r="B63" s="2" t="s">
        <v>847</v>
      </c>
      <c r="C63" s="1"/>
      <c r="D63" s="1"/>
      <c r="E63" s="1"/>
      <c r="F63" s="1"/>
      <c r="G63" s="1"/>
      <c r="H63" s="1"/>
      <c r="I63" s="1"/>
      <c r="J63" s="1"/>
      <c r="K63" s="141" t="s">
        <v>796</v>
      </c>
    </row>
    <row r="64">
      <c r="A64" s="1"/>
      <c r="B64" s="2" t="s">
        <v>848</v>
      </c>
      <c r="C64" s="1"/>
      <c r="D64" s="1"/>
      <c r="E64" s="1"/>
      <c r="F64" s="1"/>
      <c r="G64" s="1"/>
      <c r="H64" s="1"/>
      <c r="I64" s="1"/>
      <c r="J64" s="1"/>
      <c r="K64" s="141" t="s">
        <v>796</v>
      </c>
    </row>
    <row r="65">
      <c r="A65" s="1"/>
      <c r="B65" s="2" t="s">
        <v>849</v>
      </c>
      <c r="C65" s="1"/>
      <c r="D65" s="1"/>
      <c r="E65" s="1"/>
      <c r="F65" s="1"/>
      <c r="G65" s="1"/>
      <c r="H65" s="1"/>
      <c r="I65" s="1"/>
      <c r="J65" s="1"/>
      <c r="K65" s="141" t="s">
        <v>796</v>
      </c>
    </row>
    <row r="66">
      <c r="A66" s="1"/>
      <c r="B66" s="2" t="s">
        <v>850</v>
      </c>
      <c r="C66" s="99">
        <v>373.15</v>
      </c>
      <c r="D66" s="1"/>
      <c r="E66" s="1"/>
      <c r="F66" s="1"/>
      <c r="G66" s="1"/>
      <c r="H66" s="1"/>
      <c r="I66" s="1"/>
      <c r="J66" s="1"/>
      <c r="K66" s="141" t="s">
        <v>788</v>
      </c>
    </row>
    <row r="67">
      <c r="A67" s="1"/>
      <c r="B67" s="2" t="s">
        <v>851</v>
      </c>
      <c r="C67" s="99">
        <v>372</v>
      </c>
      <c r="D67" s="1"/>
      <c r="E67" s="1"/>
      <c r="F67" s="1"/>
      <c r="G67" s="1"/>
      <c r="H67" s="1"/>
      <c r="I67" s="1"/>
      <c r="J67" s="1"/>
      <c r="K67" s="141" t="s">
        <v>788</v>
      </c>
    </row>
    <row r="68">
      <c r="A68" s="1"/>
      <c r="B68" s="2" t="s">
        <v>852</v>
      </c>
      <c r="C68" s="99">
        <v>455</v>
      </c>
      <c r="D68" s="1"/>
      <c r="E68" s="1"/>
      <c r="F68" s="1"/>
      <c r="G68" s="1"/>
      <c r="H68" s="1"/>
      <c r="I68" s="1"/>
      <c r="J68" s="1"/>
      <c r="K68" s="141" t="s">
        <v>788</v>
      </c>
    </row>
    <row r="69">
      <c r="A69" s="1"/>
      <c r="B69" s="2" t="s">
        <v>853</v>
      </c>
      <c r="C69" s="99">
        <v>260</v>
      </c>
      <c r="D69" s="1"/>
      <c r="E69" s="1"/>
      <c r="F69" s="1"/>
      <c r="G69" s="1"/>
      <c r="H69" s="1"/>
      <c r="I69" s="1"/>
      <c r="J69" s="1"/>
      <c r="K69" s="141" t="s">
        <v>788</v>
      </c>
    </row>
    <row r="70">
      <c r="A70" s="1"/>
      <c r="B70" s="2" t="s">
        <v>854</v>
      </c>
      <c r="C70" s="99">
        <v>45.56</v>
      </c>
      <c r="D70" s="1"/>
      <c r="E70" s="1"/>
      <c r="F70" s="1"/>
      <c r="G70" s="1"/>
      <c r="H70" s="1"/>
      <c r="I70" s="1"/>
      <c r="J70" s="1"/>
      <c r="K70" s="141" t="s">
        <v>788</v>
      </c>
    </row>
    <row r="71">
      <c r="A71" s="1"/>
      <c r="B71" s="2" t="s">
        <v>855</v>
      </c>
      <c r="C71" s="32">
        <v>27</v>
      </c>
      <c r="D71" s="1"/>
      <c r="E71" s="1"/>
      <c r="F71" s="1"/>
      <c r="G71" s="1"/>
      <c r="H71" s="1"/>
      <c r="I71" s="1"/>
      <c r="J71" s="1"/>
      <c r="K71" s="141" t="s">
        <v>788</v>
      </c>
    </row>
    <row r="72">
      <c r="A72" s="1"/>
      <c r="B72" s="2" t="s">
        <v>856</v>
      </c>
      <c r="C72" s="114" t="s">
        <v>857</v>
      </c>
      <c r="D72" s="1"/>
      <c r="E72" s="1"/>
      <c r="F72" s="1"/>
      <c r="G72" s="1"/>
      <c r="H72" s="1"/>
      <c r="I72" s="1"/>
      <c r="J72" s="1"/>
      <c r="K72" s="141" t="s">
        <v>788</v>
      </c>
    </row>
    <row r="73">
      <c r="A73" s="1"/>
      <c r="B73" s="2" t="s">
        <v>858</v>
      </c>
      <c r="C73" s="107">
        <v>2.13</v>
      </c>
      <c r="D73" s="1"/>
      <c r="E73" s="1"/>
      <c r="F73" s="1"/>
      <c r="G73" s="1"/>
      <c r="H73" s="1"/>
      <c r="I73" s="1"/>
      <c r="J73" s="1"/>
      <c r="K73" s="141" t="s">
        <v>788</v>
      </c>
    </row>
    <row r="74">
      <c r="A74" s="1"/>
      <c r="B74" s="2" t="s">
        <v>859</v>
      </c>
      <c r="C74" s="99">
        <v>309.36</v>
      </c>
      <c r="D74" s="1"/>
      <c r="E74" s="1"/>
      <c r="F74" s="1"/>
      <c r="G74" s="1"/>
      <c r="H74" s="1"/>
      <c r="I74" s="1"/>
      <c r="J74" s="1"/>
      <c r="K74" s="141" t="s">
        <v>788</v>
      </c>
    </row>
    <row r="75">
      <c r="A75" s="1"/>
      <c r="B75" s="2" t="s">
        <v>860</v>
      </c>
      <c r="C75" s="114" t="s">
        <v>861</v>
      </c>
      <c r="D75" s="1"/>
      <c r="E75" s="1"/>
      <c r="F75" s="1"/>
      <c r="G75" s="1"/>
      <c r="H75" s="1"/>
      <c r="I75" s="1"/>
      <c r="J75" s="1"/>
      <c r="K75" s="141" t="s">
        <v>788</v>
      </c>
    </row>
    <row r="76">
      <c r="A76" s="1"/>
      <c r="B76" s="2" t="s">
        <v>862</v>
      </c>
      <c r="C76" s="114" t="s">
        <v>27</v>
      </c>
      <c r="D76" s="1"/>
      <c r="E76" s="1"/>
      <c r="F76" s="1"/>
      <c r="G76" s="1"/>
      <c r="H76" s="1"/>
      <c r="I76" s="1"/>
      <c r="J76" s="1"/>
      <c r="K76" s="141" t="s">
        <v>788</v>
      </c>
    </row>
    <row r="77">
      <c r="A77" s="1"/>
      <c r="B77" s="2" t="s">
        <v>863</v>
      </c>
      <c r="C77" s="114" t="s">
        <v>864</v>
      </c>
      <c r="D77" s="1"/>
      <c r="E77" s="1"/>
      <c r="F77" s="1"/>
      <c r="G77" s="1"/>
      <c r="H77" s="1"/>
      <c r="I77" s="1"/>
      <c r="J77" s="1"/>
      <c r="K77" s="141" t="s">
        <v>788</v>
      </c>
    </row>
    <row r="78">
      <c r="A78" s="1"/>
      <c r="B78" s="2" t="s">
        <v>865</v>
      </c>
      <c r="C78" s="48">
        <v>46306</v>
      </c>
      <c r="D78" s="1"/>
      <c r="E78" s="1"/>
      <c r="F78" s="1"/>
      <c r="G78" s="1"/>
      <c r="H78" s="1"/>
      <c r="I78" s="1"/>
      <c r="J78" s="1"/>
      <c r="K78" s="141" t="s">
        <v>788</v>
      </c>
    </row>
    <row r="79">
      <c r="A79" s="1"/>
      <c r="B79" s="2" t="s">
        <v>866</v>
      </c>
      <c r="C79" s="1"/>
      <c r="D79" s="1"/>
      <c r="E79" s="1"/>
      <c r="F79" s="1"/>
      <c r="G79" s="1"/>
      <c r="H79" s="1"/>
      <c r="I79" s="1"/>
      <c r="J79" s="1"/>
      <c r="K79" s="141" t="s">
        <v>796</v>
      </c>
    </row>
    <row r="80">
      <c r="A80" s="1"/>
      <c r="B80" s="2" t="s">
        <v>867</v>
      </c>
      <c r="C80" s="48">
        <v>46306</v>
      </c>
      <c r="D80" s="1"/>
      <c r="E80" s="1"/>
      <c r="F80" s="1"/>
      <c r="G80" s="1"/>
      <c r="H80" s="1"/>
      <c r="I80" s="1"/>
      <c r="J80" s="1"/>
      <c r="K80" s="141" t="s">
        <v>788</v>
      </c>
    </row>
    <row r="81">
      <c r="A81" s="1"/>
      <c r="B81" s="2" t="s">
        <v>868</v>
      </c>
      <c r="C81" s="32">
        <v>26</v>
      </c>
      <c r="D81" s="1"/>
      <c r="E81" s="1"/>
      <c r="F81" s="1"/>
      <c r="G81" s="1"/>
      <c r="H81" s="1"/>
      <c r="I81" s="1"/>
      <c r="J81" s="1"/>
      <c r="K81" s="141" t="s">
        <v>788</v>
      </c>
    </row>
    <row r="82">
      <c r="A82" s="1"/>
      <c r="B82" s="2" t="s">
        <v>869</v>
      </c>
      <c r="C82" s="101">
        <v>4.38</v>
      </c>
      <c r="D82" s="1"/>
      <c r="E82" s="1"/>
      <c r="F82" s="1"/>
      <c r="G82" s="1"/>
      <c r="H82" s="1"/>
      <c r="I82" s="1"/>
      <c r="J82" s="1"/>
      <c r="K82" s="141" t="s">
        <v>788</v>
      </c>
    </row>
    <row r="83">
      <c r="A83" s="1"/>
      <c r="B83" s="2" t="s">
        <v>870</v>
      </c>
      <c r="C83" s="20">
        <v>1172.63</v>
      </c>
      <c r="D83" s="1"/>
      <c r="E83" s="1"/>
      <c r="F83" s="1"/>
      <c r="G83" s="1"/>
      <c r="H83" s="1"/>
      <c r="I83" s="1"/>
      <c r="J83" s="1"/>
      <c r="K83" s="141" t="s">
        <v>788</v>
      </c>
    </row>
    <row r="84">
      <c r="A84" s="1"/>
      <c r="B84" s="2" t="s">
        <v>871</v>
      </c>
      <c r="C84" s="114" t="s">
        <v>872</v>
      </c>
      <c r="D84" s="1"/>
      <c r="E84" s="1"/>
      <c r="F84" s="1"/>
      <c r="G84" s="1"/>
      <c r="H84" s="1"/>
      <c r="I84" s="1"/>
      <c r="J84" s="1"/>
      <c r="K84" s="141" t="s">
        <v>788</v>
      </c>
    </row>
    <row r="85">
      <c r="A85" s="1"/>
      <c r="B85" s="2" t="s">
        <v>873</v>
      </c>
      <c r="C85" s="114" t="s">
        <v>874</v>
      </c>
      <c r="D85" s="1"/>
      <c r="E85" s="1"/>
      <c r="F85" s="1"/>
      <c r="G85" s="1"/>
      <c r="H85" s="1"/>
      <c r="I85" s="1"/>
      <c r="J85" s="1"/>
      <c r="K85" s="141" t="s">
        <v>788</v>
      </c>
    </row>
    <row r="86" ht="40.5">
      <c r="A86" s="1"/>
      <c r="B86" s="142" t="s">
        <v>875</v>
      </c>
      <c r="C86" s="1"/>
      <c r="D86" s="1"/>
      <c r="E86" s="1"/>
      <c r="F86" s="1"/>
      <c r="G86" s="1"/>
      <c r="H86" s="1"/>
      <c r="I86" s="1"/>
      <c r="J86" s="1"/>
      <c r="K86" s="1"/>
    </row>
    <row r="87">
      <c r="A87" s="1"/>
      <c r="B87" s="2" t="s">
        <v>876</v>
      </c>
      <c r="C87" s="48">
        <v>45747</v>
      </c>
      <c r="D87" s="48">
        <v>45838</v>
      </c>
      <c r="E87" s="48">
        <v>45930</v>
      </c>
      <c r="F87" s="48">
        <v>46022</v>
      </c>
      <c r="G87" s="1"/>
      <c r="H87" s="48">
        <v>46112</v>
      </c>
      <c r="I87" s="48">
        <v>46203</v>
      </c>
      <c r="J87" s="1"/>
      <c r="K87" s="141" t="s">
        <v>877</v>
      </c>
    </row>
    <row r="88">
      <c r="A88" s="1"/>
      <c r="B88" s="2" t="s">
        <v>878</v>
      </c>
      <c r="C88" s="48">
        <v>45775</v>
      </c>
      <c r="D88" s="48">
        <v>45859</v>
      </c>
      <c r="E88" s="48">
        <v>45944</v>
      </c>
      <c r="F88" s="48">
        <v>46076</v>
      </c>
      <c r="G88" s="1"/>
      <c r="H88" s="48">
        <v>46139</v>
      </c>
      <c r="I88" s="48">
        <v>46223</v>
      </c>
      <c r="J88" s="1"/>
      <c r="K88" s="141" t="s">
        <v>879</v>
      </c>
    </row>
    <row r="89">
      <c r="A89" s="1"/>
      <c r="B89" s="2" t="s">
        <v>880</v>
      </c>
      <c r="C89" s="101">
        <v>4.07</v>
      </c>
      <c r="D89" s="101">
        <v>3.96</v>
      </c>
      <c r="E89" s="101">
        <v>3.96</v>
      </c>
      <c r="F89" s="101">
        <v>5.38</v>
      </c>
      <c r="G89" s="1"/>
      <c r="H89" s="101">
        <v>4.27</v>
      </c>
      <c r="I89" s="101">
        <v>4.17</v>
      </c>
      <c r="J89" s="1"/>
      <c r="K89" s="141" t="s">
        <v>879</v>
      </c>
    </row>
    <row r="90">
      <c r="A90" s="1"/>
      <c r="B90" s="2" t="s">
        <v>881</v>
      </c>
      <c r="C90" s="101">
        <v>4.33</v>
      </c>
      <c r="D90" s="101">
        <v>3.81</v>
      </c>
      <c r="E90" s="101">
        <v>4.08</v>
      </c>
      <c r="F90" s="101">
        <v>5.35</v>
      </c>
      <c r="G90" s="1"/>
      <c r="H90" s="101">
        <v>4.13</v>
      </c>
      <c r="I90" s="101">
        <v>4.07</v>
      </c>
      <c r="J90" s="1"/>
      <c r="K90" s="141" t="s">
        <v>879</v>
      </c>
    </row>
    <row r="91">
      <c r="A91" s="1"/>
      <c r="B91" s="2" t="s">
        <v>882</v>
      </c>
      <c r="C91" s="101">
        <v>4.07</v>
      </c>
      <c r="D91" s="101">
        <v>3.95</v>
      </c>
      <c r="E91" s="101">
        <v>3.96</v>
      </c>
      <c r="F91" s="101">
        <v>5.39</v>
      </c>
      <c r="G91" s="1"/>
      <c r="H91" s="101">
        <v>4.27</v>
      </c>
      <c r="I91" s="101">
        <v>4.17</v>
      </c>
      <c r="J91" s="1"/>
      <c r="K91" s="141" t="s">
        <v>879</v>
      </c>
    </row>
    <row r="92">
      <c r="A92" s="1"/>
      <c r="B92" s="2" t="s">
        <v>883</v>
      </c>
      <c r="C92" s="101">
        <v>4.33</v>
      </c>
      <c r="D92" s="101">
        <v>3.81</v>
      </c>
      <c r="E92" s="101">
        <v>4.08</v>
      </c>
      <c r="F92" s="101">
        <v>5.35</v>
      </c>
      <c r="G92" s="1"/>
      <c r="H92" s="101">
        <v>4.13</v>
      </c>
      <c r="I92" s="101">
        <v>4.07</v>
      </c>
      <c r="J92" s="1"/>
      <c r="K92" s="141" t="s">
        <v>879</v>
      </c>
    </row>
    <row r="93">
      <c r="A93" s="1"/>
      <c r="B93" s="2" t="s">
        <v>884</v>
      </c>
      <c r="C93" s="20">
        <v>1124.26</v>
      </c>
      <c r="D93" s="20">
        <v>1145.86</v>
      </c>
      <c r="E93" s="20">
        <v>1136.3</v>
      </c>
      <c r="F93" s="20">
        <v>1518.73</v>
      </c>
      <c r="G93" s="1"/>
      <c r="H93" s="20">
        <v>1162.12</v>
      </c>
      <c r="I93" s="20">
        <v>1179.25</v>
      </c>
      <c r="J93" s="1"/>
      <c r="K93" s="141" t="s">
        <v>879</v>
      </c>
    </row>
    <row r="94">
      <c r="A94" s="1"/>
      <c r="B94" s="2" t="s">
        <v>885</v>
      </c>
      <c r="C94" s="20">
        <v>1112.06</v>
      </c>
      <c r="D94" s="20">
        <v>1145.14</v>
      </c>
      <c r="E94" s="20">
        <v>1147.05</v>
      </c>
      <c r="F94" s="20">
        <v>1535.74</v>
      </c>
      <c r="G94" s="1"/>
      <c r="H94" s="20">
        <v>1150.59</v>
      </c>
      <c r="I94" s="20">
        <v>1194.43</v>
      </c>
      <c r="J94" s="1"/>
      <c r="K94" s="141" t="s">
        <v>879</v>
      </c>
    </row>
    <row r="95" ht="27.75">
      <c r="A95" s="1"/>
      <c r="B95" s="140" t="s">
        <v>886</v>
      </c>
      <c r="C95" s="103" t="b">
        <f>C90&gt;C89</f>
        <v>1</v>
      </c>
      <c r="D95" s="103" t="b">
        <f>D90&gt;D89</f>
        <v>0</v>
      </c>
      <c r="E95" s="103" t="b">
        <f>E90&gt;E89</f>
        <v>1</v>
      </c>
      <c r="F95" s="103" t="b">
        <f>F90&gt;F89</f>
        <v>0</v>
      </c>
      <c r="G95" s="1"/>
      <c r="H95" s="103" t="b">
        <f>H90&gt;H89</f>
        <v>0</v>
      </c>
      <c r="I95" s="103" t="b">
        <f>I90&gt;I89</f>
        <v>0</v>
      </c>
      <c r="J95" s="1"/>
      <c r="K95" s="1"/>
    </row>
    <row r="96" ht="27.75">
      <c r="A96" s="1"/>
      <c r="B96" s="144" t="s">
        <v>887</v>
      </c>
      <c r="C96" s="39">
        <f>C90-C89</f>
        <v>0.2599999999999998</v>
      </c>
      <c r="D96" s="39">
        <f>D90-D89</f>
        <v>-0.1499999999999999</v>
      </c>
      <c r="E96" s="39">
        <f>E90-E89</f>
        <v>0.1200000000000001</v>
      </c>
      <c r="F96" s="39">
        <f>F90-F89</f>
        <v>-0.03000000000000025</v>
      </c>
      <c r="G96" s="1"/>
      <c r="H96" s="39">
        <f>H90-H89</f>
        <v>-0.13999999999999968</v>
      </c>
      <c r="I96" s="39">
        <f>I90-I89</f>
        <v>-0.09999999999999964</v>
      </c>
      <c r="J96" s="1"/>
      <c r="K96" s="1"/>
    </row>
    <row r="97">
      <c r="A97" s="1"/>
      <c r="B97" s="6" t="s">
        <v>888</v>
      </c>
      <c r="C97" s="12">
        <f>C96/C89</f>
        <v>0.06388206388206383</v>
      </c>
      <c r="D97" s="12">
        <f>D96/D89</f>
        <v>-0.03787878787878786</v>
      </c>
      <c r="E97" s="12">
        <f>E96/E89</f>
        <v>0.03030303030303033</v>
      </c>
      <c r="F97" s="12">
        <f>F96/F89</f>
        <v>-0.005576208178438708</v>
      </c>
      <c r="G97" s="1"/>
      <c r="H97" s="12">
        <f>H96/H89</f>
        <v>-0.032786885245901565</v>
      </c>
      <c r="I97" s="12">
        <f>I96/I89</f>
        <v>-0.02398081534772174</v>
      </c>
      <c r="J97" s="1"/>
      <c r="K97" s="1"/>
    </row>
    <row r="98" ht="27.75">
      <c r="A98" s="1"/>
      <c r="B98" s="144" t="s">
        <v>889</v>
      </c>
      <c r="C98" s="3">
        <f>C94-C93</f>
        <v>-12.200000000000045</v>
      </c>
      <c r="D98" s="3">
        <f>D94-D93</f>
        <v>-0.7199999999997999</v>
      </c>
      <c r="E98" s="3">
        <f>E94-E93</f>
        <v>10.75</v>
      </c>
      <c r="F98" s="3">
        <f>F94-F93</f>
        <v>17.00999999999999</v>
      </c>
      <c r="G98" s="1"/>
      <c r="H98" s="3">
        <f>H94-H93</f>
        <v>-11.529999999999973</v>
      </c>
      <c r="I98" s="3">
        <f>I94-I93</f>
        <v>15.180000000000064</v>
      </c>
      <c r="J98" s="1"/>
      <c r="K98" s="1"/>
    </row>
    <row r="99" ht="27.75">
      <c r="A99" s="1"/>
      <c r="B99" s="140" t="s">
        <v>890</v>
      </c>
      <c r="C99" s="103" t="b">
        <f>C90=C92</f>
        <v>1</v>
      </c>
      <c r="D99" s="103" t="b">
        <f>D90=D92</f>
        <v>1</v>
      </c>
      <c r="E99" s="103" t="b">
        <f>E90=E92</f>
        <v>1</v>
      </c>
      <c r="F99" s="103" t="b">
        <f>F90=F92</f>
        <v>1</v>
      </c>
      <c r="G99" s="1"/>
      <c r="H99" s="103" t="b">
        <f>H90=H92</f>
        <v>1</v>
      </c>
      <c r="I99" s="103" t="b">
        <f>I90=I92</f>
        <v>1</v>
      </c>
      <c r="J99" s="1"/>
      <c r="K99" s="1"/>
    </row>
    <row r="100" ht="40.5">
      <c r="A100" s="1"/>
      <c r="B100" s="140" t="s">
        <v>891</v>
      </c>
      <c r="C100" s="106">
        <f>C90-'Income Statement'!C91</f>
        <v>0</v>
      </c>
      <c r="D100" s="106">
        <f>D90-'Income Statement'!D91</f>
        <v>0</v>
      </c>
      <c r="E100" s="106">
        <f>E90-'Income Statement'!E91</f>
        <v>0</v>
      </c>
      <c r="F100" s="106">
        <f>F90-'Income Statement'!F91</f>
        <v>0</v>
      </c>
      <c r="G100" s="1"/>
      <c r="H100" s="106">
        <f>H90-'Income Statement'!H91</f>
        <v>0</v>
      </c>
      <c r="I100" s="106">
        <f>I90-'Income Statement'!I91</f>
        <v>0</v>
      </c>
      <c r="J100" s="1"/>
      <c r="K100" s="1"/>
    </row>
    <row r="101" ht="40.5">
      <c r="A101" s="1"/>
      <c r="B101" s="142" t="s">
        <v>892</v>
      </c>
      <c r="C101" s="132" t="s">
        <v>786</v>
      </c>
      <c r="D101" s="1"/>
      <c r="E101" s="1"/>
      <c r="F101" s="1"/>
      <c r="G101" s="1"/>
      <c r="H101" s="1"/>
      <c r="I101" s="1"/>
      <c r="J101" s="1"/>
      <c r="K101" s="1"/>
    </row>
    <row r="102" ht="27.75">
      <c r="A102" s="1"/>
      <c r="B102" s="144" t="s">
        <v>893</v>
      </c>
      <c r="C102" s="20">
        <v>10230</v>
      </c>
      <c r="D102" s="1"/>
      <c r="E102" s="1"/>
      <c r="F102" s="1"/>
      <c r="G102" s="1"/>
      <c r="H102" s="1"/>
      <c r="I102" s="1"/>
      <c r="J102" s="1"/>
      <c r="K102" s="141" t="s">
        <v>894</v>
      </c>
    </row>
    <row r="103" ht="27.75">
      <c r="A103" s="1"/>
      <c r="B103" s="144" t="s">
        <v>895</v>
      </c>
      <c r="C103" s="125" t="str">
        <f>IF(C102&gt;10000,"large",IF(C102&gt;=2000,"mid","small"))</f>
        <v>large</v>
      </c>
      <c r="D103" s="1"/>
      <c r="E103" s="1"/>
      <c r="F103" s="1"/>
      <c r="G103" s="1"/>
      <c r="H103" s="1"/>
      <c r="I103" s="1"/>
      <c r="J103" s="1"/>
      <c r="K103" s="1"/>
    </row>
    <row r="104">
      <c r="A104" s="1"/>
      <c r="B104" s="2" t="s">
        <v>896</v>
      </c>
      <c r="C104" s="125" t="str">
        <f>C14</f>
        <v>Y</v>
      </c>
      <c r="D104" s="1"/>
      <c r="E104" s="1"/>
      <c r="F104" s="1"/>
      <c r="G104" s="1"/>
      <c r="H104" s="1"/>
      <c r="I104" s="1"/>
      <c r="J104" s="1"/>
      <c r="K104" s="141" t="s">
        <v>788</v>
      </c>
    </row>
    <row r="105" ht="40.5">
      <c r="A105" s="1"/>
      <c r="B105" s="144" t="s">
        <v>897</v>
      </c>
      <c r="C105" s="23">
        <f>IF(OR(C103="large",C104="Y"),0.78,IF(C103="mid",0.7,0.6))</f>
        <v>0.78</v>
      </c>
      <c r="D105" s="1"/>
      <c r="E105" s="1"/>
      <c r="F105" s="1"/>
      <c r="G105" s="1"/>
      <c r="H105" s="1"/>
      <c r="I105" s="1"/>
      <c r="J105" s="1"/>
      <c r="K105" s="1"/>
    </row>
    <row r="106" ht="20.25">
      <c r="A106" s="1"/>
      <c r="B106" s="144" t="s">
        <v>898</v>
      </c>
      <c r="C106" s="22">
        <f>(C95=TRUE)+(D95=TRUE)+(E95=TRUE)+(F95=TRUE)+(H95=TRUE)+(I95=TRUE)</f>
        <v>2</v>
      </c>
      <c r="D106" s="1"/>
      <c r="E106" s="1"/>
      <c r="F106" s="1"/>
      <c r="G106" s="1"/>
      <c r="H106" s="1"/>
      <c r="I106" s="1"/>
      <c r="J106" s="1"/>
      <c r="K106" s="1"/>
    </row>
    <row r="107" ht="27.75">
      <c r="A107" s="1"/>
      <c r="B107" s="144" t="s">
        <v>899</v>
      </c>
      <c r="C107" s="22">
        <f>COUNT(C90:I90)</f>
        <v>6</v>
      </c>
      <c r="D107" s="1"/>
      <c r="E107" s="1"/>
      <c r="F107" s="1"/>
      <c r="G107" s="1"/>
      <c r="H107" s="1"/>
      <c r="I107" s="1"/>
      <c r="J107" s="1"/>
      <c r="K107" s="1"/>
    </row>
    <row r="108" ht="27.75">
      <c r="A108" s="1"/>
      <c r="B108" s="144" t="s">
        <v>900</v>
      </c>
      <c r="C108" s="32">
        <v>8</v>
      </c>
      <c r="D108" s="1"/>
      <c r="E108" s="1"/>
      <c r="F108" s="1"/>
      <c r="G108" s="1"/>
      <c r="H108" s="1"/>
      <c r="I108" s="1"/>
      <c r="J108" s="1"/>
      <c r="K108" s="141" t="s">
        <v>901</v>
      </c>
    </row>
    <row r="109" ht="27.75">
      <c r="A109" s="1"/>
      <c r="B109" s="140" t="s">
        <v>902</v>
      </c>
      <c r="C109" s="12">
        <f>(C108*C105+C106)/(C108+C107)</f>
        <v>0.5885714285714286</v>
      </c>
      <c r="D109" s="1"/>
      <c r="E109" s="1"/>
      <c r="F109" s="1"/>
      <c r="G109" s="1"/>
      <c r="H109" s="1"/>
      <c r="I109" s="1"/>
      <c r="J109" s="1"/>
      <c r="K109" s="1"/>
    </row>
    <row r="110" ht="40.5">
      <c r="A110" s="1"/>
      <c r="B110" s="140" t="s">
        <v>903</v>
      </c>
      <c r="C110" s="36">
        <v>-0.06</v>
      </c>
      <c r="D110" s="1"/>
      <c r="E110" s="1"/>
      <c r="F110" s="1"/>
      <c r="G110" s="1"/>
      <c r="H110" s="1"/>
      <c r="I110" s="1"/>
      <c r="J110" s="1"/>
      <c r="K110" s="141" t="s">
        <v>904</v>
      </c>
    </row>
    <row r="111" ht="40.5">
      <c r="A111" s="1"/>
      <c r="B111" s="140" t="s">
        <v>905</v>
      </c>
      <c r="C111" s="36">
        <v>-0.12</v>
      </c>
      <c r="D111" s="1"/>
      <c r="E111" s="1"/>
      <c r="F111" s="1"/>
      <c r="G111" s="1"/>
      <c r="H111" s="1"/>
      <c r="I111" s="1"/>
      <c r="J111" s="1"/>
      <c r="K111" s="141" t="s">
        <v>906</v>
      </c>
    </row>
    <row r="112" ht="40.5">
      <c r="A112" s="1"/>
      <c r="B112" s="140" t="s">
        <v>907</v>
      </c>
      <c r="C112" s="36">
        <v>0.03</v>
      </c>
      <c r="D112" s="1"/>
      <c r="E112" s="1"/>
      <c r="F112" s="1"/>
      <c r="G112" s="1"/>
      <c r="H112" s="1"/>
      <c r="I112" s="1"/>
      <c r="J112" s="1"/>
      <c r="K112" s="141" t="s">
        <v>908</v>
      </c>
    </row>
    <row r="113" ht="27.75">
      <c r="A113" s="1"/>
      <c r="B113" s="140" t="s">
        <v>909</v>
      </c>
      <c r="C113" s="36">
        <v>-0.02</v>
      </c>
      <c r="D113" s="1"/>
      <c r="E113" s="1"/>
      <c r="F113" s="1"/>
      <c r="G113" s="1"/>
      <c r="H113" s="1"/>
      <c r="I113" s="1"/>
      <c r="J113" s="1"/>
      <c r="K113" s="141" t="s">
        <v>910</v>
      </c>
    </row>
    <row r="114" ht="27.75">
      <c r="A114" s="1"/>
      <c r="B114" s="156" t="s">
        <v>911</v>
      </c>
      <c r="C114" s="127">
        <f>ROUND(C109+SUM(C110:C113),2)</f>
        <v>0.42</v>
      </c>
      <c r="D114" s="1"/>
      <c r="E114" s="1"/>
      <c r="F114" s="1"/>
      <c r="G114" s="1"/>
      <c r="H114" s="1"/>
      <c r="I114" s="1"/>
      <c r="J114" s="1"/>
      <c r="K114" s="1"/>
    </row>
    <row r="115" ht="27.75">
      <c r="A115" s="1"/>
      <c r="B115" s="13" t="s">
        <v>53</v>
      </c>
      <c r="C115" s="124" t="s">
        <v>912</v>
      </c>
      <c r="D115" s="1"/>
      <c r="E115" s="1"/>
      <c r="F115" s="1"/>
      <c r="G115" s="1"/>
      <c r="H115" s="1"/>
      <c r="I115" s="1"/>
      <c r="J115" s="1"/>
      <c r="K115" s="141" t="s">
        <v>913</v>
      </c>
    </row>
    <row r="116">
      <c r="A116" s="1"/>
      <c r="B116" s="2" t="s">
        <v>914</v>
      </c>
      <c r="C116" s="39">
        <f>AVERAGE(C96:I96)</f>
        <v>-0.006666666666666599</v>
      </c>
      <c r="D116" s="1"/>
      <c r="E116" s="1"/>
      <c r="F116" s="1"/>
      <c r="G116" s="1"/>
      <c r="H116" s="1"/>
      <c r="I116" s="1"/>
      <c r="J116" s="1"/>
      <c r="K116" s="1"/>
    </row>
    <row r="117" ht="27.75">
      <c r="A117" s="1"/>
      <c r="B117" s="144" t="s">
        <v>915</v>
      </c>
      <c r="C117" s="39">
        <f>STDEV(C96:I96)</f>
        <v>0.16415439886480843</v>
      </c>
      <c r="D117" s="1"/>
      <c r="E117" s="1"/>
      <c r="F117" s="1"/>
      <c r="G117" s="1"/>
      <c r="H117" s="1"/>
      <c r="I117" s="1"/>
      <c r="J117" s="1"/>
      <c r="K117" s="1"/>
    </row>
    <row r="118" ht="27.75">
      <c r="A118" s="1"/>
      <c r="B118" s="144" t="s">
        <v>916</v>
      </c>
      <c r="C118" s="39">
        <f>(ABS(C96)+ABS(D96)+ABS(E96)+ABS(F96)+ABS(H96)+ABS(I96))/COUNT(C96:F96,H96:I96)</f>
        <v>0.13333333333333322</v>
      </c>
      <c r="D118" s="1"/>
      <c r="E118" s="1"/>
      <c r="F118" s="1"/>
      <c r="G118" s="1"/>
      <c r="H118" s="1"/>
      <c r="I118" s="1"/>
      <c r="J118" s="1"/>
      <c r="K118" s="1"/>
    </row>
    <row r="119" ht="27.75">
      <c r="A119" s="1"/>
      <c r="B119" s="144" t="s">
        <v>917</v>
      </c>
      <c r="C119" s="39">
        <f>E96</f>
        <v>0.1200000000000001</v>
      </c>
      <c r="D119" s="1"/>
      <c r="E119" s="1"/>
      <c r="F119" s="1"/>
      <c r="G119" s="1"/>
      <c r="H119" s="1"/>
      <c r="I119" s="1"/>
      <c r="J119" s="1"/>
      <c r="K119" s="1"/>
    </row>
    <row r="120" ht="53.25">
      <c r="A120" s="1"/>
      <c r="B120" s="142" t="s">
        <v>918</v>
      </c>
      <c r="C120" s="132" t="s">
        <v>786</v>
      </c>
      <c r="D120" s="1"/>
      <c r="E120" s="1"/>
      <c r="F120" s="1"/>
      <c r="G120" s="1"/>
      <c r="H120" s="1"/>
      <c r="I120" s="1"/>
      <c r="J120" s="1"/>
      <c r="K120" s="1"/>
    </row>
    <row r="121" ht="27.75">
      <c r="A121" s="1"/>
      <c r="B121" s="144" t="s">
        <v>919</v>
      </c>
      <c r="C121" s="39">
        <f>C21</f>
        <v>4.38</v>
      </c>
      <c r="D121" s="1"/>
      <c r="E121" s="1"/>
      <c r="F121" s="1"/>
      <c r="G121" s="1"/>
      <c r="H121" s="1"/>
      <c r="I121" s="1"/>
      <c r="J121" s="1"/>
      <c r="K121" s="141" t="s">
        <v>920</v>
      </c>
    </row>
    <row r="122">
      <c r="A122" s="1"/>
      <c r="B122" s="2" t="s">
        <v>921</v>
      </c>
      <c r="C122" s="3">
        <f>C37</f>
        <v>1172.63</v>
      </c>
      <c r="D122" s="1"/>
      <c r="E122" s="1"/>
      <c r="F122" s="1"/>
      <c r="G122" s="1"/>
      <c r="H122" s="1"/>
      <c r="I122" s="1"/>
      <c r="J122" s="1"/>
      <c r="K122" s="141" t="s">
        <v>788</v>
      </c>
    </row>
    <row r="123" ht="27.75">
      <c r="A123" s="1"/>
      <c r="B123" s="144" t="s">
        <v>922</v>
      </c>
      <c r="C123" s="3">
        <f>C50</f>
        <v>145.08</v>
      </c>
      <c r="D123" s="1"/>
      <c r="E123" s="1"/>
      <c r="F123" s="1"/>
      <c r="G123" s="1"/>
      <c r="H123" s="1"/>
      <c r="I123" s="1"/>
      <c r="J123" s="1"/>
      <c r="K123" s="141" t="s">
        <v>788</v>
      </c>
    </row>
    <row r="124" ht="27.75">
      <c r="A124" s="1"/>
      <c r="B124" s="144" t="s">
        <v>923</v>
      </c>
      <c r="C124" s="39">
        <f>C30</f>
        <v>4.39</v>
      </c>
      <c r="D124" s="1"/>
      <c r="E124" s="1"/>
      <c r="F124" s="1"/>
      <c r="G124" s="1"/>
      <c r="H124" s="1"/>
      <c r="I124" s="1"/>
      <c r="J124" s="1"/>
      <c r="K124" s="141" t="s">
        <v>788</v>
      </c>
    </row>
    <row r="125" ht="27.75">
      <c r="A125" s="1"/>
      <c r="B125" s="144" t="s">
        <v>924</v>
      </c>
      <c r="C125" s="101">
        <v>4.33</v>
      </c>
      <c r="D125" s="1"/>
      <c r="E125" s="1"/>
      <c r="F125" s="1"/>
      <c r="G125" s="1"/>
      <c r="H125" s="1"/>
      <c r="I125" s="1"/>
      <c r="J125" s="1"/>
      <c r="K125" s="141" t="s">
        <v>925</v>
      </c>
    </row>
    <row r="126" ht="27.75">
      <c r="A126" s="1"/>
      <c r="B126" s="144" t="s">
        <v>926</v>
      </c>
      <c r="C126" s="101">
        <v>4.36</v>
      </c>
      <c r="D126" s="1"/>
      <c r="E126" s="1"/>
      <c r="F126" s="1"/>
      <c r="G126" s="1"/>
      <c r="H126" s="1"/>
      <c r="I126" s="1"/>
      <c r="J126" s="1"/>
      <c r="K126" s="141" t="s">
        <v>925</v>
      </c>
    </row>
    <row r="127" ht="27.75">
      <c r="A127" s="1"/>
      <c r="B127" s="144" t="s">
        <v>927</v>
      </c>
      <c r="C127" s="101">
        <v>4.4</v>
      </c>
      <c r="D127" s="1"/>
      <c r="E127" s="1"/>
      <c r="F127" s="1"/>
      <c r="G127" s="1"/>
      <c r="H127" s="1"/>
      <c r="I127" s="1"/>
      <c r="J127" s="1"/>
      <c r="K127" s="141" t="s">
        <v>928</v>
      </c>
    </row>
    <row r="128" ht="27.75">
      <c r="A128" s="1"/>
      <c r="B128" s="144" t="s">
        <v>929</v>
      </c>
      <c r="C128" s="101">
        <v>4.39</v>
      </c>
      <c r="D128" s="1"/>
      <c r="E128" s="1"/>
      <c r="F128" s="1"/>
      <c r="G128" s="1"/>
      <c r="H128" s="1"/>
      <c r="I128" s="1"/>
      <c r="J128" s="1"/>
      <c r="K128" s="141" t="s">
        <v>930</v>
      </c>
    </row>
    <row r="129">
      <c r="A129" s="1"/>
      <c r="B129" s="1"/>
      <c r="C129" s="1"/>
      <c r="D129" s="1"/>
      <c r="E129" s="1"/>
      <c r="F129" s="1"/>
      <c r="G129" s="1"/>
      <c r="H129" s="1"/>
      <c r="I129" s="1"/>
      <c r="J129" s="1"/>
      <c r="K129" s="1"/>
    </row>
    <row r="130">
      <c r="A130" s="1"/>
      <c r="B130" s="1"/>
      <c r="C130" s="1"/>
      <c r="D130" s="1"/>
      <c r="E130" s="1"/>
      <c r="F130" s="1"/>
      <c r="G130" s="1"/>
      <c r="H130" s="1"/>
      <c r="I130" s="1"/>
      <c r="J130" s="1"/>
      <c r="K130" s="1"/>
    </row>
    <row r="131">
      <c r="A131" s="1"/>
      <c r="B131" s="1"/>
      <c r="C131" s="1"/>
      <c r="D131" s="1"/>
      <c r="E131" s="1"/>
      <c r="F131" s="1"/>
      <c r="G131" s="1"/>
      <c r="H131" s="1"/>
      <c r="I131" s="1"/>
      <c r="J131" s="1"/>
      <c r="K131" s="1"/>
    </row>
  </sheetData>
  <legacyDrawing r:id="rId2"/>
</worksheet>
</file>

<file path=xl/worksheets/sheet13.xml><?xml version="1.0" encoding="utf-8"?>
<worksheet xmlns="http://schemas.openxmlformats.org/spreadsheetml/2006/main" xmlns:r="http://schemas.openxmlformats.org/officeDocument/2006/relationships">
  <dimension ref="A1:K49"/>
  <sheetViews>
    <sheetView showGridLines="0" workbookViewId="0"/>
  </sheetViews>
  <sheetFormatPr defaultColWidth="8.42578125" defaultRowHeight="15"/>
  <cols>
    <col min="1" max="1" width="2" customWidth="1"/>
    <col min="2" max="2" width="32" customWidth="1"/>
    <col min="3" max="3" width="12" customWidth="1"/>
    <col min="4" max="4" width="22" customWidth="1"/>
    <col min="5" max="5" width="64" customWidth="1"/>
    <col min="6" max="10" width="12" customWidth="1"/>
    <col min="11" max="11" width="60" customWidth="1"/>
  </cols>
  <sheetData>
    <row r="1">
      <c r="A1" s="1"/>
      <c r="B1" s="61" t="s">
        <v>0</v>
      </c>
      <c r="C1" s="1"/>
      <c r="D1" s="1"/>
      <c r="E1" s="1"/>
      <c r="F1" s="1"/>
      <c r="G1" s="1"/>
      <c r="H1" s="1"/>
      <c r="I1" s="1"/>
      <c r="J1" s="1"/>
      <c r="K1" s="1"/>
    </row>
    <row r="2">
      <c r="A2" s="1"/>
      <c r="B2" s="13" t="s">
        <v>931</v>
      </c>
      <c r="C2" s="1"/>
      <c r="D2" s="1"/>
      <c r="E2" s="1"/>
      <c r="F2" s="1"/>
      <c r="G2" s="1"/>
      <c r="H2" s="1"/>
      <c r="I2" s="1"/>
      <c r="J2" s="1"/>
      <c r="K2" s="1"/>
    </row>
    <row r="3">
      <c r="A3" s="1"/>
      <c r="B3" s="70" t="s">
        <v>2</v>
      </c>
      <c r="C3" s="1"/>
      <c r="D3" s="1"/>
      <c r="E3" s="1"/>
      <c r="F3" s="1"/>
      <c r="G3" s="1"/>
      <c r="H3" s="1"/>
      <c r="I3" s="1"/>
      <c r="J3" s="1"/>
      <c r="K3" s="1"/>
    </row>
    <row r="4">
      <c r="A4" s="1"/>
      <c r="B4" s="1"/>
      <c r="C4" s="1"/>
      <c r="D4" s="1"/>
      <c r="E4" s="1"/>
      <c r="F4" s="1"/>
      <c r="G4" s="1"/>
      <c r="H4" s="1"/>
      <c r="I4" s="1"/>
      <c r="J4" s="1"/>
      <c r="K4" s="1"/>
    </row>
    <row r="5">
      <c r="A5" s="1"/>
      <c r="B5" s="56" t="s">
        <v>3</v>
      </c>
      <c r="C5" s="16" t="s">
        <v>4</v>
      </c>
      <c r="D5" s="16" t="s">
        <v>5</v>
      </c>
      <c r="E5" s="16" t="s">
        <v>6</v>
      </c>
      <c r="F5" s="16" t="s">
        <v>7</v>
      </c>
      <c r="G5" s="16" t="s">
        <v>8</v>
      </c>
      <c r="H5" s="16" t="s">
        <v>9</v>
      </c>
      <c r="I5" s="16" t="s">
        <v>10</v>
      </c>
      <c r="J5" s="14" t="s">
        <v>11</v>
      </c>
      <c r="K5" s="145" t="s">
        <v>12</v>
      </c>
    </row>
    <row r="6">
      <c r="A6" s="1"/>
      <c r="B6" s="49" t="s">
        <v>13</v>
      </c>
      <c r="C6" s="10">
        <f>DATE(2025,3,23)</f>
        <v>45739</v>
      </c>
      <c r="D6" s="10">
        <f>DATE(2025,6,15)</f>
        <v>45823</v>
      </c>
      <c r="E6" s="10">
        <f>DATE(2025,9,7)</f>
        <v>45907</v>
      </c>
      <c r="F6" s="10">
        <f>DATE(2025,12,28)</f>
        <v>46019</v>
      </c>
      <c r="G6" s="10">
        <f>DATE(2025,12,28)</f>
        <v>46019</v>
      </c>
      <c r="H6" s="10">
        <f>DATE(2026,3,22)</f>
        <v>46103</v>
      </c>
      <c r="I6" s="10">
        <f>DATE(2026,6,14)</f>
        <v>46187</v>
      </c>
      <c r="J6" s="54">
        <f>DATE(2026,9,6)</f>
        <v>46271</v>
      </c>
      <c r="K6" s="34"/>
    </row>
    <row r="7">
      <c r="A7" s="1"/>
      <c r="B7" s="5" t="s">
        <v>14</v>
      </c>
      <c r="C7" s="28">
        <f>C6-DATE(2024,12,29)</f>
        <v>84</v>
      </c>
      <c r="D7" s="28">
        <f>D6-C6</f>
        <v>84</v>
      </c>
      <c r="E7" s="28">
        <f>E6-D6</f>
        <v>84</v>
      </c>
      <c r="F7" s="28">
        <f>F6-E6</f>
        <v>112</v>
      </c>
      <c r="G7" s="28">
        <f>G6-DATE(2024,12,29)</f>
        <v>364</v>
      </c>
      <c r="H7" s="28">
        <f>H6-F6</f>
        <v>84</v>
      </c>
      <c r="I7" s="28">
        <f>I6-H6</f>
        <v>84</v>
      </c>
      <c r="J7" s="19">
        <f>J6-I6</f>
        <v>84</v>
      </c>
      <c r="K7" s="75"/>
    </row>
    <row r="8">
      <c r="A8" s="1"/>
      <c r="B8" s="131" t="s">
        <v>932</v>
      </c>
      <c r="C8" s="1"/>
      <c r="D8" s="1"/>
      <c r="E8" s="1"/>
      <c r="F8" s="1"/>
      <c r="G8" s="1"/>
      <c r="H8" s="1"/>
      <c r="I8" s="1"/>
      <c r="J8" s="1"/>
      <c r="K8" s="1"/>
    </row>
    <row r="9">
      <c r="A9" s="1"/>
      <c r="B9" s="13" t="s">
        <v>933</v>
      </c>
      <c r="C9" s="135" t="s">
        <v>934</v>
      </c>
      <c r="D9" s="55" t="s">
        <v>935</v>
      </c>
      <c r="E9" s="55" t="s">
        <v>936</v>
      </c>
      <c r="F9" s="1"/>
      <c r="G9" s="1"/>
      <c r="H9" s="1"/>
      <c r="I9" s="1"/>
      <c r="J9" s="1"/>
      <c r="K9" s="1"/>
    </row>
    <row r="10" ht="40.5">
      <c r="A10" s="1"/>
      <c r="B10" s="142" t="s">
        <v>937</v>
      </c>
      <c r="C10" s="48">
        <v>46306</v>
      </c>
      <c r="D10" s="159" t="s">
        <v>938</v>
      </c>
      <c r="E10" s="159" t="s">
        <v>939</v>
      </c>
      <c r="F10" s="1"/>
      <c r="G10" s="1"/>
      <c r="H10" s="1"/>
      <c r="I10" s="1"/>
      <c r="J10" s="1"/>
      <c r="K10" s="141" t="s">
        <v>940</v>
      </c>
    </row>
    <row r="11" ht="40.5">
      <c r="A11" s="1"/>
      <c r="B11" s="142" t="s">
        <v>941</v>
      </c>
      <c r="C11" s="48">
        <v>46306</v>
      </c>
      <c r="D11" s="159" t="s">
        <v>938</v>
      </c>
      <c r="E11" s="159" t="s">
        <v>942</v>
      </c>
      <c r="F11" s="1"/>
      <c r="G11" s="1"/>
      <c r="H11" s="1"/>
      <c r="I11" s="1"/>
      <c r="J11" s="1"/>
      <c r="K11" s="141" t="s">
        <v>943</v>
      </c>
    </row>
    <row r="12" ht="40.5">
      <c r="A12" s="1"/>
      <c r="B12" s="142" t="s">
        <v>944</v>
      </c>
      <c r="C12" s="48">
        <v>45775</v>
      </c>
      <c r="D12" s="159" t="s">
        <v>945</v>
      </c>
      <c r="E12" s="159" t="s">
        <v>946</v>
      </c>
      <c r="F12" s="1"/>
      <c r="G12" s="1"/>
      <c r="H12" s="1"/>
      <c r="I12" s="1"/>
      <c r="J12" s="1"/>
      <c r="K12" s="141" t="s">
        <v>947</v>
      </c>
    </row>
    <row r="13" ht="40.5">
      <c r="A13" s="1"/>
      <c r="B13" s="142" t="s">
        <v>948</v>
      </c>
      <c r="C13" s="48">
        <v>45859</v>
      </c>
      <c r="D13" s="159" t="s">
        <v>945</v>
      </c>
      <c r="E13" s="159" t="s">
        <v>949</v>
      </c>
      <c r="F13" s="1"/>
      <c r="G13" s="1"/>
      <c r="H13" s="1"/>
      <c r="I13" s="1"/>
      <c r="J13" s="1"/>
      <c r="K13" s="141" t="s">
        <v>950</v>
      </c>
    </row>
    <row r="14" ht="40.5">
      <c r="A14" s="1"/>
      <c r="B14" s="142" t="s">
        <v>951</v>
      </c>
      <c r="C14" s="48">
        <v>45944</v>
      </c>
      <c r="D14" s="159" t="s">
        <v>945</v>
      </c>
      <c r="E14" s="159" t="s">
        <v>952</v>
      </c>
      <c r="F14" s="1"/>
      <c r="G14" s="1"/>
      <c r="H14" s="1"/>
      <c r="I14" s="1"/>
      <c r="J14" s="1"/>
      <c r="K14" s="141" t="s">
        <v>953</v>
      </c>
    </row>
    <row r="15" ht="40.5">
      <c r="A15" s="1"/>
      <c r="B15" s="142" t="s">
        <v>954</v>
      </c>
      <c r="C15" s="48">
        <v>46076</v>
      </c>
      <c r="D15" s="159" t="s">
        <v>945</v>
      </c>
      <c r="E15" s="159" t="s">
        <v>955</v>
      </c>
      <c r="F15" s="1"/>
      <c r="G15" s="1"/>
      <c r="H15" s="1"/>
      <c r="I15" s="1"/>
      <c r="J15" s="1"/>
      <c r="K15" s="141" t="s">
        <v>956</v>
      </c>
    </row>
    <row r="16" ht="53.25">
      <c r="A16" s="1"/>
      <c r="B16" s="142" t="s">
        <v>957</v>
      </c>
      <c r="C16" s="48">
        <v>46076</v>
      </c>
      <c r="D16" s="159" t="s">
        <v>945</v>
      </c>
      <c r="E16" s="159" t="s">
        <v>958</v>
      </c>
      <c r="F16" s="1"/>
      <c r="G16" s="1"/>
      <c r="H16" s="1"/>
      <c r="I16" s="1"/>
      <c r="J16" s="1"/>
      <c r="K16" s="141" t="s">
        <v>959</v>
      </c>
    </row>
    <row r="17" ht="40.5">
      <c r="A17" s="1"/>
      <c r="B17" s="142" t="s">
        <v>960</v>
      </c>
      <c r="C17" s="48">
        <v>46139</v>
      </c>
      <c r="D17" s="159" t="s">
        <v>945</v>
      </c>
      <c r="E17" s="159" t="s">
        <v>961</v>
      </c>
      <c r="F17" s="1"/>
      <c r="G17" s="1"/>
      <c r="H17" s="1"/>
      <c r="I17" s="1"/>
      <c r="J17" s="1"/>
      <c r="K17" s="141" t="s">
        <v>962</v>
      </c>
    </row>
    <row r="18" ht="40.5">
      <c r="A18" s="1"/>
      <c r="B18" s="7" t="s">
        <v>963</v>
      </c>
      <c r="C18" s="48">
        <v>46223</v>
      </c>
      <c r="D18" s="159" t="s">
        <v>945</v>
      </c>
      <c r="E18" s="159" t="s">
        <v>964</v>
      </c>
      <c r="F18" s="1"/>
      <c r="G18" s="1"/>
      <c r="H18" s="1"/>
      <c r="I18" s="1"/>
      <c r="J18" s="1"/>
      <c r="K18" s="141" t="s">
        <v>965</v>
      </c>
    </row>
    <row r="19" ht="40.5">
      <c r="A19" s="1"/>
      <c r="B19" s="142" t="s">
        <v>966</v>
      </c>
      <c r="C19" s="48">
        <v>46223</v>
      </c>
      <c r="D19" s="159" t="s">
        <v>945</v>
      </c>
      <c r="E19" s="159" t="s">
        <v>967</v>
      </c>
      <c r="F19" s="1"/>
      <c r="G19" s="1"/>
      <c r="H19" s="1"/>
      <c r="I19" s="1"/>
      <c r="J19" s="1"/>
      <c r="K19" s="141" t="s">
        <v>968</v>
      </c>
    </row>
    <row r="20" ht="26.25">
      <c r="A20" s="1"/>
      <c r="B20" s="7" t="s">
        <v>969</v>
      </c>
      <c r="C20" s="48">
        <v>46223</v>
      </c>
      <c r="D20" s="159" t="s">
        <v>970</v>
      </c>
      <c r="E20" s="159" t="s">
        <v>971</v>
      </c>
      <c r="F20" s="1"/>
      <c r="G20" s="1"/>
      <c r="H20" s="1"/>
      <c r="I20" s="1"/>
      <c r="J20" s="1"/>
      <c r="K20" s="141" t="s">
        <v>972</v>
      </c>
    </row>
    <row r="21" ht="27.75">
      <c r="A21" s="1"/>
      <c r="B21" s="142" t="s">
        <v>973</v>
      </c>
      <c r="C21" s="48">
        <v>46076</v>
      </c>
      <c r="D21" s="159" t="s">
        <v>974</v>
      </c>
      <c r="E21" s="159" t="s">
        <v>975</v>
      </c>
      <c r="F21" s="1"/>
      <c r="G21" s="1"/>
      <c r="H21" s="1"/>
      <c r="I21" s="1"/>
      <c r="J21" s="1"/>
      <c r="K21" s="141" t="s">
        <v>976</v>
      </c>
    </row>
    <row r="22" ht="37.5">
      <c r="A22" s="1"/>
      <c r="B22" s="142" t="s">
        <v>977</v>
      </c>
      <c r="C22" s="48">
        <v>46076</v>
      </c>
      <c r="D22" s="159" t="s">
        <v>974</v>
      </c>
      <c r="E22" s="159" t="s">
        <v>978</v>
      </c>
      <c r="F22" s="1"/>
      <c r="G22" s="1"/>
      <c r="H22" s="1"/>
      <c r="I22" s="1"/>
      <c r="J22" s="1"/>
      <c r="K22" s="141" t="s">
        <v>979</v>
      </c>
    </row>
    <row r="23" ht="37.5">
      <c r="A23" s="1"/>
      <c r="B23" s="142" t="s">
        <v>980</v>
      </c>
      <c r="C23" s="48">
        <v>46301</v>
      </c>
      <c r="D23" s="159" t="s">
        <v>981</v>
      </c>
      <c r="E23" s="159" t="s">
        <v>982</v>
      </c>
      <c r="F23" s="1"/>
      <c r="G23" s="1"/>
      <c r="H23" s="1"/>
      <c r="I23" s="1"/>
      <c r="J23" s="1"/>
      <c r="K23" s="141" t="s">
        <v>983</v>
      </c>
    </row>
    <row r="24" ht="26.25">
      <c r="A24" s="1"/>
      <c r="B24" s="7" t="s">
        <v>984</v>
      </c>
      <c r="C24" s="48">
        <v>46301</v>
      </c>
      <c r="D24" s="159" t="s">
        <v>985</v>
      </c>
      <c r="E24" s="159" t="s">
        <v>986</v>
      </c>
      <c r="F24" s="1"/>
      <c r="G24" s="1"/>
      <c r="H24" s="1"/>
      <c r="I24" s="1"/>
      <c r="J24" s="1"/>
      <c r="K24" s="141" t="s">
        <v>987</v>
      </c>
    </row>
    <row r="25" ht="40.5">
      <c r="A25" s="1"/>
      <c r="B25" s="142" t="s">
        <v>988</v>
      </c>
      <c r="C25" s="48">
        <v>46303</v>
      </c>
      <c r="D25" s="159" t="s">
        <v>989</v>
      </c>
      <c r="E25" s="159" t="s">
        <v>990</v>
      </c>
      <c r="F25" s="1"/>
      <c r="G25" s="1"/>
      <c r="H25" s="1"/>
      <c r="I25" s="1"/>
      <c r="J25" s="1"/>
      <c r="K25" s="141" t="s">
        <v>991</v>
      </c>
    </row>
    <row r="26" ht="40.5">
      <c r="A26" s="1"/>
      <c r="B26" s="7" t="s">
        <v>992</v>
      </c>
      <c r="C26" s="48">
        <v>46300</v>
      </c>
      <c r="D26" s="159" t="s">
        <v>993</v>
      </c>
      <c r="E26" s="159" t="s">
        <v>994</v>
      </c>
      <c r="F26" s="1"/>
      <c r="G26" s="1"/>
      <c r="H26" s="1"/>
      <c r="I26" s="1"/>
      <c r="J26" s="1"/>
      <c r="K26" s="141" t="s">
        <v>995</v>
      </c>
    </row>
    <row r="27" ht="40.5">
      <c r="A27" s="1"/>
      <c r="B27" s="7" t="s">
        <v>996</v>
      </c>
      <c r="C27" s="48">
        <v>46304</v>
      </c>
      <c r="D27" s="159" t="s">
        <v>997</v>
      </c>
      <c r="E27" s="159" t="s">
        <v>998</v>
      </c>
      <c r="F27" s="1"/>
      <c r="G27" s="1"/>
      <c r="H27" s="1"/>
      <c r="I27" s="1"/>
      <c r="J27" s="1"/>
      <c r="K27" s="141" t="s">
        <v>999</v>
      </c>
    </row>
    <row r="28" ht="37.5">
      <c r="A28" s="1"/>
      <c r="B28" s="7" t="s">
        <v>1000</v>
      </c>
      <c r="C28" s="48">
        <v>46294</v>
      </c>
      <c r="D28" s="159" t="s">
        <v>1001</v>
      </c>
      <c r="E28" s="159" t="s">
        <v>1002</v>
      </c>
      <c r="F28" s="1"/>
      <c r="G28" s="1"/>
      <c r="H28" s="1"/>
      <c r="I28" s="1"/>
      <c r="J28" s="1"/>
      <c r="K28" s="141" t="s">
        <v>1003</v>
      </c>
    </row>
    <row r="29" ht="40.5">
      <c r="A29" s="1"/>
      <c r="B29" s="142" t="s">
        <v>1004</v>
      </c>
      <c r="C29" s="48">
        <v>46245</v>
      </c>
      <c r="D29" s="159" t="s">
        <v>1005</v>
      </c>
      <c r="E29" s="159" t="s">
        <v>1006</v>
      </c>
      <c r="F29" s="1"/>
      <c r="G29" s="1"/>
      <c r="H29" s="1"/>
      <c r="I29" s="1"/>
      <c r="J29" s="1"/>
      <c r="K29" s="141" t="s">
        <v>1007</v>
      </c>
    </row>
    <row r="30" ht="40.5">
      <c r="A30" s="1"/>
      <c r="B30" s="142" t="s">
        <v>1008</v>
      </c>
      <c r="C30" s="48">
        <v>46187</v>
      </c>
      <c r="D30" s="159" t="s">
        <v>1009</v>
      </c>
      <c r="E30" s="159" t="s">
        <v>1010</v>
      </c>
      <c r="F30" s="1"/>
      <c r="G30" s="1"/>
      <c r="H30" s="1"/>
      <c r="I30" s="1"/>
      <c r="J30" s="1"/>
      <c r="K30" s="141" t="s">
        <v>1011</v>
      </c>
    </row>
    <row r="31" ht="40.5">
      <c r="A31" s="1"/>
      <c r="B31" s="142" t="s">
        <v>1012</v>
      </c>
      <c r="C31" s="48">
        <v>46268</v>
      </c>
      <c r="D31" s="159" t="s">
        <v>1013</v>
      </c>
      <c r="E31" s="159" t="s">
        <v>1014</v>
      </c>
      <c r="F31" s="1"/>
      <c r="G31" s="1"/>
      <c r="H31" s="1"/>
      <c r="I31" s="1"/>
      <c r="J31" s="1"/>
      <c r="K31" s="141" t="s">
        <v>1015</v>
      </c>
    </row>
    <row r="32" ht="27.75">
      <c r="A32" s="1"/>
      <c r="B32" s="142" t="s">
        <v>1016</v>
      </c>
      <c r="C32" s="48">
        <v>46304</v>
      </c>
      <c r="D32" s="159" t="s">
        <v>970</v>
      </c>
      <c r="E32" s="159" t="s">
        <v>1017</v>
      </c>
      <c r="F32" s="1"/>
      <c r="G32" s="1"/>
      <c r="H32" s="1"/>
      <c r="I32" s="1"/>
      <c r="J32" s="1"/>
      <c r="K32" s="141" t="s">
        <v>1018</v>
      </c>
    </row>
    <row r="33" ht="37.5">
      <c r="A33" s="1"/>
      <c r="B33" s="142" t="s">
        <v>1019</v>
      </c>
      <c r="C33" s="48">
        <v>46280</v>
      </c>
      <c r="D33" s="159" t="s">
        <v>1020</v>
      </c>
      <c r="E33" s="159" t="s">
        <v>1021</v>
      </c>
      <c r="F33" s="1"/>
      <c r="G33" s="1"/>
      <c r="H33" s="1"/>
      <c r="I33" s="1"/>
      <c r="J33" s="1"/>
      <c r="K33" s="141" t="s">
        <v>1022</v>
      </c>
    </row>
    <row r="34" ht="27.75">
      <c r="A34" s="1"/>
      <c r="B34" s="142" t="s">
        <v>1023</v>
      </c>
      <c r="C34" s="48">
        <v>46240</v>
      </c>
      <c r="D34" s="159" t="s">
        <v>1024</v>
      </c>
      <c r="E34" s="159" t="s">
        <v>1025</v>
      </c>
      <c r="F34" s="1"/>
      <c r="G34" s="1"/>
      <c r="H34" s="1"/>
      <c r="I34" s="1"/>
      <c r="J34" s="1"/>
      <c r="K34" s="141" t="s">
        <v>1026</v>
      </c>
    </row>
    <row r="35" ht="27.75">
      <c r="A35" s="1"/>
      <c r="B35" s="142" t="s">
        <v>1027</v>
      </c>
      <c r="C35" s="48">
        <v>46260</v>
      </c>
      <c r="D35" s="159" t="s">
        <v>1028</v>
      </c>
      <c r="E35" s="159" t="s">
        <v>1029</v>
      </c>
      <c r="F35" s="1"/>
      <c r="G35" s="1"/>
      <c r="H35" s="1"/>
      <c r="I35" s="1"/>
      <c r="J35" s="1"/>
      <c r="K35" s="141" t="s">
        <v>1030</v>
      </c>
    </row>
    <row r="36" ht="27.75">
      <c r="A36" s="1"/>
      <c r="B36" s="142" t="s">
        <v>1031</v>
      </c>
      <c r="C36" s="48">
        <v>46269</v>
      </c>
      <c r="D36" s="159" t="s">
        <v>985</v>
      </c>
      <c r="E36" s="159" t="s">
        <v>1032</v>
      </c>
      <c r="F36" s="1"/>
      <c r="G36" s="1"/>
      <c r="H36" s="1"/>
      <c r="I36" s="1"/>
      <c r="J36" s="1"/>
      <c r="K36" s="141" t="s">
        <v>1033</v>
      </c>
    </row>
    <row r="37" ht="40.5">
      <c r="A37" s="1"/>
      <c r="B37" s="142" t="s">
        <v>1034</v>
      </c>
      <c r="C37" s="48">
        <v>46262</v>
      </c>
      <c r="D37" s="159" t="s">
        <v>1035</v>
      </c>
      <c r="E37" s="159" t="s">
        <v>1036</v>
      </c>
      <c r="F37" s="1"/>
      <c r="G37" s="1"/>
      <c r="H37" s="1"/>
      <c r="I37" s="1"/>
      <c r="J37" s="1"/>
      <c r="K37" s="141" t="s">
        <v>1037</v>
      </c>
    </row>
    <row r="38" ht="40.5">
      <c r="A38" s="1"/>
      <c r="B38" s="142" t="s">
        <v>1038</v>
      </c>
      <c r="C38" s="48">
        <v>46076</v>
      </c>
      <c r="D38" s="159" t="s">
        <v>1039</v>
      </c>
      <c r="E38" s="159" t="s">
        <v>1040</v>
      </c>
      <c r="F38" s="1"/>
      <c r="G38" s="1"/>
      <c r="H38" s="1"/>
      <c r="I38" s="1"/>
      <c r="J38" s="1"/>
      <c r="K38" s="141" t="s">
        <v>1041</v>
      </c>
    </row>
    <row r="39" ht="40.5">
      <c r="A39" s="1"/>
      <c r="B39" s="142" t="s">
        <v>1042</v>
      </c>
      <c r="C39" s="48">
        <v>46139</v>
      </c>
      <c r="D39" s="159" t="s">
        <v>1043</v>
      </c>
      <c r="E39" s="159" t="s">
        <v>1044</v>
      </c>
      <c r="F39" s="1"/>
      <c r="G39" s="1"/>
      <c r="H39" s="1"/>
      <c r="I39" s="1"/>
      <c r="J39" s="1"/>
      <c r="K39" s="141" t="s">
        <v>1041</v>
      </c>
    </row>
    <row r="40" ht="27.75">
      <c r="A40" s="1"/>
      <c r="B40" s="142" t="s">
        <v>1045</v>
      </c>
      <c r="C40" s="48">
        <v>45713</v>
      </c>
      <c r="D40" s="159" t="s">
        <v>1046</v>
      </c>
      <c r="E40" s="159" t="s">
        <v>1047</v>
      </c>
      <c r="F40" s="1"/>
      <c r="G40" s="1"/>
      <c r="H40" s="1"/>
      <c r="I40" s="1"/>
      <c r="J40" s="1"/>
      <c r="K40" s="141" t="s">
        <v>1041</v>
      </c>
    </row>
    <row r="41" ht="37.5">
      <c r="A41" s="1"/>
      <c r="B41" s="142" t="s">
        <v>1048</v>
      </c>
      <c r="C41" s="48">
        <v>46275</v>
      </c>
      <c r="D41" s="159" t="s">
        <v>1049</v>
      </c>
      <c r="E41" s="159" t="s">
        <v>1050</v>
      </c>
      <c r="F41" s="1"/>
      <c r="G41" s="1"/>
      <c r="H41" s="1"/>
      <c r="I41" s="1"/>
      <c r="J41" s="1"/>
      <c r="K41" s="141" t="s">
        <v>1051</v>
      </c>
    </row>
    <row r="42">
      <c r="A42" s="1"/>
      <c r="B42" s="7" t="s">
        <v>1052</v>
      </c>
      <c r="C42" s="1"/>
      <c r="D42" s="1"/>
      <c r="E42" s="1"/>
      <c r="F42" s="1"/>
      <c r="G42" s="1"/>
      <c r="H42" s="1"/>
      <c r="I42" s="1"/>
      <c r="J42" s="1"/>
      <c r="K42" s="1"/>
    </row>
    <row r="43" ht="66">
      <c r="A43" s="1"/>
      <c r="B43" s="148" t="s">
        <v>1053</v>
      </c>
      <c r="C43" s="1"/>
      <c r="D43" s="1"/>
      <c r="E43" s="1"/>
      <c r="F43" s="1"/>
      <c r="G43" s="1"/>
      <c r="H43" s="1"/>
      <c r="I43" s="1"/>
      <c r="J43" s="1"/>
      <c r="K43" s="152" t="s">
        <v>1054</v>
      </c>
    </row>
    <row r="44" ht="78.75">
      <c r="A44" s="1"/>
      <c r="B44" s="148" t="s">
        <v>1055</v>
      </c>
      <c r="C44" s="1"/>
      <c r="D44" s="1"/>
      <c r="E44" s="1"/>
      <c r="F44" s="1"/>
      <c r="G44" s="1"/>
      <c r="H44" s="1"/>
      <c r="I44" s="1"/>
      <c r="J44" s="1"/>
      <c r="K44" s="1"/>
    </row>
    <row r="45" ht="53.25">
      <c r="A45" s="1"/>
      <c r="B45" s="148" t="s">
        <v>1056</v>
      </c>
      <c r="C45" s="1"/>
      <c r="D45" s="1"/>
      <c r="E45" s="1"/>
      <c r="F45" s="1"/>
      <c r="G45" s="1"/>
      <c r="H45" s="1"/>
      <c r="I45" s="1"/>
      <c r="J45" s="1"/>
      <c r="K45" s="1"/>
    </row>
    <row r="46" ht="40.5">
      <c r="A46" s="1"/>
      <c r="B46" s="148" t="s">
        <v>1057</v>
      </c>
      <c r="C46" s="1"/>
      <c r="D46" s="1"/>
      <c r="E46" s="1"/>
      <c r="F46" s="1"/>
      <c r="G46" s="1"/>
      <c r="H46" s="1"/>
      <c r="I46" s="1"/>
      <c r="J46" s="1"/>
      <c r="K46" s="1"/>
    </row>
    <row r="47">
      <c r="A47" s="1"/>
      <c r="B47" s="1"/>
      <c r="C47" s="1"/>
      <c r="D47" s="1"/>
      <c r="E47" s="1"/>
      <c r="F47" s="1"/>
      <c r="G47" s="1"/>
      <c r="H47" s="1"/>
      <c r="I47" s="1"/>
      <c r="J47" s="1"/>
      <c r="K47" s="1"/>
    </row>
    <row r="48">
      <c r="A48" s="1"/>
      <c r="B48" s="1"/>
      <c r="C48" s="1"/>
      <c r="D48" s="1"/>
      <c r="E48" s="1"/>
      <c r="F48" s="1"/>
      <c r="G48" s="1"/>
      <c r="H48" s="1"/>
      <c r="I48" s="1"/>
      <c r="J48" s="1"/>
      <c r="K48" s="1"/>
    </row>
    <row r="49">
      <c r="A49" s="1"/>
      <c r="B49" s="1"/>
      <c r="C49" s="1"/>
      <c r="D49" s="1"/>
      <c r="E49" s="1"/>
      <c r="F49" s="1"/>
      <c r="G49" s="1"/>
      <c r="H49" s="1"/>
      <c r="I49" s="1"/>
      <c r="J49" s="1"/>
      <c r="K49" s="1"/>
    </row>
  </sheetData>
</worksheet>
</file>