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Income Statement" sheetId="3" r:id="rId3"/>
    <sheet name="Balance Sheet" sheetId="4" r:id="rId4"/>
    <sheet name="Cash Flow Statement" sheetId="5" r:id="rId5"/>
    <sheet name="Geo" sheetId="6" r:id="rId6"/>
    <sheet name="Share Count" sheetId="7" r:id="rId7"/>
    <sheet name="Guidance" sheetId="8" r:id="rId8"/>
    <sheet name="Sources" sheetId="9" r:id="rId9"/>
    <sheet name="Inputs" sheetId="10" r:id="rId10"/>
  </sheets>
  <calcPr calcId="0"/>
</workbook>
</file>

<file path=xl/sharedStrings.xml><?xml version="1.0" encoding="utf-8"?>
<sst xmlns="http://schemas.openxmlformats.org/spreadsheetml/2006/main" count="1546" uniqueCount="891">
  <si>
    <t>Company Model — built by Shortcut</t>
  </si>
  <si>
    <t>Fastenal Company (NasdaqGS:FAST)</t>
  </si>
  <si>
    <t>$ millions, except per share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</si>
  <si>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</si>
  <si>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</si>
  <si>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</si>
  <si>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</si>
  <si>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</si>
  <si>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</si>
  <si>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</si>
  <si>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</si>
  <si>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</si>
  <si>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Notes / sources</t>
  </si>
  <si>
    <t>Period end</t>
  </si>
  <si>
    <t>Days in period</t>
  </si>
  <si>
    <t>Note: the period strip in rows 6-8 is template navigation only; the tables below are not organised by period columns.</t>
  </si>
  <si>
    <t>Company</t>
  </si>
  <si>
    <t>Fastenal Company</t>
  </si>
  <si>
    <t>Ticker</t>
  </si>
  <si>
    <t>FAST</t>
  </si>
  <si>
    <t>Exchange</t>
  </si>
  <si>
    <t>NasdaqGS (NasdaqGS:FAST)</t>
  </si>
  <si>
    <t>Fiscal year end</t>
  </si>
  <si>
    <t>December 31</t>
  </si>
  <si>
    <t>Forecast period</t>
  </si>
  <si>
    <t>FQ3 2026 - Sep 2026 (CapIQ label); issuer quarter ended September 30, 2026 (calendar quarter)</t>
  </si>
  <si>
    <t>Currency</t>
  </si>
  <si>
    <t>USD</t>
  </si>
  <si>
    <t>EPS basis</t>
  </si>
  <si>
    <t>Normalized diluted EPS per common share (CapIQ); equals GAAP diluted EPS — Fastenal reports no non-GAAP adjustments</t>
  </si>
  <si>
    <t>Information cutoff</t>
  </si>
  <si>
    <t>2026-10-11 22:24 UTC</t>
  </si>
  <si>
    <t>Expected report date</t>
  </si>
  <si>
    <t>2026-10-14 before market open (confirmed on Fastenal IR events calendar, S20)</t>
  </si>
  <si>
    <t>Author</t>
  </si>
  <si>
    <t>Shortcut</t>
  </si>
  <si>
    <t>3Q26E headline</t>
  </si>
  <si>
    <t>Shortcut est.</t>
  </si>
  <si>
    <t>Consensus</t>
  </si>
  <si>
    <t>Variance</t>
  </si>
  <si>
    <t>Variance %</t>
  </si>
  <si>
    <t>Guidance mid</t>
  </si>
  <si>
    <t># estimates</t>
  </si>
  <si>
    <t>Cons. high</t>
  </si>
  <si>
    <t>Cons. low</t>
  </si>
  <si>
    <t>Revenue ($M)</t>
  </si>
  <si>
    <t>Not guided</t>
  </si>
  <si>
    <t>Net income, normalized ($M)</t>
  </si>
  <si>
    <t>Diluted EPS, normalized</t>
  </si>
  <si>
    <t>Net income, GAAP ($M)</t>
  </si>
  <si>
    <t>Diluted EPS, GAAP</t>
  </si>
  <si>
    <t>Overall model check</t>
  </si>
  <si>
    <t>Historical ties to reported data (cols C:I): segments, geo, EPS, total assets, BS balance, OCF, cash. Forecast internal consistency only: 3Q26E BS balance (BS J45) is a rollforward linkage check, not independent evidence for forecast assumptions. Identity memos excluded (cannot fail): IS J58, Geo J44, RS J81, CF J54, Cover C22:C24 links</t>
  </si>
  <si>
    <t>P(beat consensus EPS)</t>
  </si>
  <si>
    <t>Confidence</t>
  </si>
  <si>
    <t>Consensus column = frozen CapIQ snapshot captured 2026-10-11 (scoring baseline). Newer/other snapshots (reference only):</t>
  </si>
  <si>
    <t>Snapshot</t>
  </si>
  <si>
    <t>Date</t>
  </si>
  <si>
    <t>EPS</t>
  </si>
  <si>
    <t>Revenue</t>
  </si>
  <si>
    <t>Earnings Whispers (S23)</t>
  </si>
  <si>
    <t>2026-10-06</t>
  </si>
  <si>
    <t>Simply Wall St / Yahoo (S24)</t>
  </si>
  <si>
    <t>2026-10-10</t>
  </si>
  <si>
    <t>Key drivers: Jul +15.5% and Aug +16.6% daily sales are reported; September assumed +15.5%; gross margin 2Q26 less 15 bp; SG&amp;A +11.0% Y/Y; tax 24.2%.</t>
  </si>
  <si>
    <t>Revenue summary and revenue drivers</t>
  </si>
  <si>
    <t>Net sales</t>
  </si>
  <si>
    <t>Net sales — year-ago quarter</t>
  </si>
  <si>
    <t>S12 (1Q24 = 1,959.4-64.3); S13 (2Q24 = 2,080.3-164.1); S03; S04</t>
  </si>
  <si>
    <t>Net sales (total revenue)</t>
  </si>
  <si>
    <t>Actuals link Inputs!I (CapIQ revenue_m_actual = 10-Q/8-K net sales); 3Q26E = monthly build</t>
  </si>
  <si>
    <t xml:space="preserve">   % Y/Y</t>
  </si>
  <si>
    <t xml:space="preserve">   % Q/Q</t>
  </si>
  <si>
    <t xml:space="preserve">   Sequential change ($)</t>
  </si>
  <si>
    <t xml:space="preserve">   % of total revenue (identity memo)</t>
  </si>
  <si>
    <t>Identity memo: X/X = 100% by construction; not a validation check (excluded from Cover C27)</t>
  </si>
  <si>
    <t>Daily sales rate (DSR) driver</t>
  </si>
  <si>
    <t>Business days — year-ago quarter</t>
  </si>
  <si>
    <t>S12; S13; S03; S04 (FY24 255)</t>
  </si>
  <si>
    <t>Business days (U.S.)</t>
  </si>
  <si>
    <t>S01-S06 performance summary tables; 3Q26E = Jul 22 + Aug 21 + Sep 21</t>
  </si>
  <si>
    <t xml:space="preserve">   Y/Y change (days)</t>
  </si>
  <si>
    <t xml:space="preserve">   Sequential change (days)</t>
  </si>
  <si>
    <t>Daily sales ($M per business day)</t>
  </si>
  <si>
    <t>Issuer definition: net sales / U.S. business days</t>
  </si>
  <si>
    <t xml:space="preserve">   Daily sales — year-ago quarter</t>
  </si>
  <si>
    <t xml:space="preserve">   DSR % Y/Y (calc)</t>
  </si>
  <si>
    <t xml:space="preserve">   DSR % Y/Y (as reported; 3Q26E est.)</t>
  </si>
  <si>
    <t>S12; S13; S03; S04; S05; S01; 3Q26E = model estimate (=J25), not reported</t>
  </si>
  <si>
    <t xml:space="preserve">   Sequential change ($M/day)</t>
  </si>
  <si>
    <t>3Q monthly build (issuer monthly sales releases; September 2026 = assumption)</t>
  </si>
  <si>
    <t>July net sales</t>
  </si>
  <si>
    <t>Inputs section E</t>
  </si>
  <si>
    <t xml:space="preserve">   July business days</t>
  </si>
  <si>
    <t>S07</t>
  </si>
  <si>
    <t xml:space="preserve">   July daily sales</t>
  </si>
  <si>
    <t xml:space="preserve">   July DSR % Y/Y</t>
  </si>
  <si>
    <t>August net sales</t>
  </si>
  <si>
    <t xml:space="preserve">   August business days</t>
  </si>
  <si>
    <t>S08</t>
  </si>
  <si>
    <t xml:space="preserve">   August daily sales</t>
  </si>
  <si>
    <t xml:space="preserve">   August DSR % Y/Y</t>
  </si>
  <si>
    <t xml:space="preserve">   August vs July daily sales % change</t>
  </si>
  <si>
    <t>September net sales</t>
  </si>
  <si>
    <t>3Q25: quarter less Jul and Aug; 3Q26E: DSR x days</t>
  </si>
  <si>
    <t xml:space="preserve">   September business days</t>
  </si>
  <si>
    <t>S11 (Sep-26 21 days, same as Sep-25)</t>
  </si>
  <si>
    <t xml:space="preserve">   September DSR % Y/Y — assumption</t>
  </si>
  <si>
    <t>Assumption: between Baird +15.3% and issuer seasonal benchmark ~+16.8% (S14); Jul +15.5%, Aug +16.6%</t>
  </si>
  <si>
    <t xml:space="preserve">   September daily sales</t>
  </si>
  <si>
    <t xml:space="preserve">   Sep vs Aug daily sales % chg</t>
  </si>
  <si>
    <t xml:space="preserve">   Ref: Baird Sep ADS est. (not used)</t>
  </si>
  <si>
    <t>S14</t>
  </si>
  <si>
    <t xml:space="preserve">   Ref: seasonal benchmark (not used)</t>
  </si>
  <si>
    <t>S14 (Baird: est. ~150bp below benchmark)</t>
  </si>
  <si>
    <t>Quarter net sales — sum of months</t>
  </si>
  <si>
    <t>Growth decomposition — total company</t>
  </si>
  <si>
    <t>Total net sales % Y/Y</t>
  </si>
  <si>
    <t xml:space="preserve">   Selling-day impact</t>
  </si>
  <si>
    <t xml:space="preserve">   FX impact (issuer-disclosed, approx.)</t>
  </si>
  <si>
    <t>S05 (1Q25 -50bp; 1Q26 +60bp); S01 (2Q +10bp); S03; S04; FY25 not disclosed (unavailable); 3Q26E = July-only proxy (Aug-26 currency impact unavailable)</t>
  </si>
  <si>
    <t xml:space="preserve">   M&amp;A / scope impact</t>
  </si>
  <si>
    <t>Explicit zero: no acquisitions or divestitures disclosed in 10-Q/10-K cash flows or notes (S15-S19)</t>
  </si>
  <si>
    <t xml:space="preserve">   Organic growth</t>
  </si>
  <si>
    <t>Formula: (1+Y/Y)/((1+M&amp;A)*(1+FX))-1; FY25 organic unavailable because FY FX impact is not disclosed; 3Q26E uses the July-only FX proxy in J53 (Aug-26 FX unavailable)</t>
  </si>
  <si>
    <t xml:space="preserve">   Organic daily sales growth</t>
  </si>
  <si>
    <t xml:space="preserve">   Pricing contribution (disclosed)</t>
  </si>
  <si>
    <t>S12 1Q25 "not material": 0 is an approximation, not a reported 0.0% (C58 therefore approximates); S13 140-170bp; S03 240-270bp; S04 310-340bp; S05 ~350bp; S01 ~290bp; 3Q26E assumption (call: low-to-mid single digit)</t>
  </si>
  <si>
    <t xml:space="preserve">   Volume / mix (derived)</t>
  </si>
  <si>
    <t>Formula: (1+organic DSR)/(1+price)-1</t>
  </si>
  <si>
    <t>Reported segments (FY2025 10-K Note 10: one reportable segment, U.S.)</t>
  </si>
  <si>
    <t>U.S. (reportable segment)</t>
  </si>
  <si>
    <t>Links Geo tab</t>
  </si>
  <si>
    <t xml:space="preserve">   % of total revenue</t>
  </si>
  <si>
    <t xml:space="preserve">      Change Y/Y (bps)</t>
  </si>
  <si>
    <t xml:space="preserve">      Change Q/Q (bps)</t>
  </si>
  <si>
    <t xml:space="preserve">   FX impact (n/a: USD sales)</t>
  </si>
  <si>
    <t>U.S. sales are USD; explicit zero</t>
  </si>
  <si>
    <t>No acquisitions disclosed</t>
  </si>
  <si>
    <t>Other operating segments</t>
  </si>
  <si>
    <t>Canada, Mexico, C&amp;S America, Europe, Asia, SE Asia; Links Geo tab; below 10% reportable threshold</t>
  </si>
  <si>
    <t xml:space="preserve">   FX / organic: not disclosed</t>
  </si>
  <si>
    <t>Total of segments</t>
  </si>
  <si>
    <t>Check: segments = total revenue</t>
  </si>
  <si>
    <t>TRUE if |segments - net sales| &lt; 0.15; 4Q25 geography is FY less 9M; 0.1 rounding tolerance; J81 (3Q26E) is an identity memo (U.S. residual)</t>
  </si>
  <si>
    <t>Geography: U.S. ~82-83% of sales; three geographies disclosed, so a separate Geo tab is kept.</t>
  </si>
  <si>
    <t>Sales by customer usage — direct (production) vs indirect (MRO); new disclosure from 4Q25 (1Q25/2Q25 restated as comparatives)</t>
  </si>
  <si>
    <t>Growth decomposition for these lines: M&amp;A 0% (no acquisitions); FX not disclosed by line, so organic growth is unavailable; total-company organic growth is shown above.</t>
  </si>
  <si>
    <t>Direct fasteners/hardware — % of sales</t>
  </si>
  <si>
    <t>S05 (1Q26/1Q25); S01 (2Q26/2Q25); S04 (4Q25); 3Q26E = Jul/Aug avg (Inputs E); 3Q25 not disclosed in this format</t>
  </si>
  <si>
    <t xml:space="preserve">   Change Y/Y (bps)</t>
  </si>
  <si>
    <t xml:space="preserve">   Change Q/Q (bps)</t>
  </si>
  <si>
    <t xml:space="preserve">   Net sales ($)</t>
  </si>
  <si>
    <t xml:space="preserve">   DSR % Y/Y (reported; 3Q26E est.)</t>
  </si>
  <si>
    <t>3Q26E = Jul/Aug avg of monthly reported figures (estimate proxy), not 3Q reported</t>
  </si>
  <si>
    <t xml:space="preserve">   % Y/Y (calc)</t>
  </si>
  <si>
    <t>Direct cutting tools — % of sales</t>
  </si>
  <si>
    <t>Direct non-fasteners — % of sales</t>
  </si>
  <si>
    <t>Total direct materials ($)</t>
  </si>
  <si>
    <t>Subtotal of the three direct lines</t>
  </si>
  <si>
    <t xml:space="preserve">   Share of net sales (calc)</t>
  </si>
  <si>
    <t xml:space="preserve">   Share of net sales (reported; 3Q26E est.)</t>
  </si>
  <si>
    <t>Indirect fasteners/hardware — % of sales</t>
  </si>
  <si>
    <t>S05; S01; S04; 3Q26E = Jul/Aug avg</t>
  </si>
  <si>
    <t>Indirect safety — % of sales</t>
  </si>
  <si>
    <t>Indirect other — % of sales</t>
  </si>
  <si>
    <t>Total indirect materials ($)</t>
  </si>
  <si>
    <t>Subtotal of the three indirect lines</t>
  </si>
  <si>
    <t>3Q26E = Jul/Aug avg of monthly reported figures (estimate proxy), not 3Q reported. 1Q26 H140 = 61.1% as printed in S05 (reported); computed component sum H137 = 61.2%; 0.1pt source rounding retained</t>
  </si>
  <si>
    <t>Total customer-usage sales ($)</t>
  </si>
  <si>
    <t xml:space="preserve">   Rounding residual vs net sales</t>
  </si>
  <si>
    <t>Sales by product category — prior disclosure format (through 3Q25)</t>
  </si>
  <si>
    <t>OEM fasteners — % of sales</t>
  </si>
  <si>
    <t>S12 (1Q25); S13 (2Q25); S03 (3Q25); format discontinued from 4Q25</t>
  </si>
  <si>
    <t xml:space="preserve">   Chg Y/Y (bps): n/a, yr-ago outside window</t>
  </si>
  <si>
    <t xml:space="preserve">   DSR % Y/Y (reported)</t>
  </si>
  <si>
    <t xml:space="preserve">   % Y/Y: n/a, yr-ago outside window</t>
  </si>
  <si>
    <t>MRO fasteners — % of sales</t>
  </si>
  <si>
    <t>Total fasteners ($)</t>
  </si>
  <si>
    <t>Subtotal</t>
  </si>
  <si>
    <t xml:space="preserve">      Chg Y/Y (bps): n/a, yr-ago outside window</t>
  </si>
  <si>
    <t xml:space="preserve">   Share of net sales (reported)</t>
  </si>
  <si>
    <t>Safety supplies — % of sales</t>
  </si>
  <si>
    <t>S12; S13; S03</t>
  </si>
  <si>
    <t>Other product lines — % of sales</t>
  </si>
  <si>
    <t>Total non-fasteners ($)</t>
  </si>
  <si>
    <t>Sales by end market</t>
  </si>
  <si>
    <t>Heavy manufacturing — % of sales</t>
  </si>
  <si>
    <t>S05; S01; S03; S04; 3Q26E = Jul/Aug avg</t>
  </si>
  <si>
    <t>Other manufacturing — % of sales</t>
  </si>
  <si>
    <t>Total manufacturing ($)</t>
  </si>
  <si>
    <t>3Q26E = estimate (sum of Jul/Aug-avg end-market shares), not reported</t>
  </si>
  <si>
    <t>Non-res. construction — % of sales</t>
  </si>
  <si>
    <t>Other end markets — % of sales</t>
  </si>
  <si>
    <t>Total non-manufacturing ($)</t>
  </si>
  <si>
    <t>Sales by customer type</t>
  </si>
  <si>
    <t>Contract DSR growth (assumption)</t>
  </si>
  <si>
    <t>Inputs E (rounded whole %)</t>
  </si>
  <si>
    <t>Non-contract DSR growth (assump.)</t>
  </si>
  <si>
    <t>Contract customers — % of sales</t>
  </si>
  <si>
    <t>S05; S01; S03; S04; 3Q26E share from contract/non-contract growth (Jul/Aug rounded rates; illustrative, not reconciled to the September total assumption)</t>
  </si>
  <si>
    <t>3Q26E = growth assumption (J244), not reported</t>
  </si>
  <si>
    <t>Non-contract customers — % of sales</t>
  </si>
  <si>
    <t>S05; S01; S03; S04</t>
  </si>
  <si>
    <t>3Q26E = growth assumption (J245), not reported</t>
  </si>
  <si>
    <t xml:space="preserve">   Implied total DSR growth (x-check)</t>
  </si>
  <si>
    <t>Cross-check only: 16.5% vs built total 15.85% (J25) because sub-lines use Jul/Aug rates, not the September assumption</t>
  </si>
  <si>
    <t>Sales by product line (10-Q/10-K Note 2; % of sales)</t>
  </si>
  <si>
    <t>Fasteners — % of net sales</t>
  </si>
  <si>
    <t>S16 (1Q25 via 1Q26 10-Q); S15 (2Q25/2Q26); S17 (3Q25); S19 (FY25); 4Q25 = FY $ less 1Q-3Q $; 3Q26E held at 2Q26 mix (illustrative; customer/end-market tables use Jul/Aug mix); 4Q25 %s and the adjacent Q/Q bp changes carry about ±0.4pt rounding noise (residuals of rounded %s)</t>
  </si>
  <si>
    <t>Tools — % of net sales</t>
  </si>
  <si>
    <t>S16 (1Q25 via 1Q26 10-Q); S15 (2Q25/2Q26); S17 (3Q25); S19 (FY25); 4Q25 = FY $ less 1Q-3Q $; 3Q26E held at 2Q26 mix</t>
  </si>
  <si>
    <t>Cutting tools — % of net sales</t>
  </si>
  <si>
    <t>Hydraulics &amp; pneumatics — % of net sales</t>
  </si>
  <si>
    <t>Material handling — % of net sales</t>
  </si>
  <si>
    <t>Janitorial supplies — % of net sales</t>
  </si>
  <si>
    <t>Electrical supplies — % of net sales</t>
  </si>
  <si>
    <t>Welding supplies — % of net sales</t>
  </si>
  <si>
    <t>Safety supplies — % of net sales</t>
  </si>
  <si>
    <t>Other — % of net sales</t>
  </si>
  <si>
    <t>Total product-line sales ($)</t>
  </si>
  <si>
    <t>Customer sites (monthly-average counts; opening/closing balances, gross adds and churn are not disclosed)</t>
  </si>
  <si>
    <t>$50k+/mo sites, avg count</t>
  </si>
  <si>
    <t>S05 (1Q26/1Q25); S01 (2Q26/2Q25); S03; S04</t>
  </si>
  <si>
    <t xml:space="preserve">   Y/Y change (count)</t>
  </si>
  <si>
    <t xml:space="preserve">   Net change vs prior quarter (count)</t>
  </si>
  <si>
    <t xml:space="preserve">   Sales from these sites ($)</t>
  </si>
  <si>
    <t xml:space="preserve">      % of net sales</t>
  </si>
  <si>
    <t xml:space="preserve">         Change Y/Y (bps)</t>
  </si>
  <si>
    <t xml:space="preserve">         Change Q/Q (bps)</t>
  </si>
  <si>
    <t xml:space="preserve">      % Y/Y</t>
  </si>
  <si>
    <t xml:space="preserve">   Monthly sales per site ($, calc)</t>
  </si>
  <si>
    <t xml:space="preserve">      Sequential change ($)</t>
  </si>
  <si>
    <t>$10k+/month sites, avg count</t>
  </si>
  <si>
    <t>All active sites, avg count</t>
  </si>
  <si>
    <t xml:space="preserve">   Monthly sales per site ($)</t>
  </si>
  <si>
    <t>Sites are not forecast for 3Q26E (not required for the revenue build; next disclosure with 3Q26 release).</t>
  </si>
  <si>
    <t>FMI technology installed base (weighted FASTBin/FASTVend machine-equivalent units, MEUs)</t>
  </si>
  <si>
    <t>Installed MEUs — opening balance</t>
  </si>
  <si>
    <t>4Q24 closing 126,957 (S03/S04)</t>
  </si>
  <si>
    <t>Gross signings (MEUs)</t>
  </si>
  <si>
    <t>S05; S01; S03; S04; 3Q26E assumption: 2026 goal 27-29k less 1H 13,943 = ~13-15k for 2H</t>
  </si>
  <si>
    <t xml:space="preserve">   Sequential change (MEUs)</t>
  </si>
  <si>
    <t>Net installed additions</t>
  </si>
  <si>
    <t xml:space="preserve">   Signings less net adds</t>
  </si>
  <si>
    <t>Installed MEUs — closing balance</t>
  </si>
  <si>
    <t>Average installed MEUs</t>
  </si>
  <si>
    <t xml:space="preserve">   Y/Y change (MEUs)</t>
  </si>
  <si>
    <t xml:space="preserve">   Net adds as % of signings (rate)</t>
  </si>
  <si>
    <t>Digital footprint sales (FMI + eBusiness)</t>
  </si>
  <si>
    <t>FASTStock sales (scanned locations)</t>
  </si>
  <si>
    <t>S05; S01; S03; S04; 3Q26E = 2Q26 share of sales x 3Q26E net sales</t>
  </si>
  <si>
    <t xml:space="preserve">   % of net sales</t>
  </si>
  <si>
    <t>FASTBin/FASTVend sales</t>
  </si>
  <si>
    <t>FMI sales (subtotal)</t>
  </si>
  <si>
    <t xml:space="preserve">   FMI sales — as reported</t>
  </si>
  <si>
    <t>As reported. FY25 computed subtotal G391 = 3712.8 vs reported G392 = 3712.7: 0.1 source rounding of reported components; values unchanged</t>
  </si>
  <si>
    <t xml:space="preserve">   Bin/Vend sales per avg MEU ($000)</t>
  </si>
  <si>
    <t xml:space="preserve">      Sequential change ($000)</t>
  </si>
  <si>
    <t>eBusiness sales</t>
  </si>
  <si>
    <t>Less: eBusiness and FMI overlap</t>
  </si>
  <si>
    <t>Digital Footprint sales</t>
  </si>
  <si>
    <t xml:space="preserve">   Digital Footprint — as reported</t>
  </si>
  <si>
    <t>As reported. 2Q26 computed I409 = 1493.0 vs reported I410 = 1492.9: 0.1 source rounding of reported components; values unchanged</t>
  </si>
  <si>
    <t>Headcount (end of period)</t>
  </si>
  <si>
    <t>Total personnel — FTE (3Q26E: Jul-26 proxy)</t>
  </si>
  <si>
    <t>S05; S01; S03; S04; 3Q26E = latest-month (Jul-26) total FTE proxy; actual Sep-30 quarter-end FTE not available before cutoff</t>
  </si>
  <si>
    <t xml:space="preserve">   Y/Y change</t>
  </si>
  <si>
    <t xml:space="preserve">   Sequential change</t>
  </si>
  <si>
    <t>Selling personnel — FTE (3Q26E: Aug-26 proxy)</t>
  </si>
  <si>
    <t>S05; S01; S03; S04; 3Q26E = latest-month (Aug-26) selling FTE proxy; actual Sep-30 quarter-end FTE not available before cutoff</t>
  </si>
  <si>
    <t>Net sales per avg FTE ($000)</t>
  </si>
  <si>
    <t>3Q26E uses the Jul-26 latest-month FTE proxy (J417) as period-end FTE</t>
  </si>
  <si>
    <t>Income Statement</t>
  </si>
  <si>
    <t>Income statement (as reported)</t>
  </si>
  <si>
    <t>Links Revenue summary</t>
  </si>
  <si>
    <t>Cost of sales</t>
  </si>
  <si>
    <t>Gross profit</t>
  </si>
  <si>
    <t xml:space="preserve">   GM seq. change assump. (bps)</t>
  </si>
  <si>
    <t>Links Guidance: management (2Q26 call, S02) normal 2Q-to-3Q decline of 10-20 bps; midpoint used</t>
  </si>
  <si>
    <t>Gross margin %</t>
  </si>
  <si>
    <t xml:space="preserve">   SG&amp;A growth Y/Y — assumption</t>
  </si>
  <si>
    <t>Assumption: ~0.7x sales growth (1Q26 9.3% on 12.4%; 2Q26 10.9% on 14.7%); bonus and fuel headwinds per S02</t>
  </si>
  <si>
    <t>SG&amp;A expenses</t>
  </si>
  <si>
    <t xml:space="preserve">   SG&amp;A % of net sales</t>
  </si>
  <si>
    <t>Operating income</t>
  </si>
  <si>
    <t>Operating margin %</t>
  </si>
  <si>
    <t xml:space="preserve">   Incremental op. margin Y/Y</t>
  </si>
  <si>
    <t>Interest income</t>
  </si>
  <si>
    <t>S05; S01; S03; S04; 3Q26E assumption (lower cash balance)</t>
  </si>
  <si>
    <t>Interest expense</t>
  </si>
  <si>
    <t>S05; S01; S03; S04; 3Q26E assumption ($120M debt)</t>
  </si>
  <si>
    <t xml:space="preserve">   Net interest income (expense)</t>
  </si>
  <si>
    <t>Income before income taxes</t>
  </si>
  <si>
    <t xml:space="preserve">   Pre-tax margin %</t>
  </si>
  <si>
    <t xml:space="preserve">   Effective tax rate — assumption</t>
  </si>
  <si>
    <t>Assumption: issuer ongoing rate ~24.6% (S01) less typical 3Q discrete benefits (3Q25 23.9%, 3Q24 23.1%)</t>
  </si>
  <si>
    <t>Income tax expense</t>
  </si>
  <si>
    <t xml:space="preserve">   Effective tax rate %</t>
  </si>
  <si>
    <t>Net income (GAAP)</t>
  </si>
  <si>
    <t xml:space="preserve">   Net margin %</t>
  </si>
  <si>
    <t>Per share</t>
  </si>
  <si>
    <t>Basic shares (millions)</t>
  </si>
  <si>
    <t>Diluted shares (millions)</t>
  </si>
  <si>
    <t>Basic EPS (GAAP)</t>
  </si>
  <si>
    <t>Diluted EPS (GAAP)</t>
  </si>
  <si>
    <t xml:space="preserve">   Diluted EPS — as reported</t>
  </si>
  <si>
    <t>Check: EPS = NI / diluted shares</t>
  </si>
  <si>
    <t>C:I tie to reported EPS; J58 (3Q26E) is an arithmetic identity memo (J55 = J45/J53), not an independent check</t>
  </si>
  <si>
    <t>GAAP to normalized (consensus basis) bridge</t>
  </si>
  <si>
    <t xml:space="preserve">   Adj: IEEPA tariff refund (none)</t>
  </si>
  <si>
    <t>No refund recognized/disclosed in 2Q26 10-Q (S15); explicit zero, not an omission</t>
  </si>
  <si>
    <t xml:space="preserve">   Adj: (gain)/loss on asset sales</t>
  </si>
  <si>
    <t>CapIQ normalized actual = GAAP actual in all six history quarters (Inputs A)</t>
  </si>
  <si>
    <t xml:space="preserve">   Adj: discrete tax items</t>
  </si>
  <si>
    <t>Issuer reports no non-GAAP measures</t>
  </si>
  <si>
    <t>Normalized net income (consensus basis)</t>
  </si>
  <si>
    <t>Zero bridge is the original assumption. CapIQ consensus normalized vs GAAP NI gap (~$0.99M, Inputs C70 vs C71) is not matched to any known issuer item and is not modeled (unresolved disclosure)</t>
  </si>
  <si>
    <t>Normalized diluted EPS</t>
  </si>
  <si>
    <t xml:space="preserve">   CapIQ normalized EPS actual (history)</t>
  </si>
  <si>
    <t>Inputs section A</t>
  </si>
  <si>
    <t xml:space="preserve">   CapIQ normalized EPS consensus</t>
  </si>
  <si>
    <t xml:space="preserve">   Surprise vs consensus ($/share)</t>
  </si>
  <si>
    <t>Memo</t>
  </si>
  <si>
    <t>D&amp;A (cash flow statement)</t>
  </si>
  <si>
    <t>EBITDA: not reported or defined by Fastenal (not modeled; tracked as not applicable).</t>
  </si>
  <si>
    <t>Balance Sheet</t>
  </si>
  <si>
    <t>Assets</t>
  </si>
  <si>
    <t>Cash and cash equivalents</t>
  </si>
  <si>
    <t>S12 (Mar-25); S13 (Jun-25); S03 (Sep-25); S04 (Dec-25); S05 (Mar-26); S01 (Jun-26)</t>
  </si>
  <si>
    <t>Trade accounts receivable, net</t>
  </si>
  <si>
    <t>Inventories</t>
  </si>
  <si>
    <t>Prepaid income taxes</t>
  </si>
  <si>
    <t>Other current assets</t>
  </si>
  <si>
    <t>Total current assets</t>
  </si>
  <si>
    <t>Property and equipment, net</t>
  </si>
  <si>
    <t>Operating lease right-of-use assets</t>
  </si>
  <si>
    <t>Other assets</t>
  </si>
  <si>
    <t>Total assets</t>
  </si>
  <si>
    <t xml:space="preserve">   Total assets — as reported</t>
  </si>
  <si>
    <t>Check: total assets = reported</t>
  </si>
  <si>
    <t>Liabilities</t>
  </si>
  <si>
    <t>Current portion of debt</t>
  </si>
  <si>
    <t>Accounts payable</t>
  </si>
  <si>
    <t>Accrued expenses</t>
  </si>
  <si>
    <t>Current operating lease liabilities</t>
  </si>
  <si>
    <t>Income taxes payable</t>
  </si>
  <si>
    <t>Total current liabilities</t>
  </si>
  <si>
    <t>Long-term debt</t>
  </si>
  <si>
    <t>Operating lease liabilities</t>
  </si>
  <si>
    <t>Deferred income taxes</t>
  </si>
  <si>
    <t>Other long-term liabilities</t>
  </si>
  <si>
    <t>Total liabilities</t>
  </si>
  <si>
    <t>Stockholders' equity</t>
  </si>
  <si>
    <t>Common stock</t>
  </si>
  <si>
    <t>Additional paid-in capital</t>
  </si>
  <si>
    <t>Retained earnings</t>
  </si>
  <si>
    <t>Accumulated other comprehensive loss</t>
  </si>
  <si>
    <t>S12 (Mar-25); S13 (Jun-25); S03 (Sep-25); S04 (Dec-25); S05 (Mar-26); S01 (Jun-26); 3Q26E proxy: rolled by CF FX on cash (0), not GAAP translation of all net assets</t>
  </si>
  <si>
    <t>Total stockholders' equity</t>
  </si>
  <si>
    <t>Total liabilities &amp; equity</t>
  </si>
  <si>
    <t>Check: assets - liabilities - equity</t>
  </si>
  <si>
    <t>Actuals within 0.1 rounding of reported statements</t>
  </si>
  <si>
    <t>Check: balance sheet balances</t>
  </si>
  <si>
    <t>TRUE if |A - L - E| &lt; 0.15 (reported rounding)</t>
  </si>
  <si>
    <t>Working capital and leverage drivers</t>
  </si>
  <si>
    <t>Receivables as % of quarterly net sales</t>
  </si>
  <si>
    <t>3Q26E assumption: between 3Q25 63.2% and 2Q26 65.2% (larger customers carry longer terms, S01)</t>
  </si>
  <si>
    <t>Inventory turns (annualized)</t>
  </si>
  <si>
    <t>Annualization proxy: quarterly COGS x4 / ending inventory (not weighted for 90-92 days in period)</t>
  </si>
  <si>
    <t xml:space="preserve">   Y/Y change (turns)</t>
  </si>
  <si>
    <t xml:space="preserve">   Sequential change (turns)</t>
  </si>
  <si>
    <t>Trade working capital, net</t>
  </si>
  <si>
    <t>Total debt</t>
  </si>
  <si>
    <t>Net debt (cash)</t>
  </si>
  <si>
    <t xml:space="preserve">   Debt / total capital</t>
  </si>
  <si>
    <t>Cash Flow Statement</t>
  </si>
  <si>
    <t>Operating activities</t>
  </si>
  <si>
    <t>Net income</t>
  </si>
  <si>
    <t>Links Income Statement</t>
  </si>
  <si>
    <t xml:space="preserve">   Depreciation</t>
  </si>
  <si>
    <t>S05 (1Q26 and 1Q25 comparative); S01 (2Q26 and 2Q25 comparative); S03; S04; 3Q26E assumption: depreciation rising with 2026 capex (2Q26 42.8)</t>
  </si>
  <si>
    <t xml:space="preserve">   (Gain) loss on sale of PP&amp;E</t>
  </si>
  <si>
    <t>S05 (1Q26 and 1Q25 comparative); S01 (2Q26 and 2Q25 comparative); S03; S04; 3Q26E assumption: 0 (no gain/loss forecast)</t>
  </si>
  <si>
    <t xml:space="preserve">   Bad debt expense</t>
  </si>
  <si>
    <t>S05 (1Q26 and 1Q25 comparative); S01 (2Q26 and 2Q25 comparative); S03; S04; 3Q26E assumption: 0 (nets against J18, OCF unaffected)</t>
  </si>
  <si>
    <t xml:space="preserve">   Deferred income taxes</t>
  </si>
  <si>
    <t>S05 (1Q26 and 1Q25 comparative); S01 (2Q26 and 2Q25 comparative); S03; S04; 3Q26E assumption: 0 (no deferred tax movement forecast)</t>
  </si>
  <si>
    <t xml:space="preserve">   Stock-based compensation</t>
  </si>
  <si>
    <t>S05 (1Q26 and 1Q25 comparative); S01 (2Q26 and 2Q25 comparative); S03; S04</t>
  </si>
  <si>
    <t xml:space="preserve">   Amortization of intangible assets</t>
  </si>
  <si>
    <t xml:space="preserve">   Change in receivables</t>
  </si>
  <si>
    <t>S05 (1Q26 and 1Q25 comparative); S01 (2Q26 and 2Q25 comparative); S03; S04; From Balance Sheet receivables assumption</t>
  </si>
  <si>
    <t xml:space="preserve">   Change in inventories</t>
  </si>
  <si>
    <t>S05 (1Q26 and 1Q25 comparative); S01 (2Q26 and 2Q25 comparative); S03; S04; 3Q26E assumption: modest inventory build for growth</t>
  </si>
  <si>
    <t xml:space="preserve">   Change in other current assets</t>
  </si>
  <si>
    <t>S05 (1Q26 and 1Q25 comparative); S01 (2Q26 and 2Q25 comparative); S03; S04; 3Q26E assumption: 0 (other current assets held flat)</t>
  </si>
  <si>
    <t xml:space="preserve">   Change in accounts payable</t>
  </si>
  <si>
    <t>S05 (1Q26 and 1Q25 comparative); S01 (2Q26 and 2Q25 comparative); S03; S04; 3Q26E assumption</t>
  </si>
  <si>
    <t xml:space="preserve">   Change in accrued expenses</t>
  </si>
  <si>
    <t>S05 (1Q26 and 1Q25 comparative); S01 (2Q26 and 2Q25 comparative); S03; S04; 3Q26E assumption (bonus accruals)</t>
  </si>
  <si>
    <t xml:space="preserve">   Change in income taxes</t>
  </si>
  <si>
    <t>S05 (1Q26 and 1Q25 comparative); S01 (2Q26 and 2Q25 comparative); S03; S04; 3Q26E assumption (3Q25 +22.3)</t>
  </si>
  <si>
    <t xml:space="preserve">   Other operating items</t>
  </si>
  <si>
    <t>S05 (1Q26 and 1Q25 comparative); S01 (2Q26 and 2Q25 comparative); S03; S04; 3Q26E assumption: 0 (other items not forecast)</t>
  </si>
  <si>
    <t>Net cash from operations</t>
  </si>
  <si>
    <t xml:space="preserve">   Operating cash flow — reported</t>
  </si>
  <si>
    <t>S05 (1Q26 and 1Q25 comparative); S01 (2Q26 and 2Q25 comparative); S03; S04; FY25 S04; 2Q26 = 6M less 1Q: computed I25 265.6 vs reported 265.7, FY25 G25 1295.8 vs 1295.9 (0.1 source rounding, within row 27 tolerance)</t>
  </si>
  <si>
    <t>Check: OCF = reported</t>
  </si>
  <si>
    <t xml:space="preserve">   OCF as % of net income</t>
  </si>
  <si>
    <t>Investing activities</t>
  </si>
  <si>
    <t xml:space="preserve">   Purchases of property and equipment</t>
  </si>
  <si>
    <t>S05 (1Q26 and 1Q25 comparative); S01 (2Q26 and 2Q25 comparative); S03; S04; 3Q26E assumption: 2026 net capex guide $310-330M vs 1H $118.2M (S01); issuer historically lands at/below range; 1Q26+2Q26 net capex in row 57 sums to $118.1M (0.1 source rounding vs S01 YTD)</t>
  </si>
  <si>
    <t xml:space="preserve">   Proceeds from sale of PP&amp;E</t>
  </si>
  <si>
    <t xml:space="preserve">   Other investing</t>
  </si>
  <si>
    <t>Net cash from investing</t>
  </si>
  <si>
    <t>Financing activities</t>
  </si>
  <si>
    <t xml:space="preserve">   Proceeds from debt obligations</t>
  </si>
  <si>
    <t xml:space="preserve">   Payments against debt obligations</t>
  </si>
  <si>
    <t xml:space="preserve">   Stock option exercise proceeds</t>
  </si>
  <si>
    <t xml:space="preserve">   Purchases of common stock</t>
  </si>
  <si>
    <t>S05 (1Q26 and 1Q25 comparative); S01 (2Q26 and 2Q25 comparative); S03; S04; No 3Q26 buyback assumed (Share Count)</t>
  </si>
  <si>
    <t xml:space="preserve">   Cash dividends paid</t>
  </si>
  <si>
    <t>S05 (1Q26 and 1Q25 comparative); S01 (2Q26 and 2Q25 comparative); S03; S04; $0.26/sh declared Jul 10, 2026 x shares outstanding</t>
  </si>
  <si>
    <t>Net cash from financing</t>
  </si>
  <si>
    <t>FX effect on cash</t>
  </si>
  <si>
    <t>S05 (1Q26 and 1Q25 comparative); S01 (2Q26 and 2Q25 comparative); S03; S04; 3Q26E assumption: 0; FX on cash is not the GAAP AOCI movement (used only as AOCI proxy in BS J41)</t>
  </si>
  <si>
    <t>Net change in cash</t>
  </si>
  <si>
    <t>Cash at beginning of period</t>
  </si>
  <si>
    <t>Dec-24 cash 255.8 (S12)</t>
  </si>
  <si>
    <t>Cash at end of period</t>
  </si>
  <si>
    <t xml:space="preserve">   Cash per Balance Sheet</t>
  </si>
  <si>
    <t xml:space="preserve">   Change in cash per Balance Sheet</t>
  </si>
  <si>
    <t>Check: CF less BS cash change</t>
  </si>
  <si>
    <t>Check: cash ties to Balance Sheet</t>
  </si>
  <si>
    <t>TRUE if |diff| &lt; 0.25 (reported rounding); Reported statements tie within 0.1-0.2 rounding; J54 (3Q26E) is an identity memo (BS cash links CF J50)</t>
  </si>
  <si>
    <t>Free cash flow (memo)</t>
  </si>
  <si>
    <t>Net capital expenditures</t>
  </si>
  <si>
    <t>OCF less net capex (memo)</t>
  </si>
  <si>
    <t>Analyst-defined; Fastenal reports no FCF measure</t>
  </si>
  <si>
    <t xml:space="preserve">   As % of net income</t>
  </si>
  <si>
    <t>Revenue by geography</t>
  </si>
  <si>
    <t>Net sales by selling-location geography (10-Q / 10-K Note 2)</t>
  </si>
  <si>
    <t>United States</t>
  </si>
  <si>
    <t>S16; S15; S17; S19; 4Q25 = FY less 9M; 3Q26E = total less non-U.S. (residual): absorbs the September total-sales assumption (implied +14.9% vs Jul/Aug U.S. DSR avg +15.15%); illustrative allocation</t>
  </si>
  <si>
    <t>Denominator convention: sum of geographies (row 42), not reported net sales (row 43); differs from Revenue summary row 65 by &lt;1 bp (source rounding). Retained; no source values changed.</t>
  </si>
  <si>
    <t xml:space="preserve">   FX impact — not applicable (USD)</t>
  </si>
  <si>
    <t xml:space="preserve">   Reported DSR % Y/Y, Jul/Aug avg</t>
  </si>
  <si>
    <t>Canada and Mexico</t>
  </si>
  <si>
    <t>S16; S15; S17; S19</t>
  </si>
  <si>
    <t>Denominator: sum of geographies (row 42); see L12</t>
  </si>
  <si>
    <t xml:space="preserve">   DSR % Y/Y driver (Jul/Aug avg)</t>
  </si>
  <si>
    <t>All other foreign countries</t>
  </si>
  <si>
    <t>Total net sales (sum of geographies)</t>
  </si>
  <si>
    <t>3Q26E total from Revenue summary monthly build</t>
  </si>
  <si>
    <t xml:space="preserve">   Net sales per Income Statement</t>
  </si>
  <si>
    <t>Check: Geo = total revenue</t>
  </si>
  <si>
    <t>TRUE if |sum - net sales| &lt; 0.15; J44 (3Q26E) is an identity memo (U.S. is the residual), not an independent check</t>
  </si>
  <si>
    <t>Memo: non-U.S. net sales</t>
  </si>
  <si>
    <t>Share count</t>
  </si>
  <si>
    <t>Shares in millions; $ millions except per share</t>
  </si>
  <si>
    <t>Weighted average shares (split-adjusted for 2-for-1 split effective May 21, 2025)</t>
  </si>
  <si>
    <t>Change in basic shares (assump.)</t>
  </si>
  <si>
    <t>Assumption: April-26 buyback (0.65M sh) fully weighted, no 3Q buyback assumed, small option exercises</t>
  </si>
  <si>
    <t>Basic weighted average shares</t>
  </si>
  <si>
    <t>S05; S01; S03; S04 (FY25 1,147.6)</t>
  </si>
  <si>
    <t>Dilutive effect of stock options</t>
  </si>
  <si>
    <t>3Q26E held at 2Q26 level</t>
  </si>
  <si>
    <t>Diluted weighted average shares</t>
  </si>
  <si>
    <t>Shares outstanding and buybacks</t>
  </si>
  <si>
    <t>Shares outstanding, end of period</t>
  </si>
  <si>
    <t>Balance sheet cover (1Q25: 573,611,957 pre-split x2); 3Q26E = 2Q26 less buyback shares; option-exercise issuance not modeled: no exercise price applies to the 3Q26E $5M (CF J42, to APIC); S15 lists grant prices $11.75-$41.00. EPS unaffected</t>
  </si>
  <si>
    <t>Share repurchases ($, cash flow)</t>
  </si>
  <si>
    <t>Shares repurchased (millions)</t>
  </si>
  <si>
    <t>S16 (1Q26 425,000 sh); S15 (2Q26 650,000 sh); none in 2025 (S04); 3Q26E assumption: none (stock above 1H26 buyback prices)</t>
  </si>
  <si>
    <t xml:space="preserve">   Avg repurchase price ($/sh)</t>
  </si>
  <si>
    <t>Option exercise proceeds ($, cash flow)</t>
  </si>
  <si>
    <t>Dividends</t>
  </si>
  <si>
    <t>Dividends declared per share</t>
  </si>
  <si>
    <t>10-Q dividend tables; 3Q26 $0.26 declared Jul 10, 2026 (S15)</t>
  </si>
  <si>
    <t>Cash dividends paid ($, cash flow)</t>
  </si>
  <si>
    <t xml:space="preserve">   Dividends as % of net income</t>
  </si>
  <si>
    <t>Share count behind the forecast EPS</t>
  </si>
  <si>
    <t>Diluted shares used for 3Q26E EPS</t>
  </si>
  <si>
    <t>Last close price ($, CapIQ)</t>
  </si>
  <si>
    <t>Implied market cap ($M)</t>
  </si>
  <si>
    <t>Guidance and guidance track record</t>
  </si>
  <si>
    <t>$ millions, except per share and as noted</t>
  </si>
  <si>
    <t>Metric (period)</t>
  </si>
  <si>
    <t>Date given</t>
  </si>
  <si>
    <t>Low</t>
  </si>
  <si>
    <t>High</t>
  </si>
  <si>
    <t>Midpoint</t>
  </si>
  <si>
    <t>Actual / est.</t>
  </si>
  <si>
    <t>Beat/miss</t>
  </si>
  <si>
    <t>Units</t>
  </si>
  <si>
    <t>Net capex (FY25)</t>
  </si>
  <si>
    <t>2025-10-13</t>
  </si>
  <si>
    <t>FY2025</t>
  </si>
  <si>
    <t>$M</t>
  </si>
  <si>
    <t>S03 guide; actual S04 $230.6M</t>
  </si>
  <si>
    <t>FMI signings, MEUs (FY25)</t>
  </si>
  <si>
    <t>MEUs</t>
  </si>
  <si>
    <t>S03; actual S04 25,892</t>
  </si>
  <si>
    <t>Ongoing tax rate (4Q25)</t>
  </si>
  <si>
    <t>4Q2025</t>
  </si>
  <si>
    <t>%</t>
  </si>
  <si>
    <t>S03 "approximately 24.5%"</t>
  </si>
  <si>
    <t>Ongoing tax rate (1Q26)</t>
  </si>
  <si>
    <t>2026-01-20</t>
  </si>
  <si>
    <t>1Q2026</t>
  </si>
  <si>
    <t>S04</t>
  </si>
  <si>
    <t>Ongoing tax rate (2Q26)</t>
  </si>
  <si>
    <t>2026-04-13</t>
  </si>
  <si>
    <t>2Q2026</t>
  </si>
  <si>
    <t>S05</t>
  </si>
  <si>
    <t>Ongoing tax rate (3Q26E)</t>
  </si>
  <si>
    <t>2026-07-14</t>
  </si>
  <si>
    <t>3Q2026</t>
  </si>
  <si>
    <t>S01; estimate, not actual</t>
  </si>
  <si>
    <t>Net capex (FY26)</t>
  </si>
  <si>
    <t>FY2026</t>
  </si>
  <si>
    <t>Pending</t>
  </si>
  <si>
    <t>S04 initial; reaffirmed S05, S01; 1H26 actual $118.2M per S01 YTD (quarterly CF H57+I57 sums to $118.1M: 0.1 source rounding)</t>
  </si>
  <si>
    <t>FMI signings (FY26), initial</t>
  </si>
  <si>
    <t>S04; lowered on 2026-07-14</t>
  </si>
  <si>
    <t>FMI signings (FY26), revised</t>
  </si>
  <si>
    <t>S01; 1H26 13,943</t>
  </si>
  <si>
    <t>GM 2Q-to-3Q change guide (bps)</t>
  </si>
  <si>
    <t>Used in model</t>
  </si>
  <si>
    <t>bps</t>
  </si>
  <si>
    <t>S02: "between 10 and 20 bps drop" (normal year)</t>
  </si>
  <si>
    <t>Gross margin 3Q26E (-10-20bp)</t>
  </si>
  <si>
    <t>S02 call; estimate, not actual</t>
  </si>
  <si>
    <t>Revenue / NI / EPS (3Q26)</t>
  </si>
  <si>
    <t>—</t>
  </si>
  <si>
    <t>n/a</t>
  </si>
  <si>
    <t>Not guided: Fastenal provides no revenue/EPS guidance</t>
  </si>
  <si>
    <t>Track record: Fastenal gives no EPS or revenue guidance, so there is no guidance-midpoint cushion to exploit; operational guides land within or slightly below ranges.</t>
  </si>
  <si>
    <t>Sources</t>
  </si>
  <si>
    <t>Listed publication dates precede the information cutoff 2026-10-11T22:24Z; 'Undated'/'Unavailable' = no publication date in preserved metadata</t>
  </si>
  <si>
    <t>ID and document</t>
  </si>
  <si>
    <t>Published</t>
  </si>
  <si>
    <t>Retrieved</t>
  </si>
  <si>
    <t>Publisher</t>
  </si>
  <si>
    <t>Feeds</t>
  </si>
  <si>
    <t>URL or file</t>
  </si>
  <si>
    <t>S01 2Q26 earnings release (8-K)</t>
  </si>
  <si>
    <t>2026-10-12</t>
  </si>
  <si>
    <t>Fastenal / SEC EDGAR</t>
  </si>
  <si>
    <t>IS/BS/CF 2Q26 and 2Q25; mix, sites, FMI; tax guide; capex guide</t>
  </si>
  <si>
    <t>https://www.sec.gov/Archives/edgar/data/815556/000081555626000037/ex_99106302026earningsrele.htm</t>
  </si>
  <si>
    <t>S02 2Q26 earnings call transcript</t>
  </si>
  <si>
    <t>2026-07-21</t>
  </si>
  <si>
    <t>The Motley Fool</t>
  </si>
  <si>
    <t>3Q gross-margin guide (-10 to -20 bp seq.); incrementals; pricing</t>
  </si>
  <si>
    <t>https://www.fool.com/earnings/call-transcripts/2026/07/21/fastenal-fast-q2-2026-earnings-call-transcript/</t>
  </si>
  <si>
    <t>S03 3Q25 earnings release (8-K)</t>
  </si>
  <si>
    <t>IS/BS/CF 3Q25; old-format mix; FX; pricing</t>
  </si>
  <si>
    <t>https://www.sec.gov/Archives/edgar/data/815556/000081555625000116/ex_99109302025earningsrele.htm</t>
  </si>
  <si>
    <t>S04 4Q25/FY25 earnings release (8-K)</t>
  </si>
  <si>
    <t>IS/BS/CF 4Q25, FY25; capex and FMI guides</t>
  </si>
  <si>
    <t>https://www.sec.gov/Archives/edgar/data/815556/000081555626000003/ex_99112312025earningsrele.htm</t>
  </si>
  <si>
    <t>S05 1Q26 earnings release (8-K)</t>
  </si>
  <si>
    <t>IS/BS/CF 1Q26 and 1Q25; mix; sites; FMI</t>
  </si>
  <si>
    <t>https://www.sec.gov/Archives/edgar/data/815556/000081555626000019/ex_99103312026earningsrele.htm</t>
  </si>
  <si>
    <t>S06 CapIQ snapshot files</t>
  </si>
  <si>
    <t>2026-10-11</t>
  </si>
  <si>
    <t>S&amp;P Capital IQ (supplied)</t>
  </si>
  <si>
    <t>Inputs A-D; consensus; history EPS; revenue actuals</t>
  </si>
  <si>
    <t>workspace/FAST_history.csv; workspace/FAST_consensus.json</t>
  </si>
  <si>
    <t>S07 July 2026 monthly sales release</t>
  </si>
  <si>
    <t>2026-08-06</t>
  </si>
  <si>
    <t>Fastenal IR / BigGo</t>
  </si>
  <si>
    <t>July sales, days, mix, FX, headcount</t>
  </si>
  <si>
    <t>https://finance.biggo.com/news/ir_FAST_20260806_a502d1cfefa4</t>
  </si>
  <si>
    <t>S08 August 2026 sales (MDM)</t>
  </si>
  <si>
    <t>2026-09-04</t>
  </si>
  <si>
    <t>Modern Distribution Management</t>
  </si>
  <si>
    <t>August sales and mix</t>
  </si>
  <si>
    <t>https://www.mdm.com/news/top-distributor-sectors/contractor/august-was-fastenals-best-sales-growth-in-4-years/</t>
  </si>
  <si>
    <t>S09 August 2026 net sales $812.06M</t>
  </si>
  <si>
    <t>Undated (page: updated 2026-09-04)</t>
  </si>
  <si>
    <t>Intellectia.AI</t>
  </si>
  <si>
    <t>August net sales $812.06M; daily $38.67M (21 days)</t>
  </si>
  <si>
    <t>https://intellectia.ai/news/stock/fastenal-reports-august-net-sales-up-166-to-81206m</t>
  </si>
  <si>
    <t>S10 August 2025 comparative</t>
  </si>
  <si>
    <t>2026-09-23</t>
  </si>
  <si>
    <t>Kalkine</t>
  </si>
  <si>
    <t>August 2025 comparative $696.7M</t>
  </si>
  <si>
    <t>https://kalkine.com/news/industrials/how-fastenal-nasdaqfast-posted-its-fastest-monthly-sales-growth-in-four-years</t>
  </si>
  <si>
    <t>S11 3Q26 preview: September pace</t>
  </si>
  <si>
    <t>Trend &amp; Ticker</t>
  </si>
  <si>
    <t>Sep-26 21 business days; consensus implies ~10.7% Sep growth</t>
  </si>
  <si>
    <t>https://trendandticker.com/markets/industrials/fastenal-fast-q3-2026-earnings-preview-september-sales</t>
  </si>
  <si>
    <t>S12 1Q25 earnings release (8-K)</t>
  </si>
  <si>
    <t>2025-04-11</t>
  </si>
  <si>
    <t>Mar-25 balance sheet; Dec-24 cash; 1Q24 comparatives; old-format mix</t>
  </si>
  <si>
    <t>https://www.sec.gov/Archives/edgar/data/815556/000081555625000079/ex_99103312025earningsrele.htm</t>
  </si>
  <si>
    <t>S13 2Q25 earnings release (8-K)</t>
  </si>
  <si>
    <t>2025-07-14</t>
  </si>
  <si>
    <t>Jun-25 balance sheet; 2Q24 comparatives; pricing</t>
  </si>
  <si>
    <t>https://www.sec.gov/Archives/edgar/data/815556/000081555625000104/ex_99106302025earningsrele.htm</t>
  </si>
  <si>
    <t>S14 Baird FDI report, Sep 2026</t>
  </si>
  <si>
    <t>Undated (document dated 2026-10-06)</t>
  </si>
  <si>
    <t>NFDA / R.W. Baird</t>
  </si>
  <si>
    <t>September ADS reference (+15.3%); benchmark; demand backdrop</t>
  </si>
  <si>
    <t>https://www.nfda-fastener.org/assets/docs/FDI_Report_September_2026.pdf</t>
  </si>
  <si>
    <t>S15 10-Q, quarter ended Jun-26</t>
  </si>
  <si>
    <t>2026-07-16</t>
  </si>
  <si>
    <t>SEC EDGAR</t>
  </si>
  <si>
    <t>Geography, product lines, buybacks, dividend declared, no tariff refund disclosed</t>
  </si>
  <si>
    <t>https://www.sec.gov/Archives/edgar/data/815556/000081555626000041/fast-20260630.htm</t>
  </si>
  <si>
    <t>S16 10-Q, quarter ended Mar-26</t>
  </si>
  <si>
    <t>2026-04-16</t>
  </si>
  <si>
    <t>Geography, product lines (1Q26/1Q25), buyback shares</t>
  </si>
  <si>
    <t>https://www.sec.gov/Archives/edgar/data/815556/000081555626000022/fast-20260331.htm</t>
  </si>
  <si>
    <t>S17 10-Q, quarter ended Sep-25</t>
  </si>
  <si>
    <t>2025-10-16</t>
  </si>
  <si>
    <t>Geography, product lines 3Q25</t>
  </si>
  <si>
    <t>https://www.sec.gov/Archives/edgar/data/815556/000081555625000119/fast-20250930.htm</t>
  </si>
  <si>
    <t>S18 FY25 10-K Note 10 (segments)</t>
  </si>
  <si>
    <t>2026-02-05</t>
  </si>
  <si>
    <t>One reportable segment (U.S.); other operating segments</t>
  </si>
  <si>
    <t>https://www.sec.gov/Archives/edgar/data/815556/000081555626000009/R18.htm</t>
  </si>
  <si>
    <t>S19 FY25 10-K revenue tables</t>
  </si>
  <si>
    <t>FY25 geography and product-line %</t>
  </si>
  <si>
    <t>https://www.sec.gov/Archives/edgar/data/815556/000081555626000009/R25.htm</t>
  </si>
  <si>
    <t>S20 IR events calendar (Oct 14)</t>
  </si>
  <si>
    <t>Unavailable (undated)</t>
  </si>
  <si>
    <t>Fastenal IR</t>
  </si>
  <si>
    <t>Report date Oct 14, 2026 6:00 AM CT</t>
  </si>
  <si>
    <t>https://investor.fastenal.com/events-presentations/event-details/2026/September-2026-Sales-Releasebr2026-Third-Quarter-Earnings-Release/default.aspx</t>
  </si>
  <si>
    <t>S21 Market cap, Oct 9, 2026</t>
  </si>
  <si>
    <t>Undated (page as-of 2026-10-09)</t>
  </si>
  <si>
    <t>StockAnalysis (Nasdaq Data Link)</t>
  </si>
  <si>
    <t>Prior calibration: size bucket</t>
  </si>
  <si>
    <t>https://stockanalysis.com/stocks/fast/market-cap/</t>
  </si>
  <si>
    <t>S22 Index memberships</t>
  </si>
  <si>
    <t>Undated (page as-of 2026-10-05)</t>
  </si>
  <si>
    <t>WhichIndex</t>
  </si>
  <si>
    <t>Prior calibration: S&amp;P 500 membership</t>
  </si>
  <si>
    <t>https://whichindex.com/companies/fastenal/</t>
  </si>
  <si>
    <t>S23 Earnings Whispers preview</t>
  </si>
  <si>
    <t>Earnings Whispers</t>
  </si>
  <si>
    <t>Newer consensus (reference only)</t>
  </si>
  <si>
    <t>https://secure.earningswhispers.com/article/FAST/20323</t>
  </si>
  <si>
    <t>S24 Simply Wall St / Yahoo</t>
  </si>
  <si>
    <t>Simply Wall St / Yahoo Finance</t>
  </si>
  <si>
    <t>Newer consensus $0.34 / $2,440.0M (reference only)</t>
  </si>
  <si>
    <t>https://finance.yahoo.com/markets/stocks/articles/rising-earnings-estimates-fastenal-fast-221403486.html</t>
  </si>
  <si>
    <t>S25 ISM PMI September 2026</t>
  </si>
  <si>
    <t>2026-10-01</t>
  </si>
  <si>
    <t>ISM / PR Newswire</t>
  </si>
  <si>
    <t>Industry backdrop</t>
  </si>
  <si>
    <t>https://www.prnewswire.com/news-releases/manufacturing-pmi-at-54-5-september-2026-ism-manufacturing-pmi-report-302894520.html</t>
  </si>
  <si>
    <t>S26 Tradestie preview (revisions)</t>
  </si>
  <si>
    <t>2026-10-07</t>
  </si>
  <si>
    <t>Tradestie</t>
  </si>
  <si>
    <t>Estimate-revision direction (already in consensus)</t>
  </si>
  <si>
    <t>https://tradestie.com/news/fast-earnings-oct-14-034-eps-expected-key-levels-to-watch-20261014/</t>
  </si>
  <si>
    <t>Omitted tabs: "Segment - &lt;name&gt;" tabs omitted — FY2025 10-K Note 10 (S18) reports one reportable segment (U.S.); drivers are built on Revenue summary.</t>
  </si>
  <si>
    <t>Inputs tab is placed after Sources: it embeds the raw CapIQ summary row and six history rows as required, plus monthly-release data and prior calibration.</t>
  </si>
  <si>
    <t>Retrieval: web sources retrieved 2026-10-12 (UTC), after the 2026-10-11T22:24Z cutoff (documented limitation; no frozen pre-cutoff snapshots asserted). Listed publication dates are on or before the cutoff date (S11 same-day; S09/S14/S20/S21/S22 undated in metadata; see B43:B44).</t>
  </si>
  <si>
    <t>Target-quarter actuals (3Q26 results, September 2026 sales) were not published before the cutoff and were not seen.</t>
  </si>
  <si>
    <t>S02: publication corrected to 2026-07-21 (Motley Fool posting per preserved fetch header and URL); the call itself was held 2026-07-14 (Guidance dates unchanged).</t>
  </si>
  <si>
    <t>S26: URL suffix '-20261014' is the earnings event date; preserved search metadata dates the article 2026-10-07. S11 is dated 2026-10-11 without a time (unresolved vs 22:24Z).</t>
  </si>
  <si>
    <t>S09, S14, S20, S21, S22 are undated in preserved search metadata, so column C shows 'Undated'/'Unavailable': S09/S21/S22 show only the page's own updated/as-of date and S14 the date printed in the document (10/6/26), not a metadata publication date; S20 has no date. Mutable pages (S20-S24, S26) may have changed after publication (unresolved; forecast inputs unchanged).</t>
  </si>
  <si>
    <t>Inputs (CapIQ raw data, monthly releases, prior calibration)</t>
  </si>
  <si>
    <t>$ millions, except per share; raw values as supplied</t>
  </si>
  <si>
    <t>A. CapIQ history — FAST_history.csv (all six rows, raw, columns as supplied)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</si>
  <si>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</si>
  <si>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</si>
  <si>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</si>
  <si>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</si>
  <si>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</si>
  <si>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</si>
  <si>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</si>
  <si>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</si>
  <si>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surprise_usd (calc)</t>
  </si>
  <si>
    <t>S06: FAST_history.csv SHA256 aff60d26...a246; 6 rows x 8 columns; strings kept for dates</t>
  </si>
  <si>
    <t>2025-03-31</t>
  </si>
  <si>
    <t>2025-06-30</t>
  </si>
  <si>
    <t>2025-09-30</t>
  </si>
  <si>
    <t>2025-12-31</t>
  </si>
  <si>
    <t>2026-03-31</t>
  </si>
  <si>
    <t>2026-06-30</t>
  </si>
  <si>
    <t>B. Historical normalized EPS surprise (calc from section A)</t>
  </si>
  <si>
    <t>Quarter</t>
  </si>
  <si>
    <t>Actual</t>
  </si>
  <si>
    <t>Surprise $</t>
  </si>
  <si>
    <t>Strict beat</t>
  </si>
  <si>
    <t>Strict miss</t>
  </si>
  <si>
    <t>C. CapIQ consensus snapshot — FAST_consensus.json summary_row (complete, raw; blanks preserved)</t>
  </si>
  <si>
    <t>Field</t>
  </si>
  <si>
    <t>Value (raw)</t>
  </si>
  <si>
    <t>S06: FAST_consensus.json summary_row; summary_sha256 edbf949d...8c16; blank source values left empty</t>
  </si>
  <si>
    <t>ticker</t>
  </si>
  <si>
    <t>company_name</t>
  </si>
  <si>
    <t>exchange_ticker</t>
  </si>
  <si>
    <t>NasdaqGS:FAST</t>
  </si>
  <si>
    <t>capiq_company_id</t>
  </si>
  <si>
    <t>sp500_member</t>
  </si>
  <si>
    <t>Y</t>
  </si>
  <si>
    <t>market_cap_usd_m</t>
  </si>
  <si>
    <t>fiscal_quarter</t>
  </si>
  <si>
    <t>FQ3 2026 - Sep 2026</t>
  </si>
  <si>
    <t>quarter_end_date</t>
  </si>
  <si>
    <t>2026-09-30</t>
  </si>
  <si>
    <t>expected_report_date</t>
  </si>
  <si>
    <t>2026-10-14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</si>
  <si>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</si>
  <si>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</si>
  <si>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</si>
  <si>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</si>
  <si>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</si>
  <si>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</si>
  <si>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</si>
  <si>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</si>
  <si>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</si>
  <si>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</si>
  <si>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</si>
  <si>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</si>
  <si>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</si>
  <si>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</si>
  <si>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</si>
  <si>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</si>
  <si>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</si>
  <si>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</si>
  <si>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</si>
  <si>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</si>
  <si>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</si>
  <si>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</si>
  <si>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</si>
  <si>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</si>
  <si>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</si>
  <si>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</si>
  <si>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</si>
  <si>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</si>
  <si>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</si>
  <si>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</si>
  <si>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</si>
  <si>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</si>
  <si>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</si>
  <si>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</si>
  <si>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</si>
  <si>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</si>
  <si>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</si>
  <si>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</si>
  <si>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</si>
  <si>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</si>
  <si>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</si>
  <si>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</si>
  <si>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</si>
  <si>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</si>
  <si>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</si>
  <si>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</si>
  <si>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</si>
  <si>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</si>
  <si>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</si>
  <si>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</si>
  <si>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</si>
  <si>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</si>
  <si>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</si>
  <si>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</si>
  <si>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</si>
  <si>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</si>
  <si>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</si>
  <si>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</si>
  <si>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</si>
  <si>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52.92/38.97</t>
  </si>
  <si>
    <t>currency</t>
  </si>
  <si>
    <t>units</t>
  </si>
  <si>
    <t>per-share in USD; revenue and income in USD millions</t>
  </si>
  <si>
    <t>estimates_captured_at</t>
  </si>
  <si>
    <t>notes</t>
  </si>
  <si>
    <t>D. CapIQ file metadata</t>
  </si>
  <si>
    <t>source</t>
  </si>
  <si>
    <t>S&amp;P Capital IQ</t>
  </si>
  <si>
    <t>company</t>
  </si>
  <si>
    <t>fiscal_period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</si>
  <si>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</si>
  <si>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</si>
  <si>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</si>
  <si>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</si>
  <si>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</si>
  <si>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</si>
  <si>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</si>
  <si>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</si>
  <si>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</si>
  <si>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</si>
  <si>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</si>
  <si>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E. Issuer monthly sales releases for 3Q26 (Jul-26 and Aug-26); September is released with 3Q26 earnings</t>
  </si>
  <si>
    <t>Metric</t>
  </si>
  <si>
    <t>Jul-26</t>
  </si>
  <si>
    <t>Aug-26</t>
  </si>
  <si>
    <t>Jul/Aug avg</t>
  </si>
  <si>
    <t>Net sales ($M)</t>
  </si>
  <si>
    <t>S07 Jul-26 release: 825,846 ($000); S08/S09 Aug-26: $812.06M</t>
  </si>
  <si>
    <t>Business days</t>
  </si>
  <si>
    <t>S07; S09</t>
  </si>
  <si>
    <t>Net sales, same month 2025</t>
  </si>
  <si>
    <t>S07: 714,972 ($000); S10: $696.7M</t>
  </si>
  <si>
    <t>Total DSR % Y/Y</t>
  </si>
  <si>
    <t>S07; S08</t>
  </si>
  <si>
    <t>Currency impact on sales</t>
  </si>
  <si>
    <t>S07 (Aug-26 value not in captured sources: unavailable); E123 is a July-only proxy (AVERAGE skips the blank August), not a Jul/Aug average</t>
  </si>
  <si>
    <t>United States DSR % Y/Y</t>
  </si>
  <si>
    <t>Canada/Mexico DSR % Y/Y</t>
  </si>
  <si>
    <t>Rest of World DSR % Y/Y</t>
  </si>
  <si>
    <t>United States % of sales</t>
  </si>
  <si>
    <t>Canada/Mexico % of sales</t>
  </si>
  <si>
    <t>Rest of World % of sales</t>
  </si>
  <si>
    <t>Heavy mfg DSR % Y/Y</t>
  </si>
  <si>
    <t>Heavy mfg % of sales</t>
  </si>
  <si>
    <t>Other mfg DSR % Y/Y</t>
  </si>
  <si>
    <t>Other mfg % of sales</t>
  </si>
  <si>
    <t>Non-res. constr. DSR % Y/Y</t>
  </si>
  <si>
    <t>Non-res. constr. % of sales</t>
  </si>
  <si>
    <t>Other end markets DSR % Y/Y</t>
  </si>
  <si>
    <t>Other end markets % of sales</t>
  </si>
  <si>
    <t>Direct fasteners DSR % Y/Y</t>
  </si>
  <si>
    <t>Direct fasteners % of sales</t>
  </si>
  <si>
    <t>Direct cutting tools DSR % Y/Y</t>
  </si>
  <si>
    <t>Direct cutting tools % of sales</t>
  </si>
  <si>
    <t>Direct non-fasteners DSR % Y/Y</t>
  </si>
  <si>
    <t>Direct non-fasteners % of sales</t>
  </si>
  <si>
    <t>Total direct DSR % Y/Y</t>
  </si>
  <si>
    <t>Total direct % of sales</t>
  </si>
  <si>
    <t>Indirect fasteners DSR % Y/Y</t>
  </si>
  <si>
    <t>Indirect fasteners % of sales</t>
  </si>
  <si>
    <t>Indirect safety DSR % Y/Y</t>
  </si>
  <si>
    <t>Indirect safety % of sales</t>
  </si>
  <si>
    <t>Indirect other DSR % Y/Y</t>
  </si>
  <si>
    <t>Indirect other % of sales</t>
  </si>
  <si>
    <t>Total indirect DSR % Y/Y</t>
  </si>
  <si>
    <t>Total indirect % of sales</t>
  </si>
  <si>
    <t>Contract DSR % Y/Y (rounded)</t>
  </si>
  <si>
    <t>Non-contract DSR % Y/Y (rounded)</t>
  </si>
  <si>
    <t>eBusiness DSR % Y/Y (rounded)</t>
  </si>
  <si>
    <t>FMI DSR % Y/Y (rounded)</t>
  </si>
  <si>
    <t>Top 100 accounts growing %</t>
  </si>
  <si>
    <t>In-market locations growing %</t>
  </si>
  <si>
    <t>Total FTE (month end)</t>
  </si>
  <si>
    <t>S07 (Aug-26 FTE total not in captured sources: unavailable)</t>
  </si>
  <si>
    <t>Selling FTE (month end)</t>
  </si>
  <si>
    <t>Absolute headcount (month end)</t>
  </si>
  <si>
    <t>F. September 2026 reference estimates (not issuer data; used only to bracket the September assumption)</t>
  </si>
  <si>
    <t>Baird Sep ADS % Y/Y estimate</t>
  </si>
  <si>
    <t>S14: "We model September ADS of +15.3% y/y"</t>
  </si>
  <si>
    <t>Baird est. below benchmark (bps)</t>
  </si>
  <si>
    <t>S14: "sits ~150bps below FAST's benchmark"</t>
  </si>
  <si>
    <t>Seasonal benchmark, approx.</t>
  </si>
  <si>
    <t>S14: "Our September estimate sits ~150bps below FAST's benchmark"</t>
  </si>
  <si>
    <t>G. Prior calibration (forecasting playbook v2: size and issuer history)</t>
  </si>
  <si>
    <t>Market cap ($M), dated</t>
  </si>
  <si>
    <t>S21: "$58.24 billion as of October 9, 2026" (CapIQ market_cap_usd_m blank)</t>
  </si>
  <si>
    <t>Market cap date</t>
  </si>
  <si>
    <t>2026-10-09</t>
  </si>
  <si>
    <t>S21</t>
  </si>
  <si>
    <t>Market cap source</t>
  </si>
  <si>
    <t>StockAnalysis.com (Nasdaq Data Link)</t>
  </si>
  <si>
    <t>S21; cross-check Share Count implied cap</t>
  </si>
  <si>
    <t>Size bucket</t>
  </si>
  <si>
    <t>Playbook section 7</t>
  </si>
  <si>
    <t>S&amp;P 500 member</t>
  </si>
  <si>
    <t>Confirmed by S22 (S&amp;P 500 weight 0.09%)</t>
  </si>
  <si>
    <t>Cohort prior</t>
  </si>
  <si>
    <t>Large or S&amp;P 500 = 0.78 (applied once)</t>
  </si>
  <si>
    <t>b = strict beats (6 pairs)</t>
  </si>
  <si>
    <t>Inputs A; all six pairs on the same normalized basis</t>
  </si>
  <si>
    <t>n = valid pairs</t>
  </si>
  <si>
    <t>No pairs excluded; non-array count of rows where both consensus (D) and actual (E) are numeric (criterion matches any number)</t>
  </si>
  <si>
    <t>Pseudo-observations</t>
  </si>
  <si>
    <t>Playbook fixed weight</t>
  </si>
  <si>
    <t>Starting p = (8*prior+b)/(8+n)</t>
  </si>
  <si>
    <t>Model normalized EPS (unrounded)</t>
  </si>
  <si>
    <t>NI forecast error s.d. ($M)</t>
  </si>
  <si>
    <t>Sep sales +/-1.5pt, GM +/-20bp, SG&amp;A +/-1%, tax +/-0.7pt combined</t>
  </si>
  <si>
    <t>EPS forecast error s.d.</t>
  </si>
  <si>
    <t>EPS needed to beat (unrounded)</t>
  </si>
  <si>
    <t>Reported EPS is rounded to cents</t>
  </si>
  <si>
    <t>Model-implied P(beat)</t>
  </si>
  <si>
    <t>Normal approximation</t>
  </si>
  <si>
    <t>Weight on starting p</t>
  </si>
  <si>
    <t>Judgment: quarter-specific model evidence weighted 65%</t>
  </si>
  <si>
    <t>Blended probability</t>
  </si>
  <si>
    <t>P(beat consensus EPS), final</t>
  </si>
  <si>
    <t>Feeds Cover and estimate.json</t>
  </si>
  <si>
    <t>medium</t>
  </si>
  <si>
    <t>EPS sits at consensus; strong sales visibility, margin uncertainty</t>
  </si>
</sst>
</file>

<file path=xl/styles.xml><?xml version="1.0" encoding="utf-8"?>
<styleSheet xmlns="http://schemas.openxmlformats.org/spreadsheetml/2006/main">
  <numFmts count="14">
    <numFmt numFmtId="164" formatCode="$0.00_);($0.00);–_)"/>
    <numFmt numFmtId="165" formatCode="yyyy-mm-dd"/>
    <numFmt numFmtId="166" formatCode="0.0%"/>
    <numFmt numFmtId="167" formatCode="#,##0.0_);(#,##0.0);–_)"/>
    <numFmt numFmtId="168" formatCode="#,##0_);(#,##0);–_)"/>
    <numFmt numFmtId="169" formatCode="0"/>
    <numFmt numFmtId="170" formatCode="0.0%_);(0.0%);–_)"/>
    <numFmt numFmtId="171" formatCode="d-mmm-yyyy"/>
    <numFmt numFmtId="172" formatCode="0.0x"/>
    <numFmt numFmtId="173" formatCode="$0.0000"/>
    <numFmt numFmtId="174" formatCode="$0.000"/>
    <numFmt numFmtId="175" formatCode="General"/>
    <numFmt numFmtId="176" formatCode="$0.000_);($0.000);–_)"/>
    <numFmt numFmtId="177" formatCode="#,##0.000_);(#,##0.000);–_)"/>
  </numFmts>
  <fonts count="28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595959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595959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595959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595959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0" fontId="2" fillId="2" borderId="1" xfId="0" applyFont="1" applyFill="1" applyBorder="1" applyAlignment="1" applyProtection="1">
      <alignment horizontal="general" vertical="bottom" wrapText="1"/>
      <protection locked="1" hidden="0"/>
    </xf>
    <xf numFmtId="164" fontId="3" fillId="2" borderId="0" xfId="0" applyNumberFormat="1" applyFont="1" applyFill="1" applyAlignment="1" applyProtection="1">
      <alignment horizontal="general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166" fontId="1" fillId="2" borderId="0" xfId="0" applyNumberFormat="1" applyFont="1" applyFill="1" applyAlignment="1" applyProtection="1">
      <alignment horizontal="general" vertical="bottom"/>
      <protection locked="1" hidden="0"/>
    </xf>
    <xf numFmtId="167" fontId="3" fillId="2" borderId="0" xfId="0" applyNumberFormat="1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0" fontId="2" fillId="3" borderId="2" xfId="0" applyFont="1" applyFill="1" applyBorder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168" fontId="1" fillId="2" borderId="0" xfId="0" applyNumberFormat="1" applyFont="1" applyFill="1" applyAlignment="1" applyProtection="1">
      <alignment horizontal="general" vertical="bottom"/>
      <protection locked="1" hidden="0"/>
    </xf>
    <xf numFmtId="167" fontId="1" fillId="2" borderId="0" xfId="0" applyNumberFormat="1" applyFont="1" applyFill="1" applyAlignment="1" applyProtection="1">
      <alignment horizontal="general" vertical="bottom"/>
      <protection locked="1" hidden="0"/>
    </xf>
    <xf numFmtId="165" fontId="1" fillId="2" borderId="0" xfId="0" applyNumberFormat="1" applyFont="1" applyFill="1" applyAlignment="1" applyProtection="1">
      <alignment horizontal="general" vertical="bottom"/>
      <protection locked="1" hidden="0"/>
    </xf>
    <xf numFmtId="169" fontId="1" fillId="3" borderId="1" xfId="0" applyNumberFormat="1" applyFont="1" applyFill="1" applyBorder="1" applyAlignment="1" applyProtection="1">
      <alignment horizontal="right" vertical="bottom"/>
      <protection locked="1" hidden="0"/>
    </xf>
    <xf numFmtId="0" fontId="6" fillId="2" borderId="0" xfId="0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right" vertical="bottom"/>
      <protection locked="1" hidden="0"/>
    </xf>
    <xf numFmtId="0" fontId="2" fillId="3" borderId="2" xfId="0" applyFont="1" applyFill="1" applyBorder="1" applyAlignment="1" applyProtection="1">
      <alignment horizontal="general" vertical="bottom"/>
      <protection locked="1" hidden="0"/>
    </xf>
    <xf numFmtId="168" fontId="3" fillId="2" borderId="0" xfId="0" applyNumberFormat="1" applyFont="1" applyFill="1" applyAlignment="1" applyProtection="1">
      <alignment horizontal="general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7" fillId="2" borderId="0" xfId="0" applyFont="1" applyFill="1" applyAlignment="1" applyProtection="1">
      <alignment horizontal="general" vertical="bottom"/>
      <protection locked="1" hidden="0"/>
    </xf>
    <xf numFmtId="170" fontId="1" fillId="2" borderId="0" xfId="0" applyNumberFormat="1" applyFont="1" applyFill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167" fontId="8" fillId="2" borderId="0" xfId="0" applyNumberFormat="1" applyFont="1" applyFill="1" applyAlignment="1" applyProtection="1">
      <alignment horizontal="general" vertical="bottom"/>
      <protection locked="1" hidden="0"/>
    </xf>
    <xf numFmtId="166" fontId="3" fillId="2" borderId="0" xfId="0" applyNumberFormat="1" applyFont="1" applyFill="1" applyAlignment="1" applyProtection="1">
      <alignment horizontal="general" vertical="bottom"/>
      <protection locked="1" hidden="0"/>
    </xf>
    <xf numFmtId="171" fontId="1" fillId="2" borderId="0" xfId="0" applyNumberFormat="1" applyFont="1" applyFill="1" applyAlignment="1" applyProtection="1">
      <alignment horizontal="general" vertical="bottom"/>
      <protection locked="1" hidden="0"/>
    </xf>
    <xf numFmtId="164" fontId="8" fillId="2" borderId="0" xfId="0" applyNumberFormat="1" applyFont="1" applyFill="1" applyAlignment="1" applyProtection="1">
      <alignment horizontal="general" vertical="bottom"/>
      <protection locked="1" hidden="0"/>
    </xf>
    <xf numFmtId="0" fontId="9" fillId="2" borderId="0" xfId="0" applyFont="1" applyFill="1" applyAlignment="1" applyProtection="1">
      <alignment horizontal="general" vertical="center"/>
      <protection locked="1" hidden="0"/>
    </xf>
    <xf numFmtId="170" fontId="5" fillId="2" borderId="0" xfId="0" applyNumberFormat="1" applyFont="1" applyFill="1" applyAlignment="1" applyProtection="1">
      <alignment horizontal="general" vertical="bottom"/>
      <protection locked="1" hidden="0"/>
    </xf>
    <xf numFmtId="168" fontId="1" fillId="4" borderId="0" xfId="0" applyNumberFormat="1" applyFont="1" applyFill="1" applyAlignment="1" applyProtection="1">
      <alignment horizontal="general" vertical="bottom"/>
      <protection locked="1" hidden="0"/>
    </xf>
    <xf numFmtId="170" fontId="10" fillId="2" borderId="0" xfId="0" applyNumberFormat="1" applyFont="1" applyFill="1" applyAlignment="1" applyProtection="1">
      <alignment horizontal="general" vertical="bottom"/>
      <protection locked="1" hidden="0"/>
    </xf>
    <xf numFmtId="167" fontId="1" fillId="4" borderId="0" xfId="0" applyNumberFormat="1" applyFont="1" applyFill="1" applyAlignment="1" applyProtection="1">
      <alignment horizontal="general" vertical="bottom"/>
      <protection locked="1" hidden="0"/>
    </xf>
    <xf numFmtId="170" fontId="5" fillId="4" borderId="0" xfId="0" applyNumberFormat="1" applyFont="1" applyFill="1" applyAlignment="1" applyProtection="1">
      <alignment horizontal="general" vertical="bottom"/>
      <protection locked="1" hidden="0"/>
    </xf>
    <xf numFmtId="167" fontId="2" fillId="2" borderId="2" xfId="0" applyNumberFormat="1" applyFont="1" applyFill="1" applyBorder="1" applyAlignment="1" applyProtection="1">
      <alignment horizontal="general" vertical="bottom"/>
      <protection locked="1" hidden="0"/>
    </xf>
    <xf numFmtId="170" fontId="6" fillId="4" borderId="0" xfId="0" applyNumberFormat="1" applyFont="1" applyFill="1" applyAlignment="1" applyProtection="1">
      <alignment horizontal="general" vertical="bottom"/>
      <protection locked="1" hidden="0"/>
    </xf>
    <xf numFmtId="168" fontId="8" fillId="2" borderId="0" xfId="0" applyNumberFormat="1" applyFont="1" applyFill="1" applyAlignment="1" applyProtection="1">
      <alignment horizontal="general" vertical="bottom"/>
      <protection locked="1" hidden="0"/>
    </xf>
    <xf numFmtId="170" fontId="3" fillId="2" borderId="0" xfId="0" applyNumberFormat="1" applyFont="1" applyFill="1" applyAlignment="1" applyProtection="1">
      <alignment horizontal="general" vertical="bottom"/>
      <protection locked="1" hidden="0"/>
    </xf>
    <xf numFmtId="170" fontId="8" fillId="2" borderId="0" xfId="0" applyNumberFormat="1" applyFont="1" applyFill="1" applyAlignment="1" applyProtection="1">
      <alignment horizontal="general" vertical="bottom"/>
      <protection locked="1" hidden="0"/>
    </xf>
    <xf numFmtId="167" fontId="3" fillId="4" borderId="0" xfId="0" applyNumberFormat="1" applyFont="1" applyFill="1" applyAlignment="1" applyProtection="1">
      <alignment horizontal="general" vertical="bottom"/>
      <protection locked="1" hidden="0"/>
    </xf>
    <xf numFmtId="170" fontId="6" fillId="2" borderId="0" xfId="0" applyNumberFormat="1" applyFont="1" applyFill="1" applyAlignment="1" applyProtection="1">
      <alignment horizontal="general" vertical="bottom"/>
      <protection locked="1" hidden="0"/>
    </xf>
    <xf numFmtId="167" fontId="11" fillId="2" borderId="2" xfId="0" applyNumberFormat="1" applyFont="1" applyFill="1" applyBorder="1" applyAlignment="1" applyProtection="1">
      <alignment horizontal="general" vertical="bottom"/>
      <protection locked="1" hidden="0"/>
    </xf>
    <xf numFmtId="0" fontId="1" fillId="4" borderId="0" xfId="0" applyFont="1" applyFill="1" applyAlignment="1" applyProtection="1">
      <alignment horizontal="general" vertical="bottom"/>
      <protection locked="1" hidden="0"/>
    </xf>
    <xf numFmtId="167" fontId="8" fillId="4" borderId="0" xfId="0" applyNumberFormat="1" applyFont="1" applyFill="1" applyAlignment="1" applyProtection="1">
      <alignment horizontal="general" vertical="bottom"/>
      <protection locked="1" hidden="0"/>
    </xf>
    <xf numFmtId="172" fontId="1" fillId="2" borderId="0" xfId="0" applyNumberFormat="1" applyFont="1" applyFill="1" applyAlignment="1" applyProtection="1">
      <alignment horizontal="general" vertical="bottom"/>
      <protection locked="1" hidden="0"/>
    </xf>
    <xf numFmtId="172" fontId="3" fillId="2" borderId="0" xfId="0" applyNumberFormat="1" applyFont="1" applyFill="1" applyAlignment="1" applyProtection="1">
      <alignment horizontal="general" vertical="bottom"/>
      <protection locked="1" hidden="0"/>
    </xf>
    <xf numFmtId="164" fontId="8" fillId="4" borderId="0" xfId="0" applyNumberFormat="1" applyFont="1" applyFill="1" applyAlignment="1" applyProtection="1">
      <alignment horizontal="general" vertical="bottom"/>
      <protection locked="1" hidden="0"/>
    </xf>
    <xf numFmtId="167" fontId="2" fillId="4" borderId="2" xfId="0" applyNumberFormat="1" applyFont="1" applyFill="1" applyBorder="1" applyAlignment="1" applyProtection="1">
      <alignment horizontal="general" vertical="bottom"/>
      <protection locked="1" hidden="0"/>
    </xf>
    <xf numFmtId="172" fontId="1" fillId="4" borderId="0" xfId="0" applyNumberFormat="1" applyFont="1" applyFill="1" applyAlignment="1" applyProtection="1">
      <alignment horizontal="general" vertical="bottom"/>
      <protection locked="1" hidden="0"/>
    </xf>
    <xf numFmtId="164" fontId="1" fillId="4" borderId="0" xfId="0" applyNumberFormat="1" applyFont="1" applyFill="1" applyAlignment="1" applyProtection="1">
      <alignment horizontal="general" vertical="bottom"/>
      <protection locked="1" hidden="0"/>
    </xf>
    <xf numFmtId="172" fontId="3" fillId="4" borderId="0" xfId="0" applyNumberFormat="1" applyFont="1" applyFill="1" applyAlignment="1" applyProtection="1">
      <alignment horizontal="general" vertical="bottom"/>
      <protection locked="1" hidden="0"/>
    </xf>
    <xf numFmtId="164" fontId="2" fillId="2" borderId="2" xfId="0" applyNumberFormat="1" applyFont="1" applyFill="1" applyBorder="1" applyAlignment="1" applyProtection="1">
      <alignment horizontal="general" vertical="bottom"/>
      <protection locked="1" hidden="0"/>
    </xf>
    <xf numFmtId="167" fontId="12" fillId="2" borderId="2" xfId="0" applyNumberFormat="1" applyFont="1" applyFill="1" applyBorder="1" applyAlignment="1" applyProtection="1">
      <alignment horizontal="general" vertical="bottom"/>
      <protection locked="1" hidden="0"/>
    </xf>
    <xf numFmtId="164" fontId="3" fillId="4" borderId="0" xfId="0" applyNumberFormat="1" applyFont="1" applyFill="1" applyAlignment="1" applyProtection="1">
      <alignment horizontal="general" vertical="bottom"/>
      <protection locked="1" hidden="0"/>
    </xf>
    <xf numFmtId="0" fontId="5" fillId="4" borderId="0" xfId="0" applyFont="1" applyFill="1" applyAlignment="1" applyProtection="1">
      <alignment horizontal="right" vertical="bottom"/>
      <protection locked="1" hidden="0"/>
    </xf>
    <xf numFmtId="164" fontId="2" fillId="4" borderId="2" xfId="0" applyNumberFormat="1" applyFont="1" applyFill="1" applyBorder="1" applyAlignment="1" applyProtection="1">
      <alignment horizontal="general" vertical="bottom"/>
      <protection locked="1" hidden="0"/>
    </xf>
    <xf numFmtId="167" fontId="12" fillId="4" borderId="2" xfId="0" applyNumberFormat="1" applyFont="1" applyFill="1" applyBorder="1" applyAlignment="1" applyProtection="1">
      <alignment horizontal="general" vertical="bottom"/>
      <protection locked="1" hidden="0"/>
    </xf>
    <xf numFmtId="0" fontId="5" fillId="4" borderId="0" xfId="0" applyFont="1" applyFill="1" applyAlignment="1" applyProtection="1">
      <alignment horizontal="general" vertical="bottom"/>
      <protection locked="1" hidden="0"/>
    </xf>
    <xf numFmtId="170" fontId="10" fillId="4" borderId="0" xfId="0" applyNumberFormat="1" applyFont="1" applyFill="1" applyAlignment="1" applyProtection="1">
      <alignment horizontal="general" vertical="bottom"/>
      <protection locked="1" hidden="0"/>
    </xf>
    <xf numFmtId="168" fontId="3" fillId="4" borderId="0" xfId="0" applyNumberFormat="1" applyFont="1" applyFill="1" applyAlignment="1" applyProtection="1">
      <alignment horizontal="general" vertical="bottom"/>
      <protection locked="1" hidden="0"/>
    </xf>
    <xf numFmtId="0" fontId="8" fillId="2" borderId="0" xfId="0" applyFont="1" applyFill="1" applyAlignment="1" applyProtection="1">
      <alignment horizontal="general" vertical="bottom"/>
      <protection locked="1" hidden="0"/>
    </xf>
    <xf numFmtId="173" fontId="1" fillId="2" borderId="0" xfId="0" applyNumberFormat="1" applyFont="1" applyFill="1" applyAlignment="1" applyProtection="1">
      <alignment horizontal="general" vertical="bottom"/>
      <protection locked="1" hidden="0"/>
    </xf>
    <xf numFmtId="174" fontId="1" fillId="2" borderId="0" xfId="0" applyNumberFormat="1" applyFont="1" applyFill="1" applyAlignment="1" applyProtection="1">
      <alignment horizontal="general" vertical="bottom"/>
      <protection locked="1" hidden="0"/>
    </xf>
    <xf numFmtId="168" fontId="8" fillId="4" borderId="0" xfId="0" applyNumberFormat="1" applyFont="1" applyFill="1" applyAlignment="1" applyProtection="1">
      <alignment horizontal="general" vertical="bottom"/>
      <protection locked="1" hidden="0"/>
    </xf>
    <xf numFmtId="173" fontId="3" fillId="2" borderId="0" xfId="0" applyNumberFormat="1" applyFont="1" applyFill="1" applyAlignment="1" applyProtection="1">
      <alignment horizontal="general" vertical="bottom"/>
      <protection locked="1" hidden="0"/>
    </xf>
    <xf numFmtId="168" fontId="2" fillId="4" borderId="2" xfId="0" applyNumberFormat="1" applyFont="1" applyFill="1" applyBorder="1" applyAlignment="1" applyProtection="1">
      <alignment horizontal="general" vertical="bottom"/>
      <protection locked="1" hidden="0"/>
    </xf>
    <xf numFmtId="168" fontId="11" fillId="2" borderId="2" xfId="0" applyNumberFormat="1" applyFont="1" applyFill="1" applyBorder="1" applyAlignment="1" applyProtection="1">
      <alignment horizontal="general" vertical="bottom"/>
      <protection locked="1" hidden="0"/>
    </xf>
    <xf numFmtId="168" fontId="2" fillId="2" borderId="2" xfId="0" applyNumberFormat="1" applyFont="1" applyFill="1" applyBorder="1" applyAlignment="1" applyProtection="1">
      <alignment horizontal="general" vertical="bottom"/>
      <protection locked="1" hidden="0"/>
    </xf>
    <xf numFmtId="175" fontId="13" fillId="0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75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7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6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7" fontId="16" fillId="4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7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6" fontId="16" fillId="4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5" fontId="18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75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2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5" fontId="23" fillId="0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75" fontId="22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5" fontId="21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5" fontId="23" fillId="0" borderId="1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5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5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5" fontId="26" fillId="0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75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6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5" fontId="27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5" fontId="24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showGridLines="0" tabSelected="1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 ht="51">
      <c r="A1" s="1"/>
      <c r="B1" s="1"/>
      <c r="C1" s="29" t="s">
        <v>0</v>
      </c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70" t="s">
        <v>15</v>
      </c>
      <c r="C9" s="1"/>
      <c r="D9" s="1"/>
      <c r="E9" s="1"/>
      <c r="F9" s="1"/>
      <c r="G9" s="1"/>
      <c r="H9" s="1"/>
      <c r="I9" s="1"/>
      <c r="J9" s="1"/>
      <c r="K9" s="1"/>
      <c r="L9" s="5"/>
    </row>
    <row r="10">
      <c r="A10" s="1"/>
      <c r="B10" s="1" t="s">
        <v>16</v>
      </c>
      <c r="C10" s="1" t="s">
        <v>17</v>
      </c>
      <c r="D10" s="1"/>
      <c r="E10" s="1"/>
      <c r="F10" s="1"/>
      <c r="G10" s="1"/>
      <c r="H10" s="1"/>
      <c r="I10" s="1"/>
      <c r="J10" s="1"/>
      <c r="K10" s="1"/>
      <c r="L10" s="5"/>
    </row>
    <row r="11">
      <c r="A11" s="1"/>
      <c r="B11" s="1" t="s">
        <v>18</v>
      </c>
      <c r="C11" s="1" t="s">
        <v>19</v>
      </c>
      <c r="D11" s="1"/>
      <c r="E11" s="1"/>
      <c r="F11" s="1"/>
      <c r="G11" s="1"/>
      <c r="H11" s="1"/>
      <c r="I11" s="1"/>
      <c r="J11" s="1"/>
      <c r="K11" s="1"/>
      <c r="L11" s="5"/>
    </row>
    <row r="12">
      <c r="A12" s="1"/>
      <c r="B12" s="1" t="s">
        <v>20</v>
      </c>
      <c r="C12" s="1" t="s">
        <v>21</v>
      </c>
      <c r="D12" s="1"/>
      <c r="E12" s="1"/>
      <c r="F12" s="1"/>
      <c r="G12" s="1"/>
      <c r="H12" s="1"/>
      <c r="I12" s="1"/>
      <c r="J12" s="1"/>
      <c r="K12" s="1"/>
      <c r="L12" s="5"/>
    </row>
    <row r="13">
      <c r="A13" s="1"/>
      <c r="B13" s="1" t="s">
        <v>22</v>
      </c>
      <c r="C13" s="27" t="s">
        <v>23</v>
      </c>
      <c r="D13" s="1"/>
      <c r="E13" s="1"/>
      <c r="F13" s="1"/>
      <c r="G13" s="1"/>
      <c r="H13" s="1"/>
      <c r="I13" s="1"/>
      <c r="J13" s="1"/>
      <c r="K13" s="1"/>
      <c r="L13" s="5"/>
    </row>
    <row r="14">
      <c r="A14" s="1"/>
      <c r="B14" s="1" t="s">
        <v>24</v>
      </c>
      <c r="C14" s="1" t="s">
        <v>25</v>
      </c>
      <c r="D14" s="1"/>
      <c r="E14" s="1"/>
      <c r="F14" s="1"/>
      <c r="G14" s="1"/>
      <c r="H14" s="1"/>
      <c r="I14" s="1"/>
      <c r="J14" s="1"/>
      <c r="K14" s="1"/>
      <c r="L14" s="5"/>
    </row>
    <row r="15">
      <c r="A15" s="1"/>
      <c r="B15" s="1" t="s">
        <v>26</v>
      </c>
      <c r="C15" s="1" t="s">
        <v>27</v>
      </c>
      <c r="D15" s="1"/>
      <c r="E15" s="1"/>
      <c r="F15" s="1"/>
      <c r="G15" s="1"/>
      <c r="H15" s="1"/>
      <c r="I15" s="1"/>
      <c r="J15" s="1"/>
      <c r="K15" s="1"/>
      <c r="L15" s="5"/>
    </row>
    <row r="16">
      <c r="A16" s="1"/>
      <c r="B16" s="1" t="s">
        <v>28</v>
      </c>
      <c r="C16" s="1" t="s">
        <v>29</v>
      </c>
      <c r="D16" s="1"/>
      <c r="E16" s="1"/>
      <c r="F16" s="1"/>
      <c r="G16" s="1"/>
      <c r="H16" s="1"/>
      <c r="I16" s="1"/>
      <c r="J16" s="1"/>
      <c r="K16" s="1"/>
      <c r="L16" s="5"/>
    </row>
    <row r="17">
      <c r="A17" s="1"/>
      <c r="B17" s="1" t="s">
        <v>30</v>
      </c>
      <c r="C17" s="1" t="s">
        <v>31</v>
      </c>
      <c r="D17" s="1"/>
      <c r="E17" s="1"/>
      <c r="F17" s="1"/>
      <c r="G17" s="1"/>
      <c r="H17" s="1"/>
      <c r="I17" s="1"/>
      <c r="J17" s="1"/>
      <c r="K17" s="1"/>
      <c r="L17" s="5"/>
    </row>
    <row r="18">
      <c r="A18" s="1"/>
      <c r="B18" s="1" t="s">
        <v>32</v>
      </c>
      <c r="C18" s="1" t="s">
        <v>33</v>
      </c>
      <c r="D18" s="1"/>
      <c r="E18" s="1"/>
      <c r="F18" s="1"/>
      <c r="G18" s="1"/>
      <c r="H18" s="1"/>
      <c r="I18" s="1"/>
      <c r="J18" s="1"/>
      <c r="K18" s="1"/>
      <c r="L18" s="5"/>
    </row>
    <row r="19">
      <c r="A19" s="1"/>
      <c r="B19" s="1" t="s">
        <v>34</v>
      </c>
      <c r="C19" s="1" t="s">
        <v>35</v>
      </c>
      <c r="D19" s="1"/>
      <c r="E19" s="1"/>
      <c r="F19" s="1"/>
      <c r="G19" s="1"/>
      <c r="H19" s="1"/>
      <c r="I19" s="1"/>
      <c r="J19" s="1"/>
      <c r="K19" s="1"/>
      <c r="L19" s="5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5"/>
    </row>
    <row r="21" ht="22.5">
      <c r="A21" s="1"/>
      <c r="B21" s="2" t="s">
        <v>36</v>
      </c>
      <c r="C21" s="69" t="s">
        <v>37</v>
      </c>
      <c r="D21" s="69" t="s">
        <v>38</v>
      </c>
      <c r="E21" s="69" t="s">
        <v>39</v>
      </c>
      <c r="F21" s="69" t="s">
        <v>40</v>
      </c>
      <c r="G21" s="86" t="s">
        <v>41</v>
      </c>
      <c r="H21" s="69" t="s">
        <v>42</v>
      </c>
      <c r="I21" s="69" t="s">
        <v>43</v>
      </c>
      <c r="J21" s="69" t="s">
        <v>44</v>
      </c>
      <c r="K21" s="1"/>
      <c r="L21" s="5"/>
    </row>
    <row r="22">
      <c r="A22" s="1"/>
      <c r="B22" s="1" t="s">
        <v>45</v>
      </c>
      <c r="C22" s="7">
        <f>'Income Statement'!J11</f>
        <v>2471.38634</v>
      </c>
      <c r="D22" s="7">
        <f>Inputs!C57</f>
        <v>2440.33</v>
      </c>
      <c r="E22" s="14">
        <f>C22-D22</f>
        <v>31.05634000000009</v>
      </c>
      <c r="F22" s="23">
        <f>C22/D22-1</f>
        <v>0.012726287018558935</v>
      </c>
      <c r="G22" s="84" t="s">
        <v>46</v>
      </c>
      <c r="H22" s="20">
        <f>Inputs!C62</f>
        <v>12</v>
      </c>
      <c r="I22" s="7">
        <f>Inputs!C59</f>
        <v>2491</v>
      </c>
      <c r="J22" s="7">
        <f>Inputs!C60</f>
        <v>2359.4</v>
      </c>
      <c r="K22" s="1"/>
      <c r="L22" s="5"/>
    </row>
    <row r="23">
      <c r="A23" s="1"/>
      <c r="B23" s="1" t="s">
        <v>47</v>
      </c>
      <c r="C23" s="7">
        <f>'Income Statement'!J65</f>
        <v>391.10294063292076</v>
      </c>
      <c r="D23" s="7">
        <f>Inputs!C70</f>
        <v>387.16</v>
      </c>
      <c r="E23" s="14">
        <f>C23-D23</f>
        <v>3.942940632920738</v>
      </c>
      <c r="F23" s="23">
        <f>C23/D23-1</f>
        <v>0.010184266538177278</v>
      </c>
      <c r="G23" s="84" t="s">
        <v>46</v>
      </c>
      <c r="H23" s="13"/>
      <c r="I23" s="14"/>
      <c r="J23" s="14"/>
      <c r="K23" s="1"/>
      <c r="L23" s="5"/>
    </row>
    <row r="24">
      <c r="A24" s="1"/>
      <c r="B24" s="1" t="s">
        <v>48</v>
      </c>
      <c r="C24" s="3">
        <f>'Income Statement'!J66</f>
        <v>0.34003037787595264</v>
      </c>
      <c r="D24" s="3">
        <f>Inputs!C41</f>
        <v>0.34</v>
      </c>
      <c r="E24" s="8">
        <f>C24-D24</f>
        <v>0.000030377875952614097</v>
      </c>
      <c r="F24" s="23">
        <f>C24/D24-1</f>
        <v>0.00008934669397819839</v>
      </c>
      <c r="G24" s="84" t="s">
        <v>46</v>
      </c>
      <c r="H24" s="20">
        <f>Inputs!C46</f>
        <v>14</v>
      </c>
      <c r="I24" s="3">
        <f>Inputs!C43</f>
        <v>0.35</v>
      </c>
      <c r="J24" s="3">
        <f>Inputs!C44</f>
        <v>0.32</v>
      </c>
      <c r="K24" s="1"/>
      <c r="L24" s="5"/>
    </row>
    <row r="25">
      <c r="A25" s="1"/>
      <c r="B25" s="1" t="s">
        <v>49</v>
      </c>
      <c r="C25" s="7">
        <f>'Income Statement'!J45</f>
        <v>391.10294063292076</v>
      </c>
      <c r="D25" s="7">
        <f>Inputs!C71</f>
        <v>386.17</v>
      </c>
      <c r="E25" s="14">
        <f>C25-D25</f>
        <v>4.932940632920747</v>
      </c>
      <c r="F25" s="23">
        <f>C25/D25-1</f>
        <v>0.012774013084705604</v>
      </c>
      <c r="G25" s="84" t="s">
        <v>46</v>
      </c>
      <c r="H25" s="13"/>
      <c r="I25" s="14"/>
      <c r="J25" s="14"/>
      <c r="K25" s="1"/>
      <c r="L25" s="5"/>
    </row>
    <row r="26">
      <c r="A26" s="1"/>
      <c r="B26" s="1" t="s">
        <v>50</v>
      </c>
      <c r="C26" s="3">
        <f>'Income Statement'!J55</f>
        <v>0.34003037787595264</v>
      </c>
      <c r="D26" s="3">
        <f>Inputs!C50</f>
        <v>0.34</v>
      </c>
      <c r="E26" s="8">
        <f>C26-D26</f>
        <v>0.000030377875952614097</v>
      </c>
      <c r="F26" s="23">
        <f>C26/D26-1</f>
        <v>0.00008934669397819839</v>
      </c>
      <c r="G26" s="84" t="s">
        <v>46</v>
      </c>
      <c r="H26" s="20">
        <f>Inputs!C55</f>
        <v>11</v>
      </c>
      <c r="I26" s="3">
        <f>Inputs!C52</f>
        <v>0.35</v>
      </c>
      <c r="J26" s="3">
        <f>Inputs!C53</f>
        <v>0.32</v>
      </c>
      <c r="K26" s="1"/>
      <c r="L26" s="5"/>
    </row>
    <row r="27" ht="67.5">
      <c r="A27" s="1"/>
      <c r="B27" s="11" t="s">
        <v>51</v>
      </c>
      <c r="C27" s="71" t="str">
        <f>IF(AND(AND('Revenue summary'!C81:I81),AND(Geo!C44:I44),AND('Income Statement'!C58:I58),AND('Balance Sheet'!C22:I22),AND('Balance Sheet'!C45:I45),AND('Cash Flow Statement'!C27:I27),AND('Cash Flow Statement'!C54:I54),'Balance Sheet'!J45),"PASS","FAIL")</f>
        <v>PASS</v>
      </c>
      <c r="D27" s="18"/>
      <c r="E27" s="18"/>
      <c r="F27" s="18"/>
      <c r="G27" s="18"/>
      <c r="H27" s="18"/>
      <c r="I27" s="18"/>
      <c r="J27" s="18"/>
      <c r="K27" s="1"/>
      <c r="L27" s="91" t="s">
        <v>52</v>
      </c>
    </row>
    <row r="28">
      <c r="A28" s="1"/>
      <c r="B28" s="1" t="s">
        <v>53</v>
      </c>
      <c r="C28" s="26">
        <f>Inputs!C187</f>
        <v>0.32</v>
      </c>
      <c r="D28" s="6"/>
      <c r="E28" s="6"/>
      <c r="F28" s="6"/>
      <c r="G28" s="6"/>
      <c r="H28" s="6"/>
      <c r="I28" s="6"/>
      <c r="J28" s="6"/>
      <c r="K28" s="1"/>
      <c r="L28" s="5"/>
    </row>
    <row r="29">
      <c r="A29" s="1"/>
      <c r="B29" s="1" t="s">
        <v>54</v>
      </c>
      <c r="C29" s="83" t="str">
        <f>Inputs!C188</f>
        <v>medium</v>
      </c>
      <c r="D29" s="1"/>
      <c r="E29" s="1"/>
      <c r="F29" s="1"/>
      <c r="G29" s="1"/>
      <c r="H29" s="1"/>
      <c r="I29" s="1"/>
      <c r="J29" s="1"/>
      <c r="K29" s="1"/>
      <c r="L29" s="5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5"/>
    </row>
    <row r="31">
      <c r="A31" s="1"/>
      <c r="B31" s="11" t="s">
        <v>55</v>
      </c>
      <c r="C31" s="11"/>
      <c r="D31" s="11"/>
      <c r="E31" s="11"/>
      <c r="F31" s="11"/>
      <c r="G31" s="11"/>
      <c r="H31" s="11"/>
      <c r="I31" s="11"/>
      <c r="J31" s="11"/>
      <c r="K31" s="1"/>
      <c r="L31" s="5"/>
    </row>
    <row r="32" ht="22.5">
      <c r="A32" s="1"/>
      <c r="B32" s="2" t="s">
        <v>56</v>
      </c>
      <c r="C32" s="92" t="s">
        <v>57</v>
      </c>
      <c r="D32" s="69" t="s">
        <v>58</v>
      </c>
      <c r="E32" s="69" t="s">
        <v>59</v>
      </c>
      <c r="F32" s="2"/>
      <c r="G32" s="2"/>
      <c r="H32" s="2"/>
      <c r="I32" s="2"/>
      <c r="J32" s="2"/>
      <c r="K32" s="1"/>
      <c r="L32" s="5"/>
    </row>
    <row r="33">
      <c r="A33" s="1"/>
      <c r="B33" s="1" t="s">
        <v>60</v>
      </c>
      <c r="C33" s="90" t="s">
        <v>61</v>
      </c>
      <c r="D33" s="28">
        <v>0.34</v>
      </c>
      <c r="E33" s="25">
        <v>2460</v>
      </c>
      <c r="F33" s="1"/>
      <c r="G33" s="1"/>
      <c r="H33" s="1"/>
      <c r="I33" s="1"/>
      <c r="J33" s="1"/>
      <c r="K33" s="1"/>
      <c r="L33" s="5"/>
    </row>
    <row r="34">
      <c r="A34" s="1"/>
      <c r="B34" s="1" t="s">
        <v>62</v>
      </c>
      <c r="C34" s="90" t="s">
        <v>63</v>
      </c>
      <c r="D34" s="28">
        <v>0.34</v>
      </c>
      <c r="E34" s="25">
        <v>2440</v>
      </c>
      <c r="F34" s="1"/>
      <c r="G34" s="1"/>
      <c r="H34" s="1"/>
      <c r="I34" s="1"/>
      <c r="J34" s="1"/>
      <c r="K34" s="1"/>
      <c r="L34" s="5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5"/>
    </row>
    <row r="36">
      <c r="A36" s="1"/>
      <c r="B36" s="11" t="s">
        <v>64</v>
      </c>
      <c r="C36" s="11"/>
      <c r="D36" s="11"/>
      <c r="E36" s="11"/>
      <c r="F36" s="11"/>
      <c r="G36" s="11"/>
      <c r="H36" s="11"/>
      <c r="I36" s="11"/>
      <c r="J36" s="11"/>
      <c r="K36" s="1"/>
      <c r="L36" s="5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5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2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65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"/>
    </row>
    <row r="10">
      <c r="A10" s="1"/>
      <c r="B10" s="9" t="s">
        <v>66</v>
      </c>
      <c r="C10" s="14"/>
      <c r="D10" s="14"/>
      <c r="E10" s="14"/>
      <c r="F10" s="14"/>
      <c r="G10" s="14"/>
      <c r="H10" s="14"/>
      <c r="I10" s="14"/>
      <c r="J10" s="33"/>
      <c r="K10" s="1"/>
      <c r="L10" s="5"/>
    </row>
    <row r="11">
      <c r="A11" s="1"/>
      <c r="B11" s="1" t="s">
        <v>67</v>
      </c>
      <c r="C11" s="25">
        <v>1895.1</v>
      </c>
      <c r="D11" s="25">
        <v>1916.2</v>
      </c>
      <c r="E11" s="25">
        <v>1910.2</v>
      </c>
      <c r="F11" s="25">
        <v>1824.5</v>
      </c>
      <c r="G11" s="25">
        <v>7546</v>
      </c>
      <c r="H11" s="14">
        <f>C12</f>
        <v>1959.4</v>
      </c>
      <c r="I11" s="14">
        <f>D12</f>
        <v>2080.3</v>
      </c>
      <c r="J11" s="33">
        <f>E12</f>
        <v>2133.3</v>
      </c>
      <c r="K11" s="1"/>
      <c r="L11" s="5" t="s">
        <v>68</v>
      </c>
    </row>
    <row r="12" ht="28.5">
      <c r="A12" s="1"/>
      <c r="B12" s="9" t="s">
        <v>69</v>
      </c>
      <c r="C12" s="53">
        <f>Inputs!I12</f>
        <v>1959.4</v>
      </c>
      <c r="D12" s="53">
        <f>Inputs!I13</f>
        <v>2080.3</v>
      </c>
      <c r="E12" s="53">
        <f>Inputs!I14</f>
        <v>2133.3</v>
      </c>
      <c r="F12" s="53">
        <f>Inputs!I15</f>
        <v>2027.4</v>
      </c>
      <c r="G12" s="35">
        <f>SUM(C12:F12)</f>
        <v>8200.400000000001</v>
      </c>
      <c r="H12" s="53">
        <f>Inputs!I16</f>
        <v>2201.7</v>
      </c>
      <c r="I12" s="53">
        <f>Inputs!I17</f>
        <v>2386.9</v>
      </c>
      <c r="J12" s="48">
        <f>J47</f>
        <v>2471.38634</v>
      </c>
      <c r="K12" s="1"/>
      <c r="L12" s="85" t="s">
        <v>70</v>
      </c>
    </row>
    <row r="13">
      <c r="A13" s="1"/>
      <c r="B13" s="11" t="s">
        <v>71</v>
      </c>
      <c r="C13" s="30">
        <f>C12/C11-1</f>
        <v>0.03392960793625677</v>
      </c>
      <c r="D13" s="30">
        <f>D12/D11-1</f>
        <v>0.08563824235466044</v>
      </c>
      <c r="E13" s="30">
        <f>E12/E11-1</f>
        <v>0.11679405297874568</v>
      </c>
      <c r="F13" s="30">
        <f>F12/F11-1</f>
        <v>0.11120855028775001</v>
      </c>
      <c r="G13" s="30">
        <f>G12/G11-1</f>
        <v>0.08672144182348274</v>
      </c>
      <c r="H13" s="30">
        <f>H12/H11-1</f>
        <v>0.12366030417474727</v>
      </c>
      <c r="I13" s="30">
        <f>I12/I11-1</f>
        <v>0.1473825890496563</v>
      </c>
      <c r="J13" s="34">
        <f>J12/J11-1</f>
        <v>0.1584804481320019</v>
      </c>
      <c r="K13" s="1"/>
      <c r="L13" s="5"/>
    </row>
    <row r="14">
      <c r="A14" s="1"/>
      <c r="B14" s="11" t="s">
        <v>72</v>
      </c>
      <c r="C14" s="30"/>
      <c r="D14" s="30">
        <f>D12/C12-1</f>
        <v>0.06170256200877833</v>
      </c>
      <c r="E14" s="30">
        <f>E12/D12-1</f>
        <v>0.025477094649810184</v>
      </c>
      <c r="F14" s="30">
        <f>F12/E12-1</f>
        <v>-0.04964140064688516</v>
      </c>
      <c r="G14" s="30"/>
      <c r="H14" s="30">
        <f>H12/F12-1</f>
        <v>0.085972181118674</v>
      </c>
      <c r="I14" s="30">
        <f>I12/H12-1</f>
        <v>0.08411681882181954</v>
      </c>
      <c r="J14" s="34">
        <f>J12/I12-1</f>
        <v>0.03539584398173368</v>
      </c>
      <c r="K14" s="1"/>
      <c r="L14" s="5"/>
    </row>
    <row r="15">
      <c r="A15" s="1"/>
      <c r="B15" s="1" t="s">
        <v>73</v>
      </c>
      <c r="C15" s="14"/>
      <c r="D15" s="14">
        <f>D12-C12</f>
        <v>120.90000000000009</v>
      </c>
      <c r="E15" s="14">
        <f>E12-D12</f>
        <v>53</v>
      </c>
      <c r="F15" s="14">
        <f>F12-E12</f>
        <v>-105.90000000000009</v>
      </c>
      <c r="G15" s="14"/>
      <c r="H15" s="14">
        <f>H12-F12</f>
        <v>174.29999999999973</v>
      </c>
      <c r="I15" s="14">
        <f>I12-H12</f>
        <v>185.20000000000027</v>
      </c>
      <c r="J15" s="33">
        <f>J12-I12</f>
        <v>84.48633999999993</v>
      </c>
      <c r="K15" s="1"/>
      <c r="L15" s="5"/>
    </row>
    <row r="16" ht="28.5">
      <c r="A16" s="1"/>
      <c r="B16" s="11" t="s">
        <v>74</v>
      </c>
      <c r="C16" s="30">
        <f>C12/C12</f>
        <v>1</v>
      </c>
      <c r="D16" s="30">
        <f>D12/D12</f>
        <v>1</v>
      </c>
      <c r="E16" s="30">
        <f>E12/E12</f>
        <v>1</v>
      </c>
      <c r="F16" s="30">
        <f>F12/F12</f>
        <v>1</v>
      </c>
      <c r="G16" s="30">
        <f>G12/G12</f>
        <v>1</v>
      </c>
      <c r="H16" s="30">
        <f>H12/H12</f>
        <v>1</v>
      </c>
      <c r="I16" s="30">
        <f>I12/I12</f>
        <v>1</v>
      </c>
      <c r="J16" s="34">
        <f>J12/J12</f>
        <v>1</v>
      </c>
      <c r="K16" s="1"/>
      <c r="L16" s="85" t="s">
        <v>75</v>
      </c>
    </row>
    <row r="17">
      <c r="A17" s="1"/>
      <c r="B17" s="1"/>
      <c r="C17" s="1"/>
      <c r="D17" s="1"/>
      <c r="E17" s="1"/>
      <c r="F17" s="1"/>
      <c r="G17" s="1"/>
      <c r="H17" s="1"/>
      <c r="I17" s="1"/>
      <c r="J17" s="43"/>
      <c r="K17" s="1"/>
      <c r="L17" s="5"/>
    </row>
    <row r="18">
      <c r="A18" s="1"/>
      <c r="B18" s="9" t="s">
        <v>76</v>
      </c>
      <c r="C18" s="14"/>
      <c r="D18" s="14"/>
      <c r="E18" s="14"/>
      <c r="F18" s="14"/>
      <c r="G18" s="14"/>
      <c r="H18" s="14"/>
      <c r="I18" s="14"/>
      <c r="J18" s="33"/>
      <c r="K18" s="1"/>
      <c r="L18" s="5"/>
    </row>
    <row r="19">
      <c r="A19" s="1"/>
      <c r="B19" s="1" t="s">
        <v>77</v>
      </c>
      <c r="C19" s="37">
        <v>64</v>
      </c>
      <c r="D19" s="37">
        <v>64</v>
      </c>
      <c r="E19" s="37">
        <v>64</v>
      </c>
      <c r="F19" s="37">
        <v>63</v>
      </c>
      <c r="G19" s="37">
        <v>255</v>
      </c>
      <c r="H19" s="13">
        <f>C20</f>
        <v>63</v>
      </c>
      <c r="I19" s="13">
        <f>D20</f>
        <v>64</v>
      </c>
      <c r="J19" s="31">
        <f>E20</f>
        <v>64</v>
      </c>
      <c r="K19" s="1"/>
      <c r="L19" s="5" t="s">
        <v>78</v>
      </c>
    </row>
    <row r="20">
      <c r="A20" s="1"/>
      <c r="B20" s="1" t="s">
        <v>79</v>
      </c>
      <c r="C20" s="37">
        <v>63</v>
      </c>
      <c r="D20" s="37">
        <v>64</v>
      </c>
      <c r="E20" s="37">
        <v>64</v>
      </c>
      <c r="F20" s="37">
        <v>63</v>
      </c>
      <c r="G20" s="13">
        <f>SUM(C20:F20)</f>
        <v>254</v>
      </c>
      <c r="H20" s="37">
        <v>63</v>
      </c>
      <c r="I20" s="37">
        <v>64</v>
      </c>
      <c r="J20" s="31">
        <f>J32+J36+J41</f>
        <v>64</v>
      </c>
      <c r="K20" s="1"/>
      <c r="L20" s="5" t="s">
        <v>80</v>
      </c>
    </row>
    <row r="21">
      <c r="A21" s="1"/>
      <c r="B21" s="1" t="s">
        <v>81</v>
      </c>
      <c r="C21" s="13">
        <f>C20-C19</f>
        <v>-1</v>
      </c>
      <c r="D21" s="13">
        <f>D20-D19</f>
        <v>0</v>
      </c>
      <c r="E21" s="13">
        <f>E20-E19</f>
        <v>0</v>
      </c>
      <c r="F21" s="13">
        <f>F20-F19</f>
        <v>0</v>
      </c>
      <c r="G21" s="13">
        <f>G20-G19</f>
        <v>-1</v>
      </c>
      <c r="H21" s="13">
        <f>H20-H19</f>
        <v>0</v>
      </c>
      <c r="I21" s="13">
        <f>I20-I19</f>
        <v>0</v>
      </c>
      <c r="J21" s="31">
        <f>J20-J19</f>
        <v>0</v>
      </c>
      <c r="K21" s="1"/>
      <c r="L21" s="5"/>
    </row>
    <row r="22">
      <c r="A22" s="1"/>
      <c r="B22" s="1" t="s">
        <v>82</v>
      </c>
      <c r="C22" s="13"/>
      <c r="D22" s="13">
        <f>D20-C20</f>
        <v>1</v>
      </c>
      <c r="E22" s="13">
        <f>E20-D20</f>
        <v>0</v>
      </c>
      <c r="F22" s="13">
        <f>F20-E20</f>
        <v>-1</v>
      </c>
      <c r="G22" s="13"/>
      <c r="H22" s="13">
        <f>H20-F20</f>
        <v>0</v>
      </c>
      <c r="I22" s="13">
        <f>I20-H20</f>
        <v>1</v>
      </c>
      <c r="J22" s="31">
        <f>J20-I20</f>
        <v>0</v>
      </c>
      <c r="K22" s="1"/>
      <c r="L22" s="5"/>
    </row>
    <row r="23">
      <c r="A23" s="1"/>
      <c r="B23" s="1" t="s">
        <v>83</v>
      </c>
      <c r="C23" s="14">
        <f>C12/C20</f>
        <v>31.101587301587305</v>
      </c>
      <c r="D23" s="14">
        <f>D12/D20</f>
        <v>32.5046875</v>
      </c>
      <c r="E23" s="14">
        <f>E12/E20</f>
        <v>33.3328125</v>
      </c>
      <c r="F23" s="14">
        <f>F12/F20</f>
        <v>32.180952380952384</v>
      </c>
      <c r="G23" s="14">
        <f>G12/G20</f>
        <v>32.28503937007875</v>
      </c>
      <c r="H23" s="14">
        <f>H12/H20</f>
        <v>34.94761904761904</v>
      </c>
      <c r="I23" s="14">
        <f>I12/I20</f>
        <v>37.2953125</v>
      </c>
      <c r="J23" s="33">
        <f>J12/J20</f>
        <v>38.6154115625</v>
      </c>
      <c r="K23" s="1"/>
      <c r="L23" s="5" t="s">
        <v>84</v>
      </c>
    </row>
    <row r="24">
      <c r="A24" s="1"/>
      <c r="B24" s="1" t="s">
        <v>85</v>
      </c>
      <c r="C24" s="14">
        <f>C11/C19</f>
        <v>29.6109375</v>
      </c>
      <c r="D24" s="14">
        <f>D11/D19</f>
        <v>29.940625</v>
      </c>
      <c r="E24" s="14">
        <f>E11/E19</f>
        <v>29.846875</v>
      </c>
      <c r="F24" s="14">
        <f>F11/F19</f>
        <v>28.96031746031746</v>
      </c>
      <c r="G24" s="14">
        <f>G11/G19</f>
        <v>29.5921568627451</v>
      </c>
      <c r="H24" s="14">
        <f>H11/H19</f>
        <v>31.101587301587305</v>
      </c>
      <c r="I24" s="14">
        <f>I11/I19</f>
        <v>32.5046875</v>
      </c>
      <c r="J24" s="33">
        <f>J11/J19</f>
        <v>33.3328125</v>
      </c>
      <c r="K24" s="1"/>
      <c r="L24" s="5"/>
    </row>
    <row r="25">
      <c r="A25" s="1"/>
      <c r="B25" s="11" t="s">
        <v>86</v>
      </c>
      <c r="C25" s="30">
        <f>C23/C24-1</f>
        <v>0.050341189014610155</v>
      </c>
      <c r="D25" s="30">
        <f>D23/D24-1</f>
        <v>0.08563824235466044</v>
      </c>
      <c r="E25" s="30">
        <f>E23/E24-1</f>
        <v>0.11679405297874568</v>
      </c>
      <c r="F25" s="30">
        <f>F23/F24-1</f>
        <v>0.11120855028775023</v>
      </c>
      <c r="G25" s="30">
        <f>G23/G24-1</f>
        <v>0.09099987269680376</v>
      </c>
      <c r="H25" s="30">
        <f>H23/H24-1</f>
        <v>0.12366030417474705</v>
      </c>
      <c r="I25" s="30">
        <f>I23/I24-1</f>
        <v>0.1473825890496563</v>
      </c>
      <c r="J25" s="34">
        <f>J23/J24-1</f>
        <v>0.1584804481320019</v>
      </c>
      <c r="K25" s="1"/>
      <c r="L25" s="5"/>
    </row>
    <row r="26" ht="28.5">
      <c r="A26" s="1"/>
      <c r="B26" s="95" t="s">
        <v>87</v>
      </c>
      <c r="C26" s="32">
        <v>0.05</v>
      </c>
      <c r="D26" s="32">
        <v>0.086</v>
      </c>
      <c r="E26" s="32">
        <v>0.117</v>
      </c>
      <c r="F26" s="32">
        <v>0.111</v>
      </c>
      <c r="G26" s="32">
        <v>0.091</v>
      </c>
      <c r="H26" s="32">
        <v>0.124</v>
      </c>
      <c r="I26" s="32">
        <v>0.147</v>
      </c>
      <c r="J26" s="34">
        <f>J25</f>
        <v>0.1584804481320019</v>
      </c>
      <c r="K26" s="1"/>
      <c r="L26" s="5" t="s">
        <v>88</v>
      </c>
    </row>
    <row r="27">
      <c r="A27" s="1"/>
      <c r="B27" s="1" t="s">
        <v>89</v>
      </c>
      <c r="C27" s="14"/>
      <c r="D27" s="14">
        <f>D23-C23</f>
        <v>1.403100198412698</v>
      </c>
      <c r="E27" s="14">
        <f>E23-D23</f>
        <v>0.828125</v>
      </c>
      <c r="F27" s="14">
        <f>F23-E23</f>
        <v>-1.151860119047619</v>
      </c>
      <c r="G27" s="14"/>
      <c r="H27" s="14">
        <f>H23-F23</f>
        <v>2.7666666666666586</v>
      </c>
      <c r="I27" s="14">
        <f>I23-H23</f>
        <v>2.347693452380959</v>
      </c>
      <c r="J27" s="33">
        <f>J23-I23</f>
        <v>1.3200990624999989</v>
      </c>
      <c r="K27" s="1"/>
      <c r="L27" s="5"/>
    </row>
    <row r="28">
      <c r="A28" s="1"/>
      <c r="B28" s="11" t="s">
        <v>72</v>
      </c>
      <c r="C28" s="30"/>
      <c r="D28" s="30">
        <f>D23/C23-1</f>
        <v>0.04511345947739098</v>
      </c>
      <c r="E28" s="30">
        <f>E23/D23-1</f>
        <v>0.025477094649810184</v>
      </c>
      <c r="F28" s="30">
        <f>F23/E23-1</f>
        <v>-0.03455634351429593</v>
      </c>
      <c r="G28" s="30"/>
      <c r="H28" s="30">
        <f>H23/F23-1</f>
        <v>0.085972181118674</v>
      </c>
      <c r="I28" s="30">
        <f>I23/H23-1</f>
        <v>0.06717749352772873</v>
      </c>
      <c r="J28" s="34">
        <f>J23/I23-1</f>
        <v>0.03539584398173368</v>
      </c>
      <c r="K28" s="1"/>
      <c r="L28" s="5"/>
    </row>
    <row r="29">
      <c r="A29" s="1"/>
      <c r="B29" s="1"/>
      <c r="C29" s="1"/>
      <c r="D29" s="1"/>
      <c r="E29" s="1"/>
      <c r="F29" s="1"/>
      <c r="G29" s="1"/>
      <c r="H29" s="1"/>
      <c r="I29" s="1"/>
      <c r="J29" s="43"/>
      <c r="K29" s="1"/>
      <c r="L29" s="5"/>
    </row>
    <row r="30">
      <c r="A30" s="1"/>
      <c r="B30" s="9" t="s">
        <v>90</v>
      </c>
      <c r="C30" s="14"/>
      <c r="D30" s="14"/>
      <c r="E30" s="14"/>
      <c r="F30" s="14"/>
      <c r="G30" s="14"/>
      <c r="H30" s="14"/>
      <c r="I30" s="14"/>
      <c r="J30" s="33"/>
      <c r="K30" s="1"/>
      <c r="L30" s="5"/>
    </row>
    <row r="31">
      <c r="A31" s="1"/>
      <c r="B31" s="1" t="s">
        <v>91</v>
      </c>
      <c r="C31" s="14"/>
      <c r="D31" s="14"/>
      <c r="E31" s="7">
        <f>Inputs!C121</f>
        <v>714.972</v>
      </c>
      <c r="F31" s="14"/>
      <c r="G31" s="14"/>
      <c r="H31" s="14"/>
      <c r="I31" s="14"/>
      <c r="J31" s="40">
        <f>Inputs!C119</f>
        <v>825.846</v>
      </c>
      <c r="K31" s="1"/>
      <c r="L31" s="5" t="s">
        <v>92</v>
      </c>
    </row>
    <row r="32">
      <c r="A32" s="1"/>
      <c r="B32" s="1" t="s">
        <v>93</v>
      </c>
      <c r="C32" s="13"/>
      <c r="D32" s="13"/>
      <c r="E32" s="37">
        <v>22</v>
      </c>
      <c r="F32" s="13"/>
      <c r="G32" s="13"/>
      <c r="H32" s="13"/>
      <c r="I32" s="13"/>
      <c r="J32" s="60">
        <f>Inputs!C120</f>
        <v>22</v>
      </c>
      <c r="K32" s="1"/>
      <c r="L32" s="5" t="s">
        <v>94</v>
      </c>
    </row>
    <row r="33">
      <c r="A33" s="1"/>
      <c r="B33" s="1" t="s">
        <v>95</v>
      </c>
      <c r="C33" s="14"/>
      <c r="D33" s="14"/>
      <c r="E33" s="14">
        <f>E31/E32</f>
        <v>32.49872727272727</v>
      </c>
      <c r="F33" s="14"/>
      <c r="G33" s="14"/>
      <c r="H33" s="14"/>
      <c r="I33" s="14"/>
      <c r="J33" s="33">
        <f>J31/J32</f>
        <v>37.53845454545455</v>
      </c>
      <c r="K33" s="1"/>
      <c r="L33" s="5"/>
    </row>
    <row r="34">
      <c r="A34" s="1"/>
      <c r="B34" s="11" t="s">
        <v>96</v>
      </c>
      <c r="C34" s="30"/>
      <c r="D34" s="30"/>
      <c r="E34" s="30"/>
      <c r="F34" s="30"/>
      <c r="G34" s="30"/>
      <c r="H34" s="30"/>
      <c r="I34" s="30"/>
      <c r="J34" s="34">
        <f>J33/E33-1</f>
        <v>0.1550746043201694</v>
      </c>
      <c r="K34" s="1"/>
      <c r="L34" s="5"/>
    </row>
    <row r="35">
      <c r="A35" s="1"/>
      <c r="B35" s="1" t="s">
        <v>97</v>
      </c>
      <c r="C35" s="14"/>
      <c r="D35" s="14"/>
      <c r="E35" s="7">
        <f>Inputs!D121</f>
        <v>696.7</v>
      </c>
      <c r="F35" s="14"/>
      <c r="G35" s="14"/>
      <c r="H35" s="14"/>
      <c r="I35" s="14"/>
      <c r="J35" s="40">
        <f>Inputs!D119</f>
        <v>812.06</v>
      </c>
      <c r="K35" s="1"/>
      <c r="L35" s="5" t="s">
        <v>92</v>
      </c>
    </row>
    <row r="36">
      <c r="A36" s="1"/>
      <c r="B36" s="1" t="s">
        <v>98</v>
      </c>
      <c r="C36" s="13"/>
      <c r="D36" s="13"/>
      <c r="E36" s="37">
        <v>21</v>
      </c>
      <c r="F36" s="13"/>
      <c r="G36" s="13"/>
      <c r="H36" s="13"/>
      <c r="I36" s="13"/>
      <c r="J36" s="60">
        <f>Inputs!D120</f>
        <v>21</v>
      </c>
      <c r="K36" s="1"/>
      <c r="L36" s="5" t="s">
        <v>99</v>
      </c>
    </row>
    <row r="37">
      <c r="A37" s="1"/>
      <c r="B37" s="1" t="s">
        <v>100</v>
      </c>
      <c r="C37" s="14"/>
      <c r="D37" s="14"/>
      <c r="E37" s="14">
        <f>E35/E36</f>
        <v>33.17619047619048</v>
      </c>
      <c r="F37" s="14"/>
      <c r="G37" s="14"/>
      <c r="H37" s="14"/>
      <c r="I37" s="14"/>
      <c r="J37" s="33">
        <f>J35/J36</f>
        <v>38.66952380952381</v>
      </c>
      <c r="K37" s="1"/>
      <c r="L37" s="5"/>
    </row>
    <row r="38">
      <c r="A38" s="1"/>
      <c r="B38" s="11" t="s">
        <v>101</v>
      </c>
      <c r="C38" s="30"/>
      <c r="D38" s="30"/>
      <c r="E38" s="30"/>
      <c r="F38" s="30"/>
      <c r="G38" s="30"/>
      <c r="H38" s="30"/>
      <c r="I38" s="30"/>
      <c r="J38" s="34">
        <f>J37/E37-1</f>
        <v>0.1655805942299411</v>
      </c>
      <c r="K38" s="1"/>
      <c r="L38" s="5"/>
    </row>
    <row r="39">
      <c r="A39" s="1"/>
      <c r="B39" s="11" t="s">
        <v>102</v>
      </c>
      <c r="C39" s="30"/>
      <c r="D39" s="30"/>
      <c r="E39" s="30">
        <f>E37/E33-1</f>
        <v>0.020845837985530302</v>
      </c>
      <c r="F39" s="30"/>
      <c r="G39" s="30"/>
      <c r="H39" s="30"/>
      <c r="I39" s="30"/>
      <c r="J39" s="34">
        <f>J37/J33-1</f>
        <v>0.030130949123109874</v>
      </c>
      <c r="K39" s="1"/>
      <c r="L39" s="5"/>
    </row>
    <row r="40">
      <c r="A40" s="1"/>
      <c r="B40" s="1" t="s">
        <v>103</v>
      </c>
      <c r="C40" s="14"/>
      <c r="D40" s="14"/>
      <c r="E40" s="14">
        <f>E12-E31-E35</f>
        <v>721.6280000000002</v>
      </c>
      <c r="F40" s="14"/>
      <c r="G40" s="14"/>
      <c r="H40" s="14"/>
      <c r="I40" s="14"/>
      <c r="J40" s="33">
        <f>J43*J41</f>
        <v>833.4803400000002</v>
      </c>
      <c r="K40" s="1"/>
      <c r="L40" s="5" t="s">
        <v>104</v>
      </c>
    </row>
    <row r="41">
      <c r="A41" s="1"/>
      <c r="B41" s="1" t="s">
        <v>105</v>
      </c>
      <c r="C41" s="13"/>
      <c r="D41" s="13"/>
      <c r="E41" s="37">
        <v>21</v>
      </c>
      <c r="F41" s="13"/>
      <c r="G41" s="13"/>
      <c r="H41" s="13"/>
      <c r="I41" s="13"/>
      <c r="J41" s="64">
        <v>21</v>
      </c>
      <c r="K41" s="1"/>
      <c r="L41" s="5" t="s">
        <v>106</v>
      </c>
    </row>
    <row r="42" ht="28.5">
      <c r="A42" s="1"/>
      <c r="B42" s="11" t="s">
        <v>107</v>
      </c>
      <c r="C42" s="30"/>
      <c r="D42" s="30"/>
      <c r="E42" s="30"/>
      <c r="F42" s="30"/>
      <c r="G42" s="30"/>
      <c r="H42" s="30"/>
      <c r="I42" s="30"/>
      <c r="J42" s="59">
        <v>0.155</v>
      </c>
      <c r="K42" s="1"/>
      <c r="L42" s="85" t="s">
        <v>108</v>
      </c>
    </row>
    <row r="43">
      <c r="A43" s="1"/>
      <c r="B43" s="1" t="s">
        <v>109</v>
      </c>
      <c r="C43" s="14"/>
      <c r="D43" s="14"/>
      <c r="E43" s="14">
        <f>E40/E41</f>
        <v>34.3632380952381</v>
      </c>
      <c r="F43" s="14"/>
      <c r="G43" s="14"/>
      <c r="H43" s="14"/>
      <c r="I43" s="14"/>
      <c r="J43" s="33">
        <f>E43*(1+J42)</f>
        <v>39.68954000000001</v>
      </c>
      <c r="K43" s="1"/>
      <c r="L43" s="5"/>
    </row>
    <row r="44">
      <c r="A44" s="1"/>
      <c r="B44" s="11" t="s">
        <v>110</v>
      </c>
      <c r="C44" s="30"/>
      <c r="D44" s="30"/>
      <c r="E44" s="30">
        <f>E43/E37-1</f>
        <v>0.03578010621501382</v>
      </c>
      <c r="F44" s="30"/>
      <c r="G44" s="30"/>
      <c r="H44" s="30"/>
      <c r="I44" s="30"/>
      <c r="J44" s="34">
        <f>J43/J37-1</f>
        <v>0.02637777996699775</v>
      </c>
      <c r="K44" s="1"/>
      <c r="L44" s="5"/>
    </row>
    <row r="45">
      <c r="A45" s="1"/>
      <c r="B45" s="11" t="s">
        <v>111</v>
      </c>
      <c r="C45" s="30"/>
      <c r="D45" s="30"/>
      <c r="E45" s="30"/>
      <c r="F45" s="30"/>
      <c r="G45" s="30"/>
      <c r="H45" s="30"/>
      <c r="I45" s="30"/>
      <c r="J45" s="36">
        <f>Inputs!C165</f>
        <v>0.153</v>
      </c>
      <c r="K45" s="1"/>
      <c r="L45" s="5" t="s">
        <v>112</v>
      </c>
    </row>
    <row r="46">
      <c r="A46" s="1"/>
      <c r="B46" s="11" t="s">
        <v>113</v>
      </c>
      <c r="C46" s="30"/>
      <c r="D46" s="30"/>
      <c r="E46" s="30"/>
      <c r="F46" s="30"/>
      <c r="G46" s="30"/>
      <c r="H46" s="30"/>
      <c r="I46" s="30"/>
      <c r="J46" s="36">
        <f>Inputs!C167</f>
        <v>0.16799999999999998</v>
      </c>
      <c r="K46" s="1"/>
      <c r="L46" s="5" t="s">
        <v>114</v>
      </c>
    </row>
    <row r="47">
      <c r="A47" s="1"/>
      <c r="B47" s="9" t="s">
        <v>115</v>
      </c>
      <c r="C47" s="35"/>
      <c r="D47" s="35"/>
      <c r="E47" s="35">
        <f>E31+E35+E40</f>
        <v>2133.3</v>
      </c>
      <c r="F47" s="35"/>
      <c r="G47" s="35"/>
      <c r="H47" s="35"/>
      <c r="I47" s="35"/>
      <c r="J47" s="48">
        <f>J31+J35+J40</f>
        <v>2471.38634</v>
      </c>
      <c r="K47" s="1"/>
      <c r="L47" s="5"/>
    </row>
    <row r="48">
      <c r="A48" s="1"/>
      <c r="B48" s="11" t="s">
        <v>71</v>
      </c>
      <c r="C48" s="30"/>
      <c r="D48" s="30"/>
      <c r="E48" s="30"/>
      <c r="F48" s="30"/>
      <c r="G48" s="30"/>
      <c r="H48" s="30"/>
      <c r="I48" s="30"/>
      <c r="J48" s="34">
        <f>J47/E47-1</f>
        <v>0.1584804481320019</v>
      </c>
      <c r="K48" s="1"/>
      <c r="L48" s="5"/>
    </row>
    <row r="49">
      <c r="A49" s="1"/>
      <c r="B49" s="1"/>
      <c r="C49" s="1"/>
      <c r="D49" s="1"/>
      <c r="E49" s="1"/>
      <c r="F49" s="1"/>
      <c r="G49" s="1"/>
      <c r="H49" s="1"/>
      <c r="I49" s="1"/>
      <c r="J49" s="43"/>
      <c r="K49" s="1"/>
      <c r="L49" s="5"/>
    </row>
    <row r="50">
      <c r="A50" s="1"/>
      <c r="B50" s="9" t="s">
        <v>116</v>
      </c>
      <c r="C50" s="14"/>
      <c r="D50" s="14"/>
      <c r="E50" s="14"/>
      <c r="F50" s="14"/>
      <c r="G50" s="14"/>
      <c r="H50" s="14"/>
      <c r="I50" s="14"/>
      <c r="J50" s="33"/>
      <c r="K50" s="1"/>
      <c r="L50" s="5"/>
    </row>
    <row r="51">
      <c r="A51" s="1"/>
      <c r="B51" s="11" t="s">
        <v>117</v>
      </c>
      <c r="C51" s="30">
        <f>C13</f>
        <v>0.03392960793625677</v>
      </c>
      <c r="D51" s="30">
        <f>D13</f>
        <v>0.08563824235466044</v>
      </c>
      <c r="E51" s="30">
        <f>E13</f>
        <v>0.11679405297874568</v>
      </c>
      <c r="F51" s="30">
        <f>F13</f>
        <v>0.11120855028775001</v>
      </c>
      <c r="G51" s="30">
        <f>G13</f>
        <v>0.08672144182348274</v>
      </c>
      <c r="H51" s="30">
        <f>H13</f>
        <v>0.12366030417474727</v>
      </c>
      <c r="I51" s="30">
        <f>I13</f>
        <v>0.1473825890496563</v>
      </c>
      <c r="J51" s="34">
        <f>J13</f>
        <v>0.1584804481320019</v>
      </c>
      <c r="K51" s="1"/>
      <c r="L51" s="5"/>
    </row>
    <row r="52">
      <c r="A52" s="1"/>
      <c r="B52" s="11" t="s">
        <v>118</v>
      </c>
      <c r="C52" s="30">
        <f>(1+C13)/(1+C25)-1</f>
        <v>-0.01562500000000011</v>
      </c>
      <c r="D52" s="30">
        <f>(1+D13)/(1+D25)-1</f>
        <v>0</v>
      </c>
      <c r="E52" s="30">
        <f>(1+E13)/(1+E25)-1</f>
        <v>0</v>
      </c>
      <c r="F52" s="30">
        <f>(1+F13)/(1+F25)-1</f>
        <v>0</v>
      </c>
      <c r="G52" s="30">
        <f>(1+G13)/(1+G25)-1</f>
        <v>-0.0039215686274511885</v>
      </c>
      <c r="H52" s="30">
        <f>(1+H13)/(1+H25)-1</f>
        <v>0</v>
      </c>
      <c r="I52" s="30">
        <f>(1+I13)/(1+I25)-1</f>
        <v>0</v>
      </c>
      <c r="J52" s="34">
        <f>(1+J13)/(1+J25)-1</f>
        <v>0</v>
      </c>
      <c r="K52" s="1"/>
      <c r="L52" s="5"/>
    </row>
    <row r="53" ht="28.5">
      <c r="A53" s="1"/>
      <c r="B53" s="11" t="s">
        <v>119</v>
      </c>
      <c r="C53" s="32">
        <v>-0.005</v>
      </c>
      <c r="D53" s="32">
        <v>0.001</v>
      </c>
      <c r="E53" s="32">
        <v>0.001</v>
      </c>
      <c r="F53" s="32">
        <v>0.002</v>
      </c>
      <c r="G53" s="30"/>
      <c r="H53" s="32">
        <v>0.006</v>
      </c>
      <c r="I53" s="32">
        <v>0.001</v>
      </c>
      <c r="J53" s="36">
        <f>Inputs!C123</f>
        <v>-0.002</v>
      </c>
      <c r="K53" s="1"/>
      <c r="L53" s="85" t="s">
        <v>120</v>
      </c>
    </row>
    <row r="54" ht="28.5">
      <c r="A54" s="1"/>
      <c r="B54" s="11" t="s">
        <v>121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59">
        <v>0</v>
      </c>
      <c r="K54" s="1"/>
      <c r="L54" s="85" t="s">
        <v>122</v>
      </c>
    </row>
    <row r="55" ht="41.25">
      <c r="A55" s="1"/>
      <c r="B55" s="11" t="s">
        <v>123</v>
      </c>
      <c r="C55" s="30">
        <f>(1+C13)/((1+C54)*(1+C53))-1</f>
        <v>0.039125234106790696</v>
      </c>
      <c r="D55" s="30">
        <f>(1+D13)/((1+D54)*(1+D53))-1</f>
        <v>0.08455368866599455</v>
      </c>
      <c r="E55" s="30">
        <f>(1+E13)/((1+E54)*(1+E53))-1</f>
        <v>0.11567837460414165</v>
      </c>
      <c r="F55" s="30">
        <f>(1+F13)/((1+F54)*(1+F53))-1</f>
        <v>0.10899056914945104</v>
      </c>
      <c r="G55" s="30"/>
      <c r="H55" s="30">
        <f>(1+H13)/((1+H54)*(1+H53))-1</f>
        <v>0.1169585528576016</v>
      </c>
      <c r="I55" s="30">
        <f>(1+I13)/((1+I54)*(1+I53))-1</f>
        <v>0.14623635269695945</v>
      </c>
      <c r="J55" s="34">
        <f>(1+J13)/((1+J54)*(1+J53))-1</f>
        <v>0.1608020522364748</v>
      </c>
      <c r="K55" s="1"/>
      <c r="L55" s="85" t="s">
        <v>124</v>
      </c>
    </row>
    <row r="56">
      <c r="A56" s="1"/>
      <c r="B56" s="11" t="s">
        <v>125</v>
      </c>
      <c r="C56" s="30">
        <f>(1+C25)/((1+C54)*(1+C53))-1</f>
        <v>0.055619285441819155</v>
      </c>
      <c r="D56" s="30">
        <f>(1+D25)/((1+D54)*(1+D53))-1</f>
        <v>0.08455368866599455</v>
      </c>
      <c r="E56" s="30">
        <f>(1+E25)/((1+E54)*(1+E53))-1</f>
        <v>0.11567837460414165</v>
      </c>
      <c r="F56" s="30">
        <f>(1+F25)/((1+F54)*(1+F53))-1</f>
        <v>0.10899056914945127</v>
      </c>
      <c r="G56" s="30"/>
      <c r="H56" s="30">
        <f>(1+H25)/((1+H54)*(1+H53))-1</f>
        <v>0.11695855285760137</v>
      </c>
      <c r="I56" s="30">
        <f>(1+I25)/((1+I54)*(1+I53))-1</f>
        <v>0.14623635269695945</v>
      </c>
      <c r="J56" s="34">
        <f>(1+J25)/((1+J54)*(1+J53))-1</f>
        <v>0.1608020522364748</v>
      </c>
      <c r="K56" s="1"/>
      <c r="L56" s="5"/>
    </row>
    <row r="57" ht="41.25">
      <c r="A57" s="1"/>
      <c r="B57" s="11" t="s">
        <v>126</v>
      </c>
      <c r="C57" s="32">
        <v>0</v>
      </c>
      <c r="D57" s="32">
        <v>0.0155</v>
      </c>
      <c r="E57" s="32">
        <v>0.0255</v>
      </c>
      <c r="F57" s="32">
        <v>0.0325</v>
      </c>
      <c r="G57" s="30"/>
      <c r="H57" s="32">
        <v>0.035</v>
      </c>
      <c r="I57" s="32">
        <v>0.029</v>
      </c>
      <c r="J57" s="59">
        <v>0.025</v>
      </c>
      <c r="K57" s="1"/>
      <c r="L57" s="85" t="s">
        <v>127</v>
      </c>
    </row>
    <row r="58">
      <c r="A58" s="1"/>
      <c r="B58" s="11" t="s">
        <v>128</v>
      </c>
      <c r="C58" s="30">
        <f>(1+C56)/(1+C57)-1</f>
        <v>0.055619285441819155</v>
      </c>
      <c r="D58" s="30">
        <f>(1+D56)/(1+D57)-1</f>
        <v>0.06799969341801515</v>
      </c>
      <c r="E58" s="30">
        <f>(1+E56)/(1+E57)-1</f>
        <v>0.0879360064399235</v>
      </c>
      <c r="F58" s="30">
        <f>(1+F56)/(1+F57)-1</f>
        <v>0.0740828756895413</v>
      </c>
      <c r="G58" s="30"/>
      <c r="H58" s="30">
        <f>(1+H56)/(1+H57)-1</f>
        <v>0.07918700759188546</v>
      </c>
      <c r="I58" s="30">
        <f>(1+I56)/(1+I57)-1</f>
        <v>0.11393231554612204</v>
      </c>
      <c r="J58" s="34">
        <f>(1+J56)/(1+J57)-1</f>
        <v>0.1324898070599756</v>
      </c>
      <c r="K58" s="1"/>
      <c r="L58" s="5" t="s">
        <v>129</v>
      </c>
    </row>
    <row r="59">
      <c r="A59" s="1"/>
      <c r="B59" s="1"/>
      <c r="C59" s="1"/>
      <c r="D59" s="1"/>
      <c r="E59" s="1"/>
      <c r="F59" s="1"/>
      <c r="G59" s="1"/>
      <c r="H59" s="1"/>
      <c r="I59" s="1"/>
      <c r="J59" s="43"/>
      <c r="K59" s="1"/>
      <c r="L59" s="5"/>
    </row>
    <row r="60">
      <c r="A60" s="1"/>
      <c r="B60" s="9" t="s">
        <v>130</v>
      </c>
      <c r="C60" s="14"/>
      <c r="D60" s="14"/>
      <c r="E60" s="14"/>
      <c r="F60" s="14"/>
      <c r="G60" s="14"/>
      <c r="H60" s="14"/>
      <c r="I60" s="14"/>
      <c r="J60" s="33"/>
      <c r="K60" s="1"/>
      <c r="L60" s="5"/>
    </row>
    <row r="61">
      <c r="A61" s="1"/>
      <c r="B61" s="1" t="s">
        <v>131</v>
      </c>
      <c r="C61" s="7">
        <f>Geo!C11</f>
        <v>1629.4</v>
      </c>
      <c r="D61" s="7">
        <f>Geo!D11</f>
        <v>1732.8</v>
      </c>
      <c r="E61" s="7">
        <f>Geo!E11</f>
        <v>1777.9</v>
      </c>
      <c r="F61" s="7">
        <f>Geo!F11</f>
        <v>1678.7999999999997</v>
      </c>
      <c r="G61" s="7">
        <f>Geo!G11</f>
        <v>6818.9</v>
      </c>
      <c r="H61" s="7">
        <f>Geo!H11</f>
        <v>1816.3</v>
      </c>
      <c r="I61" s="7">
        <f>Geo!I11</f>
        <v>1969.8</v>
      </c>
      <c r="J61" s="40">
        <f>Geo!J11</f>
        <v>2043.01334</v>
      </c>
      <c r="K61" s="1"/>
      <c r="L61" s="5" t="s">
        <v>132</v>
      </c>
    </row>
    <row r="62">
      <c r="A62" s="1"/>
      <c r="B62" s="11" t="s">
        <v>71</v>
      </c>
      <c r="C62" s="30"/>
      <c r="D62" s="30"/>
      <c r="E62" s="30"/>
      <c r="F62" s="30"/>
      <c r="G62" s="30"/>
      <c r="H62" s="30">
        <f>H61/C61-1</f>
        <v>0.11470479931263022</v>
      </c>
      <c r="I62" s="30">
        <f>I61/D61-1</f>
        <v>0.13677285318559562</v>
      </c>
      <c r="J62" s="34">
        <f>J61/E61-1</f>
        <v>0.14911600202486075</v>
      </c>
      <c r="K62" s="1"/>
      <c r="L62" s="5"/>
    </row>
    <row r="63">
      <c r="A63" s="1"/>
      <c r="B63" s="11" t="s">
        <v>72</v>
      </c>
      <c r="C63" s="30"/>
      <c r="D63" s="30">
        <f>D61/C61-1</f>
        <v>0.063458941941819</v>
      </c>
      <c r="E63" s="30">
        <f>E61/D61-1</f>
        <v>0.026027239150507864</v>
      </c>
      <c r="F63" s="30">
        <f>F61/E61-1</f>
        <v>-0.05573991788064592</v>
      </c>
      <c r="G63" s="30"/>
      <c r="H63" s="30">
        <f>H61/F61-1</f>
        <v>0.08190374076721474</v>
      </c>
      <c r="I63" s="30">
        <f>I61/H61-1</f>
        <v>0.08451247040687115</v>
      </c>
      <c r="J63" s="34">
        <f>J61/I61-1</f>
        <v>0.03716790537110359</v>
      </c>
      <c r="K63" s="1"/>
      <c r="L63" s="5"/>
    </row>
    <row r="64">
      <c r="A64" s="1"/>
      <c r="B64" s="1" t="s">
        <v>73</v>
      </c>
      <c r="C64" s="14"/>
      <c r="D64" s="14">
        <f>D61-C61</f>
        <v>103.39999999999986</v>
      </c>
      <c r="E64" s="14">
        <f>E61-D61</f>
        <v>45.100000000000136</v>
      </c>
      <c r="F64" s="14">
        <f>F61-E61</f>
        <v>-99.10000000000036</v>
      </c>
      <c r="G64" s="14"/>
      <c r="H64" s="14">
        <f>H61-F61</f>
        <v>137.50000000000023</v>
      </c>
      <c r="I64" s="14">
        <f>I61-H61</f>
        <v>153.5</v>
      </c>
      <c r="J64" s="33">
        <f>J61-I61</f>
        <v>73.21334000000002</v>
      </c>
      <c r="K64" s="1"/>
      <c r="L64" s="5"/>
    </row>
    <row r="65">
      <c r="A65" s="1"/>
      <c r="B65" s="11" t="s">
        <v>133</v>
      </c>
      <c r="C65" s="30">
        <f>C61/C12</f>
        <v>0.8315810962539553</v>
      </c>
      <c r="D65" s="30">
        <f>D61/D12</f>
        <v>0.832956785079075</v>
      </c>
      <c r="E65" s="30">
        <f>E61/E12</f>
        <v>0.8334036469319833</v>
      </c>
      <c r="F65" s="30">
        <f>F61/F12</f>
        <v>0.8280556377626515</v>
      </c>
      <c r="G65" s="30">
        <f>G61/G12</f>
        <v>0.8315326081654552</v>
      </c>
      <c r="H65" s="30">
        <f>H61/H12</f>
        <v>0.824953445065177</v>
      </c>
      <c r="I65" s="30">
        <f>I61/I12</f>
        <v>0.8252545142234697</v>
      </c>
      <c r="J65" s="34">
        <f>J61/J12</f>
        <v>0.8266669225014814</v>
      </c>
      <c r="K65" s="1"/>
      <c r="L65" s="5"/>
    </row>
    <row r="66">
      <c r="A66" s="1"/>
      <c r="B66" s="1" t="s">
        <v>134</v>
      </c>
      <c r="C66" s="13"/>
      <c r="D66" s="13"/>
      <c r="E66" s="13"/>
      <c r="F66" s="13"/>
      <c r="G66" s="13"/>
      <c r="H66" s="13">
        <f>(H65-C65)*10000</f>
        <v>-66.27651188778283</v>
      </c>
      <c r="I66" s="13">
        <f>(I65-D65)*10000</f>
        <v>-77.02270855605265</v>
      </c>
      <c r="J66" s="31">
        <f>(J65-E65)*10000</f>
        <v>-67.36724430501883</v>
      </c>
      <c r="K66" s="1"/>
      <c r="L66" s="5"/>
    </row>
    <row r="67">
      <c r="A67" s="1"/>
      <c r="B67" s="1" t="s">
        <v>135</v>
      </c>
      <c r="C67" s="13"/>
      <c r="D67" s="13">
        <f>(D65-C65)*10000</f>
        <v>13.756888251197363</v>
      </c>
      <c r="E67" s="13">
        <f>(E65-D65)*10000</f>
        <v>4.4686185290832015</v>
      </c>
      <c r="F67" s="13">
        <f>(F65-E65)*10000</f>
        <v>-53.480091693318684</v>
      </c>
      <c r="G67" s="13"/>
      <c r="H67" s="13">
        <f>(H65-F65)*10000</f>
        <v>-31.02192697474471</v>
      </c>
      <c r="I67" s="13">
        <f>(I65-H65)*10000</f>
        <v>3.0106915829275493</v>
      </c>
      <c r="J67" s="31">
        <f>(J65-I65)*10000</f>
        <v>14.124082780117009</v>
      </c>
      <c r="K67" s="1"/>
      <c r="L67" s="5"/>
    </row>
    <row r="68">
      <c r="A68" s="1"/>
      <c r="B68" s="11" t="s">
        <v>136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59">
        <v>0</v>
      </c>
      <c r="K68" s="1"/>
      <c r="L68" s="5" t="s">
        <v>137</v>
      </c>
    </row>
    <row r="69">
      <c r="A69" s="1"/>
      <c r="B69" s="11" t="s">
        <v>121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59">
        <v>0</v>
      </c>
      <c r="K69" s="1"/>
      <c r="L69" s="5" t="s">
        <v>138</v>
      </c>
    </row>
    <row r="70">
      <c r="A70" s="1"/>
      <c r="B70" s="11" t="s">
        <v>123</v>
      </c>
      <c r="C70" s="30"/>
      <c r="D70" s="30"/>
      <c r="E70" s="30"/>
      <c r="F70" s="30"/>
      <c r="G70" s="30"/>
      <c r="H70" s="30">
        <f>(1+H62)/((1+H69)*(1+H68))-1</f>
        <v>0.11470479931263022</v>
      </c>
      <c r="I70" s="30">
        <f>(1+I62)/((1+I69)*(1+I68))-1</f>
        <v>0.13677285318559562</v>
      </c>
      <c r="J70" s="34">
        <f>(1+J62)/((1+J69)*(1+J68))-1</f>
        <v>0.14911600202486075</v>
      </c>
      <c r="K70" s="1"/>
      <c r="L70" s="5"/>
    </row>
    <row r="71" ht="28.5">
      <c r="A71" s="1"/>
      <c r="B71" s="1" t="s">
        <v>139</v>
      </c>
      <c r="C71" s="7">
        <f>Geo!C22+Geo!C32</f>
        <v>330</v>
      </c>
      <c r="D71" s="7">
        <f>Geo!D22+Geo!D32</f>
        <v>347.5</v>
      </c>
      <c r="E71" s="7">
        <f>Geo!E22+Geo!E32</f>
        <v>355.4</v>
      </c>
      <c r="F71" s="7">
        <f>Geo!F22+Geo!F32</f>
        <v>348.70000000000005</v>
      </c>
      <c r="G71" s="7">
        <f>Geo!G22+Geo!G32</f>
        <v>1381.6</v>
      </c>
      <c r="H71" s="7">
        <f>Geo!H22+Geo!H32</f>
        <v>385.4</v>
      </c>
      <c r="I71" s="7">
        <f>Geo!I22+Geo!I32</f>
        <v>417.1</v>
      </c>
      <c r="J71" s="40">
        <f>Geo!J22+Geo!J32</f>
        <v>428.37300000000005</v>
      </c>
      <c r="K71" s="1"/>
      <c r="L71" s="85" t="s">
        <v>140</v>
      </c>
    </row>
    <row r="72">
      <c r="A72" s="1"/>
      <c r="B72" s="11" t="s">
        <v>71</v>
      </c>
      <c r="C72" s="30"/>
      <c r="D72" s="30"/>
      <c r="E72" s="30"/>
      <c r="F72" s="30"/>
      <c r="G72" s="30"/>
      <c r="H72" s="30">
        <f>H71/C71-1</f>
        <v>0.16787878787878774</v>
      </c>
      <c r="I72" s="30">
        <f>I71/D71-1</f>
        <v>0.20028776978417273</v>
      </c>
      <c r="J72" s="34">
        <f>J71/E71-1</f>
        <v>0.20532639279684872</v>
      </c>
      <c r="K72" s="1"/>
      <c r="L72" s="5"/>
    </row>
    <row r="73">
      <c r="A73" s="1"/>
      <c r="B73" s="11" t="s">
        <v>72</v>
      </c>
      <c r="C73" s="30"/>
      <c r="D73" s="30">
        <f>D71/C71-1</f>
        <v>0.05303030303030298</v>
      </c>
      <c r="E73" s="30">
        <f>E71/D71-1</f>
        <v>0.022733812949640164</v>
      </c>
      <c r="F73" s="30">
        <f>F71/E71-1</f>
        <v>-0.018851997749015026</v>
      </c>
      <c r="G73" s="30"/>
      <c r="H73" s="30">
        <f>H71/F71-1</f>
        <v>0.10524806423860023</v>
      </c>
      <c r="I73" s="30">
        <f>I71/H71-1</f>
        <v>0.08225220550077861</v>
      </c>
      <c r="J73" s="34">
        <f>J71/I71-1</f>
        <v>0.02702709182450258</v>
      </c>
      <c r="K73" s="1"/>
      <c r="L73" s="5"/>
    </row>
    <row r="74">
      <c r="A74" s="1"/>
      <c r="B74" s="1" t="s">
        <v>73</v>
      </c>
      <c r="C74" s="14"/>
      <c r="D74" s="14">
        <f>D71-C71</f>
        <v>17.5</v>
      </c>
      <c r="E74" s="14">
        <f>E71-D71</f>
        <v>7.899999999999977</v>
      </c>
      <c r="F74" s="14">
        <f>F71-E71</f>
        <v>-6.699999999999932</v>
      </c>
      <c r="G74" s="14"/>
      <c r="H74" s="14">
        <f>H71-F71</f>
        <v>36.69999999999993</v>
      </c>
      <c r="I74" s="14">
        <f>I71-H71</f>
        <v>31.700000000000045</v>
      </c>
      <c r="J74" s="33">
        <f>J71-I71</f>
        <v>11.273000000000025</v>
      </c>
      <c r="K74" s="1"/>
      <c r="L74" s="5"/>
    </row>
    <row r="75">
      <c r="A75" s="1"/>
      <c r="B75" s="11" t="s">
        <v>133</v>
      </c>
      <c r="C75" s="30">
        <f>C71/C12</f>
        <v>0.1684189037460447</v>
      </c>
      <c r="D75" s="30">
        <f>D71/D12</f>
        <v>0.16704321492092486</v>
      </c>
      <c r="E75" s="30">
        <f>E71/E12</f>
        <v>0.16659635306801665</v>
      </c>
      <c r="F75" s="30">
        <f>F71/F12</f>
        <v>0.17199368649501826</v>
      </c>
      <c r="G75" s="30">
        <f>G71/G12</f>
        <v>0.16847958636164084</v>
      </c>
      <c r="H75" s="30">
        <f>H71/H12</f>
        <v>0.1750465549348231</v>
      </c>
      <c r="I75" s="30">
        <f>I71/I12</f>
        <v>0.17474548577653023</v>
      </c>
      <c r="J75" s="34">
        <f>J71/J12</f>
        <v>0.17333307749851853</v>
      </c>
      <c r="K75" s="1"/>
      <c r="L75" s="5"/>
    </row>
    <row r="76">
      <c r="A76" s="1"/>
      <c r="B76" s="1" t="s">
        <v>134</v>
      </c>
      <c r="C76" s="13"/>
      <c r="D76" s="13"/>
      <c r="E76" s="13"/>
      <c r="F76" s="13"/>
      <c r="G76" s="13"/>
      <c r="H76" s="13">
        <f>(H75-C75)*10000</f>
        <v>66.27651188778394</v>
      </c>
      <c r="I76" s="13">
        <f>(I75-D75)*10000</f>
        <v>77.02270855605376</v>
      </c>
      <c r="J76" s="31">
        <f>(J75-E75)*10000</f>
        <v>67.36724430501883</v>
      </c>
      <c r="K76" s="1"/>
      <c r="L76" s="5"/>
    </row>
    <row r="77">
      <c r="A77" s="1"/>
      <c r="B77" s="1" t="s">
        <v>135</v>
      </c>
      <c r="C77" s="13"/>
      <c r="D77" s="13">
        <f>(D75-C75)*10000</f>
        <v>-13.756888251198474</v>
      </c>
      <c r="E77" s="13">
        <f>(E75-D75)*10000</f>
        <v>-4.468618529082091</v>
      </c>
      <c r="F77" s="13">
        <f>(F75-E75)*10000</f>
        <v>53.973334270016046</v>
      </c>
      <c r="G77" s="13"/>
      <c r="H77" s="13">
        <f>(H75-F75)*10000</f>
        <v>30.528684398048455</v>
      </c>
      <c r="I77" s="13">
        <f>(I75-H75)*10000</f>
        <v>-3.0106915829286596</v>
      </c>
      <c r="J77" s="31">
        <f>(J75-I75)*10000</f>
        <v>-14.124082780117009</v>
      </c>
      <c r="K77" s="1"/>
      <c r="L77" s="5"/>
    </row>
    <row r="78">
      <c r="A78" s="1"/>
      <c r="B78" s="11" t="s">
        <v>141</v>
      </c>
      <c r="C78" s="30"/>
      <c r="D78" s="30"/>
      <c r="E78" s="30"/>
      <c r="F78" s="30"/>
      <c r="G78" s="30"/>
      <c r="H78" s="30"/>
      <c r="I78" s="30"/>
      <c r="J78" s="34"/>
      <c r="K78" s="1"/>
      <c r="L78" s="5"/>
    </row>
    <row r="79">
      <c r="A79" s="1"/>
      <c r="B79" s="11" t="s">
        <v>121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59">
        <v>0</v>
      </c>
      <c r="K79" s="1"/>
      <c r="L79" s="5" t="s">
        <v>138</v>
      </c>
    </row>
    <row r="80">
      <c r="A80" s="1"/>
      <c r="B80" s="9" t="s">
        <v>142</v>
      </c>
      <c r="C80" s="35">
        <f>C61+C71</f>
        <v>1959.4</v>
      </c>
      <c r="D80" s="35">
        <f>D61+D71</f>
        <v>2080.3</v>
      </c>
      <c r="E80" s="35">
        <f>E61+E71</f>
        <v>2133.3</v>
      </c>
      <c r="F80" s="35">
        <f>F61+F71</f>
        <v>2027.4999999999998</v>
      </c>
      <c r="G80" s="35">
        <f>G61+G71</f>
        <v>8200.5</v>
      </c>
      <c r="H80" s="35">
        <f>H61+H71</f>
        <v>2201.7</v>
      </c>
      <c r="I80" s="35">
        <f>I61+I71</f>
        <v>2386.9</v>
      </c>
      <c r="J80" s="48">
        <f>J61+J71</f>
        <v>2471.38634</v>
      </c>
      <c r="K80" s="1"/>
      <c r="L80" s="5"/>
    </row>
    <row r="81" ht="28.5">
      <c r="A81" s="1"/>
      <c r="B81" s="11" t="s">
        <v>143</v>
      </c>
      <c r="C81" s="18" t="b">
        <f>ABS(C80-C12)&lt;0.15</f>
        <v>1</v>
      </c>
      <c r="D81" s="18" t="b">
        <f>ABS(D80-D12)&lt;0.15</f>
        <v>1</v>
      </c>
      <c r="E81" s="18" t="b">
        <f>ABS(E80-E12)&lt;0.15</f>
        <v>1</v>
      </c>
      <c r="F81" s="18" t="b">
        <f>ABS(F80-F12)&lt;0.15</f>
        <v>1</v>
      </c>
      <c r="G81" s="18" t="b">
        <f>ABS(G80-G12)&lt;0.15</f>
        <v>1</v>
      </c>
      <c r="H81" s="18" t="b">
        <f>ABS(H80-H12)&lt;0.15</f>
        <v>1</v>
      </c>
      <c r="I81" s="18" t="b">
        <f>ABS(I80-I12)&lt;0.15</f>
        <v>1</v>
      </c>
      <c r="J81" s="55" t="b">
        <f>ABS(J80-J12)&lt;0.15</f>
        <v>1</v>
      </c>
      <c r="K81" s="1"/>
      <c r="L81" s="85" t="s">
        <v>144</v>
      </c>
    </row>
    <row r="82">
      <c r="A82" s="1"/>
      <c r="B82" s="11" t="s">
        <v>145</v>
      </c>
      <c r="C82" s="11"/>
      <c r="D82" s="11"/>
      <c r="E82" s="11"/>
      <c r="F82" s="11"/>
      <c r="G82" s="11"/>
      <c r="H82" s="11"/>
      <c r="I82" s="11"/>
      <c r="J82" s="58"/>
      <c r="K82" s="1"/>
      <c r="L82" s="5"/>
    </row>
    <row r="83">
      <c r="A83" s="1"/>
      <c r="B83" s="1"/>
      <c r="C83" s="1"/>
      <c r="D83" s="1"/>
      <c r="E83" s="1"/>
      <c r="F83" s="1"/>
      <c r="G83" s="1"/>
      <c r="H83" s="1"/>
      <c r="I83" s="1"/>
      <c r="J83" s="43"/>
      <c r="K83" s="1"/>
      <c r="L83" s="5"/>
    </row>
    <row r="84">
      <c r="A84" s="1"/>
      <c r="B84" s="9" t="s">
        <v>146</v>
      </c>
      <c r="C84" s="14"/>
      <c r="D84" s="14"/>
      <c r="E84" s="14"/>
      <c r="F84" s="14"/>
      <c r="G84" s="14"/>
      <c r="H84" s="14"/>
      <c r="I84" s="14"/>
      <c r="J84" s="33"/>
      <c r="K84" s="1"/>
      <c r="L84" s="5"/>
    </row>
    <row r="85">
      <c r="A85" s="1"/>
      <c r="B85" s="11" t="s">
        <v>147</v>
      </c>
      <c r="C85" s="11"/>
      <c r="D85" s="11"/>
      <c r="E85" s="11"/>
      <c r="F85" s="11"/>
      <c r="G85" s="11"/>
      <c r="H85" s="11"/>
      <c r="I85" s="11"/>
      <c r="J85" s="58"/>
      <c r="K85" s="1"/>
      <c r="L85" s="5"/>
    </row>
    <row r="86" ht="28.5">
      <c r="A86" s="1"/>
      <c r="B86" s="11" t="s">
        <v>148</v>
      </c>
      <c r="C86" s="32">
        <v>0.207</v>
      </c>
      <c r="D86" s="32">
        <v>0.207</v>
      </c>
      <c r="E86" s="30"/>
      <c r="F86" s="32">
        <v>0.204</v>
      </c>
      <c r="G86" s="30"/>
      <c r="H86" s="32">
        <v>0.21</v>
      </c>
      <c r="I86" s="32">
        <v>0.21</v>
      </c>
      <c r="J86" s="36">
        <f>Inputs!E139</f>
        <v>0.209</v>
      </c>
      <c r="K86" s="1"/>
      <c r="L86" s="85" t="s">
        <v>149</v>
      </c>
    </row>
    <row r="87">
      <c r="A87" s="1"/>
      <c r="B87" s="1" t="s">
        <v>150</v>
      </c>
      <c r="C87" s="13"/>
      <c r="D87" s="13"/>
      <c r="E87" s="13"/>
      <c r="F87" s="13"/>
      <c r="G87" s="13"/>
      <c r="H87" s="13">
        <f>(H86-C86)*10000</f>
        <v>30.00000000000003</v>
      </c>
      <c r="I87" s="13">
        <f>(I86-D86)*10000</f>
        <v>30.00000000000003</v>
      </c>
      <c r="J87" s="31"/>
      <c r="K87" s="1"/>
      <c r="L87" s="5"/>
    </row>
    <row r="88">
      <c r="A88" s="1"/>
      <c r="B88" s="1" t="s">
        <v>151</v>
      </c>
      <c r="C88" s="13"/>
      <c r="D88" s="13">
        <f>(D86-C86)*10000</f>
        <v>0</v>
      </c>
      <c r="E88" s="13"/>
      <c r="F88" s="13"/>
      <c r="G88" s="13"/>
      <c r="H88" s="13">
        <f>(H86-F86)*10000</f>
        <v>60.00000000000006</v>
      </c>
      <c r="I88" s="13">
        <f>(I86-H86)*10000</f>
        <v>0</v>
      </c>
      <c r="J88" s="31">
        <f>(J86-I86)*10000</f>
        <v>-10.000000000000009</v>
      </c>
      <c r="K88" s="1"/>
      <c r="L88" s="5"/>
    </row>
    <row r="89">
      <c r="A89" s="1"/>
      <c r="B89" s="1" t="s">
        <v>152</v>
      </c>
      <c r="C89" s="14">
        <f>C86*C12</f>
        <v>405.5958</v>
      </c>
      <c r="D89" s="14">
        <f>D86*D12</f>
        <v>430.6221</v>
      </c>
      <c r="E89" s="14"/>
      <c r="F89" s="14">
        <f>F86*F12</f>
        <v>413.5896</v>
      </c>
      <c r="G89" s="14"/>
      <c r="H89" s="14">
        <f>H86*H12</f>
        <v>462.35699999999997</v>
      </c>
      <c r="I89" s="14">
        <f>I86*I12</f>
        <v>501.249</v>
      </c>
      <c r="J89" s="33">
        <f>J86*J12</f>
        <v>516.51974506</v>
      </c>
      <c r="K89" s="1"/>
      <c r="L89" s="5"/>
    </row>
    <row r="90" ht="28.5">
      <c r="A90" s="1"/>
      <c r="B90" s="11" t="s">
        <v>153</v>
      </c>
      <c r="C90" s="32">
        <v>0.035</v>
      </c>
      <c r="D90" s="32">
        <v>0.087</v>
      </c>
      <c r="E90" s="30"/>
      <c r="F90" s="32">
        <v>0.121</v>
      </c>
      <c r="G90" s="30"/>
      <c r="H90" s="32">
        <v>0.138</v>
      </c>
      <c r="I90" s="32">
        <v>0.168</v>
      </c>
      <c r="J90" s="36">
        <f>Inputs!E138</f>
        <v>0.1565</v>
      </c>
      <c r="K90" s="1"/>
      <c r="L90" s="85" t="s">
        <v>154</v>
      </c>
    </row>
    <row r="91">
      <c r="A91" s="1"/>
      <c r="B91" s="11" t="s">
        <v>155</v>
      </c>
      <c r="C91" s="30"/>
      <c r="D91" s="30"/>
      <c r="E91" s="30"/>
      <c r="F91" s="30"/>
      <c r="G91" s="30"/>
      <c r="H91" s="30">
        <f>H89/C89-1</f>
        <v>0.13994523611930876</v>
      </c>
      <c r="I91" s="30">
        <f>I89/D89-1</f>
        <v>0.16401132222428916</v>
      </c>
      <c r="J91" s="34"/>
      <c r="K91" s="1"/>
      <c r="L91" s="5"/>
    </row>
    <row r="92">
      <c r="A92" s="1"/>
      <c r="B92" s="1" t="s">
        <v>73</v>
      </c>
      <c r="C92" s="14"/>
      <c r="D92" s="14">
        <f>D89-C89</f>
        <v>25.026299999999992</v>
      </c>
      <c r="E92" s="14"/>
      <c r="F92" s="14"/>
      <c r="G92" s="14"/>
      <c r="H92" s="14">
        <f>H89-F89</f>
        <v>48.76739999999995</v>
      </c>
      <c r="I92" s="14">
        <f>I89-H89</f>
        <v>38.89200000000005</v>
      </c>
      <c r="J92" s="33">
        <f>J89-I89</f>
        <v>15.270745059999967</v>
      </c>
      <c r="K92" s="1"/>
      <c r="L92" s="5"/>
    </row>
    <row r="93" ht="28.5">
      <c r="A93" s="1"/>
      <c r="B93" s="11" t="s">
        <v>156</v>
      </c>
      <c r="C93" s="32">
        <v>0.052</v>
      </c>
      <c r="D93" s="32">
        <v>0.052</v>
      </c>
      <c r="E93" s="30"/>
      <c r="F93" s="32">
        <v>0.053</v>
      </c>
      <c r="G93" s="30"/>
      <c r="H93" s="32">
        <v>0.051</v>
      </c>
      <c r="I93" s="32">
        <v>0.052</v>
      </c>
      <c r="J93" s="36">
        <f>Inputs!E141</f>
        <v>0.054</v>
      </c>
      <c r="K93" s="1"/>
      <c r="L93" s="85" t="s">
        <v>149</v>
      </c>
    </row>
    <row r="94">
      <c r="A94" s="1"/>
      <c r="B94" s="1" t="s">
        <v>150</v>
      </c>
      <c r="C94" s="13"/>
      <c r="D94" s="13"/>
      <c r="E94" s="13"/>
      <c r="F94" s="13"/>
      <c r="G94" s="13"/>
      <c r="H94" s="13">
        <f>(H93-C93)*10000</f>
        <v>-10.000000000000009</v>
      </c>
      <c r="I94" s="13">
        <f>(I93-D93)*10000</f>
        <v>0</v>
      </c>
      <c r="J94" s="31"/>
      <c r="K94" s="1"/>
      <c r="L94" s="5"/>
    </row>
    <row r="95">
      <c r="A95" s="1"/>
      <c r="B95" s="1" t="s">
        <v>151</v>
      </c>
      <c r="C95" s="13"/>
      <c r="D95" s="13">
        <f>(D93-C93)*10000</f>
        <v>0</v>
      </c>
      <c r="E95" s="13"/>
      <c r="F95" s="13"/>
      <c r="G95" s="13"/>
      <c r="H95" s="13">
        <f>(H93-F93)*10000</f>
        <v>-20.000000000000018</v>
      </c>
      <c r="I95" s="13">
        <f>(I93-H93)*10000</f>
        <v>10.000000000000009</v>
      </c>
      <c r="J95" s="31">
        <f>(J93-I93)*10000</f>
        <v>20.000000000000018</v>
      </c>
      <c r="K95" s="1"/>
      <c r="L95" s="5"/>
    </row>
    <row r="96">
      <c r="A96" s="1"/>
      <c r="B96" s="1" t="s">
        <v>152</v>
      </c>
      <c r="C96" s="14">
        <f>C93*C12</f>
        <v>101.8888</v>
      </c>
      <c r="D96" s="14">
        <f>D93*D12</f>
        <v>108.1756</v>
      </c>
      <c r="E96" s="14"/>
      <c r="F96" s="14">
        <f>F93*F12</f>
        <v>107.4522</v>
      </c>
      <c r="G96" s="14"/>
      <c r="H96" s="14">
        <f>H93*H12</f>
        <v>112.28669999999998</v>
      </c>
      <c r="I96" s="14">
        <f>I93*I12</f>
        <v>124.1188</v>
      </c>
      <c r="J96" s="33">
        <f>J93*J12</f>
        <v>133.45486236</v>
      </c>
      <c r="K96" s="1"/>
      <c r="L96" s="5"/>
    </row>
    <row r="97" ht="28.5">
      <c r="A97" s="1"/>
      <c r="B97" s="11" t="s">
        <v>153</v>
      </c>
      <c r="C97" s="32">
        <v>0.046</v>
      </c>
      <c r="D97" s="32">
        <v>0.08</v>
      </c>
      <c r="E97" s="30"/>
      <c r="F97" s="32">
        <v>0.15</v>
      </c>
      <c r="G97" s="30"/>
      <c r="H97" s="32">
        <v>0.113</v>
      </c>
      <c r="I97" s="32">
        <v>0.148</v>
      </c>
      <c r="J97" s="36">
        <f>Inputs!E140</f>
        <v>0.194</v>
      </c>
      <c r="K97" s="1"/>
      <c r="L97" s="85" t="s">
        <v>154</v>
      </c>
    </row>
    <row r="98">
      <c r="A98" s="1"/>
      <c r="B98" s="11" t="s">
        <v>155</v>
      </c>
      <c r="C98" s="30"/>
      <c r="D98" s="30"/>
      <c r="E98" s="30"/>
      <c r="F98" s="30"/>
      <c r="G98" s="30"/>
      <c r="H98" s="30">
        <f>H96/C96-1</f>
        <v>0.10205145217138667</v>
      </c>
      <c r="I98" s="30">
        <f>I96/D96-1</f>
        <v>0.1473825890496563</v>
      </c>
      <c r="J98" s="34"/>
      <c r="K98" s="1"/>
      <c r="L98" s="5"/>
    </row>
    <row r="99">
      <c r="A99" s="1"/>
      <c r="B99" s="1" t="s">
        <v>73</v>
      </c>
      <c r="C99" s="14"/>
      <c r="D99" s="14">
        <f>D96-C96</f>
        <v>6.2867999999999995</v>
      </c>
      <c r="E99" s="14"/>
      <c r="F99" s="14"/>
      <c r="G99" s="14"/>
      <c r="H99" s="14">
        <f>H96-F96</f>
        <v>4.834499999999977</v>
      </c>
      <c r="I99" s="14">
        <f>I96-H96</f>
        <v>11.832100000000011</v>
      </c>
      <c r="J99" s="33">
        <f>J96-I96</f>
        <v>9.33606236</v>
      </c>
      <c r="K99" s="1"/>
      <c r="L99" s="5"/>
    </row>
    <row r="100" ht="28.5">
      <c r="A100" s="1"/>
      <c r="B100" s="11" t="s">
        <v>157</v>
      </c>
      <c r="C100" s="32">
        <v>0.128</v>
      </c>
      <c r="D100" s="32">
        <v>0.128</v>
      </c>
      <c r="E100" s="30"/>
      <c r="F100" s="32">
        <v>0.127</v>
      </c>
      <c r="G100" s="30"/>
      <c r="H100" s="32">
        <v>0.127</v>
      </c>
      <c r="I100" s="32">
        <v>0.13</v>
      </c>
      <c r="J100" s="36">
        <f>Inputs!E143</f>
        <v>0.1325</v>
      </c>
      <c r="K100" s="1"/>
      <c r="L100" s="85" t="s">
        <v>149</v>
      </c>
    </row>
    <row r="101">
      <c r="A101" s="1"/>
      <c r="B101" s="1" t="s">
        <v>150</v>
      </c>
      <c r="C101" s="13"/>
      <c r="D101" s="13"/>
      <c r="E101" s="13"/>
      <c r="F101" s="13"/>
      <c r="G101" s="13"/>
      <c r="H101" s="13">
        <f>(H100-C100)*10000</f>
        <v>-10.000000000000009</v>
      </c>
      <c r="I101" s="13">
        <f>(I100-D100)*10000</f>
        <v>20.000000000000018</v>
      </c>
      <c r="J101" s="31"/>
      <c r="K101" s="1"/>
      <c r="L101" s="5"/>
    </row>
    <row r="102">
      <c r="A102" s="1"/>
      <c r="B102" s="1" t="s">
        <v>151</v>
      </c>
      <c r="C102" s="13"/>
      <c r="D102" s="13">
        <f>(D100-C100)*10000</f>
        <v>0</v>
      </c>
      <c r="E102" s="13"/>
      <c r="F102" s="13"/>
      <c r="G102" s="13"/>
      <c r="H102" s="13">
        <f>(H100-F100)*10000</f>
        <v>0</v>
      </c>
      <c r="I102" s="13">
        <f>(I100-H100)*10000</f>
        <v>30.00000000000003</v>
      </c>
      <c r="J102" s="31">
        <f>(J100-I100)*10000</f>
        <v>25.00000000000002</v>
      </c>
      <c r="K102" s="1"/>
      <c r="L102" s="5"/>
    </row>
    <row r="103">
      <c r="A103" s="1"/>
      <c r="B103" s="1" t="s">
        <v>152</v>
      </c>
      <c r="C103" s="14">
        <f>C100*C12</f>
        <v>250.8032</v>
      </c>
      <c r="D103" s="14">
        <f>D100*D12</f>
        <v>266.27840000000003</v>
      </c>
      <c r="E103" s="14"/>
      <c r="F103" s="14">
        <f>F100*F12</f>
        <v>257.4798</v>
      </c>
      <c r="G103" s="14"/>
      <c r="H103" s="14">
        <f>H100*H12</f>
        <v>279.61589999999995</v>
      </c>
      <c r="I103" s="14">
        <f>I100*I12</f>
        <v>310.297</v>
      </c>
      <c r="J103" s="33">
        <f>J100*J12</f>
        <v>327.45869005000003</v>
      </c>
      <c r="K103" s="1"/>
      <c r="L103" s="5"/>
    </row>
    <row r="104" ht="28.5">
      <c r="A104" s="1"/>
      <c r="B104" s="11" t="s">
        <v>153</v>
      </c>
      <c r="C104" s="32">
        <v>0.091</v>
      </c>
      <c r="D104" s="32">
        <v>0.119</v>
      </c>
      <c r="E104" s="30"/>
      <c r="F104" s="32">
        <v>0.14</v>
      </c>
      <c r="G104" s="30"/>
      <c r="H104" s="32">
        <v>0.127</v>
      </c>
      <c r="I104" s="32">
        <v>0.167</v>
      </c>
      <c r="J104" s="36">
        <f>Inputs!E142</f>
        <v>0.194</v>
      </c>
      <c r="K104" s="1"/>
      <c r="L104" s="85" t="s">
        <v>154</v>
      </c>
    </row>
    <row r="105">
      <c r="A105" s="1"/>
      <c r="B105" s="11" t="s">
        <v>155</v>
      </c>
      <c r="C105" s="30"/>
      <c r="D105" s="30"/>
      <c r="E105" s="30"/>
      <c r="F105" s="30"/>
      <c r="G105" s="30"/>
      <c r="H105" s="30">
        <f>H103/C103-1</f>
        <v>0.11488170804838194</v>
      </c>
      <c r="I105" s="30">
        <f>I103/D103-1</f>
        <v>0.16531044200355716</v>
      </c>
      <c r="J105" s="34"/>
      <c r="K105" s="1"/>
      <c r="L105" s="5"/>
    </row>
    <row r="106">
      <c r="A106" s="1"/>
      <c r="B106" s="1" t="s">
        <v>73</v>
      </c>
      <c r="C106" s="14"/>
      <c r="D106" s="14">
        <f>D103-C103</f>
        <v>15.47520000000003</v>
      </c>
      <c r="E106" s="14"/>
      <c r="F106" s="14"/>
      <c r="G106" s="14"/>
      <c r="H106" s="14">
        <f>H103-F103</f>
        <v>22.136099999999942</v>
      </c>
      <c r="I106" s="14">
        <f>I103-H103</f>
        <v>30.68110000000007</v>
      </c>
      <c r="J106" s="33">
        <f>J103-I103</f>
        <v>17.161690050000004</v>
      </c>
      <c r="K106" s="1"/>
      <c r="L106" s="5"/>
    </row>
    <row r="107">
      <c r="A107" s="1"/>
      <c r="B107" s="9" t="s">
        <v>158</v>
      </c>
      <c r="C107" s="35">
        <f>C89+C96+C103</f>
        <v>758.2878000000001</v>
      </c>
      <c r="D107" s="35">
        <f>D89+D96+D103</f>
        <v>805.0761</v>
      </c>
      <c r="E107" s="35"/>
      <c r="F107" s="35">
        <f>F89+F96+F103</f>
        <v>778.5216</v>
      </c>
      <c r="G107" s="35"/>
      <c r="H107" s="35">
        <f>H89+H96+H103</f>
        <v>854.2595999999999</v>
      </c>
      <c r="I107" s="35">
        <f>I89+I96+I103</f>
        <v>935.6648</v>
      </c>
      <c r="J107" s="48">
        <f>J89+J96+J103</f>
        <v>977.4332974700001</v>
      </c>
      <c r="K107" s="1"/>
      <c r="L107" s="5" t="s">
        <v>159</v>
      </c>
    </row>
    <row r="108">
      <c r="A108" s="1"/>
      <c r="B108" s="11" t="s">
        <v>160</v>
      </c>
      <c r="C108" s="30">
        <f>C107/C12</f>
        <v>0.387</v>
      </c>
      <c r="D108" s="30">
        <f>D107/D12</f>
        <v>0.38699999999999996</v>
      </c>
      <c r="E108" s="30"/>
      <c r="F108" s="30">
        <f>F107/F12</f>
        <v>0.384</v>
      </c>
      <c r="G108" s="30"/>
      <c r="H108" s="30">
        <f>H107/H12</f>
        <v>0.38799999999999996</v>
      </c>
      <c r="I108" s="30">
        <f>I107/I12</f>
        <v>0.392</v>
      </c>
      <c r="J108" s="34">
        <f>J107/J12</f>
        <v>0.3955</v>
      </c>
      <c r="K108" s="1"/>
      <c r="L108" s="5"/>
    </row>
    <row r="109">
      <c r="A109" s="1"/>
      <c r="B109" s="1" t="s">
        <v>134</v>
      </c>
      <c r="C109" s="13"/>
      <c r="D109" s="13"/>
      <c r="E109" s="13"/>
      <c r="F109" s="13"/>
      <c r="G109" s="13"/>
      <c r="H109" s="13">
        <f>(H108-C108)*10000</f>
        <v>9.999999999999453</v>
      </c>
      <c r="I109" s="13">
        <f>(I108-D108)*10000</f>
        <v>50.0000000000006</v>
      </c>
      <c r="J109" s="31"/>
      <c r="K109" s="1"/>
      <c r="L109" s="5"/>
    </row>
    <row r="110">
      <c r="A110" s="1"/>
      <c r="B110" s="1" t="s">
        <v>135</v>
      </c>
      <c r="C110" s="13"/>
      <c r="D110" s="13">
        <f>(D108-C108)*10000</f>
        <v>0</v>
      </c>
      <c r="E110" s="13"/>
      <c r="F110" s="13"/>
      <c r="G110" s="13"/>
      <c r="H110" s="13">
        <f>(H108-F108)*10000</f>
        <v>39.99999999999948</v>
      </c>
      <c r="I110" s="13">
        <f>(I108-H108)*10000</f>
        <v>40.00000000000059</v>
      </c>
      <c r="J110" s="31">
        <f>(J108-I108)*10000</f>
        <v>35.00000000000003</v>
      </c>
      <c r="K110" s="1"/>
      <c r="L110" s="5"/>
    </row>
    <row r="111" ht="28.5">
      <c r="A111" s="1"/>
      <c r="B111" s="95" t="s">
        <v>161</v>
      </c>
      <c r="C111" s="32">
        <v>0.387</v>
      </c>
      <c r="D111" s="32">
        <v>0.387</v>
      </c>
      <c r="E111" s="30"/>
      <c r="F111" s="32">
        <v>0.384</v>
      </c>
      <c r="G111" s="30"/>
      <c r="H111" s="32">
        <v>0.388</v>
      </c>
      <c r="I111" s="32">
        <v>0.392</v>
      </c>
      <c r="J111" s="36">
        <f>Inputs!E145</f>
        <v>0.3955</v>
      </c>
      <c r="K111" s="1"/>
      <c r="L111" s="85" t="s">
        <v>154</v>
      </c>
    </row>
    <row r="112" ht="28.5">
      <c r="A112" s="1"/>
      <c r="B112" s="11" t="s">
        <v>153</v>
      </c>
      <c r="C112" s="32">
        <v>0.054</v>
      </c>
      <c r="D112" s="32">
        <v>0.097</v>
      </c>
      <c r="E112" s="30"/>
      <c r="F112" s="32">
        <v>0.131</v>
      </c>
      <c r="G112" s="30"/>
      <c r="H112" s="32">
        <v>0.131</v>
      </c>
      <c r="I112" s="32">
        <v>0.165</v>
      </c>
      <c r="J112" s="36">
        <f>Inputs!E144</f>
        <v>0.174</v>
      </c>
      <c r="K112" s="1"/>
      <c r="L112" s="85" t="s">
        <v>154</v>
      </c>
    </row>
    <row r="113">
      <c r="A113" s="1"/>
      <c r="B113" s="11" t="s">
        <v>155</v>
      </c>
      <c r="C113" s="30"/>
      <c r="D113" s="30"/>
      <c r="E113" s="30"/>
      <c r="F113" s="30"/>
      <c r="G113" s="30"/>
      <c r="H113" s="30">
        <f>H107/C107-1</f>
        <v>0.1265638191726146</v>
      </c>
      <c r="I113" s="30">
        <f>I107/D107-1</f>
        <v>0.16220665350766228</v>
      </c>
      <c r="J113" s="34"/>
      <c r="K113" s="1"/>
      <c r="L113" s="5"/>
    </row>
    <row r="114">
      <c r="A114" s="1"/>
      <c r="B114" s="1" t="s">
        <v>73</v>
      </c>
      <c r="C114" s="14"/>
      <c r="D114" s="14">
        <f>D107-C107</f>
        <v>46.788299999999936</v>
      </c>
      <c r="E114" s="14"/>
      <c r="F114" s="14"/>
      <c r="G114" s="14"/>
      <c r="H114" s="14">
        <f>H107-F107</f>
        <v>75.73799999999983</v>
      </c>
      <c r="I114" s="14">
        <f>I107-H107</f>
        <v>81.40520000000015</v>
      </c>
      <c r="J114" s="33">
        <f>J107-I107</f>
        <v>41.76849747000006</v>
      </c>
      <c r="K114" s="1"/>
      <c r="L114" s="5"/>
    </row>
    <row r="115">
      <c r="A115" s="1"/>
      <c r="B115" s="11" t="s">
        <v>162</v>
      </c>
      <c r="C115" s="32">
        <v>0.097</v>
      </c>
      <c r="D115" s="32">
        <v>0.097</v>
      </c>
      <c r="E115" s="30"/>
      <c r="F115" s="32">
        <v>0.098</v>
      </c>
      <c r="G115" s="30"/>
      <c r="H115" s="32">
        <v>0.1</v>
      </c>
      <c r="I115" s="32">
        <v>0.097</v>
      </c>
      <c r="J115" s="36">
        <f>Inputs!E147</f>
        <v>0.0935</v>
      </c>
      <c r="K115" s="1"/>
      <c r="L115" s="5" t="s">
        <v>163</v>
      </c>
    </row>
    <row r="116">
      <c r="A116" s="1"/>
      <c r="B116" s="1" t="s">
        <v>150</v>
      </c>
      <c r="C116" s="13"/>
      <c r="D116" s="13"/>
      <c r="E116" s="13"/>
      <c r="F116" s="13"/>
      <c r="G116" s="13"/>
      <c r="H116" s="13">
        <f>(H115-C115)*10000</f>
        <v>30.00000000000003</v>
      </c>
      <c r="I116" s="13">
        <f>(I115-D115)*10000</f>
        <v>0</v>
      </c>
      <c r="J116" s="31"/>
      <c r="K116" s="1"/>
      <c r="L116" s="5"/>
    </row>
    <row r="117">
      <c r="A117" s="1"/>
      <c r="B117" s="1" t="s">
        <v>151</v>
      </c>
      <c r="C117" s="13"/>
      <c r="D117" s="13">
        <f>(D115-C115)*10000</f>
        <v>0</v>
      </c>
      <c r="E117" s="13"/>
      <c r="F117" s="13"/>
      <c r="G117" s="13"/>
      <c r="H117" s="13">
        <f>(H115-F115)*10000</f>
        <v>20.000000000000018</v>
      </c>
      <c r="I117" s="13">
        <f>(I115-H115)*10000</f>
        <v>-30.00000000000003</v>
      </c>
      <c r="J117" s="31">
        <f>(J115-I115)*10000</f>
        <v>-35.00000000000003</v>
      </c>
      <c r="K117" s="1"/>
      <c r="L117" s="5"/>
    </row>
    <row r="118">
      <c r="A118" s="1"/>
      <c r="B118" s="1" t="s">
        <v>152</v>
      </c>
      <c r="C118" s="14">
        <f>C115*C12</f>
        <v>190.0618</v>
      </c>
      <c r="D118" s="14">
        <f>D115*D12</f>
        <v>201.78910000000002</v>
      </c>
      <c r="E118" s="14"/>
      <c r="F118" s="14">
        <f>F115*F12</f>
        <v>198.6852</v>
      </c>
      <c r="G118" s="14"/>
      <c r="H118" s="14">
        <f>H115*H12</f>
        <v>220.17</v>
      </c>
      <c r="I118" s="14">
        <f>I115*I12</f>
        <v>231.5293</v>
      </c>
      <c r="J118" s="33">
        <f>J115*J12</f>
        <v>231.07462279</v>
      </c>
      <c r="K118" s="1"/>
      <c r="L118" s="5"/>
    </row>
    <row r="119" ht="28.5">
      <c r="A119" s="1"/>
      <c r="B119" s="11" t="s">
        <v>153</v>
      </c>
      <c r="C119" s="32">
        <v>0.011</v>
      </c>
      <c r="D119" s="32">
        <v>0.062</v>
      </c>
      <c r="E119" s="30"/>
      <c r="F119" s="32">
        <v>0.136</v>
      </c>
      <c r="G119" s="30"/>
      <c r="H119" s="32">
        <v>0.173</v>
      </c>
      <c r="I119" s="32">
        <v>0.146</v>
      </c>
      <c r="J119" s="36">
        <f>Inputs!E146</f>
        <v>0.1265</v>
      </c>
      <c r="K119" s="1"/>
      <c r="L119" s="85" t="s">
        <v>154</v>
      </c>
    </row>
    <row r="120">
      <c r="A120" s="1"/>
      <c r="B120" s="11" t="s">
        <v>155</v>
      </c>
      <c r="C120" s="30"/>
      <c r="D120" s="30"/>
      <c r="E120" s="30"/>
      <c r="F120" s="30"/>
      <c r="G120" s="30"/>
      <c r="H120" s="30">
        <f>H118/C118-1</f>
        <v>0.15841268471623438</v>
      </c>
      <c r="I120" s="30">
        <f>I118/D118-1</f>
        <v>0.1473825890496563</v>
      </c>
      <c r="J120" s="34"/>
      <c r="K120" s="1"/>
      <c r="L120" s="5"/>
    </row>
    <row r="121">
      <c r="A121" s="1"/>
      <c r="B121" s="1" t="s">
        <v>73</v>
      </c>
      <c r="C121" s="14"/>
      <c r="D121" s="14">
        <f>D118-C118</f>
        <v>11.727300000000014</v>
      </c>
      <c r="E121" s="14"/>
      <c r="F121" s="14"/>
      <c r="G121" s="14"/>
      <c r="H121" s="14">
        <f>H118-F118</f>
        <v>21.48479999999998</v>
      </c>
      <c r="I121" s="14">
        <f>I118-H118</f>
        <v>11.359300000000019</v>
      </c>
      <c r="J121" s="33">
        <f>J118-I118</f>
        <v>-0.45467720999999983</v>
      </c>
      <c r="K121" s="1"/>
      <c r="L121" s="5"/>
    </row>
    <row r="122">
      <c r="A122" s="1"/>
      <c r="B122" s="11" t="s">
        <v>164</v>
      </c>
      <c r="C122" s="32">
        <v>0.213</v>
      </c>
      <c r="D122" s="32">
        <v>0.214</v>
      </c>
      <c r="E122" s="30"/>
      <c r="F122" s="32">
        <v>0.218</v>
      </c>
      <c r="G122" s="30"/>
      <c r="H122" s="32">
        <v>0.208</v>
      </c>
      <c r="I122" s="32">
        <v>0.21</v>
      </c>
      <c r="J122" s="36">
        <f>Inputs!E149</f>
        <v>0.2085</v>
      </c>
      <c r="K122" s="1"/>
      <c r="L122" s="5" t="s">
        <v>163</v>
      </c>
    </row>
    <row r="123">
      <c r="A123" s="1"/>
      <c r="B123" s="1" t="s">
        <v>150</v>
      </c>
      <c r="C123" s="13"/>
      <c r="D123" s="13"/>
      <c r="E123" s="13"/>
      <c r="F123" s="13"/>
      <c r="G123" s="13"/>
      <c r="H123" s="13">
        <f>(H122-C122)*10000</f>
        <v>-50.00000000000004</v>
      </c>
      <c r="I123" s="13">
        <f>(I122-D122)*10000</f>
        <v>-40.000000000000036</v>
      </c>
      <c r="J123" s="31"/>
      <c r="K123" s="1"/>
      <c r="L123" s="5"/>
    </row>
    <row r="124">
      <c r="A124" s="1"/>
      <c r="B124" s="1" t="s">
        <v>151</v>
      </c>
      <c r="C124" s="13"/>
      <c r="D124" s="13">
        <f>(D122-C122)*10000</f>
        <v>10.000000000000009</v>
      </c>
      <c r="E124" s="13"/>
      <c r="F124" s="13"/>
      <c r="G124" s="13"/>
      <c r="H124" s="13">
        <f>(H122-F122)*10000</f>
        <v>-100.00000000000009</v>
      </c>
      <c r="I124" s="13">
        <f>(I122-H122)*10000</f>
        <v>20.000000000000018</v>
      </c>
      <c r="J124" s="31">
        <f>(J122-I122)*10000</f>
        <v>-15.000000000000014</v>
      </c>
      <c r="K124" s="1"/>
      <c r="L124" s="5"/>
    </row>
    <row r="125">
      <c r="A125" s="1"/>
      <c r="B125" s="1" t="s">
        <v>152</v>
      </c>
      <c r="C125" s="14">
        <f>C122*C12</f>
        <v>417.3522</v>
      </c>
      <c r="D125" s="14">
        <f>D122*D12</f>
        <v>445.18420000000003</v>
      </c>
      <c r="E125" s="14"/>
      <c r="F125" s="14">
        <f>F122*F12</f>
        <v>441.9732</v>
      </c>
      <c r="G125" s="14"/>
      <c r="H125" s="14">
        <f>H122*H12</f>
        <v>457.95359999999994</v>
      </c>
      <c r="I125" s="14">
        <f>I122*I12</f>
        <v>501.249</v>
      </c>
      <c r="J125" s="33">
        <f>J122*J12</f>
        <v>515.28405189</v>
      </c>
      <c r="K125" s="1"/>
      <c r="L125" s="5"/>
    </row>
    <row r="126" ht="28.5">
      <c r="A126" s="1"/>
      <c r="B126" s="11" t="s">
        <v>153</v>
      </c>
      <c r="C126" s="32">
        <v>0.069</v>
      </c>
      <c r="D126" s="32">
        <v>0.105</v>
      </c>
      <c r="E126" s="30"/>
      <c r="F126" s="32">
        <v>0.092</v>
      </c>
      <c r="G126" s="30"/>
      <c r="H126" s="32">
        <v>0.113</v>
      </c>
      <c r="I126" s="32">
        <v>0.131</v>
      </c>
      <c r="J126" s="36">
        <f>Inputs!E148</f>
        <v>0.14250000000000002</v>
      </c>
      <c r="K126" s="1"/>
      <c r="L126" s="85" t="s">
        <v>154</v>
      </c>
    </row>
    <row r="127">
      <c r="A127" s="1"/>
      <c r="B127" s="11" t="s">
        <v>155</v>
      </c>
      <c r="C127" s="30"/>
      <c r="D127" s="30"/>
      <c r="E127" s="30"/>
      <c r="F127" s="30"/>
      <c r="G127" s="30"/>
      <c r="H127" s="30">
        <f>H125/C125-1</f>
        <v>0.09728330172933064</v>
      </c>
      <c r="I127" s="30">
        <f>I125/D125-1</f>
        <v>0.12593618551601793</v>
      </c>
      <c r="J127" s="34"/>
      <c r="K127" s="1"/>
      <c r="L127" s="5"/>
    </row>
    <row r="128">
      <c r="A128" s="1"/>
      <c r="B128" s="1" t="s">
        <v>73</v>
      </c>
      <c r="C128" s="14"/>
      <c r="D128" s="14">
        <f>D125-C125</f>
        <v>27.83200000000005</v>
      </c>
      <c r="E128" s="14"/>
      <c r="F128" s="14"/>
      <c r="G128" s="14"/>
      <c r="H128" s="14">
        <f>H125-F125</f>
        <v>15.980399999999918</v>
      </c>
      <c r="I128" s="14">
        <f>I125-H125</f>
        <v>43.295400000000086</v>
      </c>
      <c r="J128" s="33">
        <f>J125-I125</f>
        <v>14.035051889999977</v>
      </c>
      <c r="K128" s="1"/>
      <c r="L128" s="5"/>
    </row>
    <row r="129">
      <c r="A129" s="1"/>
      <c r="B129" s="11" t="s">
        <v>165</v>
      </c>
      <c r="C129" s="32">
        <v>0.303</v>
      </c>
      <c r="D129" s="32">
        <v>0.302</v>
      </c>
      <c r="E129" s="30"/>
      <c r="F129" s="32">
        <v>0.3</v>
      </c>
      <c r="G129" s="30"/>
      <c r="H129" s="32">
        <v>0.304</v>
      </c>
      <c r="I129" s="32">
        <v>0.301</v>
      </c>
      <c r="J129" s="36">
        <f>Inputs!E151</f>
        <v>0.3025</v>
      </c>
      <c r="K129" s="1"/>
      <c r="L129" s="5" t="s">
        <v>163</v>
      </c>
    </row>
    <row r="130">
      <c r="A130" s="1"/>
      <c r="B130" s="1" t="s">
        <v>150</v>
      </c>
      <c r="C130" s="13"/>
      <c r="D130" s="13"/>
      <c r="E130" s="13"/>
      <c r="F130" s="13"/>
      <c r="G130" s="13"/>
      <c r="H130" s="13">
        <f>(H129-C129)*10000</f>
        <v>10.000000000000009</v>
      </c>
      <c r="I130" s="13">
        <f>(I129-D129)*10000</f>
        <v>-10.000000000000009</v>
      </c>
      <c r="J130" s="31"/>
      <c r="K130" s="1"/>
      <c r="L130" s="5"/>
    </row>
    <row r="131">
      <c r="A131" s="1"/>
      <c r="B131" s="1" t="s">
        <v>151</v>
      </c>
      <c r="C131" s="13"/>
      <c r="D131" s="13">
        <f>(D129-C129)*10000</f>
        <v>-10.000000000000009</v>
      </c>
      <c r="E131" s="13"/>
      <c r="F131" s="13"/>
      <c r="G131" s="13"/>
      <c r="H131" s="13">
        <f>(H129-F129)*10000</f>
        <v>40.000000000000036</v>
      </c>
      <c r="I131" s="13">
        <f>(I129-H129)*10000</f>
        <v>-30.00000000000003</v>
      </c>
      <c r="J131" s="31">
        <f>(J129-I129)*10000</f>
        <v>15.000000000000014</v>
      </c>
      <c r="K131" s="1"/>
      <c r="L131" s="5"/>
    </row>
    <row r="132">
      <c r="A132" s="1"/>
      <c r="B132" s="1" t="s">
        <v>152</v>
      </c>
      <c r="C132" s="14">
        <f>C129*C12</f>
        <v>593.6982</v>
      </c>
      <c r="D132" s="14">
        <f>D129*D12</f>
        <v>628.2506000000001</v>
      </c>
      <c r="E132" s="14"/>
      <c r="F132" s="14">
        <f>F129*F12</f>
        <v>608.22</v>
      </c>
      <c r="G132" s="14"/>
      <c r="H132" s="14">
        <f>H129*H12</f>
        <v>669.3168</v>
      </c>
      <c r="I132" s="14">
        <f>I129*I12</f>
        <v>718.4569</v>
      </c>
      <c r="J132" s="33">
        <f>J129*J12</f>
        <v>747.59436785</v>
      </c>
      <c r="K132" s="1"/>
      <c r="L132" s="5"/>
    </row>
    <row r="133" ht="28.5">
      <c r="A133" s="1"/>
      <c r="B133" s="11" t="s">
        <v>153</v>
      </c>
      <c r="C133" s="32">
        <v>0.061</v>
      </c>
      <c r="D133" s="32">
        <v>0.08</v>
      </c>
      <c r="E133" s="30"/>
      <c r="F133" s="32">
        <v>0.096</v>
      </c>
      <c r="G133" s="30"/>
      <c r="H133" s="32">
        <v>0.117</v>
      </c>
      <c r="I133" s="32">
        <v>0.146</v>
      </c>
      <c r="J133" s="36">
        <f>Inputs!E150</f>
        <v>0.1805</v>
      </c>
      <c r="K133" s="1"/>
      <c r="L133" s="85" t="s">
        <v>154</v>
      </c>
    </row>
    <row r="134">
      <c r="A134" s="1"/>
      <c r="B134" s="11" t="s">
        <v>155</v>
      </c>
      <c r="C134" s="30"/>
      <c r="D134" s="30"/>
      <c r="E134" s="30"/>
      <c r="F134" s="30"/>
      <c r="G134" s="30"/>
      <c r="H134" s="30">
        <f>H132/C132-1</f>
        <v>0.12736875402350867</v>
      </c>
      <c r="I134" s="30">
        <f>I132/D132-1</f>
        <v>0.14358330895346527</v>
      </c>
      <c r="J134" s="34"/>
      <c r="K134" s="1"/>
      <c r="L134" s="5"/>
    </row>
    <row r="135">
      <c r="A135" s="1"/>
      <c r="B135" s="1" t="s">
        <v>73</v>
      </c>
      <c r="C135" s="14"/>
      <c r="D135" s="14">
        <f>D132-C132</f>
        <v>34.552400000000034</v>
      </c>
      <c r="E135" s="14"/>
      <c r="F135" s="14"/>
      <c r="G135" s="14"/>
      <c r="H135" s="14">
        <f>H132-F132</f>
        <v>61.09679999999992</v>
      </c>
      <c r="I135" s="14">
        <f>I132-H132</f>
        <v>49.140100000000075</v>
      </c>
      <c r="J135" s="33">
        <f>J132-I132</f>
        <v>29.137467850000007</v>
      </c>
      <c r="K135" s="1"/>
      <c r="L135" s="5"/>
    </row>
    <row r="136">
      <c r="A136" s="1"/>
      <c r="B136" s="9" t="s">
        <v>166</v>
      </c>
      <c r="C136" s="35">
        <f>C118+C125+C132</f>
        <v>1201.1122</v>
      </c>
      <c r="D136" s="35">
        <f>D118+D125+D132</f>
        <v>1275.2239000000002</v>
      </c>
      <c r="E136" s="35"/>
      <c r="F136" s="35">
        <f>F118+F125+F132</f>
        <v>1248.8784</v>
      </c>
      <c r="G136" s="35"/>
      <c r="H136" s="35">
        <f>H118+H125+H132</f>
        <v>1347.4404</v>
      </c>
      <c r="I136" s="35">
        <f>I118+I125+I132</f>
        <v>1451.2352</v>
      </c>
      <c r="J136" s="48">
        <f>J118+J125+J132</f>
        <v>1493.95304253</v>
      </c>
      <c r="K136" s="1"/>
      <c r="L136" s="5" t="s">
        <v>167</v>
      </c>
    </row>
    <row r="137">
      <c r="A137" s="1"/>
      <c r="B137" s="11" t="s">
        <v>160</v>
      </c>
      <c r="C137" s="30">
        <f>C136/C12</f>
        <v>0.613</v>
      </c>
      <c r="D137" s="30">
        <f>D136/D12</f>
        <v>0.613</v>
      </c>
      <c r="E137" s="30"/>
      <c r="F137" s="30">
        <f>F136/F12</f>
        <v>0.616</v>
      </c>
      <c r="G137" s="30"/>
      <c r="H137" s="30">
        <f>H136/H12</f>
        <v>0.612</v>
      </c>
      <c r="I137" s="30">
        <f>I136/I12</f>
        <v>0.608</v>
      </c>
      <c r="J137" s="34">
        <f>J136/J12</f>
        <v>0.6044999999999999</v>
      </c>
      <c r="K137" s="1"/>
      <c r="L137" s="5"/>
    </row>
    <row r="138">
      <c r="A138" s="1"/>
      <c r="B138" s="1" t="s">
        <v>134</v>
      </c>
      <c r="C138" s="13"/>
      <c r="D138" s="13"/>
      <c r="E138" s="13"/>
      <c r="F138" s="13"/>
      <c r="G138" s="13"/>
      <c r="H138" s="13">
        <f>(H137-C137)*10000</f>
        <v>-10.000000000000009</v>
      </c>
      <c r="I138" s="13">
        <f>(I137-D137)*10000</f>
        <v>-50.00000000000004</v>
      </c>
      <c r="J138" s="31"/>
      <c r="K138" s="1"/>
      <c r="L138" s="5"/>
    </row>
    <row r="139">
      <c r="A139" s="1"/>
      <c r="B139" s="1" t="s">
        <v>135</v>
      </c>
      <c r="C139" s="13"/>
      <c r="D139" s="13">
        <f>(D137-C137)*10000</f>
        <v>0</v>
      </c>
      <c r="E139" s="13"/>
      <c r="F139" s="13"/>
      <c r="G139" s="13"/>
      <c r="H139" s="13">
        <f>(H137-F137)*10000</f>
        <v>-40.000000000000036</v>
      </c>
      <c r="I139" s="13">
        <f>(I137-H137)*10000</f>
        <v>-40.000000000000036</v>
      </c>
      <c r="J139" s="31">
        <f>(J137-I137)*10000</f>
        <v>-35.00000000000058</v>
      </c>
      <c r="K139" s="1"/>
      <c r="L139" s="5"/>
    </row>
    <row r="140" ht="41.25">
      <c r="A140" s="1"/>
      <c r="B140" s="95" t="s">
        <v>161</v>
      </c>
      <c r="C140" s="32">
        <v>0.613</v>
      </c>
      <c r="D140" s="32">
        <v>0.613</v>
      </c>
      <c r="E140" s="30"/>
      <c r="F140" s="32">
        <v>0.616</v>
      </c>
      <c r="G140" s="30"/>
      <c r="H140" s="32">
        <v>0.611</v>
      </c>
      <c r="I140" s="32">
        <v>0.608</v>
      </c>
      <c r="J140" s="36">
        <f>Inputs!E153</f>
        <v>0.6045</v>
      </c>
      <c r="K140" s="1"/>
      <c r="L140" s="91" t="s">
        <v>168</v>
      </c>
    </row>
    <row r="141" ht="28.5">
      <c r="A141" s="1"/>
      <c r="B141" s="11" t="s">
        <v>153</v>
      </c>
      <c r="C141" s="32">
        <v>0.055</v>
      </c>
      <c r="D141" s="32">
        <v>0.086</v>
      </c>
      <c r="E141" s="30"/>
      <c r="F141" s="32">
        <v>0.101</v>
      </c>
      <c r="G141" s="30"/>
      <c r="H141" s="32">
        <v>0.124</v>
      </c>
      <c r="I141" s="32">
        <v>0.141</v>
      </c>
      <c r="J141" s="36">
        <f>Inputs!E152</f>
        <v>0.1585</v>
      </c>
      <c r="K141" s="1"/>
      <c r="L141" s="85" t="s">
        <v>154</v>
      </c>
    </row>
    <row r="142">
      <c r="A142" s="1"/>
      <c r="B142" s="11" t="s">
        <v>155</v>
      </c>
      <c r="C142" s="30"/>
      <c r="D142" s="30"/>
      <c r="E142" s="30"/>
      <c r="F142" s="30"/>
      <c r="G142" s="30"/>
      <c r="H142" s="30">
        <f>H136/C136-1</f>
        <v>0.12182725310757814</v>
      </c>
      <c r="I142" s="30">
        <f>I136/D136-1</f>
        <v>0.13802384036246496</v>
      </c>
      <c r="J142" s="34"/>
      <c r="K142" s="1"/>
      <c r="L142" s="5"/>
    </row>
    <row r="143">
      <c r="A143" s="1"/>
      <c r="B143" s="1" t="s">
        <v>73</v>
      </c>
      <c r="C143" s="14"/>
      <c r="D143" s="14">
        <f>D136-C136</f>
        <v>74.11170000000016</v>
      </c>
      <c r="E143" s="14"/>
      <c r="F143" s="14"/>
      <c r="G143" s="14"/>
      <c r="H143" s="14">
        <f>H136-F136</f>
        <v>98.5619999999999</v>
      </c>
      <c r="I143" s="14">
        <f>I136-H136</f>
        <v>103.79480000000012</v>
      </c>
      <c r="J143" s="33">
        <f>J136-I136</f>
        <v>42.71784252999987</v>
      </c>
      <c r="K143" s="1"/>
      <c r="L143" s="5"/>
    </row>
    <row r="144">
      <c r="A144" s="1"/>
      <c r="B144" s="9" t="s">
        <v>169</v>
      </c>
      <c r="C144" s="35">
        <f>C107+C136</f>
        <v>1959.4</v>
      </c>
      <c r="D144" s="35">
        <f>D107+D136</f>
        <v>2080.3</v>
      </c>
      <c r="E144" s="35"/>
      <c r="F144" s="35">
        <f>F107+F136</f>
        <v>2027.4</v>
      </c>
      <c r="G144" s="35"/>
      <c r="H144" s="35">
        <f>H107+H136</f>
        <v>2201.7</v>
      </c>
      <c r="I144" s="35">
        <f>I107+I136</f>
        <v>2386.9</v>
      </c>
      <c r="J144" s="48">
        <f>J107+J136</f>
        <v>2471.38634</v>
      </c>
      <c r="K144" s="1"/>
      <c r="L144" s="5"/>
    </row>
    <row r="145">
      <c r="A145" s="1"/>
      <c r="B145" s="1" t="s">
        <v>170</v>
      </c>
      <c r="C145" s="14">
        <f>C144-C12</f>
        <v>0</v>
      </c>
      <c r="D145" s="14">
        <f>D144-D12</f>
        <v>0</v>
      </c>
      <c r="E145" s="14"/>
      <c r="F145" s="14">
        <f>F144-F12</f>
        <v>0</v>
      </c>
      <c r="G145" s="14"/>
      <c r="H145" s="14">
        <f>H144-H12</f>
        <v>0</v>
      </c>
      <c r="I145" s="14">
        <f>I144-I12</f>
        <v>0</v>
      </c>
      <c r="J145" s="33">
        <f>J144-J12</f>
        <v>0</v>
      </c>
      <c r="K145" s="1"/>
      <c r="L145" s="5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43"/>
      <c r="K146" s="1"/>
      <c r="L146" s="5"/>
    </row>
    <row r="147">
      <c r="A147" s="1"/>
      <c r="B147" s="9" t="s">
        <v>171</v>
      </c>
      <c r="C147" s="14"/>
      <c r="D147" s="14"/>
      <c r="E147" s="14"/>
      <c r="F147" s="14"/>
      <c r="G147" s="14"/>
      <c r="H147" s="14"/>
      <c r="I147" s="14"/>
      <c r="J147" s="33"/>
      <c r="K147" s="1"/>
      <c r="L147" s="5"/>
    </row>
    <row r="148">
      <c r="A148" s="1"/>
      <c r="B148" s="11" t="s">
        <v>147</v>
      </c>
      <c r="C148" s="11"/>
      <c r="D148" s="11"/>
      <c r="E148" s="11"/>
      <c r="F148" s="11"/>
      <c r="G148" s="11"/>
      <c r="H148" s="11"/>
      <c r="I148" s="11"/>
      <c r="J148" s="58"/>
      <c r="K148" s="1"/>
      <c r="L148" s="5"/>
    </row>
    <row r="149">
      <c r="A149" s="1"/>
      <c r="B149" s="11" t="s">
        <v>172</v>
      </c>
      <c r="C149" s="32">
        <v>0.194</v>
      </c>
      <c r="D149" s="32">
        <v>0.194</v>
      </c>
      <c r="E149" s="32">
        <v>0.198</v>
      </c>
      <c r="F149" s="30"/>
      <c r="G149" s="30"/>
      <c r="H149" s="30"/>
      <c r="I149" s="30"/>
      <c r="J149" s="34"/>
      <c r="K149" s="1"/>
      <c r="L149" s="5" t="s">
        <v>173</v>
      </c>
    </row>
    <row r="150">
      <c r="A150" s="1"/>
      <c r="B150" s="1" t="s">
        <v>174</v>
      </c>
      <c r="C150" s="13"/>
      <c r="D150" s="13"/>
      <c r="E150" s="13"/>
      <c r="F150" s="13"/>
      <c r="G150" s="13"/>
      <c r="H150" s="13"/>
      <c r="I150" s="13"/>
      <c r="J150" s="31"/>
      <c r="K150" s="1"/>
      <c r="L150" s="5"/>
    </row>
    <row r="151">
      <c r="A151" s="1"/>
      <c r="B151" s="1" t="s">
        <v>151</v>
      </c>
      <c r="C151" s="13"/>
      <c r="D151" s="13">
        <f>(D149-C149)*10000</f>
        <v>0</v>
      </c>
      <c r="E151" s="13">
        <f>(E149-D149)*10000</f>
        <v>40.000000000000036</v>
      </c>
      <c r="F151" s="13"/>
      <c r="G151" s="13"/>
      <c r="H151" s="13"/>
      <c r="I151" s="13"/>
      <c r="J151" s="31"/>
      <c r="K151" s="1"/>
      <c r="L151" s="5"/>
    </row>
    <row r="152">
      <c r="A152" s="1"/>
      <c r="B152" s="1" t="s">
        <v>152</v>
      </c>
      <c r="C152" s="14">
        <f>C149*C12</f>
        <v>380.1236</v>
      </c>
      <c r="D152" s="14">
        <f>D149*D12</f>
        <v>403.57820000000004</v>
      </c>
      <c r="E152" s="14">
        <f>E149*E12</f>
        <v>422.39340000000004</v>
      </c>
      <c r="F152" s="14"/>
      <c r="G152" s="14"/>
      <c r="H152" s="14"/>
      <c r="I152" s="14"/>
      <c r="J152" s="33"/>
      <c r="K152" s="1"/>
      <c r="L152" s="5"/>
    </row>
    <row r="153">
      <c r="A153" s="1"/>
      <c r="B153" s="11" t="s">
        <v>175</v>
      </c>
      <c r="C153" s="32">
        <v>0.039</v>
      </c>
      <c r="D153" s="32">
        <v>0.084</v>
      </c>
      <c r="E153" s="32">
        <v>0.159</v>
      </c>
      <c r="F153" s="30"/>
      <c r="G153" s="30"/>
      <c r="H153" s="30"/>
      <c r="I153" s="30"/>
      <c r="J153" s="34"/>
      <c r="K153" s="1"/>
      <c r="L153" s="5"/>
    </row>
    <row r="154">
      <c r="A154" s="1"/>
      <c r="B154" s="11" t="s">
        <v>176</v>
      </c>
      <c r="C154" s="30"/>
      <c r="D154" s="30"/>
      <c r="E154" s="30"/>
      <c r="F154" s="30"/>
      <c r="G154" s="30"/>
      <c r="H154" s="30"/>
      <c r="I154" s="30"/>
      <c r="J154" s="34"/>
      <c r="K154" s="1"/>
      <c r="L154" s="5"/>
    </row>
    <row r="155">
      <c r="A155" s="1"/>
      <c r="B155" s="1" t="s">
        <v>73</v>
      </c>
      <c r="C155" s="14"/>
      <c r="D155" s="14">
        <f>D152-C152</f>
        <v>23.454600000000028</v>
      </c>
      <c r="E155" s="14">
        <f>E152-D152</f>
        <v>18.815200000000004</v>
      </c>
      <c r="F155" s="14"/>
      <c r="G155" s="14"/>
      <c r="H155" s="14"/>
      <c r="I155" s="14"/>
      <c r="J155" s="33"/>
      <c r="K155" s="1"/>
      <c r="L155" s="5"/>
    </row>
    <row r="156">
      <c r="A156" s="1"/>
      <c r="B156" s="11" t="s">
        <v>177</v>
      </c>
      <c r="C156" s="32">
        <v>0.109</v>
      </c>
      <c r="D156" s="32">
        <v>0.111</v>
      </c>
      <c r="E156" s="32">
        <v>0.112</v>
      </c>
      <c r="F156" s="30"/>
      <c r="G156" s="30"/>
      <c r="H156" s="30"/>
      <c r="I156" s="30"/>
      <c r="J156" s="34"/>
      <c r="K156" s="1"/>
      <c r="L156" s="5" t="s">
        <v>173</v>
      </c>
    </row>
    <row r="157">
      <c r="A157" s="1"/>
      <c r="B157" s="1" t="s">
        <v>174</v>
      </c>
      <c r="C157" s="13"/>
      <c r="D157" s="13"/>
      <c r="E157" s="13"/>
      <c r="F157" s="13"/>
      <c r="G157" s="13"/>
      <c r="H157" s="13"/>
      <c r="I157" s="13"/>
      <c r="J157" s="31"/>
      <c r="K157" s="1"/>
      <c r="L157" s="5"/>
    </row>
    <row r="158">
      <c r="A158" s="1"/>
      <c r="B158" s="1" t="s">
        <v>151</v>
      </c>
      <c r="C158" s="13"/>
      <c r="D158" s="13">
        <f>(D156-C156)*10000</f>
        <v>20.000000000000018</v>
      </c>
      <c r="E158" s="13">
        <f>(E156-D156)*10000</f>
        <v>10.000000000000009</v>
      </c>
      <c r="F158" s="13"/>
      <c r="G158" s="13"/>
      <c r="H158" s="13"/>
      <c r="I158" s="13"/>
      <c r="J158" s="31"/>
      <c r="K158" s="1"/>
      <c r="L158" s="5"/>
    </row>
    <row r="159">
      <c r="A159" s="1"/>
      <c r="B159" s="1" t="s">
        <v>152</v>
      </c>
      <c r="C159" s="14">
        <f>C156*C12</f>
        <v>213.5746</v>
      </c>
      <c r="D159" s="14">
        <f>D156*D12</f>
        <v>230.91330000000002</v>
      </c>
      <c r="E159" s="14">
        <f>E156*E12</f>
        <v>238.92960000000002</v>
      </c>
      <c r="F159" s="14"/>
      <c r="G159" s="14"/>
      <c r="H159" s="14"/>
      <c r="I159" s="14"/>
      <c r="J159" s="33"/>
      <c r="K159" s="1"/>
      <c r="L159" s="5"/>
    </row>
    <row r="160">
      <c r="A160" s="1"/>
      <c r="B160" s="11" t="s">
        <v>175</v>
      </c>
      <c r="C160" s="32">
        <v>-0.033</v>
      </c>
      <c r="D160" s="32">
        <v>0.034</v>
      </c>
      <c r="E160" s="32">
        <v>0.12</v>
      </c>
      <c r="F160" s="30"/>
      <c r="G160" s="30"/>
      <c r="H160" s="30"/>
      <c r="I160" s="30"/>
      <c r="J160" s="34"/>
      <c r="K160" s="1"/>
      <c r="L160" s="5"/>
    </row>
    <row r="161">
      <c r="A161" s="1"/>
      <c r="B161" s="11" t="s">
        <v>176</v>
      </c>
      <c r="C161" s="30"/>
      <c r="D161" s="30"/>
      <c r="E161" s="30"/>
      <c r="F161" s="30"/>
      <c r="G161" s="30"/>
      <c r="H161" s="30"/>
      <c r="I161" s="30"/>
      <c r="J161" s="34"/>
      <c r="K161" s="1"/>
      <c r="L161" s="5"/>
    </row>
    <row r="162">
      <c r="A162" s="1"/>
      <c r="B162" s="1" t="s">
        <v>73</v>
      </c>
      <c r="C162" s="14"/>
      <c r="D162" s="14">
        <f>D159-C159</f>
        <v>17.338700000000017</v>
      </c>
      <c r="E162" s="14">
        <f>E159-D159</f>
        <v>8.016300000000001</v>
      </c>
      <c r="F162" s="14"/>
      <c r="G162" s="14"/>
      <c r="H162" s="14"/>
      <c r="I162" s="14"/>
      <c r="J162" s="33"/>
      <c r="K162" s="1"/>
      <c r="L162" s="5"/>
    </row>
    <row r="163">
      <c r="A163" s="1"/>
      <c r="B163" s="9" t="s">
        <v>178</v>
      </c>
      <c r="C163" s="35">
        <f>C152+C159</f>
        <v>593.6982</v>
      </c>
      <c r="D163" s="35">
        <f>D152+D159</f>
        <v>634.4915000000001</v>
      </c>
      <c r="E163" s="35">
        <f>E152+E159</f>
        <v>661.3230000000001</v>
      </c>
      <c r="F163" s="35"/>
      <c r="G163" s="35"/>
      <c r="H163" s="35"/>
      <c r="I163" s="35"/>
      <c r="J163" s="48"/>
      <c r="K163" s="1"/>
      <c r="L163" s="5" t="s">
        <v>179</v>
      </c>
    </row>
    <row r="164">
      <c r="A164" s="1"/>
      <c r="B164" s="11" t="s">
        <v>160</v>
      </c>
      <c r="C164" s="30">
        <f>C163/C12</f>
        <v>0.303</v>
      </c>
      <c r="D164" s="30">
        <f>D163/D12</f>
        <v>0.305</v>
      </c>
      <c r="E164" s="30">
        <f>E163/E12</f>
        <v>0.31</v>
      </c>
      <c r="F164" s="30"/>
      <c r="G164" s="30"/>
      <c r="H164" s="30"/>
      <c r="I164" s="30"/>
      <c r="J164" s="34"/>
      <c r="K164" s="1"/>
      <c r="L164" s="5"/>
    </row>
    <row r="165">
      <c r="A165" s="1"/>
      <c r="B165" s="1" t="s">
        <v>180</v>
      </c>
      <c r="C165" s="13"/>
      <c r="D165" s="13"/>
      <c r="E165" s="13"/>
      <c r="F165" s="13"/>
      <c r="G165" s="13"/>
      <c r="H165" s="13"/>
      <c r="I165" s="13"/>
      <c r="J165" s="31"/>
      <c r="K165" s="1"/>
      <c r="L165" s="5"/>
    </row>
    <row r="166">
      <c r="A166" s="1"/>
      <c r="B166" s="1" t="s">
        <v>135</v>
      </c>
      <c r="C166" s="13"/>
      <c r="D166" s="13">
        <f>(D164-C164)*10000</f>
        <v>20.000000000000018</v>
      </c>
      <c r="E166" s="13">
        <f>(E164-D164)*10000</f>
        <v>50.00000000000004</v>
      </c>
      <c r="F166" s="13"/>
      <c r="G166" s="13"/>
      <c r="H166" s="13"/>
      <c r="I166" s="13"/>
      <c r="J166" s="31"/>
      <c r="K166" s="1"/>
      <c r="L166" s="5"/>
    </row>
    <row r="167">
      <c r="A167" s="1"/>
      <c r="B167" s="11" t="s">
        <v>181</v>
      </c>
      <c r="C167" s="32">
        <v>0.303</v>
      </c>
      <c r="D167" s="32">
        <v>0.305</v>
      </c>
      <c r="E167" s="32">
        <v>0.31</v>
      </c>
      <c r="F167" s="30"/>
      <c r="G167" s="30"/>
      <c r="H167" s="30"/>
      <c r="I167" s="30"/>
      <c r="J167" s="34"/>
      <c r="K167" s="1"/>
      <c r="L167" s="5"/>
    </row>
    <row r="168">
      <c r="A168" s="1"/>
      <c r="B168" s="11" t="s">
        <v>175</v>
      </c>
      <c r="C168" s="32">
        <v>0.011</v>
      </c>
      <c r="D168" s="32">
        <v>0.066</v>
      </c>
      <c r="E168" s="32">
        <v>0.144</v>
      </c>
      <c r="F168" s="30"/>
      <c r="G168" s="30"/>
      <c r="H168" s="30"/>
      <c r="I168" s="30"/>
      <c r="J168" s="34"/>
      <c r="K168" s="1"/>
      <c r="L168" s="5"/>
    </row>
    <row r="169">
      <c r="A169" s="1"/>
      <c r="B169" s="11" t="s">
        <v>176</v>
      </c>
      <c r="C169" s="30"/>
      <c r="D169" s="30"/>
      <c r="E169" s="30"/>
      <c r="F169" s="30"/>
      <c r="G169" s="30"/>
      <c r="H169" s="30"/>
      <c r="I169" s="30"/>
      <c r="J169" s="34"/>
      <c r="K169" s="1"/>
      <c r="L169" s="5"/>
    </row>
    <row r="170">
      <c r="A170" s="1"/>
      <c r="B170" s="1" t="s">
        <v>73</v>
      </c>
      <c r="C170" s="14"/>
      <c r="D170" s="14">
        <f>D163-C163</f>
        <v>40.793300000000045</v>
      </c>
      <c r="E170" s="14">
        <f>E163-D163</f>
        <v>26.831500000000005</v>
      </c>
      <c r="F170" s="14"/>
      <c r="G170" s="14"/>
      <c r="H170" s="14"/>
      <c r="I170" s="14"/>
      <c r="J170" s="33"/>
      <c r="K170" s="1"/>
      <c r="L170" s="5"/>
    </row>
    <row r="171">
      <c r="A171" s="1"/>
      <c r="B171" s="11" t="s">
        <v>182</v>
      </c>
      <c r="C171" s="32">
        <v>0.22</v>
      </c>
      <c r="D171" s="32">
        <v>0.222</v>
      </c>
      <c r="E171" s="32">
        <v>0.221</v>
      </c>
      <c r="F171" s="30"/>
      <c r="G171" s="30"/>
      <c r="H171" s="30"/>
      <c r="I171" s="30"/>
      <c r="J171" s="34"/>
      <c r="K171" s="1"/>
      <c r="L171" s="5" t="s">
        <v>183</v>
      </c>
    </row>
    <row r="172">
      <c r="A172" s="1"/>
      <c r="B172" s="1" t="s">
        <v>174</v>
      </c>
      <c r="C172" s="13"/>
      <c r="D172" s="13"/>
      <c r="E172" s="13"/>
      <c r="F172" s="13"/>
      <c r="G172" s="13"/>
      <c r="H172" s="13"/>
      <c r="I172" s="13"/>
      <c r="J172" s="31"/>
      <c r="K172" s="1"/>
      <c r="L172" s="5"/>
    </row>
    <row r="173">
      <c r="A173" s="1"/>
      <c r="B173" s="1" t="s">
        <v>151</v>
      </c>
      <c r="C173" s="13"/>
      <c r="D173" s="13">
        <f>(D171-C171)*10000</f>
        <v>20.000000000000018</v>
      </c>
      <c r="E173" s="13">
        <f>(E171-D171)*10000</f>
        <v>-10.000000000000009</v>
      </c>
      <c r="F173" s="13"/>
      <c r="G173" s="13"/>
      <c r="H173" s="13"/>
      <c r="I173" s="13"/>
      <c r="J173" s="31"/>
      <c r="K173" s="1"/>
      <c r="L173" s="5"/>
    </row>
    <row r="174">
      <c r="A174" s="1"/>
      <c r="B174" s="1" t="s">
        <v>152</v>
      </c>
      <c r="C174" s="14">
        <f>C171*C12</f>
        <v>431.06800000000004</v>
      </c>
      <c r="D174" s="14">
        <f>D171*D12</f>
        <v>461.82660000000004</v>
      </c>
      <c r="E174" s="14">
        <f>E171*E12</f>
        <v>471.45930000000004</v>
      </c>
      <c r="F174" s="14"/>
      <c r="G174" s="14"/>
      <c r="H174" s="14"/>
      <c r="I174" s="14"/>
      <c r="J174" s="33"/>
      <c r="K174" s="1"/>
      <c r="L174" s="5"/>
    </row>
    <row r="175">
      <c r="A175" s="1"/>
      <c r="B175" s="11" t="s">
        <v>175</v>
      </c>
      <c r="C175" s="32">
        <v>0.071</v>
      </c>
      <c r="D175" s="32">
        <v>0.107</v>
      </c>
      <c r="E175" s="32">
        <v>0.098</v>
      </c>
      <c r="F175" s="30"/>
      <c r="G175" s="30"/>
      <c r="H175" s="30"/>
      <c r="I175" s="30"/>
      <c r="J175" s="34"/>
      <c r="K175" s="1"/>
      <c r="L175" s="5"/>
    </row>
    <row r="176">
      <c r="A176" s="1"/>
      <c r="B176" s="11" t="s">
        <v>176</v>
      </c>
      <c r="C176" s="30"/>
      <c r="D176" s="30"/>
      <c r="E176" s="30"/>
      <c r="F176" s="30"/>
      <c r="G176" s="30"/>
      <c r="H176" s="30"/>
      <c r="I176" s="30"/>
      <c r="J176" s="34"/>
      <c r="K176" s="1"/>
      <c r="L176" s="5"/>
    </row>
    <row r="177">
      <c r="A177" s="1"/>
      <c r="B177" s="1" t="s">
        <v>73</v>
      </c>
      <c r="C177" s="14"/>
      <c r="D177" s="14">
        <f>D174-C174</f>
        <v>30.7586</v>
      </c>
      <c r="E177" s="14">
        <f>E174-D174</f>
        <v>9.6327</v>
      </c>
      <c r="F177" s="14"/>
      <c r="G177" s="14"/>
      <c r="H177" s="14"/>
      <c r="I177" s="14"/>
      <c r="J177" s="33"/>
      <c r="K177" s="1"/>
      <c r="L177" s="5"/>
    </row>
    <row r="178">
      <c r="A178" s="1"/>
      <c r="B178" s="11" t="s">
        <v>184</v>
      </c>
      <c r="C178" s="32">
        <v>0.477</v>
      </c>
      <c r="D178" s="32">
        <v>0.473</v>
      </c>
      <c r="E178" s="32">
        <v>0.469</v>
      </c>
      <c r="F178" s="30"/>
      <c r="G178" s="30"/>
      <c r="H178" s="30"/>
      <c r="I178" s="30"/>
      <c r="J178" s="34"/>
      <c r="K178" s="1"/>
      <c r="L178" s="5" t="s">
        <v>183</v>
      </c>
    </row>
    <row r="179">
      <c r="A179" s="1"/>
      <c r="B179" s="1" t="s">
        <v>174</v>
      </c>
      <c r="C179" s="13"/>
      <c r="D179" s="13"/>
      <c r="E179" s="13"/>
      <c r="F179" s="13"/>
      <c r="G179" s="13"/>
      <c r="H179" s="13"/>
      <c r="I179" s="13"/>
      <c r="J179" s="31"/>
      <c r="K179" s="1"/>
      <c r="L179" s="5"/>
    </row>
    <row r="180">
      <c r="A180" s="1"/>
      <c r="B180" s="1" t="s">
        <v>151</v>
      </c>
      <c r="C180" s="13"/>
      <c r="D180" s="13">
        <f>(D178-C178)*10000</f>
        <v>-40.000000000000036</v>
      </c>
      <c r="E180" s="13">
        <f>(E178-D178)*10000</f>
        <v>-40.000000000000036</v>
      </c>
      <c r="F180" s="13"/>
      <c r="G180" s="13"/>
      <c r="H180" s="13"/>
      <c r="I180" s="13"/>
      <c r="J180" s="31"/>
      <c r="K180" s="1"/>
      <c r="L180" s="5"/>
    </row>
    <row r="181">
      <c r="A181" s="1"/>
      <c r="B181" s="1" t="s">
        <v>152</v>
      </c>
      <c r="C181" s="14">
        <f>C178*C12</f>
        <v>934.6338</v>
      </c>
      <c r="D181" s="14">
        <f>D178*D12</f>
        <v>983.9819</v>
      </c>
      <c r="E181" s="14">
        <f>E178*E12</f>
        <v>1000.5177</v>
      </c>
      <c r="F181" s="14"/>
      <c r="G181" s="14"/>
      <c r="H181" s="14"/>
      <c r="I181" s="14"/>
      <c r="J181" s="33"/>
      <c r="K181" s="1"/>
      <c r="L181" s="5"/>
    </row>
    <row r="182">
      <c r="A182" s="1"/>
      <c r="B182" s="11" t="s">
        <v>175</v>
      </c>
      <c r="C182" s="32">
        <v>0.067</v>
      </c>
      <c r="D182" s="32">
        <v>0.09</v>
      </c>
      <c r="E182" s="32">
        <v>0.107</v>
      </c>
      <c r="F182" s="30"/>
      <c r="G182" s="30"/>
      <c r="H182" s="30"/>
      <c r="I182" s="30"/>
      <c r="J182" s="34"/>
      <c r="K182" s="1"/>
      <c r="L182" s="5"/>
    </row>
    <row r="183">
      <c r="A183" s="1"/>
      <c r="B183" s="11" t="s">
        <v>176</v>
      </c>
      <c r="C183" s="30"/>
      <c r="D183" s="30"/>
      <c r="E183" s="30"/>
      <c r="F183" s="30"/>
      <c r="G183" s="30"/>
      <c r="H183" s="30"/>
      <c r="I183" s="30"/>
      <c r="J183" s="34"/>
      <c r="K183" s="1"/>
      <c r="L183" s="5"/>
    </row>
    <row r="184">
      <c r="A184" s="1"/>
      <c r="B184" s="1" t="s">
        <v>73</v>
      </c>
      <c r="C184" s="14"/>
      <c r="D184" s="14">
        <f>D181-C181</f>
        <v>49.348100000000045</v>
      </c>
      <c r="E184" s="14">
        <f>E181-D181</f>
        <v>16.535799999999995</v>
      </c>
      <c r="F184" s="14"/>
      <c r="G184" s="14"/>
      <c r="H184" s="14"/>
      <c r="I184" s="14"/>
      <c r="J184" s="33"/>
      <c r="K184" s="1"/>
      <c r="L184" s="5"/>
    </row>
    <row r="185">
      <c r="A185" s="1"/>
      <c r="B185" s="9" t="s">
        <v>185</v>
      </c>
      <c r="C185" s="35">
        <f>C174+C181</f>
        <v>1365.7018</v>
      </c>
      <c r="D185" s="35">
        <f>D174+D181</f>
        <v>1445.8085</v>
      </c>
      <c r="E185" s="35">
        <f>E174+E181</f>
        <v>1471.977</v>
      </c>
      <c r="F185" s="35"/>
      <c r="G185" s="35"/>
      <c r="H185" s="35"/>
      <c r="I185" s="35"/>
      <c r="J185" s="48"/>
      <c r="K185" s="1"/>
      <c r="L185" s="5" t="s">
        <v>179</v>
      </c>
    </row>
    <row r="186">
      <c r="A186" s="1"/>
      <c r="B186" s="11" t="s">
        <v>160</v>
      </c>
      <c r="C186" s="30">
        <f>C185/C12</f>
        <v>0.697</v>
      </c>
      <c r="D186" s="30">
        <f>D185/D12</f>
        <v>0.695</v>
      </c>
      <c r="E186" s="30">
        <f>E185/E12</f>
        <v>0.69</v>
      </c>
      <c r="F186" s="30"/>
      <c r="G186" s="30"/>
      <c r="H186" s="30"/>
      <c r="I186" s="30"/>
      <c r="J186" s="34"/>
      <c r="K186" s="1"/>
      <c r="L186" s="5"/>
    </row>
    <row r="187">
      <c r="A187" s="1"/>
      <c r="B187" s="1" t="s">
        <v>180</v>
      </c>
      <c r="C187" s="13"/>
      <c r="D187" s="13"/>
      <c r="E187" s="13"/>
      <c r="F187" s="13"/>
      <c r="G187" s="13"/>
      <c r="H187" s="13"/>
      <c r="I187" s="13"/>
      <c r="J187" s="31"/>
      <c r="K187" s="1"/>
      <c r="L187" s="5"/>
    </row>
    <row r="188">
      <c r="A188" s="1"/>
      <c r="B188" s="1" t="s">
        <v>135</v>
      </c>
      <c r="C188" s="13"/>
      <c r="D188" s="13">
        <f>(D186-C186)*10000</f>
        <v>-20.000000000000018</v>
      </c>
      <c r="E188" s="13">
        <f>(E186-D186)*10000</f>
        <v>-50.00000000000004</v>
      </c>
      <c r="F188" s="13"/>
      <c r="G188" s="13"/>
      <c r="H188" s="13"/>
      <c r="I188" s="13"/>
      <c r="J188" s="31"/>
      <c r="K188" s="1"/>
      <c r="L188" s="5"/>
    </row>
    <row r="189">
      <c r="A189" s="1"/>
      <c r="B189" s="11" t="s">
        <v>181</v>
      </c>
      <c r="C189" s="32">
        <v>0.697</v>
      </c>
      <c r="D189" s="32">
        <v>0.695</v>
      </c>
      <c r="E189" s="32">
        <v>0.69</v>
      </c>
      <c r="F189" s="30"/>
      <c r="G189" s="30"/>
      <c r="H189" s="30"/>
      <c r="I189" s="30"/>
      <c r="J189" s="34"/>
      <c r="K189" s="1"/>
      <c r="L189" s="5"/>
    </row>
    <row r="190">
      <c r="A190" s="1"/>
      <c r="B190" s="11" t="s">
        <v>175</v>
      </c>
      <c r="C190" s="32">
        <v>0.068</v>
      </c>
      <c r="D190" s="32">
        <v>0.095</v>
      </c>
      <c r="E190" s="32">
        <v>0.104</v>
      </c>
      <c r="F190" s="30"/>
      <c r="G190" s="30"/>
      <c r="H190" s="30"/>
      <c r="I190" s="30"/>
      <c r="J190" s="34"/>
      <c r="K190" s="1"/>
      <c r="L190" s="5"/>
    </row>
    <row r="191">
      <c r="A191" s="1"/>
      <c r="B191" s="11" t="s">
        <v>176</v>
      </c>
      <c r="C191" s="30"/>
      <c r="D191" s="30"/>
      <c r="E191" s="30"/>
      <c r="F191" s="30"/>
      <c r="G191" s="30"/>
      <c r="H191" s="30"/>
      <c r="I191" s="30"/>
      <c r="J191" s="34"/>
      <c r="K191" s="1"/>
      <c r="L191" s="5"/>
    </row>
    <row r="192">
      <c r="A192" s="1"/>
      <c r="B192" s="1" t="s">
        <v>73</v>
      </c>
      <c r="C192" s="14"/>
      <c r="D192" s="14">
        <f>D185-C185</f>
        <v>80.10670000000005</v>
      </c>
      <c r="E192" s="14">
        <f>E185-D185</f>
        <v>26.168499999999995</v>
      </c>
      <c r="F192" s="14"/>
      <c r="G192" s="14"/>
      <c r="H192" s="14"/>
      <c r="I192" s="14"/>
      <c r="J192" s="33"/>
      <c r="K192" s="1"/>
      <c r="L192" s="5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43"/>
      <c r="K193" s="1"/>
      <c r="L193" s="5"/>
    </row>
    <row r="194">
      <c r="A194" s="1"/>
      <c r="B194" s="9" t="s">
        <v>186</v>
      </c>
      <c r="C194" s="14"/>
      <c r="D194" s="14"/>
      <c r="E194" s="14"/>
      <c r="F194" s="14"/>
      <c r="G194" s="14"/>
      <c r="H194" s="14"/>
      <c r="I194" s="14"/>
      <c r="J194" s="33"/>
      <c r="K194" s="1"/>
      <c r="L194" s="5"/>
    </row>
    <row r="195">
      <c r="A195" s="1"/>
      <c r="B195" s="11" t="s">
        <v>147</v>
      </c>
      <c r="C195" s="11"/>
      <c r="D195" s="11"/>
      <c r="E195" s="11"/>
      <c r="F195" s="11"/>
      <c r="G195" s="11"/>
      <c r="H195" s="11"/>
      <c r="I195" s="11"/>
      <c r="J195" s="58"/>
      <c r="K195" s="1"/>
      <c r="L195" s="5"/>
    </row>
    <row r="196">
      <c r="A196" s="1"/>
      <c r="B196" s="11" t="s">
        <v>187</v>
      </c>
      <c r="C196" s="32">
        <v>0.434</v>
      </c>
      <c r="D196" s="32">
        <v>0.429</v>
      </c>
      <c r="E196" s="32">
        <v>0.431</v>
      </c>
      <c r="F196" s="32">
        <v>0.429</v>
      </c>
      <c r="G196" s="30"/>
      <c r="H196" s="32">
        <v>0.44</v>
      </c>
      <c r="I196" s="32">
        <v>0.441</v>
      </c>
      <c r="J196" s="36">
        <f>Inputs!E131</f>
        <v>0.4445</v>
      </c>
      <c r="K196" s="1"/>
      <c r="L196" s="5" t="s">
        <v>188</v>
      </c>
    </row>
    <row r="197">
      <c r="A197" s="1"/>
      <c r="B197" s="1" t="s">
        <v>150</v>
      </c>
      <c r="C197" s="13"/>
      <c r="D197" s="13"/>
      <c r="E197" s="13"/>
      <c r="F197" s="13"/>
      <c r="G197" s="13"/>
      <c r="H197" s="13">
        <f>(H196-C196)*10000</f>
        <v>60.00000000000006</v>
      </c>
      <c r="I197" s="13">
        <f>(I196-D196)*10000</f>
        <v>120.00000000000011</v>
      </c>
      <c r="J197" s="31">
        <f>(J196-E196)*10000</f>
        <v>135.0000000000001</v>
      </c>
      <c r="K197" s="1"/>
      <c r="L197" s="5"/>
    </row>
    <row r="198">
      <c r="A198" s="1"/>
      <c r="B198" s="1" t="s">
        <v>151</v>
      </c>
      <c r="C198" s="13"/>
      <c r="D198" s="13">
        <f>(D196-C196)*10000</f>
        <v>-50.00000000000004</v>
      </c>
      <c r="E198" s="13">
        <f>(E196-D196)*10000</f>
        <v>20.000000000000018</v>
      </c>
      <c r="F198" s="13">
        <f>(F196-E196)*10000</f>
        <v>-20.000000000000018</v>
      </c>
      <c r="G198" s="13"/>
      <c r="H198" s="13">
        <f>(H196-F196)*10000</f>
        <v>110.0000000000001</v>
      </c>
      <c r="I198" s="13">
        <f>(I196-H196)*10000</f>
        <v>10.000000000000009</v>
      </c>
      <c r="J198" s="31">
        <f>(J196-I196)*10000</f>
        <v>35.00000000000003</v>
      </c>
      <c r="K198" s="1"/>
      <c r="L198" s="5"/>
    </row>
    <row r="199">
      <c r="A199" s="1"/>
      <c r="B199" s="1" t="s">
        <v>152</v>
      </c>
      <c r="C199" s="14">
        <f>C196*C12</f>
        <v>850.3796</v>
      </c>
      <c r="D199" s="14">
        <f>D196*D12</f>
        <v>892.4487</v>
      </c>
      <c r="E199" s="14">
        <f>E196*E12</f>
        <v>919.4523</v>
      </c>
      <c r="F199" s="14">
        <f>F196*F12</f>
        <v>869.7546</v>
      </c>
      <c r="G199" s="14"/>
      <c r="H199" s="14">
        <f>H196*H12</f>
        <v>968.7479999999999</v>
      </c>
      <c r="I199" s="14">
        <f>I196*I12</f>
        <v>1052.6229</v>
      </c>
      <c r="J199" s="33">
        <f>J196*J12</f>
        <v>1098.53122813</v>
      </c>
      <c r="K199" s="1"/>
      <c r="L199" s="5"/>
    </row>
    <row r="200" ht="28.5">
      <c r="A200" s="1"/>
      <c r="B200" s="11" t="s">
        <v>153</v>
      </c>
      <c r="C200" s="32">
        <v>0.048</v>
      </c>
      <c r="D200" s="32">
        <v>0.075</v>
      </c>
      <c r="E200" s="32">
        <v>0.124</v>
      </c>
      <c r="F200" s="32">
        <v>0.126</v>
      </c>
      <c r="G200" s="30"/>
      <c r="H200" s="32">
        <v>0.141</v>
      </c>
      <c r="I200" s="32">
        <v>0.181</v>
      </c>
      <c r="J200" s="36">
        <f>Inputs!E130</f>
        <v>0.2025</v>
      </c>
      <c r="K200" s="1"/>
      <c r="L200" s="85" t="s">
        <v>154</v>
      </c>
    </row>
    <row r="201">
      <c r="A201" s="1"/>
      <c r="B201" s="11" t="s">
        <v>155</v>
      </c>
      <c r="C201" s="30"/>
      <c r="D201" s="30"/>
      <c r="E201" s="30"/>
      <c r="F201" s="30"/>
      <c r="G201" s="30"/>
      <c r="H201" s="30">
        <f>H199/C199-1</f>
        <v>0.13919477842601102</v>
      </c>
      <c r="I201" s="30">
        <f>I199/D199-1</f>
        <v>0.1794772069251711</v>
      </c>
      <c r="J201" s="34">
        <f>J199/E199-1</f>
        <v>0.19476695868834093</v>
      </c>
      <c r="K201" s="1"/>
      <c r="L201" s="5"/>
    </row>
    <row r="202">
      <c r="A202" s="1"/>
      <c r="B202" s="1" t="s">
        <v>73</v>
      </c>
      <c r="C202" s="14"/>
      <c r="D202" s="14">
        <f>D199-C199</f>
        <v>42.06910000000005</v>
      </c>
      <c r="E202" s="14">
        <f>E199-D199</f>
        <v>27.003600000000006</v>
      </c>
      <c r="F202" s="14">
        <f>F199-E199</f>
        <v>-49.697700000000054</v>
      </c>
      <c r="G202" s="14"/>
      <c r="H202" s="14">
        <f>H199-F199</f>
        <v>98.99339999999995</v>
      </c>
      <c r="I202" s="14">
        <f>I199-H199</f>
        <v>83.87490000000014</v>
      </c>
      <c r="J202" s="33">
        <f>J199-I199</f>
        <v>45.90832812999997</v>
      </c>
      <c r="K202" s="1"/>
      <c r="L202" s="5"/>
    </row>
    <row r="203">
      <c r="A203" s="1"/>
      <c r="B203" s="11" t="s">
        <v>189</v>
      </c>
      <c r="C203" s="32">
        <v>0.33</v>
      </c>
      <c r="D203" s="32">
        <v>0.33</v>
      </c>
      <c r="E203" s="32">
        <v>0.328</v>
      </c>
      <c r="F203" s="32">
        <v>0.325</v>
      </c>
      <c r="G203" s="30"/>
      <c r="H203" s="32">
        <v>0.322</v>
      </c>
      <c r="I203" s="32">
        <v>0.318</v>
      </c>
      <c r="J203" s="36">
        <f>Inputs!E133</f>
        <v>0.3195</v>
      </c>
      <c r="K203" s="1"/>
      <c r="L203" s="5" t="s">
        <v>188</v>
      </c>
    </row>
    <row r="204">
      <c r="A204" s="1"/>
      <c r="B204" s="1" t="s">
        <v>150</v>
      </c>
      <c r="C204" s="13"/>
      <c r="D204" s="13"/>
      <c r="E204" s="13"/>
      <c r="F204" s="13"/>
      <c r="G204" s="13"/>
      <c r="H204" s="13">
        <f>(H203-C203)*10000</f>
        <v>-80.00000000000007</v>
      </c>
      <c r="I204" s="13">
        <f>(I203-D203)*10000</f>
        <v>-120.00000000000011</v>
      </c>
      <c r="J204" s="31">
        <f>(J203-E203)*10000</f>
        <v>-85.00000000000007</v>
      </c>
      <c r="K204" s="1"/>
      <c r="L204" s="5"/>
    </row>
    <row r="205">
      <c r="A205" s="1"/>
      <c r="B205" s="1" t="s">
        <v>151</v>
      </c>
      <c r="C205" s="13"/>
      <c r="D205" s="13">
        <f>(D203-C203)*10000</f>
        <v>0</v>
      </c>
      <c r="E205" s="13">
        <f>(E203-D203)*10000</f>
        <v>-20.000000000000018</v>
      </c>
      <c r="F205" s="13">
        <f>(F203-E203)*10000</f>
        <v>-30.00000000000003</v>
      </c>
      <c r="G205" s="13"/>
      <c r="H205" s="13">
        <f>(H203-F203)*10000</f>
        <v>-30.00000000000003</v>
      </c>
      <c r="I205" s="13">
        <f>(I203-H203)*10000</f>
        <v>-40.000000000000036</v>
      </c>
      <c r="J205" s="31">
        <f>(J203-I203)*10000</f>
        <v>15.000000000000014</v>
      </c>
      <c r="K205" s="1"/>
      <c r="L205" s="5"/>
    </row>
    <row r="206">
      <c r="A206" s="1"/>
      <c r="B206" s="1" t="s">
        <v>152</v>
      </c>
      <c r="C206" s="14">
        <f>C203*C12</f>
        <v>646.6020000000001</v>
      </c>
      <c r="D206" s="14">
        <f>D203*D12</f>
        <v>686.4990000000001</v>
      </c>
      <c r="E206" s="14">
        <f>E203*E12</f>
        <v>699.7224000000001</v>
      </c>
      <c r="F206" s="14">
        <f>F203*F12</f>
        <v>658.9050000000001</v>
      </c>
      <c r="G206" s="14"/>
      <c r="H206" s="14">
        <f>H203*H12</f>
        <v>708.9474</v>
      </c>
      <c r="I206" s="14">
        <f>I203*I12</f>
        <v>759.0342</v>
      </c>
      <c r="J206" s="33">
        <f>J203*J12</f>
        <v>789.60793563</v>
      </c>
      <c r="K206" s="1"/>
      <c r="L206" s="5"/>
    </row>
    <row r="207" ht="28.5">
      <c r="A207" s="1"/>
      <c r="B207" s="11" t="s">
        <v>153</v>
      </c>
      <c r="C207" s="32">
        <v>0.097</v>
      </c>
      <c r="D207" s="32">
        <v>0.115</v>
      </c>
      <c r="E207" s="32">
        <v>0.129</v>
      </c>
      <c r="F207" s="32">
        <v>0.13</v>
      </c>
      <c r="G207" s="30"/>
      <c r="H207" s="32">
        <v>0.099</v>
      </c>
      <c r="I207" s="32">
        <v>0.108</v>
      </c>
      <c r="J207" s="36">
        <f>Inputs!E132</f>
        <v>0.134</v>
      </c>
      <c r="K207" s="1"/>
      <c r="L207" s="85" t="s">
        <v>154</v>
      </c>
    </row>
    <row r="208">
      <c r="A208" s="1"/>
      <c r="B208" s="11" t="s">
        <v>155</v>
      </c>
      <c r="C208" s="30"/>
      <c r="D208" s="30"/>
      <c r="E208" s="30"/>
      <c r="F208" s="30"/>
      <c r="G208" s="30"/>
      <c r="H208" s="30">
        <f>H206/C206-1</f>
        <v>0.09642005437657164</v>
      </c>
      <c r="I208" s="30">
        <f>I206/D206-1</f>
        <v>0.10565958581148682</v>
      </c>
      <c r="J208" s="34">
        <f>J206/E206-1</f>
        <v>0.1284588511529714</v>
      </c>
      <c r="K208" s="1"/>
      <c r="L208" s="5"/>
    </row>
    <row r="209">
      <c r="A209" s="1"/>
      <c r="B209" s="1" t="s">
        <v>73</v>
      </c>
      <c r="C209" s="14"/>
      <c r="D209" s="14">
        <f>D206-C206</f>
        <v>39.89700000000005</v>
      </c>
      <c r="E209" s="14">
        <f>E206-D206</f>
        <v>13.22339999999997</v>
      </c>
      <c r="F209" s="14">
        <f>F206-E206</f>
        <v>-40.81740000000002</v>
      </c>
      <c r="G209" s="14"/>
      <c r="H209" s="14">
        <f>H206-F206</f>
        <v>50.04239999999993</v>
      </c>
      <c r="I209" s="14">
        <f>I206-H206</f>
        <v>50.08680000000004</v>
      </c>
      <c r="J209" s="33">
        <f>J206-I206</f>
        <v>30.573735629999987</v>
      </c>
      <c r="K209" s="1"/>
      <c r="L209" s="5"/>
    </row>
    <row r="210">
      <c r="A210" s="1"/>
      <c r="B210" s="9" t="s">
        <v>190</v>
      </c>
      <c r="C210" s="35">
        <f>C199+C206</f>
        <v>1496.9816</v>
      </c>
      <c r="D210" s="35">
        <f>D199+D206</f>
        <v>1578.9477000000002</v>
      </c>
      <c r="E210" s="35">
        <f>E199+E206</f>
        <v>1619.1747</v>
      </c>
      <c r="F210" s="35">
        <f>F199+F206</f>
        <v>1528.6596</v>
      </c>
      <c r="G210" s="35"/>
      <c r="H210" s="35">
        <f>H199+H206</f>
        <v>1677.6954</v>
      </c>
      <c r="I210" s="35">
        <f>I199+I206</f>
        <v>1811.6571000000001</v>
      </c>
      <c r="J210" s="48">
        <f>J199+J206</f>
        <v>1888.13916376</v>
      </c>
      <c r="K210" s="1"/>
      <c r="L210" s="5" t="s">
        <v>179</v>
      </c>
    </row>
    <row r="211">
      <c r="A211" s="1"/>
      <c r="B211" s="11" t="s">
        <v>160</v>
      </c>
      <c r="C211" s="30">
        <f>C210/C12</f>
        <v>0.764</v>
      </c>
      <c r="D211" s="30">
        <f>D210/D12</f>
        <v>0.759</v>
      </c>
      <c r="E211" s="30">
        <f>E210/E12</f>
        <v>0.7589999999999999</v>
      </c>
      <c r="F211" s="30">
        <f>F210/F12</f>
        <v>0.7539999999999999</v>
      </c>
      <c r="G211" s="30"/>
      <c r="H211" s="30">
        <f>H210/H12</f>
        <v>0.7620000000000001</v>
      </c>
      <c r="I211" s="30">
        <f>I210/I12</f>
        <v>0.759</v>
      </c>
      <c r="J211" s="34">
        <f>J210/J12</f>
        <v>0.764</v>
      </c>
      <c r="K211" s="1"/>
      <c r="L211" s="5"/>
    </row>
    <row r="212">
      <c r="A212" s="1"/>
      <c r="B212" s="1" t="s">
        <v>134</v>
      </c>
      <c r="C212" s="13"/>
      <c r="D212" s="13"/>
      <c r="E212" s="13"/>
      <c r="F212" s="13"/>
      <c r="G212" s="13"/>
      <c r="H212" s="13">
        <f>(H211-C211)*10000</f>
        <v>-19.999999999998906</v>
      </c>
      <c r="I212" s="13">
        <f>(I211-D211)*10000</f>
        <v>0</v>
      </c>
      <c r="J212" s="31">
        <f>(J211-E211)*10000</f>
        <v>50.00000000000115</v>
      </c>
      <c r="K212" s="1"/>
      <c r="L212" s="5"/>
    </row>
    <row r="213">
      <c r="A213" s="1"/>
      <c r="B213" s="1" t="s">
        <v>135</v>
      </c>
      <c r="C213" s="13"/>
      <c r="D213" s="13">
        <f>(D211-C211)*10000</f>
        <v>-50.00000000000004</v>
      </c>
      <c r="E213" s="13">
        <f>(E211-D211)*10000</f>
        <v>0</v>
      </c>
      <c r="F213" s="13">
        <f>(F211-E211)*10000</f>
        <v>-50.00000000000004</v>
      </c>
      <c r="G213" s="13"/>
      <c r="H213" s="13">
        <f>(H211-F211)*10000</f>
        <v>80.00000000000229</v>
      </c>
      <c r="I213" s="13">
        <f>(I211-H211)*10000</f>
        <v>-30.000000000001137</v>
      </c>
      <c r="J213" s="31">
        <f>(J211-I211)*10000</f>
        <v>50.00000000000004</v>
      </c>
      <c r="K213" s="1"/>
      <c r="L213" s="5"/>
    </row>
    <row r="214" ht="28.5">
      <c r="A214" s="1"/>
      <c r="B214" s="95" t="s">
        <v>161</v>
      </c>
      <c r="C214" s="32">
        <v>0.764</v>
      </c>
      <c r="D214" s="32">
        <v>0.759</v>
      </c>
      <c r="E214" s="32">
        <v>0.759</v>
      </c>
      <c r="F214" s="32">
        <v>0.754</v>
      </c>
      <c r="G214" s="30"/>
      <c r="H214" s="32">
        <v>0.762</v>
      </c>
      <c r="I214" s="32">
        <v>0.759</v>
      </c>
      <c r="J214" s="34">
        <f>J196+J203</f>
        <v>0.764</v>
      </c>
      <c r="K214" s="1"/>
      <c r="L214" s="5" t="s">
        <v>191</v>
      </c>
    </row>
    <row r="215">
      <c r="A215" s="1"/>
      <c r="B215" s="11" t="s">
        <v>175</v>
      </c>
      <c r="C215" s="32">
        <v>0.068</v>
      </c>
      <c r="D215" s="32">
        <v>0.092</v>
      </c>
      <c r="E215" s="32">
        <v>0.127</v>
      </c>
      <c r="F215" s="32">
        <v>0.128</v>
      </c>
      <c r="G215" s="30"/>
      <c r="H215" s="32">
        <v>0.123</v>
      </c>
      <c r="I215" s="32">
        <v>0.149</v>
      </c>
      <c r="J215" s="34"/>
      <c r="K215" s="1"/>
      <c r="L215" s="5"/>
    </row>
    <row r="216">
      <c r="A216" s="1"/>
      <c r="B216" s="11" t="s">
        <v>155</v>
      </c>
      <c r="C216" s="30"/>
      <c r="D216" s="30"/>
      <c r="E216" s="30"/>
      <c r="F216" s="30"/>
      <c r="G216" s="30"/>
      <c r="H216" s="30">
        <f>H210/C210-1</f>
        <v>0.12071878505387112</v>
      </c>
      <c r="I216" s="30">
        <f>I210/D210-1</f>
        <v>0.1473825890496563</v>
      </c>
      <c r="J216" s="34">
        <f>J210/E210-1</f>
        <v>0.16611207163748287</v>
      </c>
      <c r="K216" s="1"/>
      <c r="L216" s="5"/>
    </row>
    <row r="217">
      <c r="A217" s="1"/>
      <c r="B217" s="1" t="s">
        <v>73</v>
      </c>
      <c r="C217" s="14"/>
      <c r="D217" s="14">
        <f>D210-C210</f>
        <v>81.9661000000001</v>
      </c>
      <c r="E217" s="14">
        <f>E210-D210</f>
        <v>40.22699999999986</v>
      </c>
      <c r="F217" s="14">
        <f>F210-E210</f>
        <v>-90.51510000000007</v>
      </c>
      <c r="G217" s="14"/>
      <c r="H217" s="14">
        <f>H210-F210</f>
        <v>149.0358000000001</v>
      </c>
      <c r="I217" s="14">
        <f>I210-H210</f>
        <v>133.96170000000006</v>
      </c>
      <c r="J217" s="33">
        <f>J210-I210</f>
        <v>76.48206375999985</v>
      </c>
      <c r="K217" s="1"/>
      <c r="L217" s="5"/>
    </row>
    <row r="218">
      <c r="A218" s="1"/>
      <c r="B218" s="11" t="s">
        <v>192</v>
      </c>
      <c r="C218" s="32">
        <v>0.078</v>
      </c>
      <c r="D218" s="32">
        <v>0.081</v>
      </c>
      <c r="E218" s="32">
        <v>0.083</v>
      </c>
      <c r="F218" s="32">
        <v>0.081</v>
      </c>
      <c r="G218" s="30"/>
      <c r="H218" s="32">
        <v>0.082</v>
      </c>
      <c r="I218" s="32">
        <v>0.082</v>
      </c>
      <c r="J218" s="36">
        <f>Inputs!E135</f>
        <v>0.08</v>
      </c>
      <c r="K218" s="1"/>
      <c r="L218" s="5" t="s">
        <v>188</v>
      </c>
    </row>
    <row r="219">
      <c r="A219" s="1"/>
      <c r="B219" s="1" t="s">
        <v>150</v>
      </c>
      <c r="C219" s="13"/>
      <c r="D219" s="13"/>
      <c r="E219" s="13"/>
      <c r="F219" s="13"/>
      <c r="G219" s="13"/>
      <c r="H219" s="13">
        <f>(H218-C218)*10000</f>
        <v>40.000000000000036</v>
      </c>
      <c r="I219" s="13">
        <f>(I218-D218)*10000</f>
        <v>10.000000000000009</v>
      </c>
      <c r="J219" s="31">
        <f>(J218-E218)*10000</f>
        <v>-30.00000000000003</v>
      </c>
      <c r="K219" s="1"/>
      <c r="L219" s="5"/>
    </row>
    <row r="220">
      <c r="A220" s="1"/>
      <c r="B220" s="1" t="s">
        <v>151</v>
      </c>
      <c r="C220" s="13"/>
      <c r="D220" s="13">
        <f>(D218-C218)*10000</f>
        <v>30.00000000000003</v>
      </c>
      <c r="E220" s="13">
        <f>(E218-D218)*10000</f>
        <v>20.000000000000018</v>
      </c>
      <c r="F220" s="13">
        <f>(F218-E218)*10000</f>
        <v>-20.000000000000018</v>
      </c>
      <c r="G220" s="13"/>
      <c r="H220" s="13">
        <f>(H218-F218)*10000</f>
        <v>10.000000000000009</v>
      </c>
      <c r="I220" s="13">
        <f>(I218-H218)*10000</f>
        <v>0</v>
      </c>
      <c r="J220" s="31">
        <f>(J218-I218)*10000</f>
        <v>-20.000000000000018</v>
      </c>
      <c r="K220" s="1"/>
      <c r="L220" s="5"/>
    </row>
    <row r="221">
      <c r="A221" s="1"/>
      <c r="B221" s="1" t="s">
        <v>152</v>
      </c>
      <c r="C221" s="14">
        <f>C218*C12</f>
        <v>152.8332</v>
      </c>
      <c r="D221" s="14">
        <f>D218*D12</f>
        <v>168.50430000000003</v>
      </c>
      <c r="E221" s="14">
        <f>E218*E12</f>
        <v>177.06390000000002</v>
      </c>
      <c r="F221" s="14">
        <f>F218*F12</f>
        <v>164.2194</v>
      </c>
      <c r="G221" s="14"/>
      <c r="H221" s="14">
        <f>H218*H12</f>
        <v>180.5394</v>
      </c>
      <c r="I221" s="14">
        <f>I218*I12</f>
        <v>195.72580000000002</v>
      </c>
      <c r="J221" s="33">
        <f>J218*J12</f>
        <v>197.7109072</v>
      </c>
      <c r="K221" s="1"/>
      <c r="L221" s="5"/>
    </row>
    <row r="222" ht="28.5">
      <c r="A222" s="1"/>
      <c r="B222" s="11" t="s">
        <v>153</v>
      </c>
      <c r="C222" s="32">
        <v>-0.034</v>
      </c>
      <c r="D222" s="32">
        <v>0.03</v>
      </c>
      <c r="E222" s="32">
        <v>0.075</v>
      </c>
      <c r="F222" s="32">
        <v>0.099</v>
      </c>
      <c r="G222" s="30"/>
      <c r="H222" s="32">
        <v>0.172</v>
      </c>
      <c r="I222" s="32">
        <v>0.17</v>
      </c>
      <c r="J222" s="36">
        <f>Inputs!E134</f>
        <v>0.1325</v>
      </c>
      <c r="K222" s="1"/>
      <c r="L222" s="85" t="s">
        <v>154</v>
      </c>
    </row>
    <row r="223">
      <c r="A223" s="1"/>
      <c r="B223" s="11" t="s">
        <v>155</v>
      </c>
      <c r="C223" s="30"/>
      <c r="D223" s="30"/>
      <c r="E223" s="30"/>
      <c r="F223" s="30"/>
      <c r="G223" s="30"/>
      <c r="H223" s="30">
        <f>H221/C221-1</f>
        <v>0.18128390951704199</v>
      </c>
      <c r="I223" s="30">
        <f>I221/D221-1</f>
        <v>0.16154780619841747</v>
      </c>
      <c r="J223" s="34">
        <f>J221/E221-1</f>
        <v>0.11660766085012231</v>
      </c>
      <c r="K223" s="1"/>
      <c r="L223" s="5"/>
    </row>
    <row r="224">
      <c r="A224" s="1"/>
      <c r="B224" s="1" t="s">
        <v>73</v>
      </c>
      <c r="C224" s="14"/>
      <c r="D224" s="14">
        <f>D221-C221</f>
        <v>15.671100000000024</v>
      </c>
      <c r="E224" s="14">
        <f>E221-D221</f>
        <v>8.559599999999989</v>
      </c>
      <c r="F224" s="14">
        <f>F221-E221</f>
        <v>-12.84450000000001</v>
      </c>
      <c r="G224" s="14"/>
      <c r="H224" s="14">
        <f>H221-F221</f>
        <v>16.319999999999993</v>
      </c>
      <c r="I224" s="14">
        <f>I221-H221</f>
        <v>15.18640000000002</v>
      </c>
      <c r="J224" s="33">
        <f>J221-I221</f>
        <v>1.9851071999999874</v>
      </c>
      <c r="K224" s="1"/>
      <c r="L224" s="5"/>
    </row>
    <row r="225">
      <c r="A225" s="1"/>
      <c r="B225" s="11" t="s">
        <v>193</v>
      </c>
      <c r="C225" s="32">
        <v>0.158</v>
      </c>
      <c r="D225" s="32">
        <v>0.16</v>
      </c>
      <c r="E225" s="32">
        <v>0.158</v>
      </c>
      <c r="F225" s="32">
        <v>0.165</v>
      </c>
      <c r="G225" s="30"/>
      <c r="H225" s="32">
        <v>0.156</v>
      </c>
      <c r="I225" s="32">
        <v>0.159</v>
      </c>
      <c r="J225" s="36">
        <f>Inputs!E137</f>
        <v>0.156</v>
      </c>
      <c r="K225" s="1"/>
      <c r="L225" s="5" t="s">
        <v>188</v>
      </c>
    </row>
    <row r="226">
      <c r="A226" s="1"/>
      <c r="B226" s="1" t="s">
        <v>150</v>
      </c>
      <c r="C226" s="13"/>
      <c r="D226" s="13"/>
      <c r="E226" s="13"/>
      <c r="F226" s="13"/>
      <c r="G226" s="13"/>
      <c r="H226" s="13">
        <f>(H225-C225)*10000</f>
        <v>-20.000000000000018</v>
      </c>
      <c r="I226" s="13">
        <f>(I225-D225)*10000</f>
        <v>-10.000000000000009</v>
      </c>
      <c r="J226" s="31">
        <f>(J225-E225)*10000</f>
        <v>-20.000000000000018</v>
      </c>
      <c r="K226" s="1"/>
      <c r="L226" s="5"/>
    </row>
    <row r="227">
      <c r="A227" s="1"/>
      <c r="B227" s="1" t="s">
        <v>151</v>
      </c>
      <c r="C227" s="13"/>
      <c r="D227" s="13">
        <f>(D225-C225)*10000</f>
        <v>20.000000000000018</v>
      </c>
      <c r="E227" s="13">
        <f>(E225-D225)*10000</f>
        <v>-20.000000000000018</v>
      </c>
      <c r="F227" s="13">
        <f>(F225-E225)*10000</f>
        <v>70.00000000000006</v>
      </c>
      <c r="G227" s="13"/>
      <c r="H227" s="13">
        <f>(H225-F225)*10000</f>
        <v>-90.00000000000009</v>
      </c>
      <c r="I227" s="13">
        <f>(I225-H225)*10000</f>
        <v>30.00000000000003</v>
      </c>
      <c r="J227" s="31">
        <f>(J225-I225)*10000</f>
        <v>-30.00000000000003</v>
      </c>
      <c r="K227" s="1"/>
      <c r="L227" s="5"/>
    </row>
    <row r="228">
      <c r="A228" s="1"/>
      <c r="B228" s="1" t="s">
        <v>152</v>
      </c>
      <c r="C228" s="14">
        <f>C225*C12</f>
        <v>309.58520000000004</v>
      </c>
      <c r="D228" s="14">
        <f>D225*D12</f>
        <v>332.848</v>
      </c>
      <c r="E228" s="14">
        <f>E225*E12</f>
        <v>337.06140000000005</v>
      </c>
      <c r="F228" s="14">
        <f>F225*F12</f>
        <v>334.521</v>
      </c>
      <c r="G228" s="14"/>
      <c r="H228" s="14">
        <f>H225*H12</f>
        <v>343.4652</v>
      </c>
      <c r="I228" s="14">
        <f>I225*I12</f>
        <v>379.5171</v>
      </c>
      <c r="J228" s="33">
        <f>J225*J12</f>
        <v>385.53626904</v>
      </c>
      <c r="K228" s="1"/>
      <c r="L228" s="5"/>
    </row>
    <row r="229" ht="28.5">
      <c r="A229" s="1"/>
      <c r="B229" s="11" t="s">
        <v>153</v>
      </c>
      <c r="C229" s="32">
        <v>0.008</v>
      </c>
      <c r="D229" s="32">
        <v>0.087</v>
      </c>
      <c r="E229" s="32">
        <v>0.089</v>
      </c>
      <c r="F229" s="32">
        <v>0.046</v>
      </c>
      <c r="G229" s="30"/>
      <c r="H229" s="32">
        <v>0.113</v>
      </c>
      <c r="I229" s="32">
        <v>0.141</v>
      </c>
      <c r="J229" s="36">
        <f>Inputs!E136</f>
        <v>0.14550000000000002</v>
      </c>
      <c r="K229" s="1"/>
      <c r="L229" s="85" t="s">
        <v>154</v>
      </c>
    </row>
    <row r="230">
      <c r="A230" s="1"/>
      <c r="B230" s="11" t="s">
        <v>155</v>
      </c>
      <c r="C230" s="30"/>
      <c r="D230" s="30"/>
      <c r="E230" s="30"/>
      <c r="F230" s="30"/>
      <c r="G230" s="30"/>
      <c r="H230" s="30">
        <f>H228/C228-1</f>
        <v>0.1094367560206364</v>
      </c>
      <c r="I230" s="30">
        <f>I228/D228-1</f>
        <v>0.14021144786809603</v>
      </c>
      <c r="J230" s="34">
        <f>J228/E228-1</f>
        <v>0.1438161386619765</v>
      </c>
      <c r="K230" s="1"/>
      <c r="L230" s="5"/>
    </row>
    <row r="231">
      <c r="A231" s="1"/>
      <c r="B231" s="1" t="s">
        <v>73</v>
      </c>
      <c r="C231" s="14"/>
      <c r="D231" s="14">
        <f>D228-C228</f>
        <v>23.26279999999997</v>
      </c>
      <c r="E231" s="14">
        <f>E228-D228</f>
        <v>4.213400000000036</v>
      </c>
      <c r="F231" s="14">
        <f>F228-E228</f>
        <v>-2.5404000000000337</v>
      </c>
      <c r="G231" s="14"/>
      <c r="H231" s="14">
        <f>H228-F228</f>
        <v>8.944199999999967</v>
      </c>
      <c r="I231" s="14">
        <f>I228-H228</f>
        <v>36.051900000000046</v>
      </c>
      <c r="J231" s="33">
        <f>J228-I228</f>
        <v>6.019169039999952</v>
      </c>
      <c r="K231" s="1"/>
      <c r="L231" s="5"/>
    </row>
    <row r="232">
      <c r="A232" s="1"/>
      <c r="B232" s="9" t="s">
        <v>194</v>
      </c>
      <c r="C232" s="35">
        <f>C221+C228</f>
        <v>462.4184</v>
      </c>
      <c r="D232" s="35">
        <f>D221+D228</f>
        <v>501.3523</v>
      </c>
      <c r="E232" s="35">
        <f>E221+E228</f>
        <v>514.1253</v>
      </c>
      <c r="F232" s="35">
        <f>F221+F228</f>
        <v>498.7404</v>
      </c>
      <c r="G232" s="35"/>
      <c r="H232" s="35">
        <f>H221+H228</f>
        <v>524.0046</v>
      </c>
      <c r="I232" s="35">
        <f>I221+I228</f>
        <v>575.2429000000001</v>
      </c>
      <c r="J232" s="48">
        <f>J221+J228</f>
        <v>583.24717624</v>
      </c>
      <c r="K232" s="1"/>
      <c r="L232" s="5" t="s">
        <v>179</v>
      </c>
    </row>
    <row r="233">
      <c r="A233" s="1"/>
      <c r="B233" s="11" t="s">
        <v>160</v>
      </c>
      <c r="C233" s="30">
        <f>C232/C12</f>
        <v>0.236</v>
      </c>
      <c r="D233" s="30">
        <f>D232/D12</f>
        <v>0.241</v>
      </c>
      <c r="E233" s="30">
        <f>E232/E12</f>
        <v>0.241</v>
      </c>
      <c r="F233" s="30">
        <f>F232/F12</f>
        <v>0.246</v>
      </c>
      <c r="G233" s="30"/>
      <c r="H233" s="30">
        <f>H232/H12</f>
        <v>0.23800000000000002</v>
      </c>
      <c r="I233" s="30">
        <f>I232/I12</f>
        <v>0.24100000000000002</v>
      </c>
      <c r="J233" s="34">
        <f>J232/J12</f>
        <v>0.23600000000000002</v>
      </c>
      <c r="K233" s="1"/>
      <c r="L233" s="5"/>
    </row>
    <row r="234">
      <c r="A234" s="1"/>
      <c r="B234" s="1" t="s">
        <v>134</v>
      </c>
      <c r="C234" s="13"/>
      <c r="D234" s="13"/>
      <c r="E234" s="13"/>
      <c r="F234" s="13"/>
      <c r="G234" s="13"/>
      <c r="H234" s="13">
        <f>(H233-C233)*10000</f>
        <v>20.000000000000295</v>
      </c>
      <c r="I234" s="13">
        <f>(I233-D233)*10000</f>
        <v>0</v>
      </c>
      <c r="J234" s="31">
        <f>(J233-E233)*10000</f>
        <v>-49.999999999999766</v>
      </c>
      <c r="K234" s="1"/>
      <c r="L234" s="5"/>
    </row>
    <row r="235">
      <c r="A235" s="1"/>
      <c r="B235" s="1" t="s">
        <v>135</v>
      </c>
      <c r="C235" s="13"/>
      <c r="D235" s="13">
        <f>(D233-C233)*10000</f>
        <v>50.00000000000004</v>
      </c>
      <c r="E235" s="13">
        <f>(E233-D233)*10000</f>
        <v>0</v>
      </c>
      <c r="F235" s="13">
        <f>(F233-E233)*10000</f>
        <v>50.00000000000004</v>
      </c>
      <c r="G235" s="13"/>
      <c r="H235" s="13">
        <f>(H233-F233)*10000</f>
        <v>-79.99999999999979</v>
      </c>
      <c r="I235" s="13">
        <f>(I233-H233)*10000</f>
        <v>30.00000000000003</v>
      </c>
      <c r="J235" s="31">
        <f>(J233-I233)*10000</f>
        <v>-50.00000000000004</v>
      </c>
      <c r="K235" s="1"/>
      <c r="L235" s="5"/>
    </row>
    <row r="236" ht="28.5">
      <c r="A236" s="1"/>
      <c r="B236" s="95" t="s">
        <v>161</v>
      </c>
      <c r="C236" s="32">
        <v>0.236</v>
      </c>
      <c r="D236" s="32">
        <v>0.241</v>
      </c>
      <c r="E236" s="32">
        <v>0.241</v>
      </c>
      <c r="F236" s="32">
        <v>0.246</v>
      </c>
      <c r="G236" s="30"/>
      <c r="H236" s="32">
        <v>0.238</v>
      </c>
      <c r="I236" s="32">
        <v>0.241</v>
      </c>
      <c r="J236" s="34">
        <f>J218+J225</f>
        <v>0.236</v>
      </c>
      <c r="K236" s="1"/>
      <c r="L236" s="5" t="s">
        <v>191</v>
      </c>
    </row>
    <row r="237">
      <c r="A237" s="1"/>
      <c r="B237" s="11" t="s">
        <v>175</v>
      </c>
      <c r="C237" s="32">
        <v>-0.006</v>
      </c>
      <c r="D237" s="32">
        <v>0.067</v>
      </c>
      <c r="E237" s="32">
        <v>0.084</v>
      </c>
      <c r="F237" s="32">
        <v>0.063</v>
      </c>
      <c r="G237" s="30"/>
      <c r="H237" s="32">
        <v>0.132</v>
      </c>
      <c r="I237" s="32">
        <v>0.151</v>
      </c>
      <c r="J237" s="34"/>
      <c r="K237" s="1"/>
      <c r="L237" s="5"/>
    </row>
    <row r="238">
      <c r="A238" s="1"/>
      <c r="B238" s="11" t="s">
        <v>155</v>
      </c>
      <c r="C238" s="30"/>
      <c r="D238" s="30"/>
      <c r="E238" s="30"/>
      <c r="F238" s="30"/>
      <c r="G238" s="30"/>
      <c r="H238" s="30">
        <f>H232/C232-1</f>
        <v>0.1331828491253808</v>
      </c>
      <c r="I238" s="30">
        <f>I232/D232-1</f>
        <v>0.1473825890496565</v>
      </c>
      <c r="J238" s="34">
        <f>J232/E232-1</f>
        <v>0.13444558406287332</v>
      </c>
      <c r="K238" s="1"/>
      <c r="L238" s="5"/>
    </row>
    <row r="239">
      <c r="A239" s="1"/>
      <c r="B239" s="1" t="s">
        <v>73</v>
      </c>
      <c r="C239" s="14"/>
      <c r="D239" s="14">
        <f>D232-C232</f>
        <v>38.933899999999994</v>
      </c>
      <c r="E239" s="14">
        <f>E232-D232</f>
        <v>12.773000000000025</v>
      </c>
      <c r="F239" s="14">
        <f>F232-E232</f>
        <v>-15.384900000000016</v>
      </c>
      <c r="G239" s="14"/>
      <c r="H239" s="14">
        <f>H232-F232</f>
        <v>25.26419999999996</v>
      </c>
      <c r="I239" s="14">
        <f>I232-H232</f>
        <v>51.238300000000095</v>
      </c>
      <c r="J239" s="33">
        <f>J232-I232</f>
        <v>8.004276239999967</v>
      </c>
      <c r="K239" s="1"/>
      <c r="L239" s="5"/>
    </row>
    <row r="240">
      <c r="A240" s="1"/>
      <c r="B240" s="1" t="s">
        <v>170</v>
      </c>
      <c r="C240" s="14">
        <f>C210+C232-C12</f>
        <v>0</v>
      </c>
      <c r="D240" s="14">
        <f>D210+D232-D12</f>
        <v>0</v>
      </c>
      <c r="E240" s="14">
        <f>E210+E232-E12</f>
        <v>0</v>
      </c>
      <c r="F240" s="14">
        <f>F210+F232-F12</f>
        <v>0</v>
      </c>
      <c r="G240" s="14"/>
      <c r="H240" s="14">
        <f>H210+H232-H12</f>
        <v>0</v>
      </c>
      <c r="I240" s="14">
        <f>I210+I232-I12</f>
        <v>0</v>
      </c>
      <c r="J240" s="33">
        <f>J210+J232-J12</f>
        <v>0</v>
      </c>
      <c r="K240" s="1"/>
      <c r="L240" s="5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43"/>
      <c r="K241" s="1"/>
      <c r="L241" s="5"/>
    </row>
    <row r="242">
      <c r="A242" s="1"/>
      <c r="B242" s="9" t="s">
        <v>195</v>
      </c>
      <c r="C242" s="14"/>
      <c r="D242" s="14"/>
      <c r="E242" s="14"/>
      <c r="F242" s="14"/>
      <c r="G242" s="14"/>
      <c r="H242" s="14"/>
      <c r="I242" s="14"/>
      <c r="J242" s="33"/>
      <c r="K242" s="1"/>
      <c r="L242" s="5"/>
    </row>
    <row r="243">
      <c r="A243" s="1"/>
      <c r="B243" s="11" t="s">
        <v>147</v>
      </c>
      <c r="C243" s="11"/>
      <c r="D243" s="11"/>
      <c r="E243" s="11"/>
      <c r="F243" s="11"/>
      <c r="G243" s="11"/>
      <c r="H243" s="11"/>
      <c r="I243" s="11"/>
      <c r="J243" s="58"/>
      <c r="K243" s="1"/>
      <c r="L243" s="5"/>
    </row>
    <row r="244">
      <c r="A244" s="1"/>
      <c r="B244" s="11" t="s">
        <v>196</v>
      </c>
      <c r="C244" s="30"/>
      <c r="D244" s="30"/>
      <c r="E244" s="30"/>
      <c r="F244" s="30"/>
      <c r="G244" s="30"/>
      <c r="H244" s="30"/>
      <c r="I244" s="30"/>
      <c r="J244" s="36">
        <f>Inputs!E154</f>
        <v>0.19</v>
      </c>
      <c r="K244" s="1"/>
      <c r="L244" s="5" t="s">
        <v>197</v>
      </c>
    </row>
    <row r="245">
      <c r="A245" s="1"/>
      <c r="B245" s="11" t="s">
        <v>198</v>
      </c>
      <c r="C245" s="30"/>
      <c r="D245" s="30"/>
      <c r="E245" s="30"/>
      <c r="F245" s="30"/>
      <c r="G245" s="30"/>
      <c r="H245" s="30"/>
      <c r="I245" s="30"/>
      <c r="J245" s="36">
        <f>Inputs!E155</f>
        <v>0.095</v>
      </c>
      <c r="K245" s="1"/>
      <c r="L245" s="5"/>
    </row>
    <row r="246" ht="28.5">
      <c r="A246" s="1"/>
      <c r="B246" s="11" t="s">
        <v>199</v>
      </c>
      <c r="C246" s="32">
        <v>0.731</v>
      </c>
      <c r="D246" s="32">
        <v>0.732</v>
      </c>
      <c r="E246" s="32">
        <v>0.738</v>
      </c>
      <c r="F246" s="32">
        <v>0.747</v>
      </c>
      <c r="G246" s="30"/>
      <c r="H246" s="32">
        <v>0.754</v>
      </c>
      <c r="I246" s="32">
        <v>0.758</v>
      </c>
      <c r="J246" s="34">
        <f>E246*(1+J244)/(E246*(1+J244)+(1-E246)*(1+J245))</f>
        <v>0.7537657388572754</v>
      </c>
      <c r="K246" s="1"/>
      <c r="L246" s="85" t="s">
        <v>200</v>
      </c>
    </row>
    <row r="247">
      <c r="A247" s="1"/>
      <c r="B247" s="1" t="s">
        <v>150</v>
      </c>
      <c r="C247" s="13"/>
      <c r="D247" s="13"/>
      <c r="E247" s="13"/>
      <c r="F247" s="13"/>
      <c r="G247" s="13"/>
      <c r="H247" s="13">
        <f>(H246-C246)*10000</f>
        <v>230.0000000000002</v>
      </c>
      <c r="I247" s="13">
        <f>(I246-D246)*10000</f>
        <v>260.0000000000002</v>
      </c>
      <c r="J247" s="31">
        <f>(J246-E246)*10000</f>
        <v>157.65738857275392</v>
      </c>
      <c r="K247" s="1"/>
      <c r="L247" s="5"/>
    </row>
    <row r="248">
      <c r="A248" s="1"/>
      <c r="B248" s="1" t="s">
        <v>151</v>
      </c>
      <c r="C248" s="13"/>
      <c r="D248" s="13">
        <f>(D246-C246)*10000</f>
        <v>10.000000000000009</v>
      </c>
      <c r="E248" s="13">
        <f>(E246-D246)*10000</f>
        <v>60.00000000000006</v>
      </c>
      <c r="F248" s="13">
        <f>(F246-E246)*10000</f>
        <v>90.00000000000009</v>
      </c>
      <c r="G248" s="13"/>
      <c r="H248" s="13">
        <f>(H246-F246)*10000</f>
        <v>70.00000000000006</v>
      </c>
      <c r="I248" s="13">
        <f>(I246-H246)*10000</f>
        <v>40.000000000000036</v>
      </c>
      <c r="J248" s="31">
        <f>(J246-I246)*10000</f>
        <v>-42.34261142724627</v>
      </c>
      <c r="K248" s="1"/>
      <c r="L248" s="5"/>
    </row>
    <row r="249">
      <c r="A249" s="1"/>
      <c r="B249" s="1" t="s">
        <v>152</v>
      </c>
      <c r="C249" s="14">
        <f>C246*C12</f>
        <v>1432.3214</v>
      </c>
      <c r="D249" s="14">
        <f>D246*D12</f>
        <v>1522.7796</v>
      </c>
      <c r="E249" s="14">
        <f>E246*E12</f>
        <v>1574.3754000000001</v>
      </c>
      <c r="F249" s="14">
        <f>F246*F12</f>
        <v>1514.4678000000001</v>
      </c>
      <c r="G249" s="14"/>
      <c r="H249" s="14">
        <f>H246*H12</f>
        <v>1660.0818</v>
      </c>
      <c r="I249" s="14">
        <f>I246*I12</f>
        <v>1809.2702000000002</v>
      </c>
      <c r="J249" s="33">
        <f>J246*J12</f>
        <v>1862.8463505718776</v>
      </c>
      <c r="K249" s="1"/>
      <c r="L249" s="5"/>
    </row>
    <row r="250">
      <c r="A250" s="1"/>
      <c r="B250" s="11" t="s">
        <v>153</v>
      </c>
      <c r="C250" s="32">
        <v>0.085</v>
      </c>
      <c r="D250" s="32">
        <v>0.11</v>
      </c>
      <c r="E250" s="32">
        <v>0.132</v>
      </c>
      <c r="F250" s="32">
        <v>0.129</v>
      </c>
      <c r="G250" s="30"/>
      <c r="H250" s="32">
        <v>0.146</v>
      </c>
      <c r="I250" s="32">
        <v>0.176</v>
      </c>
      <c r="J250" s="34">
        <f>J244</f>
        <v>0.19</v>
      </c>
      <c r="K250" s="1"/>
      <c r="L250" s="5" t="s">
        <v>201</v>
      </c>
    </row>
    <row r="251">
      <c r="A251" s="1"/>
      <c r="B251" s="11" t="s">
        <v>155</v>
      </c>
      <c r="C251" s="30"/>
      <c r="D251" s="30"/>
      <c r="E251" s="30"/>
      <c r="F251" s="30"/>
      <c r="G251" s="30"/>
      <c r="H251" s="30">
        <f>H249/C249-1</f>
        <v>0.15901486914878182</v>
      </c>
      <c r="I251" s="30">
        <f>I249/D249-1</f>
        <v>0.18813661543666593</v>
      </c>
      <c r="J251" s="34">
        <f>J249/E249-1</f>
        <v>0.18322882240911365</v>
      </c>
      <c r="K251" s="1"/>
      <c r="L251" s="5"/>
    </row>
    <row r="252">
      <c r="A252" s="1"/>
      <c r="B252" s="1" t="s">
        <v>73</v>
      </c>
      <c r="C252" s="14"/>
      <c r="D252" s="14">
        <f>D249-C249</f>
        <v>90.45820000000003</v>
      </c>
      <c r="E252" s="14">
        <f>E249-D249</f>
        <v>51.595800000000054</v>
      </c>
      <c r="F252" s="14">
        <f>F249-E249</f>
        <v>-59.9076</v>
      </c>
      <c r="G252" s="14"/>
      <c r="H252" s="14">
        <f>H249-F249</f>
        <v>145.6139999999998</v>
      </c>
      <c r="I252" s="14">
        <f>I249-H249</f>
        <v>149.18840000000023</v>
      </c>
      <c r="J252" s="33">
        <f>J249-I249</f>
        <v>53.576150571877406</v>
      </c>
      <c r="K252" s="1"/>
      <c r="L252" s="5"/>
    </row>
    <row r="253">
      <c r="A253" s="1"/>
      <c r="B253" s="11" t="s">
        <v>202</v>
      </c>
      <c r="C253" s="32">
        <v>0.269</v>
      </c>
      <c r="D253" s="32">
        <v>0.268</v>
      </c>
      <c r="E253" s="32">
        <v>0.262</v>
      </c>
      <c r="F253" s="32">
        <v>0.253</v>
      </c>
      <c r="G253" s="30"/>
      <c r="H253" s="32">
        <v>0.246</v>
      </c>
      <c r="I253" s="32">
        <v>0.242</v>
      </c>
      <c r="J253" s="34">
        <f>1-J246</f>
        <v>0.24623426114272462</v>
      </c>
      <c r="K253" s="1"/>
      <c r="L253" s="5" t="s">
        <v>203</v>
      </c>
    </row>
    <row r="254">
      <c r="A254" s="1"/>
      <c r="B254" s="1" t="s">
        <v>150</v>
      </c>
      <c r="C254" s="13"/>
      <c r="D254" s="13"/>
      <c r="E254" s="13"/>
      <c r="F254" s="13"/>
      <c r="G254" s="13"/>
      <c r="H254" s="13">
        <f>(H253-C253)*10000</f>
        <v>-230.0000000000002</v>
      </c>
      <c r="I254" s="13">
        <f>(I253-D253)*10000</f>
        <v>-260.0000000000002</v>
      </c>
      <c r="J254" s="31">
        <f>(J253-E253)*10000</f>
        <v>-157.65738857275392</v>
      </c>
      <c r="K254" s="1"/>
      <c r="L254" s="5"/>
    </row>
    <row r="255">
      <c r="A255" s="1"/>
      <c r="B255" s="1" t="s">
        <v>151</v>
      </c>
      <c r="C255" s="13"/>
      <c r="D255" s="13">
        <f>(D253-C253)*10000</f>
        <v>-10.000000000000009</v>
      </c>
      <c r="E255" s="13">
        <f>(E253-D253)*10000</f>
        <v>-60.00000000000006</v>
      </c>
      <c r="F255" s="13">
        <f>(F253-E253)*10000</f>
        <v>-90.00000000000009</v>
      </c>
      <c r="G255" s="13"/>
      <c r="H255" s="13">
        <f>(H253-F253)*10000</f>
        <v>-70.00000000000006</v>
      </c>
      <c r="I255" s="13">
        <f>(I253-H253)*10000</f>
        <v>-40.000000000000036</v>
      </c>
      <c r="J255" s="31">
        <f>(J253-I253)*10000</f>
        <v>42.34261142724627</v>
      </c>
      <c r="K255" s="1"/>
      <c r="L255" s="5"/>
    </row>
    <row r="256">
      <c r="A256" s="1"/>
      <c r="B256" s="1" t="s">
        <v>152</v>
      </c>
      <c r="C256" s="14">
        <f>C253*C12</f>
        <v>527.0786</v>
      </c>
      <c r="D256" s="14">
        <f>D253*D12</f>
        <v>557.5204000000001</v>
      </c>
      <c r="E256" s="14">
        <f>E253*E12</f>
        <v>558.9246</v>
      </c>
      <c r="F256" s="14">
        <f>F253*F12</f>
        <v>512.9322000000001</v>
      </c>
      <c r="G256" s="14"/>
      <c r="H256" s="14">
        <f>H253*H12</f>
        <v>541.6182</v>
      </c>
      <c r="I256" s="14">
        <f>I253*I12</f>
        <v>577.6298</v>
      </c>
      <c r="J256" s="33">
        <f>J253*J12</f>
        <v>608.5399894281225</v>
      </c>
      <c r="K256" s="1"/>
      <c r="L256" s="5"/>
    </row>
    <row r="257">
      <c r="A257" s="1"/>
      <c r="B257" s="11" t="s">
        <v>153</v>
      </c>
      <c r="C257" s="32">
        <v>-0.036</v>
      </c>
      <c r="D257" s="32">
        <v>0.026</v>
      </c>
      <c r="E257" s="32">
        <v>0.072</v>
      </c>
      <c r="F257" s="32">
        <v>0.06</v>
      </c>
      <c r="G257" s="30"/>
      <c r="H257" s="32">
        <v>0.067</v>
      </c>
      <c r="I257" s="32">
        <v>0.073</v>
      </c>
      <c r="J257" s="34">
        <f>J245</f>
        <v>0.095</v>
      </c>
      <c r="K257" s="1"/>
      <c r="L257" s="5" t="s">
        <v>204</v>
      </c>
    </row>
    <row r="258">
      <c r="A258" s="1"/>
      <c r="B258" s="11" t="s">
        <v>155</v>
      </c>
      <c r="C258" s="30"/>
      <c r="D258" s="30"/>
      <c r="E258" s="30"/>
      <c r="F258" s="30"/>
      <c r="G258" s="30"/>
      <c r="H258" s="30">
        <f>H256/C256-1</f>
        <v>0.02758525957988045</v>
      </c>
      <c r="I258" s="30">
        <f>I256/D256-1</f>
        <v>0.03606935279857004</v>
      </c>
      <c r="J258" s="34">
        <f>J256/E256-1</f>
        <v>0.08876937860334366</v>
      </c>
      <c r="K258" s="1"/>
      <c r="L258" s="5"/>
    </row>
    <row r="259">
      <c r="A259" s="1"/>
      <c r="B259" s="1" t="s">
        <v>73</v>
      </c>
      <c r="C259" s="14"/>
      <c r="D259" s="14">
        <f>D256-C256</f>
        <v>30.441800000000057</v>
      </c>
      <c r="E259" s="14">
        <f>E256-D256</f>
        <v>1.4041999999999462</v>
      </c>
      <c r="F259" s="14">
        <f>F256-E256</f>
        <v>-45.992399999999975</v>
      </c>
      <c r="G259" s="14"/>
      <c r="H259" s="14">
        <f>H256-F256</f>
        <v>28.685999999999922</v>
      </c>
      <c r="I259" s="14">
        <f>I256-H256</f>
        <v>36.011600000000044</v>
      </c>
      <c r="J259" s="33">
        <f>J256-I256</f>
        <v>30.910189428122408</v>
      </c>
      <c r="K259" s="1"/>
      <c r="L259" s="5"/>
    </row>
    <row r="260" ht="28.5">
      <c r="A260" s="1"/>
      <c r="B260" s="11" t="s">
        <v>205</v>
      </c>
      <c r="C260" s="30"/>
      <c r="D260" s="30"/>
      <c r="E260" s="30"/>
      <c r="F260" s="30"/>
      <c r="G260" s="30"/>
      <c r="H260" s="30"/>
      <c r="I260" s="30"/>
      <c r="J260" s="34">
        <f>E246*(1+J244)+(1-E246)*(1+J245)-1</f>
        <v>0.16510999999999987</v>
      </c>
      <c r="K260" s="1"/>
      <c r="L260" s="85" t="s">
        <v>206</v>
      </c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43"/>
      <c r="K261" s="1"/>
      <c r="L261" s="5"/>
    </row>
    <row r="262">
      <c r="A262" s="1"/>
      <c r="B262" s="9" t="s">
        <v>207</v>
      </c>
      <c r="C262" s="14"/>
      <c r="D262" s="14"/>
      <c r="E262" s="14"/>
      <c r="F262" s="14"/>
      <c r="G262" s="14"/>
      <c r="H262" s="14"/>
      <c r="I262" s="14"/>
      <c r="J262" s="33"/>
      <c r="K262" s="1"/>
      <c r="L262" s="5"/>
    </row>
    <row r="263">
      <c r="A263" s="1"/>
      <c r="B263" s="11" t="s">
        <v>147</v>
      </c>
      <c r="C263" s="11"/>
      <c r="D263" s="11"/>
      <c r="E263" s="11"/>
      <c r="F263" s="11"/>
      <c r="G263" s="11"/>
      <c r="H263" s="11"/>
      <c r="I263" s="11"/>
      <c r="J263" s="58"/>
      <c r="K263" s="1"/>
      <c r="L263" s="5"/>
    </row>
    <row r="264" ht="54">
      <c r="A264" s="1"/>
      <c r="B264" s="11" t="s">
        <v>208</v>
      </c>
      <c r="C264" s="32">
        <v>0.303</v>
      </c>
      <c r="D264" s="32">
        <v>0.305</v>
      </c>
      <c r="E264" s="32">
        <v>0.31</v>
      </c>
      <c r="F264" s="30">
        <f>F267/F12</f>
        <v>0.3016717470652067</v>
      </c>
      <c r="G264" s="32">
        <v>0.305</v>
      </c>
      <c r="H264" s="32">
        <v>0.31</v>
      </c>
      <c r="I264" s="32">
        <v>0.307</v>
      </c>
      <c r="J264" s="34">
        <f>I264</f>
        <v>0.307</v>
      </c>
      <c r="K264" s="1"/>
      <c r="L264" s="85" t="s">
        <v>209</v>
      </c>
    </row>
    <row r="265">
      <c r="A265" s="1"/>
      <c r="B265" s="1" t="s">
        <v>150</v>
      </c>
      <c r="C265" s="13"/>
      <c r="D265" s="13"/>
      <c r="E265" s="13"/>
      <c r="F265" s="13"/>
      <c r="G265" s="13"/>
      <c r="H265" s="13">
        <f>(H264-C264)*10000</f>
        <v>70.00000000000006</v>
      </c>
      <c r="I265" s="13">
        <f>(I264-D264)*10000</f>
        <v>20.000000000000018</v>
      </c>
      <c r="J265" s="31">
        <f>(J264-E264)*10000</f>
        <v>-30.00000000000003</v>
      </c>
      <c r="K265" s="1"/>
      <c r="L265" s="5"/>
    </row>
    <row r="266">
      <c r="A266" s="1"/>
      <c r="B266" s="1" t="s">
        <v>151</v>
      </c>
      <c r="C266" s="13"/>
      <c r="D266" s="13">
        <f>(D264-C264)*10000</f>
        <v>20.000000000000018</v>
      </c>
      <c r="E266" s="13">
        <f>(E264-D264)*10000</f>
        <v>50.00000000000004</v>
      </c>
      <c r="F266" s="13">
        <f>(F264-E264)*10000</f>
        <v>-83.2825293479328</v>
      </c>
      <c r="G266" s="13"/>
      <c r="H266" s="13">
        <f>(H264-F264)*10000</f>
        <v>83.2825293479328</v>
      </c>
      <c r="I266" s="13">
        <f>(I264-H264)*10000</f>
        <v>-30.00000000000003</v>
      </c>
      <c r="J266" s="31">
        <f>(J264-I264)*10000</f>
        <v>0</v>
      </c>
      <c r="K266" s="1"/>
      <c r="L266" s="5"/>
    </row>
    <row r="267">
      <c r="A267" s="1"/>
      <c r="B267" s="1" t="s">
        <v>152</v>
      </c>
      <c r="C267" s="14">
        <f>C264*C12</f>
        <v>593.6982</v>
      </c>
      <c r="D267" s="14">
        <f>D264*D12</f>
        <v>634.4915000000001</v>
      </c>
      <c r="E267" s="14">
        <f>E264*E12</f>
        <v>661.3230000000001</v>
      </c>
      <c r="F267" s="14">
        <f>G267-C267-D267-E267</f>
        <v>611.6093000000001</v>
      </c>
      <c r="G267" s="14">
        <f>G264*G12</f>
        <v>2501.1220000000003</v>
      </c>
      <c r="H267" s="14">
        <f>H264*H12</f>
        <v>682.5269999999999</v>
      </c>
      <c r="I267" s="14">
        <f>I264*I12</f>
        <v>732.7783000000001</v>
      </c>
      <c r="J267" s="33">
        <f>J264*J12</f>
        <v>758.7156063799999</v>
      </c>
      <c r="K267" s="1"/>
      <c r="L267" s="5"/>
    </row>
    <row r="268">
      <c r="A268" s="1"/>
      <c r="B268" s="11" t="s">
        <v>71</v>
      </c>
      <c r="C268" s="30"/>
      <c r="D268" s="30"/>
      <c r="E268" s="30"/>
      <c r="F268" s="30"/>
      <c r="G268" s="30"/>
      <c r="H268" s="30">
        <f>H267/C267-1</f>
        <v>0.14961945311607794</v>
      </c>
      <c r="I268" s="30">
        <f>I267/D267-1</f>
        <v>0.15490640930571953</v>
      </c>
      <c r="J268" s="34">
        <f>J267/E267-1</f>
        <v>0.14726934702104688</v>
      </c>
      <c r="K268" s="1"/>
      <c r="L268" s="5"/>
    </row>
    <row r="269">
      <c r="A269" s="1"/>
      <c r="B269" s="1" t="s">
        <v>73</v>
      </c>
      <c r="C269" s="14"/>
      <c r="D269" s="14">
        <f>D267-C267</f>
        <v>40.793300000000045</v>
      </c>
      <c r="E269" s="14">
        <f>E267-D267</f>
        <v>26.831500000000005</v>
      </c>
      <c r="F269" s="14">
        <f>F267-E267</f>
        <v>-49.71370000000002</v>
      </c>
      <c r="G269" s="14"/>
      <c r="H269" s="14">
        <f>H267-F267</f>
        <v>70.91769999999985</v>
      </c>
      <c r="I269" s="14">
        <f>I267-H267</f>
        <v>50.25130000000013</v>
      </c>
      <c r="J269" s="33">
        <f>J267-I267</f>
        <v>25.93730637999988</v>
      </c>
      <c r="K269" s="1"/>
      <c r="L269" s="5"/>
    </row>
    <row r="270" ht="28.5">
      <c r="A270" s="1"/>
      <c r="B270" s="11" t="s">
        <v>210</v>
      </c>
      <c r="C270" s="32">
        <v>0.085</v>
      </c>
      <c r="D270" s="32">
        <v>0.083</v>
      </c>
      <c r="E270" s="32">
        <v>0.082</v>
      </c>
      <c r="F270" s="30">
        <f>F273/F12</f>
        <v>0.08211931537930359</v>
      </c>
      <c r="G270" s="32">
        <v>0.083</v>
      </c>
      <c r="H270" s="32">
        <v>0.084</v>
      </c>
      <c r="I270" s="32">
        <v>0.085</v>
      </c>
      <c r="J270" s="34">
        <f>I270</f>
        <v>0.085</v>
      </c>
      <c r="K270" s="1"/>
      <c r="L270" s="85" t="s">
        <v>211</v>
      </c>
    </row>
    <row r="271">
      <c r="A271" s="1"/>
      <c r="B271" s="1" t="s">
        <v>150</v>
      </c>
      <c r="C271" s="13"/>
      <c r="D271" s="13"/>
      <c r="E271" s="13"/>
      <c r="F271" s="13"/>
      <c r="G271" s="13"/>
      <c r="H271" s="13">
        <f>(H270-C270)*10000</f>
        <v>-10.000000000000009</v>
      </c>
      <c r="I271" s="13">
        <f>(I270-D270)*10000</f>
        <v>20.000000000000018</v>
      </c>
      <c r="J271" s="31">
        <f>(J270-E270)*10000</f>
        <v>30.00000000000003</v>
      </c>
      <c r="K271" s="1"/>
      <c r="L271" s="5"/>
    </row>
    <row r="272">
      <c r="A272" s="1"/>
      <c r="B272" s="1" t="s">
        <v>151</v>
      </c>
      <c r="C272" s="13"/>
      <c r="D272" s="13">
        <f>(D270-C270)*10000</f>
        <v>-20.000000000000018</v>
      </c>
      <c r="E272" s="13">
        <f>(E270-D270)*10000</f>
        <v>-10.000000000000009</v>
      </c>
      <c r="F272" s="13">
        <f>(F270-E270)*10000</f>
        <v>1.1931537930358338</v>
      </c>
      <c r="G272" s="13"/>
      <c r="H272" s="13">
        <f>(H270-F270)*10000</f>
        <v>18.806846206964185</v>
      </c>
      <c r="I272" s="13">
        <f>(I270-H270)*10000</f>
        <v>10.000000000000009</v>
      </c>
      <c r="J272" s="31">
        <f>(J270-I270)*10000</f>
        <v>0</v>
      </c>
      <c r="K272" s="1"/>
      <c r="L272" s="5"/>
    </row>
    <row r="273">
      <c r="A273" s="1"/>
      <c r="B273" s="1" t="s">
        <v>152</v>
      </c>
      <c r="C273" s="14">
        <f>C270*C12</f>
        <v>166.549</v>
      </c>
      <c r="D273" s="14">
        <f>D270*D12</f>
        <v>172.66490000000002</v>
      </c>
      <c r="E273" s="14">
        <f>E270*E12</f>
        <v>174.93060000000003</v>
      </c>
      <c r="F273" s="14">
        <f>G273-C273-D273-E273</f>
        <v>166.4887000000001</v>
      </c>
      <c r="G273" s="14">
        <f>G270*G12</f>
        <v>680.6332000000001</v>
      </c>
      <c r="H273" s="14">
        <f>H270*H12</f>
        <v>184.9428</v>
      </c>
      <c r="I273" s="14">
        <f>I270*I12</f>
        <v>202.8865</v>
      </c>
      <c r="J273" s="33">
        <f>J270*J12</f>
        <v>210.06783890000003</v>
      </c>
      <c r="K273" s="1"/>
      <c r="L273" s="5"/>
    </row>
    <row r="274">
      <c r="A274" s="1"/>
      <c r="B274" s="11" t="s">
        <v>71</v>
      </c>
      <c r="C274" s="30"/>
      <c r="D274" s="30"/>
      <c r="E274" s="30"/>
      <c r="F274" s="30"/>
      <c r="G274" s="30"/>
      <c r="H274" s="30">
        <f>H273/C273-1</f>
        <v>0.11044077118445617</v>
      </c>
      <c r="I274" s="30">
        <f>I273/D273-1</f>
        <v>0.17503036227976843</v>
      </c>
      <c r="J274" s="34">
        <f>J273/E273-1</f>
        <v>0.20086387916122161</v>
      </c>
      <c r="K274" s="1"/>
      <c r="L274" s="5"/>
    </row>
    <row r="275">
      <c r="A275" s="1"/>
      <c r="B275" s="1" t="s">
        <v>73</v>
      </c>
      <c r="C275" s="14"/>
      <c r="D275" s="14">
        <f>D273-C273</f>
        <v>6.1159000000000106</v>
      </c>
      <c r="E275" s="14">
        <f>E273-D273</f>
        <v>2.2657000000000096</v>
      </c>
      <c r="F275" s="14">
        <f>F273-E273</f>
        <v>-8.441899999999919</v>
      </c>
      <c r="G275" s="14"/>
      <c r="H275" s="14">
        <f>H273-F273</f>
        <v>18.454099999999897</v>
      </c>
      <c r="I275" s="14">
        <f>I273-H273</f>
        <v>17.943700000000007</v>
      </c>
      <c r="J275" s="33">
        <f>J273-I273</f>
        <v>7.181338900000014</v>
      </c>
      <c r="K275" s="1"/>
      <c r="L275" s="5"/>
    </row>
    <row r="276" ht="28.5">
      <c r="A276" s="1"/>
      <c r="B276" s="11" t="s">
        <v>212</v>
      </c>
      <c r="C276" s="32">
        <v>0.053</v>
      </c>
      <c r="D276" s="32">
        <v>0.051</v>
      </c>
      <c r="E276" s="32">
        <v>0.051</v>
      </c>
      <c r="F276" s="30">
        <f>F279/F12</f>
        <v>0.05311186741639539</v>
      </c>
      <c r="G276" s="32">
        <v>0.052</v>
      </c>
      <c r="H276" s="32">
        <v>0.051</v>
      </c>
      <c r="I276" s="32">
        <v>0.051</v>
      </c>
      <c r="J276" s="34">
        <f>I276</f>
        <v>0.051</v>
      </c>
      <c r="K276" s="1"/>
      <c r="L276" s="85" t="s">
        <v>211</v>
      </c>
    </row>
    <row r="277">
      <c r="A277" s="1"/>
      <c r="B277" s="1" t="s">
        <v>150</v>
      </c>
      <c r="C277" s="13"/>
      <c r="D277" s="13"/>
      <c r="E277" s="13"/>
      <c r="F277" s="13"/>
      <c r="G277" s="13"/>
      <c r="H277" s="13">
        <f>(H276-C276)*10000</f>
        <v>-20.000000000000018</v>
      </c>
      <c r="I277" s="13">
        <f>(I276-D276)*10000</f>
        <v>0</v>
      </c>
      <c r="J277" s="31">
        <f>(J276-E276)*10000</f>
        <v>0</v>
      </c>
      <c r="K277" s="1"/>
      <c r="L277" s="5"/>
    </row>
    <row r="278">
      <c r="A278" s="1"/>
      <c r="B278" s="1" t="s">
        <v>151</v>
      </c>
      <c r="C278" s="13"/>
      <c r="D278" s="13">
        <f>(D276-C276)*10000</f>
        <v>-20.000000000000018</v>
      </c>
      <c r="E278" s="13">
        <f>(E276-D276)*10000</f>
        <v>0</v>
      </c>
      <c r="F278" s="13">
        <f>(F276-E276)*10000</f>
        <v>21.118674163953937</v>
      </c>
      <c r="G278" s="13"/>
      <c r="H278" s="13">
        <f>(H276-F276)*10000</f>
        <v>-21.118674163953937</v>
      </c>
      <c r="I278" s="13">
        <f>(I276-H276)*10000</f>
        <v>0</v>
      </c>
      <c r="J278" s="31">
        <f>(J276-I276)*10000</f>
        <v>0</v>
      </c>
      <c r="K278" s="1"/>
      <c r="L278" s="5"/>
    </row>
    <row r="279">
      <c r="A279" s="1"/>
      <c r="B279" s="1" t="s">
        <v>152</v>
      </c>
      <c r="C279" s="14">
        <f>C276*C12</f>
        <v>103.8482</v>
      </c>
      <c r="D279" s="14">
        <f>D276*D12</f>
        <v>106.09530000000001</v>
      </c>
      <c r="E279" s="14">
        <f>E276*E12</f>
        <v>108.7983</v>
      </c>
      <c r="F279" s="14">
        <f>G279-C279-D279-E279</f>
        <v>107.67900000000002</v>
      </c>
      <c r="G279" s="14">
        <f>G276*G12</f>
        <v>426.42080000000004</v>
      </c>
      <c r="H279" s="14">
        <f>H276*H12</f>
        <v>112.28669999999998</v>
      </c>
      <c r="I279" s="14">
        <f>I276*I12</f>
        <v>121.7319</v>
      </c>
      <c r="J279" s="33">
        <f>J276*J12</f>
        <v>126.04070334</v>
      </c>
      <c r="K279" s="1"/>
      <c r="L279" s="5"/>
    </row>
    <row r="280">
      <c r="A280" s="1"/>
      <c r="B280" s="11" t="s">
        <v>71</v>
      </c>
      <c r="C280" s="30"/>
      <c r="D280" s="30"/>
      <c r="E280" s="30"/>
      <c r="F280" s="30"/>
      <c r="G280" s="30"/>
      <c r="H280" s="30">
        <f>H279/C279-1</f>
        <v>0.08125802854551134</v>
      </c>
      <c r="I280" s="30">
        <f>I279/D279-1</f>
        <v>0.14738258904965607</v>
      </c>
      <c r="J280" s="34">
        <f>J279/E279-1</f>
        <v>0.15848044813200213</v>
      </c>
      <c r="K280" s="1"/>
      <c r="L280" s="5"/>
    </row>
    <row r="281">
      <c r="A281" s="1"/>
      <c r="B281" s="1" t="s">
        <v>73</v>
      </c>
      <c r="C281" s="14"/>
      <c r="D281" s="14">
        <f>D279-C279</f>
        <v>2.247100000000003</v>
      </c>
      <c r="E281" s="14">
        <f>E279-D279</f>
        <v>2.7029999999999887</v>
      </c>
      <c r="F281" s="14">
        <f>F279-E279</f>
        <v>-1.1192999999999813</v>
      </c>
      <c r="G281" s="14"/>
      <c r="H281" s="14">
        <f>H279-F279</f>
        <v>4.607699999999966</v>
      </c>
      <c r="I281" s="14">
        <f>I279-H279</f>
        <v>9.445200000000014</v>
      </c>
      <c r="J281" s="33">
        <f>J279-I279</f>
        <v>4.308803339999997</v>
      </c>
      <c r="K281" s="1"/>
      <c r="L281" s="5"/>
    </row>
    <row r="282" ht="28.5">
      <c r="A282" s="1"/>
      <c r="B282" s="11" t="s">
        <v>213</v>
      </c>
      <c r="C282" s="32">
        <v>0.069</v>
      </c>
      <c r="D282" s="32">
        <v>0.069</v>
      </c>
      <c r="E282" s="32">
        <v>0.069</v>
      </c>
      <c r="F282" s="30">
        <f>F285/F12</f>
        <v>0.06900000000000005</v>
      </c>
      <c r="G282" s="32">
        <v>0.069</v>
      </c>
      <c r="H282" s="32">
        <v>0.069</v>
      </c>
      <c r="I282" s="32">
        <v>0.07</v>
      </c>
      <c r="J282" s="34">
        <f>I282</f>
        <v>0.07</v>
      </c>
      <c r="K282" s="1"/>
      <c r="L282" s="85" t="s">
        <v>211</v>
      </c>
    </row>
    <row r="283">
      <c r="A283" s="1"/>
      <c r="B283" s="1" t="s">
        <v>150</v>
      </c>
      <c r="C283" s="13"/>
      <c r="D283" s="13"/>
      <c r="E283" s="13"/>
      <c r="F283" s="13"/>
      <c r="G283" s="13"/>
      <c r="H283" s="13">
        <f>(H282-C282)*10000</f>
        <v>0</v>
      </c>
      <c r="I283" s="13">
        <f>(I282-D282)*10000</f>
        <v>10.000000000000009</v>
      </c>
      <c r="J283" s="31">
        <f>(J282-E282)*10000</f>
        <v>10.000000000000009</v>
      </c>
      <c r="K283" s="1"/>
      <c r="L283" s="5"/>
    </row>
    <row r="284">
      <c r="A284" s="1"/>
      <c r="B284" s="1" t="s">
        <v>151</v>
      </c>
      <c r="C284" s="13"/>
      <c r="D284" s="13">
        <f>(D282-C282)*10000</f>
        <v>0</v>
      </c>
      <c r="E284" s="13">
        <f>(E282-D282)*10000</f>
        <v>0</v>
      </c>
      <c r="F284" s="13">
        <f>(F282-E282)*10000</f>
        <v>0</v>
      </c>
      <c r="G284" s="13"/>
      <c r="H284" s="13">
        <f>(H282-F282)*10000</f>
        <v>0</v>
      </c>
      <c r="I284" s="13">
        <f>(I282-H282)*10000</f>
        <v>10.000000000000009</v>
      </c>
      <c r="J284" s="31">
        <f>(J282-I282)*10000</f>
        <v>0</v>
      </c>
      <c r="K284" s="1"/>
      <c r="L284" s="5"/>
    </row>
    <row r="285">
      <c r="A285" s="1"/>
      <c r="B285" s="1" t="s">
        <v>152</v>
      </c>
      <c r="C285" s="14">
        <f>C282*C12</f>
        <v>135.19860000000003</v>
      </c>
      <c r="D285" s="14">
        <f>D282*D12</f>
        <v>143.54070000000002</v>
      </c>
      <c r="E285" s="14">
        <f>E282*E12</f>
        <v>147.19770000000003</v>
      </c>
      <c r="F285" s="14">
        <f>G285-C285-D285-E285</f>
        <v>139.8906000000001</v>
      </c>
      <c r="G285" s="14">
        <f>G282*G12</f>
        <v>565.8276000000002</v>
      </c>
      <c r="H285" s="14">
        <f>H282*H12</f>
        <v>151.9173</v>
      </c>
      <c r="I285" s="14">
        <f>I282*I12</f>
        <v>167.08300000000003</v>
      </c>
      <c r="J285" s="33">
        <f>J282*J12</f>
        <v>172.99704380000003</v>
      </c>
      <c r="K285" s="1"/>
      <c r="L285" s="5"/>
    </row>
    <row r="286">
      <c r="A286" s="1"/>
      <c r="B286" s="11" t="s">
        <v>71</v>
      </c>
      <c r="C286" s="30"/>
      <c r="D286" s="30"/>
      <c r="E286" s="30"/>
      <c r="F286" s="30"/>
      <c r="G286" s="30"/>
      <c r="H286" s="30">
        <f>H285/C285-1</f>
        <v>0.12366030417474727</v>
      </c>
      <c r="I286" s="30">
        <f>I285/D285-1</f>
        <v>0.16401132222428916</v>
      </c>
      <c r="J286" s="34">
        <f>J285/E285-1</f>
        <v>0.17527001984406</v>
      </c>
      <c r="K286" s="1"/>
      <c r="L286" s="5"/>
    </row>
    <row r="287">
      <c r="A287" s="1"/>
      <c r="B287" s="1" t="s">
        <v>73</v>
      </c>
      <c r="C287" s="14"/>
      <c r="D287" s="14">
        <f>D285-C285</f>
        <v>8.342099999999988</v>
      </c>
      <c r="E287" s="14">
        <f>E285-D285</f>
        <v>3.6570000000000107</v>
      </c>
      <c r="F287" s="14">
        <f>F285-E285</f>
        <v>-7.307099999999934</v>
      </c>
      <c r="G287" s="14"/>
      <c r="H287" s="14">
        <f>H285-F285</f>
        <v>12.02669999999992</v>
      </c>
      <c r="I287" s="14">
        <f>I285-H285</f>
        <v>15.165700000000015</v>
      </c>
      <c r="J287" s="33">
        <f>J285-I285</f>
        <v>5.914043800000002</v>
      </c>
      <c r="K287" s="1"/>
      <c r="L287" s="5"/>
    </row>
    <row r="288" ht="28.5">
      <c r="A288" s="1"/>
      <c r="B288" s="11" t="s">
        <v>214</v>
      </c>
      <c r="C288" s="32">
        <v>0.056</v>
      </c>
      <c r="D288" s="32">
        <v>0.057</v>
      </c>
      <c r="E288" s="32">
        <v>0.057</v>
      </c>
      <c r="F288" s="30">
        <f>F291/F12</f>
        <v>0.057966459504784476</v>
      </c>
      <c r="G288" s="32">
        <v>0.057</v>
      </c>
      <c r="H288" s="32">
        <v>0.057</v>
      </c>
      <c r="I288" s="32">
        <v>0.058</v>
      </c>
      <c r="J288" s="34">
        <f>I288</f>
        <v>0.058</v>
      </c>
      <c r="K288" s="1"/>
      <c r="L288" s="85" t="s">
        <v>211</v>
      </c>
    </row>
    <row r="289">
      <c r="A289" s="1"/>
      <c r="B289" s="1" t="s">
        <v>150</v>
      </c>
      <c r="C289" s="13"/>
      <c r="D289" s="13"/>
      <c r="E289" s="13"/>
      <c r="F289" s="13"/>
      <c r="G289" s="13"/>
      <c r="H289" s="13">
        <f>(H288-C288)*10000</f>
        <v>10.000000000000009</v>
      </c>
      <c r="I289" s="13">
        <f>(I288-D288)*10000</f>
        <v>10.000000000000009</v>
      </c>
      <c r="J289" s="31">
        <f>(J288-E288)*10000</f>
        <v>10.000000000000009</v>
      </c>
      <c r="K289" s="1"/>
      <c r="L289" s="5"/>
    </row>
    <row r="290">
      <c r="A290" s="1"/>
      <c r="B290" s="1" t="s">
        <v>151</v>
      </c>
      <c r="C290" s="13"/>
      <c r="D290" s="13">
        <f>(D288-C288)*10000</f>
        <v>10.000000000000009</v>
      </c>
      <c r="E290" s="13">
        <f>(E288-D288)*10000</f>
        <v>0</v>
      </c>
      <c r="F290" s="13">
        <f>(F288-E288)*10000</f>
        <v>9.66459504784474</v>
      </c>
      <c r="G290" s="13"/>
      <c r="H290" s="13">
        <f>(H288-F288)*10000</f>
        <v>-9.66459504784474</v>
      </c>
      <c r="I290" s="13">
        <f>(I288-H288)*10000</f>
        <v>10.000000000000009</v>
      </c>
      <c r="J290" s="31">
        <f>(J288-I288)*10000</f>
        <v>0</v>
      </c>
      <c r="K290" s="1"/>
      <c r="L290" s="5"/>
    </row>
    <row r="291">
      <c r="A291" s="1"/>
      <c r="B291" s="1" t="s">
        <v>152</v>
      </c>
      <c r="C291" s="14">
        <f>C288*C12</f>
        <v>109.72640000000001</v>
      </c>
      <c r="D291" s="14">
        <f>D288*D12</f>
        <v>118.57710000000002</v>
      </c>
      <c r="E291" s="14">
        <f>E288*E12</f>
        <v>121.59810000000002</v>
      </c>
      <c r="F291" s="14">
        <f>G291-C291-D291-E291</f>
        <v>117.52120000000005</v>
      </c>
      <c r="G291" s="14">
        <f>G288*G12</f>
        <v>467.4228000000001</v>
      </c>
      <c r="H291" s="14">
        <f>H288*H12</f>
        <v>125.4969</v>
      </c>
      <c r="I291" s="14">
        <f>I288*I12</f>
        <v>138.4402</v>
      </c>
      <c r="J291" s="33">
        <f>J288*J12</f>
        <v>143.34040772</v>
      </c>
      <c r="K291" s="1"/>
      <c r="L291" s="5"/>
    </row>
    <row r="292">
      <c r="A292" s="1"/>
      <c r="B292" s="11" t="s">
        <v>71</v>
      </c>
      <c r="C292" s="30"/>
      <c r="D292" s="30"/>
      <c r="E292" s="30"/>
      <c r="F292" s="30"/>
      <c r="G292" s="30"/>
      <c r="H292" s="30">
        <f>H291/C291-1</f>
        <v>0.14372566674929632</v>
      </c>
      <c r="I292" s="30">
        <f>I291/D291-1</f>
        <v>0.16751210815579043</v>
      </c>
      <c r="J292" s="34">
        <f>J291/E291-1</f>
        <v>0.1788046665202827</v>
      </c>
      <c r="K292" s="1"/>
      <c r="L292" s="5"/>
    </row>
    <row r="293">
      <c r="A293" s="1"/>
      <c r="B293" s="1" t="s">
        <v>73</v>
      </c>
      <c r="C293" s="14"/>
      <c r="D293" s="14">
        <f>D291-C291</f>
        <v>8.850700000000003</v>
      </c>
      <c r="E293" s="14">
        <f>E291-D291</f>
        <v>3.021000000000001</v>
      </c>
      <c r="F293" s="14">
        <f>F291-E291</f>
        <v>-4.076899999999966</v>
      </c>
      <c r="G293" s="14"/>
      <c r="H293" s="14">
        <f>H291-F291</f>
        <v>7.9756999999999465</v>
      </c>
      <c r="I293" s="14">
        <f>I291-H291</f>
        <v>12.943300000000008</v>
      </c>
      <c r="J293" s="33">
        <f>J291-I291</f>
        <v>4.900207719999997</v>
      </c>
      <c r="K293" s="1"/>
      <c r="L293" s="5"/>
    </row>
    <row r="294" ht="28.5">
      <c r="A294" s="1"/>
      <c r="B294" s="11" t="s">
        <v>215</v>
      </c>
      <c r="C294" s="32">
        <v>0.091</v>
      </c>
      <c r="D294" s="32">
        <v>0.091</v>
      </c>
      <c r="E294" s="32">
        <v>0.09</v>
      </c>
      <c r="F294" s="30">
        <f>F297/F12</f>
        <v>0.0880074479629082</v>
      </c>
      <c r="G294" s="32">
        <v>0.09</v>
      </c>
      <c r="H294" s="32">
        <v>0.087</v>
      </c>
      <c r="I294" s="32">
        <v>0.085</v>
      </c>
      <c r="J294" s="34">
        <f>I294</f>
        <v>0.085</v>
      </c>
      <c r="K294" s="1"/>
      <c r="L294" s="85" t="s">
        <v>211</v>
      </c>
    </row>
    <row r="295">
      <c r="A295" s="1"/>
      <c r="B295" s="1" t="s">
        <v>150</v>
      </c>
      <c r="C295" s="13"/>
      <c r="D295" s="13"/>
      <c r="E295" s="13"/>
      <c r="F295" s="13"/>
      <c r="G295" s="13"/>
      <c r="H295" s="13">
        <f>(H294-C294)*10000</f>
        <v>-40.000000000000036</v>
      </c>
      <c r="I295" s="13">
        <f>(I294-D294)*10000</f>
        <v>-59.999999999999915</v>
      </c>
      <c r="J295" s="31">
        <f>(J294-E294)*10000</f>
        <v>-49.99999999999991</v>
      </c>
      <c r="K295" s="1"/>
      <c r="L295" s="5"/>
    </row>
    <row r="296">
      <c r="A296" s="1"/>
      <c r="B296" s="1" t="s">
        <v>151</v>
      </c>
      <c r="C296" s="13"/>
      <c r="D296" s="13">
        <f>(D294-C294)*10000</f>
        <v>0</v>
      </c>
      <c r="E296" s="13">
        <f>(E294-D294)*10000</f>
        <v>-10.000000000000009</v>
      </c>
      <c r="F296" s="13">
        <f>(F294-E294)*10000</f>
        <v>-19.925520370917965</v>
      </c>
      <c r="G296" s="13"/>
      <c r="H296" s="13">
        <f>(H294-F294)*10000</f>
        <v>-10.074479629082061</v>
      </c>
      <c r="I296" s="13">
        <f>(I294-H294)*10000</f>
        <v>-19.99999999999988</v>
      </c>
      <c r="J296" s="31">
        <f>(J294-I294)*10000</f>
        <v>0</v>
      </c>
      <c r="K296" s="1"/>
      <c r="L296" s="5"/>
    </row>
    <row r="297">
      <c r="A297" s="1"/>
      <c r="B297" s="1" t="s">
        <v>152</v>
      </c>
      <c r="C297" s="14">
        <f>C294*C12</f>
        <v>178.3054</v>
      </c>
      <c r="D297" s="14">
        <f>D294*D12</f>
        <v>189.3073</v>
      </c>
      <c r="E297" s="14">
        <f>E294*E12</f>
        <v>191.997</v>
      </c>
      <c r="F297" s="14">
        <f>G297-C297-D297-E297</f>
        <v>178.42630000000008</v>
      </c>
      <c r="G297" s="14">
        <f>G294*G12</f>
        <v>738.0360000000001</v>
      </c>
      <c r="H297" s="14">
        <f>H294*H12</f>
        <v>191.54789999999997</v>
      </c>
      <c r="I297" s="14">
        <f>I294*I12</f>
        <v>202.8865</v>
      </c>
      <c r="J297" s="33">
        <f>J294*J12</f>
        <v>210.06783890000003</v>
      </c>
      <c r="K297" s="1"/>
      <c r="L297" s="5"/>
    </row>
    <row r="298">
      <c r="A298" s="1"/>
      <c r="B298" s="11" t="s">
        <v>71</v>
      </c>
      <c r="C298" s="30"/>
      <c r="D298" s="30"/>
      <c r="E298" s="30"/>
      <c r="F298" s="30"/>
      <c r="G298" s="30"/>
      <c r="H298" s="30">
        <f>H297/C297-1</f>
        <v>0.07426864245278031</v>
      </c>
      <c r="I298" s="30">
        <f>I297/D297-1</f>
        <v>0.07173098977165715</v>
      </c>
      <c r="J298" s="34">
        <f>J297/E297-1</f>
        <v>0.09412042323577974</v>
      </c>
      <c r="K298" s="1"/>
      <c r="L298" s="5"/>
    </row>
    <row r="299">
      <c r="A299" s="1"/>
      <c r="B299" s="1" t="s">
        <v>73</v>
      </c>
      <c r="C299" s="14"/>
      <c r="D299" s="14">
        <f>D297-C297</f>
        <v>11.001900000000006</v>
      </c>
      <c r="E299" s="14">
        <f>E297-D297</f>
        <v>2.689700000000016</v>
      </c>
      <c r="F299" s="14">
        <f>F297-E297</f>
        <v>-13.570699999999931</v>
      </c>
      <c r="G299" s="14"/>
      <c r="H299" s="14">
        <f>H297-F297</f>
        <v>13.121599999999887</v>
      </c>
      <c r="I299" s="14">
        <f>I297-H297</f>
        <v>11.338600000000042</v>
      </c>
      <c r="J299" s="33">
        <f>J297-I297</f>
        <v>7.181338900000014</v>
      </c>
      <c r="K299" s="1"/>
      <c r="L299" s="5"/>
    </row>
    <row r="300" ht="28.5">
      <c r="A300" s="1"/>
      <c r="B300" s="11" t="s">
        <v>216</v>
      </c>
      <c r="C300" s="32">
        <v>0.048</v>
      </c>
      <c r="D300" s="32">
        <v>0.048</v>
      </c>
      <c r="E300" s="32">
        <v>0.046</v>
      </c>
      <c r="F300" s="30">
        <f>F303/F12</f>
        <v>0.046059682351780644</v>
      </c>
      <c r="G300" s="32">
        <v>0.047</v>
      </c>
      <c r="H300" s="32">
        <v>0.047</v>
      </c>
      <c r="I300" s="32">
        <v>0.048</v>
      </c>
      <c r="J300" s="34">
        <f>I300</f>
        <v>0.048</v>
      </c>
      <c r="K300" s="1"/>
      <c r="L300" s="85" t="s">
        <v>211</v>
      </c>
    </row>
    <row r="301">
      <c r="A301" s="1"/>
      <c r="B301" s="1" t="s">
        <v>150</v>
      </c>
      <c r="C301" s="13"/>
      <c r="D301" s="13"/>
      <c r="E301" s="13"/>
      <c r="F301" s="13"/>
      <c r="G301" s="13"/>
      <c r="H301" s="13">
        <f>(H300-C300)*10000</f>
        <v>-10.000000000000009</v>
      </c>
      <c r="I301" s="13">
        <f>(I300-D300)*10000</f>
        <v>0</v>
      </c>
      <c r="J301" s="31">
        <f>(J300-E300)*10000</f>
        <v>20.000000000000018</v>
      </c>
      <c r="K301" s="1"/>
      <c r="L301" s="5"/>
    </row>
    <row r="302">
      <c r="A302" s="1"/>
      <c r="B302" s="1" t="s">
        <v>151</v>
      </c>
      <c r="C302" s="13"/>
      <c r="D302" s="13">
        <f>(D300-C300)*10000</f>
        <v>0</v>
      </c>
      <c r="E302" s="13">
        <f>(E300-D300)*10000</f>
        <v>-20.000000000000018</v>
      </c>
      <c r="F302" s="13">
        <f>(F300-E300)*10000</f>
        <v>0.5968235178064468</v>
      </c>
      <c r="G302" s="13"/>
      <c r="H302" s="13">
        <f>(H300-F300)*10000</f>
        <v>9.403176482193562</v>
      </c>
      <c r="I302" s="13">
        <f>(I300-H300)*10000</f>
        <v>10.000000000000009</v>
      </c>
      <c r="J302" s="31">
        <f>(J300-I300)*10000</f>
        <v>0</v>
      </c>
      <c r="K302" s="1"/>
      <c r="L302" s="5"/>
    </row>
    <row r="303">
      <c r="A303" s="1"/>
      <c r="B303" s="1" t="s">
        <v>152</v>
      </c>
      <c r="C303" s="14">
        <f>C300*C12</f>
        <v>94.05120000000001</v>
      </c>
      <c r="D303" s="14">
        <f>D300*D12</f>
        <v>99.85440000000001</v>
      </c>
      <c r="E303" s="14">
        <f>E300*E12</f>
        <v>98.13180000000001</v>
      </c>
      <c r="F303" s="14">
        <f>G303-C303-D303-E303</f>
        <v>93.38140000000008</v>
      </c>
      <c r="G303" s="14">
        <f>G300*G12</f>
        <v>385.4188000000001</v>
      </c>
      <c r="H303" s="14">
        <f>H300*H12</f>
        <v>103.47989999999999</v>
      </c>
      <c r="I303" s="14">
        <f>I300*I12</f>
        <v>114.5712</v>
      </c>
      <c r="J303" s="33">
        <f>J300*J12</f>
        <v>118.62654432000001</v>
      </c>
      <c r="K303" s="1"/>
      <c r="L303" s="5"/>
    </row>
    <row r="304">
      <c r="A304" s="1"/>
      <c r="B304" s="11" t="s">
        <v>71</v>
      </c>
      <c r="C304" s="30"/>
      <c r="D304" s="30"/>
      <c r="E304" s="30"/>
      <c r="F304" s="30"/>
      <c r="G304" s="30"/>
      <c r="H304" s="30">
        <f>H303/C303-1</f>
        <v>0.10025071450443979</v>
      </c>
      <c r="I304" s="30">
        <f>I303/D303-1</f>
        <v>0.1473825890496563</v>
      </c>
      <c r="J304" s="34">
        <f>J303/E303-1</f>
        <v>0.20884916326817593</v>
      </c>
      <c r="K304" s="1"/>
      <c r="L304" s="5"/>
    </row>
    <row r="305">
      <c r="A305" s="1"/>
      <c r="B305" s="1" t="s">
        <v>73</v>
      </c>
      <c r="C305" s="14"/>
      <c r="D305" s="14">
        <f>D303-C303</f>
        <v>5.803200000000004</v>
      </c>
      <c r="E305" s="14">
        <f>E303-D303</f>
        <v>-1.7226</v>
      </c>
      <c r="F305" s="14">
        <f>F303-E303</f>
        <v>-4.750399999999928</v>
      </c>
      <c r="G305" s="14"/>
      <c r="H305" s="14">
        <f>H303-F303</f>
        <v>10.098499999999902</v>
      </c>
      <c r="I305" s="14">
        <f>I303-H303</f>
        <v>11.091300000000018</v>
      </c>
      <c r="J305" s="33">
        <f>J303-I303</f>
        <v>4.055344320000003</v>
      </c>
      <c r="K305" s="1"/>
      <c r="L305" s="5"/>
    </row>
    <row r="306" ht="28.5">
      <c r="A306" s="1"/>
      <c r="B306" s="11" t="s">
        <v>217</v>
      </c>
      <c r="C306" s="32">
        <v>0.042</v>
      </c>
      <c r="D306" s="32">
        <v>0.042</v>
      </c>
      <c r="E306" s="32">
        <v>0.043</v>
      </c>
      <c r="F306" s="30">
        <f>F309/F12</f>
        <v>0.044992552037091835</v>
      </c>
      <c r="G306" s="32">
        <v>0.043</v>
      </c>
      <c r="H306" s="32">
        <v>0.043</v>
      </c>
      <c r="I306" s="32">
        <v>0.044</v>
      </c>
      <c r="J306" s="34">
        <f>I306</f>
        <v>0.044</v>
      </c>
      <c r="K306" s="1"/>
      <c r="L306" s="85" t="s">
        <v>211</v>
      </c>
    </row>
    <row r="307">
      <c r="A307" s="1"/>
      <c r="B307" s="1" t="s">
        <v>150</v>
      </c>
      <c r="C307" s="13"/>
      <c r="D307" s="13"/>
      <c r="E307" s="13"/>
      <c r="F307" s="13"/>
      <c r="G307" s="13"/>
      <c r="H307" s="13">
        <f>(H306-C306)*10000</f>
        <v>9.99999999999994</v>
      </c>
      <c r="I307" s="13">
        <f>(I306-D306)*10000</f>
        <v>19.999999999999947</v>
      </c>
      <c r="J307" s="31">
        <f>(J306-E306)*10000</f>
        <v>10.000000000000009</v>
      </c>
      <c r="K307" s="1"/>
      <c r="L307" s="5"/>
    </row>
    <row r="308">
      <c r="A308" s="1"/>
      <c r="B308" s="1" t="s">
        <v>151</v>
      </c>
      <c r="C308" s="13"/>
      <c r="D308" s="13">
        <f>(D306-C306)*10000</f>
        <v>0</v>
      </c>
      <c r="E308" s="13">
        <f>(E306-D306)*10000</f>
        <v>9.99999999999994</v>
      </c>
      <c r="F308" s="13">
        <f>(F306-E306)*10000</f>
        <v>19.92552037091838</v>
      </c>
      <c r="G308" s="13"/>
      <c r="H308" s="13">
        <f>(H306-F306)*10000</f>
        <v>-19.92552037091838</v>
      </c>
      <c r="I308" s="13">
        <f>(I306-H306)*10000</f>
        <v>10.000000000000009</v>
      </c>
      <c r="J308" s="31">
        <f>(J306-I306)*10000</f>
        <v>0</v>
      </c>
      <c r="K308" s="1"/>
      <c r="L308" s="5"/>
    </row>
    <row r="309">
      <c r="A309" s="1"/>
      <c r="B309" s="1" t="s">
        <v>152</v>
      </c>
      <c r="C309" s="14">
        <f>C306*C12</f>
        <v>82.29480000000001</v>
      </c>
      <c r="D309" s="14">
        <f>D306*D12</f>
        <v>87.37260000000002</v>
      </c>
      <c r="E309" s="14">
        <f>E306*E12</f>
        <v>91.7319</v>
      </c>
      <c r="F309" s="14">
        <f>G309-C309-D309-E309</f>
        <v>91.21789999999999</v>
      </c>
      <c r="G309" s="14">
        <f>G306*G12</f>
        <v>352.6172</v>
      </c>
      <c r="H309" s="14">
        <f>H306*H12</f>
        <v>94.67309999999999</v>
      </c>
      <c r="I309" s="14">
        <f>I306*I12</f>
        <v>105.0236</v>
      </c>
      <c r="J309" s="33">
        <f>J306*J12</f>
        <v>108.74099896</v>
      </c>
      <c r="K309" s="1"/>
      <c r="L309" s="5"/>
    </row>
    <row r="310">
      <c r="A310" s="1"/>
      <c r="B310" s="11" t="s">
        <v>71</v>
      </c>
      <c r="C310" s="30"/>
      <c r="D310" s="30"/>
      <c r="E310" s="30"/>
      <c r="F310" s="30"/>
      <c r="G310" s="30"/>
      <c r="H310" s="30">
        <f>H309/C309-1</f>
        <v>0.15041412094081252</v>
      </c>
      <c r="I310" s="30">
        <f>I309/D309-1</f>
        <v>0.20201985519487775</v>
      </c>
      <c r="J310" s="34">
        <f>J309/E309-1</f>
        <v>0.18542185390251387</v>
      </c>
      <c r="K310" s="1"/>
      <c r="L310" s="5"/>
    </row>
    <row r="311">
      <c r="A311" s="1"/>
      <c r="B311" s="1" t="s">
        <v>73</v>
      </c>
      <c r="C311" s="14"/>
      <c r="D311" s="14">
        <f>D309-C309</f>
        <v>5.0778000000000105</v>
      </c>
      <c r="E311" s="14">
        <f>E309-D309</f>
        <v>4.359299999999976</v>
      </c>
      <c r="F311" s="14">
        <f>F309-E309</f>
        <v>-0.51400000000001</v>
      </c>
      <c r="G311" s="14"/>
      <c r="H311" s="14">
        <f>H309-F309</f>
        <v>3.455200000000005</v>
      </c>
      <c r="I311" s="14">
        <f>I309-H309</f>
        <v>10.350500000000011</v>
      </c>
      <c r="J311" s="33">
        <f>J309-I309</f>
        <v>3.717398959999997</v>
      </c>
      <c r="K311" s="1"/>
      <c r="L311" s="5"/>
    </row>
    <row r="312" ht="28.5">
      <c r="A312" s="1"/>
      <c r="B312" s="11" t="s">
        <v>218</v>
      </c>
      <c r="C312" s="32">
        <v>0.22</v>
      </c>
      <c r="D312" s="32">
        <v>0.222</v>
      </c>
      <c r="E312" s="32">
        <v>0.221</v>
      </c>
      <c r="F312" s="30">
        <f>F315/F12</f>
        <v>0.22498515339844144</v>
      </c>
      <c r="G312" s="32">
        <v>0.222</v>
      </c>
      <c r="H312" s="32">
        <v>0.215</v>
      </c>
      <c r="I312" s="32">
        <v>0.217</v>
      </c>
      <c r="J312" s="34">
        <f>I312</f>
        <v>0.217</v>
      </c>
      <c r="K312" s="1"/>
      <c r="L312" s="85" t="s">
        <v>211</v>
      </c>
    </row>
    <row r="313">
      <c r="A313" s="1"/>
      <c r="B313" s="1" t="s">
        <v>150</v>
      </c>
      <c r="C313" s="13"/>
      <c r="D313" s="13"/>
      <c r="E313" s="13"/>
      <c r="F313" s="13"/>
      <c r="G313" s="13"/>
      <c r="H313" s="13">
        <f>(H312-C312)*10000</f>
        <v>-50.00000000000004</v>
      </c>
      <c r="I313" s="13">
        <f>(I312-D312)*10000</f>
        <v>-50.00000000000004</v>
      </c>
      <c r="J313" s="31">
        <f>(J312-E312)*10000</f>
        <v>-40.000000000000036</v>
      </c>
      <c r="K313" s="1"/>
      <c r="L313" s="5"/>
    </row>
    <row r="314">
      <c r="A314" s="1"/>
      <c r="B314" s="1" t="s">
        <v>151</v>
      </c>
      <c r="C314" s="13"/>
      <c r="D314" s="13">
        <f>(D312-C312)*10000</f>
        <v>20.000000000000018</v>
      </c>
      <c r="E314" s="13">
        <f>(E312-D312)*10000</f>
        <v>-10.000000000000009</v>
      </c>
      <c r="F314" s="13">
        <f>(F312-E312)*10000</f>
        <v>39.85153398441438</v>
      </c>
      <c r="G314" s="13"/>
      <c r="H314" s="13">
        <f>(H312-F312)*10000</f>
        <v>-99.85153398441443</v>
      </c>
      <c r="I314" s="13">
        <f>(I312-H312)*10000</f>
        <v>20.000000000000018</v>
      </c>
      <c r="J314" s="31">
        <f>(J312-I312)*10000</f>
        <v>0</v>
      </c>
      <c r="K314" s="1"/>
      <c r="L314" s="5"/>
    </row>
    <row r="315">
      <c r="A315" s="1"/>
      <c r="B315" s="1" t="s">
        <v>152</v>
      </c>
      <c r="C315" s="14">
        <f>C312*C12</f>
        <v>431.06800000000004</v>
      </c>
      <c r="D315" s="14">
        <f>D312*D12</f>
        <v>461.82660000000004</v>
      </c>
      <c r="E315" s="14">
        <f>E312*E12</f>
        <v>471.45930000000004</v>
      </c>
      <c r="F315" s="14">
        <f>G315-C315-D315-E315</f>
        <v>456.1349000000002</v>
      </c>
      <c r="G315" s="14">
        <f>G312*G12</f>
        <v>1820.4888000000003</v>
      </c>
      <c r="H315" s="14">
        <f>H312*H12</f>
        <v>473.36549999999994</v>
      </c>
      <c r="I315" s="14">
        <f>I312*I12</f>
        <v>517.9573</v>
      </c>
      <c r="J315" s="33">
        <f>J312*J12</f>
        <v>536.29083578</v>
      </c>
      <c r="K315" s="1"/>
      <c r="L315" s="5"/>
    </row>
    <row r="316">
      <c r="A316" s="1"/>
      <c r="B316" s="11" t="s">
        <v>71</v>
      </c>
      <c r="C316" s="30"/>
      <c r="D316" s="30"/>
      <c r="E316" s="30"/>
      <c r="F316" s="30"/>
      <c r="G316" s="30"/>
      <c r="H316" s="30">
        <f>H315/C315-1</f>
        <v>0.09812256998895741</v>
      </c>
      <c r="I316" s="30">
        <f>I315/D315-1</f>
        <v>0.1215406388458351</v>
      </c>
      <c r="J316" s="34">
        <f>J315/E315-1</f>
        <v>0.1375124762201103</v>
      </c>
      <c r="K316" s="1"/>
      <c r="L316" s="5"/>
    </row>
    <row r="317">
      <c r="A317" s="1"/>
      <c r="B317" s="1" t="s">
        <v>73</v>
      </c>
      <c r="C317" s="14"/>
      <c r="D317" s="14">
        <f>D315-C315</f>
        <v>30.7586</v>
      </c>
      <c r="E317" s="14">
        <f>E315-D315</f>
        <v>9.6327</v>
      </c>
      <c r="F317" s="14">
        <f>F315-E315</f>
        <v>-15.324399999999855</v>
      </c>
      <c r="G317" s="14"/>
      <c r="H317" s="14">
        <f>H315-F315</f>
        <v>17.230599999999754</v>
      </c>
      <c r="I317" s="14">
        <f>I315-H315</f>
        <v>44.59180000000009</v>
      </c>
      <c r="J317" s="33">
        <f>J315-I315</f>
        <v>18.33353577999992</v>
      </c>
      <c r="K317" s="1"/>
      <c r="L317" s="5"/>
    </row>
    <row r="318" ht="28.5">
      <c r="A318" s="1"/>
      <c r="B318" s="11" t="s">
        <v>219</v>
      </c>
      <c r="C318" s="32">
        <v>0.033</v>
      </c>
      <c r="D318" s="32">
        <v>0.032</v>
      </c>
      <c r="E318" s="32">
        <v>0.031</v>
      </c>
      <c r="F318" s="30">
        <f>F321/F12</f>
        <v>0.032085774884088016</v>
      </c>
      <c r="G318" s="32">
        <v>0.032</v>
      </c>
      <c r="H318" s="32">
        <v>0.037</v>
      </c>
      <c r="I318" s="32">
        <v>0.035</v>
      </c>
      <c r="J318" s="34">
        <f>I318</f>
        <v>0.035</v>
      </c>
      <c r="K318" s="1"/>
      <c r="L318" s="85" t="s">
        <v>211</v>
      </c>
    </row>
    <row r="319">
      <c r="A319" s="1"/>
      <c r="B319" s="1" t="s">
        <v>150</v>
      </c>
      <c r="C319" s="13"/>
      <c r="D319" s="13"/>
      <c r="E319" s="13"/>
      <c r="F319" s="13"/>
      <c r="G319" s="13"/>
      <c r="H319" s="13">
        <f>(H318-C318)*10000</f>
        <v>39.999999999999964</v>
      </c>
      <c r="I319" s="13">
        <f>(I318-D318)*10000</f>
        <v>30.00000000000003</v>
      </c>
      <c r="J319" s="31">
        <f>(J318-E318)*10000</f>
        <v>40.000000000000036</v>
      </c>
      <c r="K319" s="1"/>
      <c r="L319" s="5"/>
    </row>
    <row r="320">
      <c r="A320" s="1"/>
      <c r="B320" s="1" t="s">
        <v>151</v>
      </c>
      <c r="C320" s="13"/>
      <c r="D320" s="13">
        <f>(D318-C318)*10000</f>
        <v>-10.000000000000009</v>
      </c>
      <c r="E320" s="13">
        <f>(E318-D318)*10000</f>
        <v>-10.000000000000009</v>
      </c>
      <c r="F320" s="13">
        <f>(F318-E318)*10000</f>
        <v>10.857748840880157</v>
      </c>
      <c r="G320" s="13"/>
      <c r="H320" s="13">
        <f>(H318-F318)*10000</f>
        <v>49.14225115911982</v>
      </c>
      <c r="I320" s="13">
        <f>(I318-H318)*10000</f>
        <v>-19.999999999999947</v>
      </c>
      <c r="J320" s="31">
        <f>(J318-I318)*10000</f>
        <v>0</v>
      </c>
      <c r="K320" s="1"/>
      <c r="L320" s="5"/>
    </row>
    <row r="321">
      <c r="A321" s="1"/>
      <c r="B321" s="1" t="s">
        <v>152</v>
      </c>
      <c r="C321" s="14">
        <f>C318*C12</f>
        <v>64.6602</v>
      </c>
      <c r="D321" s="14">
        <f>D318*D12</f>
        <v>66.56960000000001</v>
      </c>
      <c r="E321" s="14">
        <f>E318*E12</f>
        <v>66.1323</v>
      </c>
      <c r="F321" s="14">
        <f>G321-C321-D321-E321</f>
        <v>65.05070000000005</v>
      </c>
      <c r="G321" s="14">
        <f>G318*G12</f>
        <v>262.41280000000006</v>
      </c>
      <c r="H321" s="14">
        <f>H318*H12</f>
        <v>81.46289999999999</v>
      </c>
      <c r="I321" s="14">
        <f>I318*I12</f>
        <v>83.54150000000001</v>
      </c>
      <c r="J321" s="33">
        <f>J318*J12</f>
        <v>86.49852190000001</v>
      </c>
      <c r="K321" s="1"/>
      <c r="L321" s="5"/>
    </row>
    <row r="322">
      <c r="A322" s="1"/>
      <c r="B322" s="11" t="s">
        <v>71</v>
      </c>
      <c r="C322" s="30"/>
      <c r="D322" s="30"/>
      <c r="E322" s="30"/>
      <c r="F322" s="30"/>
      <c r="G322" s="30"/>
      <c r="H322" s="30">
        <f>H321/C321-1</f>
        <v>0.25986155316562565</v>
      </c>
      <c r="I322" s="30">
        <f>I321/D321-1</f>
        <v>0.2549497067730617</v>
      </c>
      <c r="J322" s="34">
        <f>J321/E321-1</f>
        <v>0.30796179627806697</v>
      </c>
      <c r="K322" s="1"/>
      <c r="L322" s="5"/>
    </row>
    <row r="323">
      <c r="A323" s="1"/>
      <c r="B323" s="1" t="s">
        <v>73</v>
      </c>
      <c r="C323" s="14"/>
      <c r="D323" s="14">
        <f>D321-C321</f>
        <v>1.909400000000005</v>
      </c>
      <c r="E323" s="14">
        <f>E321-D321</f>
        <v>-0.43730000000000757</v>
      </c>
      <c r="F323" s="14">
        <f>F321-E321</f>
        <v>-1.081599999999952</v>
      </c>
      <c r="G323" s="14"/>
      <c r="H323" s="14">
        <f>H321-F321</f>
        <v>16.41219999999994</v>
      </c>
      <c r="I323" s="14">
        <f>I321-H321</f>
        <v>2.078600000000023</v>
      </c>
      <c r="J323" s="33">
        <f>J321-I321</f>
        <v>2.957021900000001</v>
      </c>
      <c r="K323" s="1"/>
      <c r="L323" s="5"/>
    </row>
    <row r="324">
      <c r="A324" s="1"/>
      <c r="B324" s="9" t="s">
        <v>220</v>
      </c>
      <c r="C324" s="35">
        <f>C267+C273+C279+C285+C291+C297+C303+C309+C315+C321</f>
        <v>1959.4</v>
      </c>
      <c r="D324" s="35">
        <f>D267+D273+D279+D285+D291+D297+D303+D309+D315+D321</f>
        <v>2080.2999999999997</v>
      </c>
      <c r="E324" s="35">
        <f>E267+E273+E279+E285+E291+E297+E303+E309+E315+E321</f>
        <v>2133.3000000000006</v>
      </c>
      <c r="F324" s="35">
        <f>F267+F273+F279+F285+F291+F297+F303+F309+F315+F321</f>
        <v>2027.4000000000005</v>
      </c>
      <c r="G324" s="35">
        <f>G267+G273+G279+G285+G291+G297+G303+G309+G315+G321</f>
        <v>8200.400000000001</v>
      </c>
      <c r="H324" s="35">
        <f>H267+H273+H279+H285+H291+H297+H303+H309+H315+H321</f>
        <v>2201.7000000000003</v>
      </c>
      <c r="I324" s="35">
        <f>I267+I273+I279+I285+I291+I297+I303+I309+I315+I321</f>
        <v>2386.9</v>
      </c>
      <c r="J324" s="48">
        <f>J267+J273+J279+J285+J291+J297+J303+J309+J315+J321</f>
        <v>2471.38634</v>
      </c>
      <c r="K324" s="1"/>
      <c r="L324" s="5"/>
    </row>
    <row r="325">
      <c r="A325" s="1"/>
      <c r="B325" s="1" t="s">
        <v>170</v>
      </c>
      <c r="C325" s="14">
        <f>C324-C12</f>
        <v>0</v>
      </c>
      <c r="D325" s="14">
        <f>D324-D12</f>
        <v>0</v>
      </c>
      <c r="E325" s="14">
        <f>E324-E12</f>
        <v>0</v>
      </c>
      <c r="F325" s="14">
        <f>F324-F12</f>
        <v>0</v>
      </c>
      <c r="G325" s="14">
        <f>G324-G12</f>
        <v>0</v>
      </c>
      <c r="H325" s="14">
        <f>H324-H12</f>
        <v>0</v>
      </c>
      <c r="I325" s="14">
        <f>I324-I12</f>
        <v>0</v>
      </c>
      <c r="J325" s="33">
        <f>J324-J12</f>
        <v>0</v>
      </c>
      <c r="K325" s="1"/>
      <c r="L325" s="5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43"/>
      <c r="K326" s="1"/>
      <c r="L326" s="5"/>
    </row>
    <row r="327">
      <c r="A327" s="1"/>
      <c r="B327" s="9" t="s">
        <v>221</v>
      </c>
      <c r="C327" s="14"/>
      <c r="D327" s="14"/>
      <c r="E327" s="14"/>
      <c r="F327" s="14"/>
      <c r="G327" s="14"/>
      <c r="H327" s="14"/>
      <c r="I327" s="14"/>
      <c r="J327" s="33"/>
      <c r="K327" s="1"/>
      <c r="L327" s="5"/>
    </row>
    <row r="328">
      <c r="A328" s="1"/>
      <c r="B328" s="1" t="s">
        <v>222</v>
      </c>
      <c r="C328" s="37">
        <v>2502</v>
      </c>
      <c r="D328" s="37">
        <v>2683</v>
      </c>
      <c r="E328" s="37">
        <v>2771</v>
      </c>
      <c r="F328" s="37">
        <v>2657</v>
      </c>
      <c r="G328" s="13"/>
      <c r="H328" s="37">
        <v>2909</v>
      </c>
      <c r="I328" s="37">
        <v>3125</v>
      </c>
      <c r="J328" s="31"/>
      <c r="K328" s="1"/>
      <c r="L328" s="5" t="s">
        <v>223</v>
      </c>
    </row>
    <row r="329">
      <c r="A329" s="1"/>
      <c r="B329" s="1" t="s">
        <v>224</v>
      </c>
      <c r="C329" s="13"/>
      <c r="D329" s="13"/>
      <c r="E329" s="13"/>
      <c r="F329" s="13"/>
      <c r="G329" s="13"/>
      <c r="H329" s="13">
        <f>H328-C328</f>
        <v>407</v>
      </c>
      <c r="I329" s="13">
        <f>I328-D328</f>
        <v>442</v>
      </c>
      <c r="J329" s="31"/>
      <c r="K329" s="1"/>
      <c r="L329" s="5"/>
    </row>
    <row r="330">
      <c r="A330" s="1"/>
      <c r="B330" s="11" t="s">
        <v>71</v>
      </c>
      <c r="C330" s="30"/>
      <c r="D330" s="30"/>
      <c r="E330" s="30"/>
      <c r="F330" s="30"/>
      <c r="G330" s="30"/>
      <c r="H330" s="30">
        <f>H328/C328-1</f>
        <v>0.16266986410871298</v>
      </c>
      <c r="I330" s="30">
        <f>I328/D328-1</f>
        <v>0.16474096161013785</v>
      </c>
      <c r="J330" s="34"/>
      <c r="K330" s="1"/>
      <c r="L330" s="5"/>
    </row>
    <row r="331">
      <c r="A331" s="1"/>
      <c r="B331" s="1" t="s">
        <v>225</v>
      </c>
      <c r="C331" s="13"/>
      <c r="D331" s="13">
        <f>D328-C328</f>
        <v>181</v>
      </c>
      <c r="E331" s="13">
        <f>E328-D328</f>
        <v>88</v>
      </c>
      <c r="F331" s="13">
        <f>F328-E328</f>
        <v>-114</v>
      </c>
      <c r="G331" s="13"/>
      <c r="H331" s="13">
        <f>H328-F328</f>
        <v>252</v>
      </c>
      <c r="I331" s="13">
        <f>I328-H328</f>
        <v>216</v>
      </c>
      <c r="J331" s="31"/>
      <c r="K331" s="1"/>
      <c r="L331" s="5"/>
    </row>
    <row r="332">
      <c r="A332" s="1"/>
      <c r="B332" s="1" t="s">
        <v>226</v>
      </c>
      <c r="C332" s="25">
        <v>1010.6</v>
      </c>
      <c r="D332" s="25">
        <v>1094.1</v>
      </c>
      <c r="E332" s="25">
        <v>1141.9</v>
      </c>
      <c r="F332" s="25">
        <v>1079.7</v>
      </c>
      <c r="G332" s="14"/>
      <c r="H332" s="25">
        <v>1224.8</v>
      </c>
      <c r="I332" s="25">
        <v>1381.2</v>
      </c>
      <c r="J332" s="33"/>
      <c r="K332" s="1"/>
      <c r="L332" s="5"/>
    </row>
    <row r="333">
      <c r="A333" s="1"/>
      <c r="B333" s="11" t="s">
        <v>227</v>
      </c>
      <c r="C333" s="30">
        <f>C332/C12</f>
        <v>0.5157701337144024</v>
      </c>
      <c r="D333" s="30">
        <f>D332/D12</f>
        <v>0.5259337595539104</v>
      </c>
      <c r="E333" s="30">
        <f>E332/E12</f>
        <v>0.5352739886560728</v>
      </c>
      <c r="F333" s="30">
        <f>F332/F12</f>
        <v>0.5325540100621485</v>
      </c>
      <c r="G333" s="30"/>
      <c r="H333" s="30">
        <f>H332/H12</f>
        <v>0.5562974065494846</v>
      </c>
      <c r="I333" s="30">
        <f>I332/I12</f>
        <v>0.5786585110394236</v>
      </c>
      <c r="J333" s="34"/>
      <c r="K333" s="1"/>
      <c r="L333" s="5"/>
    </row>
    <row r="334">
      <c r="A334" s="1"/>
      <c r="B334" s="1" t="s">
        <v>228</v>
      </c>
      <c r="C334" s="13"/>
      <c r="D334" s="13"/>
      <c r="E334" s="13"/>
      <c r="F334" s="13"/>
      <c r="G334" s="13"/>
      <c r="H334" s="13">
        <f>(H333-C333)*10000</f>
        <v>405.27272835082175</v>
      </c>
      <c r="I334" s="13">
        <f>(I333-D333)*10000</f>
        <v>527.2475148551314</v>
      </c>
      <c r="J334" s="31"/>
      <c r="K334" s="1"/>
      <c r="L334" s="5"/>
    </row>
    <row r="335">
      <c r="A335" s="1"/>
      <c r="B335" s="1" t="s">
        <v>229</v>
      </c>
      <c r="C335" s="13"/>
      <c r="D335" s="13">
        <f>(D333-C333)*10000</f>
        <v>101.63625839508028</v>
      </c>
      <c r="E335" s="13">
        <f>(E333-D333)*10000</f>
        <v>93.40229102162367</v>
      </c>
      <c r="F335" s="13">
        <f>(F333-E333)*10000</f>
        <v>-27.19978593924255</v>
      </c>
      <c r="G335" s="13"/>
      <c r="H335" s="13">
        <f>(H333-F333)*10000</f>
        <v>237.43396487336034</v>
      </c>
      <c r="I335" s="13">
        <f>(I333-H333)*10000</f>
        <v>223.61104489938998</v>
      </c>
      <c r="J335" s="31"/>
      <c r="K335" s="1"/>
      <c r="L335" s="5"/>
    </row>
    <row r="336">
      <c r="A336" s="1"/>
      <c r="B336" s="11" t="s">
        <v>230</v>
      </c>
      <c r="C336" s="30"/>
      <c r="D336" s="30"/>
      <c r="E336" s="30"/>
      <c r="F336" s="30"/>
      <c r="G336" s="30"/>
      <c r="H336" s="30">
        <f>H332/C332-1</f>
        <v>0.21195329507223426</v>
      </c>
      <c r="I336" s="30">
        <f>I332/D332-1</f>
        <v>0.2624074581848095</v>
      </c>
      <c r="J336" s="34"/>
      <c r="K336" s="1"/>
      <c r="L336" s="5"/>
    </row>
    <row r="337">
      <c r="A337" s="1"/>
      <c r="B337" s="1" t="s">
        <v>231</v>
      </c>
      <c r="C337" s="13">
        <f>C332*1000000/C328/3</f>
        <v>134638.95550226487</v>
      </c>
      <c r="D337" s="13">
        <f>D332*1000000/D328/3</f>
        <v>135929.92918374954</v>
      </c>
      <c r="E337" s="13">
        <f>E332*1000000/E328/3</f>
        <v>137363.16612534583</v>
      </c>
      <c r="F337" s="13">
        <f>F332*1000000/F328/3</f>
        <v>135453.5190063982</v>
      </c>
      <c r="G337" s="13"/>
      <c r="H337" s="13">
        <f>H332*1000000/H328/3</f>
        <v>140346.05248080668</v>
      </c>
      <c r="I337" s="13">
        <f>I332*1000000/I328/3</f>
        <v>147328</v>
      </c>
      <c r="J337" s="31"/>
      <c r="K337" s="1"/>
      <c r="L337" s="5"/>
    </row>
    <row r="338">
      <c r="A338" s="1"/>
      <c r="B338" s="11" t="s">
        <v>230</v>
      </c>
      <c r="C338" s="30"/>
      <c r="D338" s="30"/>
      <c r="E338" s="30"/>
      <c r="F338" s="30"/>
      <c r="G338" s="30"/>
      <c r="H338" s="30">
        <f>H337/C337-1</f>
        <v>0.04238815547292196</v>
      </c>
      <c r="I338" s="30">
        <f>I337/D337-1</f>
        <v>0.08385254729915004</v>
      </c>
      <c r="J338" s="34"/>
      <c r="K338" s="1"/>
      <c r="L338" s="5"/>
    </row>
    <row r="339">
      <c r="A339" s="1"/>
      <c r="B339" s="1" t="s">
        <v>232</v>
      </c>
      <c r="C339" s="13"/>
      <c r="D339" s="13">
        <f>D337-C337</f>
        <v>1290.9736814846692</v>
      </c>
      <c r="E339" s="13">
        <f>E337-D337</f>
        <v>1433.2369415962894</v>
      </c>
      <c r="F339" s="13">
        <f>F337-E337</f>
        <v>-1909.6471189476433</v>
      </c>
      <c r="G339" s="13"/>
      <c r="H339" s="13">
        <f>H337-F337</f>
        <v>4892.533474408498</v>
      </c>
      <c r="I339" s="13">
        <f>I337-H337</f>
        <v>6981.947519193316</v>
      </c>
      <c r="J339" s="31"/>
      <c r="K339" s="1"/>
      <c r="L339" s="5"/>
    </row>
    <row r="340">
      <c r="A340" s="1"/>
      <c r="B340" s="1" t="s">
        <v>233</v>
      </c>
      <c r="C340" s="37">
        <v>11418</v>
      </c>
      <c r="D340" s="37">
        <v>11968</v>
      </c>
      <c r="E340" s="37">
        <v>12195</v>
      </c>
      <c r="F340" s="37">
        <v>11712</v>
      </c>
      <c r="G340" s="13"/>
      <c r="H340" s="37">
        <v>12302</v>
      </c>
      <c r="I340" s="37">
        <v>12865</v>
      </c>
      <c r="J340" s="31"/>
      <c r="K340" s="1"/>
      <c r="L340" s="5" t="s">
        <v>223</v>
      </c>
    </row>
    <row r="341">
      <c r="A341" s="1"/>
      <c r="B341" s="1" t="s">
        <v>224</v>
      </c>
      <c r="C341" s="13"/>
      <c r="D341" s="13"/>
      <c r="E341" s="13"/>
      <c r="F341" s="13"/>
      <c r="G341" s="13"/>
      <c r="H341" s="13">
        <f>H340-C340</f>
        <v>884</v>
      </c>
      <c r="I341" s="13">
        <f>I340-D340</f>
        <v>897</v>
      </c>
      <c r="J341" s="31"/>
      <c r="K341" s="1"/>
      <c r="L341" s="5"/>
    </row>
    <row r="342">
      <c r="A342" s="1"/>
      <c r="B342" s="11" t="s">
        <v>71</v>
      </c>
      <c r="C342" s="30"/>
      <c r="D342" s="30"/>
      <c r="E342" s="30"/>
      <c r="F342" s="30"/>
      <c r="G342" s="30"/>
      <c r="H342" s="30">
        <f>H340/C340-1</f>
        <v>0.07742161499386935</v>
      </c>
      <c r="I342" s="30">
        <f>I340/D340-1</f>
        <v>0.07494986631016043</v>
      </c>
      <c r="J342" s="34"/>
      <c r="K342" s="1"/>
      <c r="L342" s="5"/>
    </row>
    <row r="343">
      <c r="A343" s="1"/>
      <c r="B343" s="1" t="s">
        <v>225</v>
      </c>
      <c r="C343" s="13"/>
      <c r="D343" s="13">
        <f>D340-C340</f>
        <v>550</v>
      </c>
      <c r="E343" s="13">
        <f>E340-D340</f>
        <v>227</v>
      </c>
      <c r="F343" s="13">
        <f>F340-E340</f>
        <v>-483</v>
      </c>
      <c r="G343" s="13"/>
      <c r="H343" s="13">
        <f>H340-F340</f>
        <v>590</v>
      </c>
      <c r="I343" s="13">
        <f>I340-H340</f>
        <v>563</v>
      </c>
      <c r="J343" s="31"/>
      <c r="K343" s="1"/>
      <c r="L343" s="5"/>
    </row>
    <row r="344">
      <c r="A344" s="1"/>
      <c r="B344" s="1" t="s">
        <v>226</v>
      </c>
      <c r="C344" s="25">
        <v>1581.6</v>
      </c>
      <c r="D344" s="25">
        <v>1694</v>
      </c>
      <c r="E344" s="25">
        <v>1752</v>
      </c>
      <c r="F344" s="25">
        <v>1664.7</v>
      </c>
      <c r="G344" s="14"/>
      <c r="H344" s="25">
        <v>1833</v>
      </c>
      <c r="I344" s="25">
        <v>2015.6</v>
      </c>
      <c r="J344" s="33"/>
      <c r="K344" s="1"/>
      <c r="L344" s="5"/>
    </row>
    <row r="345">
      <c r="A345" s="1"/>
      <c r="B345" s="11" t="s">
        <v>227</v>
      </c>
      <c r="C345" s="30">
        <f>C344/C12</f>
        <v>0.8071858732264978</v>
      </c>
      <c r="D345" s="30">
        <f>D344/D12</f>
        <v>0.8143056289958178</v>
      </c>
      <c r="E345" s="30">
        <f>E344/E12</f>
        <v>0.8212628322317536</v>
      </c>
      <c r="F345" s="30">
        <f>F344/F12</f>
        <v>0.8211009174311926</v>
      </c>
      <c r="G345" s="30"/>
      <c r="H345" s="30">
        <f>H344/H12</f>
        <v>0.8325384929826952</v>
      </c>
      <c r="I345" s="30">
        <f>I344/I12</f>
        <v>0.8444425824290921</v>
      </c>
      <c r="J345" s="34"/>
      <c r="K345" s="1"/>
      <c r="L345" s="5"/>
    </row>
    <row r="346">
      <c r="A346" s="1"/>
      <c r="B346" s="1" t="s">
        <v>228</v>
      </c>
      <c r="C346" s="13"/>
      <c r="D346" s="13"/>
      <c r="E346" s="13"/>
      <c r="F346" s="13"/>
      <c r="G346" s="13"/>
      <c r="H346" s="13">
        <f>(H345-C345)*10000</f>
        <v>253.52619756197404</v>
      </c>
      <c r="I346" s="13">
        <f>(I345-D345)*10000</f>
        <v>301.3695343327427</v>
      </c>
      <c r="J346" s="31"/>
      <c r="K346" s="1"/>
      <c r="L346" s="5"/>
    </row>
    <row r="347">
      <c r="A347" s="1"/>
      <c r="B347" s="1" t="s">
        <v>229</v>
      </c>
      <c r="C347" s="13"/>
      <c r="D347" s="13">
        <f>(D345-C345)*10000</f>
        <v>71.19755769320003</v>
      </c>
      <c r="E347" s="13">
        <f>(E345-D345)*10000</f>
        <v>69.57203235935738</v>
      </c>
      <c r="F347" s="13">
        <f>(F345-E345)*10000</f>
        <v>-1.619148005609361</v>
      </c>
      <c r="G347" s="13"/>
      <c r="H347" s="13">
        <f>(H345-F345)*10000</f>
        <v>114.37575551502599</v>
      </c>
      <c r="I347" s="13">
        <f>(I345-H345)*10000</f>
        <v>119.0408944639687</v>
      </c>
      <c r="J347" s="31"/>
      <c r="K347" s="1"/>
      <c r="L347" s="5"/>
    </row>
    <row r="348">
      <c r="A348" s="1"/>
      <c r="B348" s="11" t="s">
        <v>230</v>
      </c>
      <c r="C348" s="30"/>
      <c r="D348" s="30"/>
      <c r="E348" s="30"/>
      <c r="F348" s="30"/>
      <c r="G348" s="30"/>
      <c r="H348" s="30">
        <f>H344/C344-1</f>
        <v>0.15895295902883166</v>
      </c>
      <c r="I348" s="30">
        <f>I344/D344-1</f>
        <v>0.18984651711924427</v>
      </c>
      <c r="J348" s="34"/>
      <c r="K348" s="1"/>
      <c r="L348" s="5"/>
    </row>
    <row r="349">
      <c r="A349" s="1"/>
      <c r="B349" s="1" t="s">
        <v>231</v>
      </c>
      <c r="C349" s="13">
        <f>C344*1000000/C340/3</f>
        <v>46172.70975652479</v>
      </c>
      <c r="D349" s="13">
        <f>D344*1000000/D340/3</f>
        <v>47181.37254901961</v>
      </c>
      <c r="E349" s="13">
        <f>E344*1000000/E340/3</f>
        <v>47888.47888478885</v>
      </c>
      <c r="F349" s="13">
        <f>F344*1000000/F340/3</f>
        <v>47378.75683060109</v>
      </c>
      <c r="G349" s="13"/>
      <c r="H349" s="13">
        <f>H344*1000000/H340/3</f>
        <v>49666.72085839701</v>
      </c>
      <c r="I349" s="13">
        <f>I344*1000000/I340/3</f>
        <v>52224.38139655395</v>
      </c>
      <c r="J349" s="31"/>
      <c r="K349" s="1"/>
      <c r="L349" s="5"/>
    </row>
    <row r="350">
      <c r="A350" s="1"/>
      <c r="B350" s="11" t="s">
        <v>230</v>
      </c>
      <c r="C350" s="30"/>
      <c r="D350" s="30"/>
      <c r="E350" s="30"/>
      <c r="F350" s="30"/>
      <c r="G350" s="30"/>
      <c r="H350" s="30">
        <f>H349/C349-1</f>
        <v>0.07567264560162568</v>
      </c>
      <c r="I350" s="30">
        <f>I349/D349-1</f>
        <v>0.10688559011916943</v>
      </c>
      <c r="J350" s="34"/>
      <c r="K350" s="1"/>
      <c r="L350" s="5"/>
    </row>
    <row r="351">
      <c r="A351" s="1"/>
      <c r="B351" s="1" t="s">
        <v>232</v>
      </c>
      <c r="C351" s="13"/>
      <c r="D351" s="13">
        <f>D349-C349</f>
        <v>1008.6627924948189</v>
      </c>
      <c r="E351" s="13">
        <f>E349-D349</f>
        <v>707.1063357692401</v>
      </c>
      <c r="F351" s="13">
        <f>F349-E349</f>
        <v>-509.7220541877614</v>
      </c>
      <c r="G351" s="13"/>
      <c r="H351" s="13">
        <f>H349-F349</f>
        <v>2287.964027795926</v>
      </c>
      <c r="I351" s="13">
        <f>I349-H349</f>
        <v>2557.660538156939</v>
      </c>
      <c r="J351" s="31"/>
      <c r="K351" s="1"/>
      <c r="L351" s="5"/>
    </row>
    <row r="352">
      <c r="A352" s="1"/>
      <c r="B352" s="1" t="s">
        <v>234</v>
      </c>
      <c r="C352" s="37">
        <v>101044</v>
      </c>
      <c r="D352" s="37">
        <v>101440</v>
      </c>
      <c r="E352" s="37">
        <v>98823</v>
      </c>
      <c r="F352" s="37">
        <v>92136</v>
      </c>
      <c r="G352" s="13"/>
      <c r="H352" s="37">
        <v>92445</v>
      </c>
      <c r="I352" s="37">
        <v>93283</v>
      </c>
      <c r="J352" s="31"/>
      <c r="K352" s="1"/>
      <c r="L352" s="5" t="s">
        <v>223</v>
      </c>
    </row>
    <row r="353">
      <c r="A353" s="1"/>
      <c r="B353" s="1" t="s">
        <v>224</v>
      </c>
      <c r="C353" s="13"/>
      <c r="D353" s="13"/>
      <c r="E353" s="13"/>
      <c r="F353" s="13"/>
      <c r="G353" s="13"/>
      <c r="H353" s="13">
        <f>H352-C352</f>
        <v>-8599</v>
      </c>
      <c r="I353" s="13">
        <f>I352-D352</f>
        <v>-8157</v>
      </c>
      <c r="J353" s="31"/>
      <c r="K353" s="1"/>
      <c r="L353" s="5"/>
    </row>
    <row r="354">
      <c r="A354" s="1"/>
      <c r="B354" s="11" t="s">
        <v>71</v>
      </c>
      <c r="C354" s="30"/>
      <c r="D354" s="30"/>
      <c r="E354" s="30"/>
      <c r="F354" s="30"/>
      <c r="G354" s="30"/>
      <c r="H354" s="30">
        <f>H352/C352-1</f>
        <v>-0.0851015399232018</v>
      </c>
      <c r="I354" s="30">
        <f>I352/D352-1</f>
        <v>-0.08041206624605679</v>
      </c>
      <c r="J354" s="34"/>
      <c r="K354" s="1"/>
      <c r="L354" s="5"/>
    </row>
    <row r="355">
      <c r="A355" s="1"/>
      <c r="B355" s="1" t="s">
        <v>225</v>
      </c>
      <c r="C355" s="13"/>
      <c r="D355" s="13">
        <f>D352-C352</f>
        <v>396</v>
      </c>
      <c r="E355" s="13">
        <f>E352-D352</f>
        <v>-2617</v>
      </c>
      <c r="F355" s="13">
        <f>F352-E352</f>
        <v>-6687</v>
      </c>
      <c r="G355" s="13"/>
      <c r="H355" s="13">
        <f>H352-F352</f>
        <v>309</v>
      </c>
      <c r="I355" s="13">
        <f>I352-H352</f>
        <v>838</v>
      </c>
      <c r="J355" s="31"/>
      <c r="K355" s="1"/>
      <c r="L355" s="5"/>
    </row>
    <row r="356">
      <c r="A356" s="1"/>
      <c r="B356" s="1" t="s">
        <v>235</v>
      </c>
      <c r="C356" s="13">
        <f>C12*1000000/C352/3</f>
        <v>6463.850731694444</v>
      </c>
      <c r="D356" s="13">
        <f>D12*1000000/D352/3</f>
        <v>6835.896424815984</v>
      </c>
      <c r="E356" s="13">
        <f>E12*1000000/E352/3</f>
        <v>7195.693310261781</v>
      </c>
      <c r="F356" s="13">
        <f>F12*1000000/F352/3</f>
        <v>7334.809412173309</v>
      </c>
      <c r="G356" s="13"/>
      <c r="H356" s="13">
        <f>H12*1000000/H352/3</f>
        <v>7938.774406403808</v>
      </c>
      <c r="I356" s="13">
        <f>I12*1000000/I352/3</f>
        <v>8529.24255580688</v>
      </c>
      <c r="J356" s="31"/>
      <c r="K356" s="1"/>
      <c r="L356" s="5"/>
    </row>
    <row r="357">
      <c r="A357" s="1"/>
      <c r="B357" s="11" t="s">
        <v>230</v>
      </c>
      <c r="C357" s="30"/>
      <c r="D357" s="30"/>
      <c r="E357" s="30"/>
      <c r="F357" s="30"/>
      <c r="G357" s="30"/>
      <c r="H357" s="30">
        <f>H356/C356-1</f>
        <v>0.22818034263652076</v>
      </c>
      <c r="I357" s="30">
        <f>I356/D356-1</f>
        <v>0.2477138367462144</v>
      </c>
      <c r="J357" s="34"/>
      <c r="K357" s="1"/>
      <c r="L357" s="5"/>
    </row>
    <row r="358">
      <c r="A358" s="1"/>
      <c r="B358" s="1" t="s">
        <v>232</v>
      </c>
      <c r="C358" s="13"/>
      <c r="D358" s="13">
        <f>D356-C356</f>
        <v>372.04569312153944</v>
      </c>
      <c r="E358" s="13">
        <f>E356-D356</f>
        <v>359.79688544579767</v>
      </c>
      <c r="F358" s="13">
        <f>F356-E356</f>
        <v>139.11610191152795</v>
      </c>
      <c r="G358" s="13"/>
      <c r="H358" s="13">
        <f>H356-F356</f>
        <v>603.9649942304986</v>
      </c>
      <c r="I358" s="13">
        <f>I356-H356</f>
        <v>590.4681494030729</v>
      </c>
      <c r="J358" s="31"/>
      <c r="K358" s="1"/>
      <c r="L358" s="5"/>
    </row>
    <row r="359">
      <c r="A359" s="1"/>
      <c r="B359" s="11" t="s">
        <v>236</v>
      </c>
      <c r="C359" s="11"/>
      <c r="D359" s="11"/>
      <c r="E359" s="11"/>
      <c r="F359" s="11"/>
      <c r="G359" s="11"/>
      <c r="H359" s="11"/>
      <c r="I359" s="11"/>
      <c r="J359" s="58"/>
      <c r="K359" s="1"/>
      <c r="L359" s="5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43"/>
      <c r="K360" s="1"/>
      <c r="L360" s="5"/>
    </row>
    <row r="361">
      <c r="A361" s="1"/>
      <c r="B361" s="9" t="s">
        <v>237</v>
      </c>
      <c r="C361" s="14"/>
      <c r="D361" s="14"/>
      <c r="E361" s="14"/>
      <c r="F361" s="14"/>
      <c r="G361" s="14"/>
      <c r="H361" s="14"/>
      <c r="I361" s="14"/>
      <c r="J361" s="33"/>
      <c r="K361" s="1"/>
      <c r="L361" s="5"/>
    </row>
    <row r="362">
      <c r="A362" s="1"/>
      <c r="B362" s="1" t="s">
        <v>238</v>
      </c>
      <c r="C362" s="37">
        <v>126957</v>
      </c>
      <c r="D362" s="13">
        <f>C368</f>
        <v>129996</v>
      </c>
      <c r="E362" s="13">
        <f>D368</f>
        <v>132174</v>
      </c>
      <c r="F362" s="13">
        <f>E368</f>
        <v>133910</v>
      </c>
      <c r="G362" s="13">
        <f>C362</f>
        <v>126957</v>
      </c>
      <c r="H362" s="13">
        <f>F368</f>
        <v>136638</v>
      </c>
      <c r="I362" s="13">
        <f>H368</f>
        <v>137702</v>
      </c>
      <c r="J362" s="31">
        <f>I368</f>
        <v>140789</v>
      </c>
      <c r="K362" s="1"/>
      <c r="L362" s="5" t="s">
        <v>239</v>
      </c>
    </row>
    <row r="363" ht="28.5">
      <c r="A363" s="1"/>
      <c r="B363" s="1" t="s">
        <v>240</v>
      </c>
      <c r="C363" s="37">
        <v>6418</v>
      </c>
      <c r="D363" s="37">
        <v>6458</v>
      </c>
      <c r="E363" s="37">
        <v>7050</v>
      </c>
      <c r="F363" s="37">
        <v>5966</v>
      </c>
      <c r="G363" s="13">
        <f>SUM(C363:F363)</f>
        <v>25892</v>
      </c>
      <c r="H363" s="37">
        <v>6950</v>
      </c>
      <c r="I363" s="37">
        <v>6993</v>
      </c>
      <c r="J363" s="64">
        <v>7000</v>
      </c>
      <c r="K363" s="1"/>
      <c r="L363" s="85" t="s">
        <v>241</v>
      </c>
    </row>
    <row r="364">
      <c r="A364" s="1"/>
      <c r="B364" s="11" t="s">
        <v>71</v>
      </c>
      <c r="C364" s="30"/>
      <c r="D364" s="30"/>
      <c r="E364" s="30"/>
      <c r="F364" s="30"/>
      <c r="G364" s="30"/>
      <c r="H364" s="30">
        <f>H363/C363-1</f>
        <v>0.08289186662511683</v>
      </c>
      <c r="I364" s="30">
        <f>I363/D363-1</f>
        <v>0.08284298544440993</v>
      </c>
      <c r="J364" s="34">
        <f>J363/E363-1</f>
        <v>-0.007092198581560294</v>
      </c>
      <c r="K364" s="1"/>
      <c r="L364" s="5"/>
    </row>
    <row r="365">
      <c r="A365" s="1"/>
      <c r="B365" s="1" t="s">
        <v>242</v>
      </c>
      <c r="C365" s="13"/>
      <c r="D365" s="13">
        <f>D363-C363</f>
        <v>40</v>
      </c>
      <c r="E365" s="13">
        <f>E363-D363</f>
        <v>592</v>
      </c>
      <c r="F365" s="13">
        <f>F363-E363</f>
        <v>-1084</v>
      </c>
      <c r="G365" s="13"/>
      <c r="H365" s="13">
        <f>H363-F363</f>
        <v>984</v>
      </c>
      <c r="I365" s="13">
        <f>I363-H363</f>
        <v>43</v>
      </c>
      <c r="J365" s="31">
        <f>J363-I363</f>
        <v>7</v>
      </c>
      <c r="K365" s="1"/>
      <c r="L365" s="5"/>
    </row>
    <row r="366">
      <c r="A366" s="1"/>
      <c r="B366" s="1" t="s">
        <v>243</v>
      </c>
      <c r="C366" s="13">
        <f>C368-C362</f>
        <v>3039</v>
      </c>
      <c r="D366" s="13">
        <f>D368-D362</f>
        <v>2178</v>
      </c>
      <c r="E366" s="13">
        <f>E368-E362</f>
        <v>1736</v>
      </c>
      <c r="F366" s="13">
        <f>F368-F362</f>
        <v>2728</v>
      </c>
      <c r="G366" s="13">
        <f>G368-G362</f>
        <v>9681</v>
      </c>
      <c r="H366" s="13">
        <f>H368-H362</f>
        <v>1064</v>
      </c>
      <c r="I366" s="13">
        <f>I368-I362</f>
        <v>3087</v>
      </c>
      <c r="J366" s="31">
        <f>J363*I373</f>
        <v>3090.09009009009</v>
      </c>
      <c r="K366" s="1"/>
      <c r="L366" s="5"/>
    </row>
    <row r="367">
      <c r="A367" s="1"/>
      <c r="B367" s="1" t="s">
        <v>244</v>
      </c>
      <c r="C367" s="13">
        <f>C363-C366</f>
        <v>3379</v>
      </c>
      <c r="D367" s="13">
        <f>D363-D366</f>
        <v>4280</v>
      </c>
      <c r="E367" s="13">
        <f>E363-E366</f>
        <v>5314</v>
      </c>
      <c r="F367" s="13">
        <f>F363-F366</f>
        <v>3238</v>
      </c>
      <c r="G367" s="13">
        <f>G363-G366</f>
        <v>16211</v>
      </c>
      <c r="H367" s="13">
        <f>H363-H366</f>
        <v>5886</v>
      </c>
      <c r="I367" s="13">
        <f>I363-I366</f>
        <v>3906</v>
      </c>
      <c r="J367" s="31">
        <f>J363-J366</f>
        <v>3909.90990990991</v>
      </c>
      <c r="K367" s="1"/>
      <c r="L367" s="5"/>
    </row>
    <row r="368">
      <c r="A368" s="1"/>
      <c r="B368" s="9" t="s">
        <v>245</v>
      </c>
      <c r="C368" s="67">
        <v>129996</v>
      </c>
      <c r="D368" s="67">
        <v>132174</v>
      </c>
      <c r="E368" s="67">
        <v>133910</v>
      </c>
      <c r="F368" s="67">
        <v>136638</v>
      </c>
      <c r="G368" s="68">
        <f>F368</f>
        <v>136638</v>
      </c>
      <c r="H368" s="67">
        <v>137702</v>
      </c>
      <c r="I368" s="67">
        <v>140789</v>
      </c>
      <c r="J368" s="66">
        <f>J362+J366</f>
        <v>143879.0900900901</v>
      </c>
      <c r="K368" s="1"/>
      <c r="L368" s="5" t="s">
        <v>203</v>
      </c>
    </row>
    <row r="369">
      <c r="A369" s="1"/>
      <c r="B369" s="11" t="s">
        <v>71</v>
      </c>
      <c r="C369" s="30"/>
      <c r="D369" s="30"/>
      <c r="E369" s="30"/>
      <c r="F369" s="30"/>
      <c r="G369" s="30"/>
      <c r="H369" s="30">
        <f>H368/C368-1</f>
        <v>0.05927874703837044</v>
      </c>
      <c r="I369" s="30">
        <f>I368/D368-1</f>
        <v>0.06517923343471477</v>
      </c>
      <c r="J369" s="34">
        <f>J368/E368-1</f>
        <v>0.07444619587850121</v>
      </c>
      <c r="K369" s="1"/>
      <c r="L369" s="5"/>
    </row>
    <row r="370">
      <c r="A370" s="1"/>
      <c r="B370" s="1" t="s">
        <v>246</v>
      </c>
      <c r="C370" s="13">
        <f>(C362+C368)/2</f>
        <v>128476.5</v>
      </c>
      <c r="D370" s="13">
        <f>(D362+D368)/2</f>
        <v>131085</v>
      </c>
      <c r="E370" s="13">
        <f>(E362+E368)/2</f>
        <v>133042</v>
      </c>
      <c r="F370" s="13">
        <f>(F362+F368)/2</f>
        <v>135274</v>
      </c>
      <c r="G370" s="13"/>
      <c r="H370" s="13">
        <f>(H362+H368)/2</f>
        <v>137170</v>
      </c>
      <c r="I370" s="13">
        <f>(I362+I368)/2</f>
        <v>139245.5</v>
      </c>
      <c r="J370" s="31">
        <f>(J362+J368)/2</f>
        <v>142334.04504504503</v>
      </c>
      <c r="K370" s="1"/>
      <c r="L370" s="5"/>
    </row>
    <row r="371">
      <c r="A371" s="1"/>
      <c r="B371" s="1" t="s">
        <v>247</v>
      </c>
      <c r="C371" s="13"/>
      <c r="D371" s="13"/>
      <c r="E371" s="13"/>
      <c r="F371" s="13"/>
      <c r="G371" s="13"/>
      <c r="H371" s="13">
        <f>H370-C370</f>
        <v>8693.5</v>
      </c>
      <c r="I371" s="13">
        <f>I370-D370</f>
        <v>8160.5</v>
      </c>
      <c r="J371" s="31">
        <f>J370-E370</f>
        <v>9292.04504504503</v>
      </c>
      <c r="K371" s="1"/>
      <c r="L371" s="5"/>
    </row>
    <row r="372">
      <c r="A372" s="1"/>
      <c r="B372" s="1" t="s">
        <v>242</v>
      </c>
      <c r="C372" s="13"/>
      <c r="D372" s="13">
        <f>D370-C370</f>
        <v>2608.5</v>
      </c>
      <c r="E372" s="13">
        <f>E370-D370</f>
        <v>1957</v>
      </c>
      <c r="F372" s="13">
        <f>F370-E370</f>
        <v>2232</v>
      </c>
      <c r="G372" s="13"/>
      <c r="H372" s="13">
        <f>H370-F370</f>
        <v>1896</v>
      </c>
      <c r="I372" s="13">
        <f>I370-H370</f>
        <v>2075.5</v>
      </c>
      <c r="J372" s="31">
        <f>J370-I370</f>
        <v>3088.54504504503</v>
      </c>
      <c r="K372" s="1"/>
      <c r="L372" s="5"/>
    </row>
    <row r="373">
      <c r="A373" s="1"/>
      <c r="B373" s="11" t="s">
        <v>248</v>
      </c>
      <c r="C373" s="30">
        <f>C366/C363</f>
        <v>0.4735119975070115</v>
      </c>
      <c r="D373" s="30">
        <f>D366/D363</f>
        <v>0.3372561164447197</v>
      </c>
      <c r="E373" s="30">
        <f>E366/E363</f>
        <v>0.24624113475177306</v>
      </c>
      <c r="F373" s="30">
        <f>F366/F363</f>
        <v>0.457257794166946</v>
      </c>
      <c r="G373" s="30">
        <f>G366/G363</f>
        <v>0.3738992739069983</v>
      </c>
      <c r="H373" s="30">
        <f>H366/H363</f>
        <v>0.1530935251798561</v>
      </c>
      <c r="I373" s="30">
        <f>I366/I363</f>
        <v>0.44144144144144143</v>
      </c>
      <c r="J373" s="34">
        <f>J366/J363</f>
        <v>0.44144144144144143</v>
      </c>
      <c r="K373" s="1"/>
      <c r="L373" s="5"/>
    </row>
    <row r="374">
      <c r="A374" s="1"/>
      <c r="B374" s="1" t="s">
        <v>134</v>
      </c>
      <c r="C374" s="13"/>
      <c r="D374" s="13"/>
      <c r="E374" s="13"/>
      <c r="F374" s="13"/>
      <c r="G374" s="13"/>
      <c r="H374" s="13">
        <f>(H373-C373)*10000</f>
        <v>-3204.1847232715536</v>
      </c>
      <c r="I374" s="13">
        <f>(I373-D373)*10000</f>
        <v>1041.8532499672174</v>
      </c>
      <c r="J374" s="31">
        <f>(J373-E373)*10000</f>
        <v>1952.0030668966838</v>
      </c>
      <c r="K374" s="1"/>
      <c r="L374" s="5"/>
    </row>
    <row r="375">
      <c r="A375" s="1"/>
      <c r="B375" s="1" t="s">
        <v>135</v>
      </c>
      <c r="C375" s="13"/>
      <c r="D375" s="13">
        <f>(D373-C373)*10000</f>
        <v>-1362.5588106229181</v>
      </c>
      <c r="E375" s="13">
        <f>(E373-D373)*10000</f>
        <v>-910.1498169294664</v>
      </c>
      <c r="F375" s="13">
        <f>(F373-E373)*10000</f>
        <v>2110.1665941517294</v>
      </c>
      <c r="G375" s="13"/>
      <c r="H375" s="13">
        <f>(H373-F373)*10000</f>
        <v>-3041.642689870899</v>
      </c>
      <c r="I375" s="13">
        <f>(I373-H373)*10000</f>
        <v>2883.479162615853</v>
      </c>
      <c r="J375" s="31">
        <f>(J373-I373)*10000</f>
        <v>0</v>
      </c>
      <c r="K375" s="1"/>
      <c r="L375" s="5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43"/>
      <c r="K376" s="1"/>
      <c r="L376" s="5"/>
    </row>
    <row r="377">
      <c r="A377" s="1"/>
      <c r="B377" s="9" t="s">
        <v>249</v>
      </c>
      <c r="C377" s="14"/>
      <c r="D377" s="14"/>
      <c r="E377" s="14"/>
      <c r="F377" s="14"/>
      <c r="G377" s="14"/>
      <c r="H377" s="14"/>
      <c r="I377" s="14"/>
      <c r="J377" s="33"/>
      <c r="K377" s="1"/>
      <c r="L377" s="5"/>
    </row>
    <row r="378">
      <c r="A378" s="1"/>
      <c r="B378" s="11" t="s">
        <v>147</v>
      </c>
      <c r="C378" s="11"/>
      <c r="D378" s="11"/>
      <c r="E378" s="11"/>
      <c r="F378" s="11"/>
      <c r="G378" s="11"/>
      <c r="H378" s="11"/>
      <c r="I378" s="11"/>
      <c r="J378" s="58"/>
      <c r="K378" s="1"/>
      <c r="L378" s="5"/>
    </row>
    <row r="379">
      <c r="A379" s="1"/>
      <c r="B379" s="1" t="s">
        <v>250</v>
      </c>
      <c r="C379" s="25">
        <v>239.1</v>
      </c>
      <c r="D379" s="25">
        <v>263.2</v>
      </c>
      <c r="E379" s="25">
        <v>274.8</v>
      </c>
      <c r="F379" s="25">
        <v>260.6</v>
      </c>
      <c r="G379" s="14">
        <f>SUM(C379:F379)</f>
        <v>1037.7</v>
      </c>
      <c r="H379" s="25">
        <v>279.8</v>
      </c>
      <c r="I379" s="25">
        <v>299.6</v>
      </c>
      <c r="J379" s="33">
        <f>J380*J12</f>
        <v>310.20459485692743</v>
      </c>
      <c r="K379" s="1"/>
      <c r="L379" s="5" t="s">
        <v>251</v>
      </c>
    </row>
    <row r="380">
      <c r="A380" s="1"/>
      <c r="B380" s="11" t="s">
        <v>252</v>
      </c>
      <c r="C380" s="30">
        <f>C379/C12</f>
        <v>0.12202715116872512</v>
      </c>
      <c r="D380" s="30">
        <f>D379/D12</f>
        <v>0.12652021343075517</v>
      </c>
      <c r="E380" s="30">
        <f>E379/E12</f>
        <v>0.12881451272676134</v>
      </c>
      <c r="F380" s="30">
        <f>F379/F12</f>
        <v>0.1285390154878169</v>
      </c>
      <c r="G380" s="30">
        <f>G379/G12</f>
        <v>0.12654260767767425</v>
      </c>
      <c r="H380" s="30">
        <f>H379/H12</f>
        <v>0.12708361720488714</v>
      </c>
      <c r="I380" s="30">
        <f>I379/I12</f>
        <v>0.12551845489966065</v>
      </c>
      <c r="J380" s="34">
        <f>I380</f>
        <v>0.12551845489966065</v>
      </c>
      <c r="K380" s="1"/>
      <c r="L380" s="5"/>
    </row>
    <row r="381">
      <c r="A381" s="1"/>
      <c r="B381" s="1" t="s">
        <v>134</v>
      </c>
      <c r="C381" s="13"/>
      <c r="D381" s="13"/>
      <c r="E381" s="13"/>
      <c r="F381" s="13"/>
      <c r="G381" s="13"/>
      <c r="H381" s="13">
        <f>(H380-C380)*10000</f>
        <v>50.56466036162027</v>
      </c>
      <c r="I381" s="13">
        <f>(I380-D380)*10000</f>
        <v>-10.01758531094521</v>
      </c>
      <c r="J381" s="31">
        <f>(J380-E380)*10000</f>
        <v>-32.960578271006845</v>
      </c>
      <c r="K381" s="1"/>
      <c r="L381" s="5"/>
    </row>
    <row r="382">
      <c r="A382" s="1"/>
      <c r="B382" s="1" t="s">
        <v>135</v>
      </c>
      <c r="C382" s="13"/>
      <c r="D382" s="13">
        <f>(D380-C380)*10000</f>
        <v>44.93062262030057</v>
      </c>
      <c r="E382" s="13">
        <f>(E380-D380)*10000</f>
        <v>22.942992960061638</v>
      </c>
      <c r="F382" s="13">
        <f>(F380-E380)*10000</f>
        <v>-2.7549723894443323</v>
      </c>
      <c r="G382" s="13"/>
      <c r="H382" s="13">
        <f>(H380-F380)*10000</f>
        <v>-14.553982829297595</v>
      </c>
      <c r="I382" s="13">
        <f>(I380-H380)*10000</f>
        <v>-15.651623052264918</v>
      </c>
      <c r="J382" s="31">
        <f>(J380-I380)*10000</f>
        <v>0</v>
      </c>
      <c r="K382" s="1"/>
      <c r="L382" s="5"/>
    </row>
    <row r="383">
      <c r="A383" s="1"/>
      <c r="B383" s="11" t="s">
        <v>71</v>
      </c>
      <c r="C383" s="30"/>
      <c r="D383" s="30"/>
      <c r="E383" s="30"/>
      <c r="F383" s="30"/>
      <c r="G383" s="30"/>
      <c r="H383" s="30">
        <f>H379/C379-1</f>
        <v>0.17022166457549148</v>
      </c>
      <c r="I383" s="30">
        <f>I379/D379-1</f>
        <v>0.13829787234042556</v>
      </c>
      <c r="J383" s="34">
        <f>J379/E379-1</f>
        <v>0.12883768142986685</v>
      </c>
      <c r="K383" s="1"/>
      <c r="L383" s="5"/>
    </row>
    <row r="384">
      <c r="A384" s="1"/>
      <c r="B384" s="1" t="s">
        <v>73</v>
      </c>
      <c r="C384" s="14"/>
      <c r="D384" s="14">
        <f>D379-C379</f>
        <v>24.099999999999994</v>
      </c>
      <c r="E384" s="14">
        <f>E379-D379</f>
        <v>11.600000000000023</v>
      </c>
      <c r="F384" s="14">
        <f>F379-E379</f>
        <v>-14.199999999999989</v>
      </c>
      <c r="G384" s="14"/>
      <c r="H384" s="14">
        <f>H379-F379</f>
        <v>19.19999999999999</v>
      </c>
      <c r="I384" s="14">
        <f>I379-H379</f>
        <v>19.80000000000001</v>
      </c>
      <c r="J384" s="33">
        <f>J379-I379</f>
        <v>10.604594856927406</v>
      </c>
      <c r="K384" s="1"/>
      <c r="L384" s="5"/>
    </row>
    <row r="385">
      <c r="A385" s="1"/>
      <c r="B385" s="1" t="s">
        <v>253</v>
      </c>
      <c r="C385" s="25">
        <v>619.9</v>
      </c>
      <c r="D385" s="25">
        <v>665.3</v>
      </c>
      <c r="E385" s="25">
        <v>703.6</v>
      </c>
      <c r="F385" s="25">
        <v>686.3</v>
      </c>
      <c r="G385" s="14">
        <f>SUM(C385:F385)</f>
        <v>2675.1</v>
      </c>
      <c r="H385" s="25">
        <v>721.6</v>
      </c>
      <c r="I385" s="25">
        <v>781.4</v>
      </c>
      <c r="J385" s="33">
        <f>J386*J12</f>
        <v>809.0583124873266</v>
      </c>
      <c r="K385" s="1"/>
      <c r="L385" s="5" t="s">
        <v>251</v>
      </c>
    </row>
    <row r="386">
      <c r="A386" s="1"/>
      <c r="B386" s="11" t="s">
        <v>252</v>
      </c>
      <c r="C386" s="30">
        <f>C385/C12</f>
        <v>0.3163723588853731</v>
      </c>
      <c r="D386" s="30">
        <f>D385/D12</f>
        <v>0.31980964283997493</v>
      </c>
      <c r="E386" s="30">
        <f>E385/E12</f>
        <v>0.32981765340083435</v>
      </c>
      <c r="F386" s="30">
        <f>F385/F12</f>
        <v>0.3385123803886751</v>
      </c>
      <c r="G386" s="30">
        <f>G385/G12</f>
        <v>0.326215794351495</v>
      </c>
      <c r="H386" s="30">
        <f>H385/H12</f>
        <v>0.3277467411545624</v>
      </c>
      <c r="I386" s="30">
        <f>I385/I12</f>
        <v>0.32737022916753944</v>
      </c>
      <c r="J386" s="34">
        <f>I386</f>
        <v>0.32737022916753944</v>
      </c>
      <c r="K386" s="1"/>
      <c r="L386" s="5"/>
    </row>
    <row r="387">
      <c r="A387" s="1"/>
      <c r="B387" s="1" t="s">
        <v>134</v>
      </c>
      <c r="C387" s="13"/>
      <c r="D387" s="13"/>
      <c r="E387" s="13"/>
      <c r="F387" s="13"/>
      <c r="G387" s="13"/>
      <c r="H387" s="13">
        <f>(H386-C386)*10000</f>
        <v>113.74382269189354</v>
      </c>
      <c r="I387" s="13">
        <f>(I386-D386)*10000</f>
        <v>75.6058632756451</v>
      </c>
      <c r="J387" s="31">
        <f>(J386-E386)*10000</f>
        <v>-24.474242332949146</v>
      </c>
      <c r="K387" s="1"/>
      <c r="L387" s="5"/>
    </row>
    <row r="388">
      <c r="A388" s="1"/>
      <c r="B388" s="1" t="s">
        <v>135</v>
      </c>
      <c r="C388" s="13"/>
      <c r="D388" s="13">
        <f>(D386-C386)*10000</f>
        <v>34.372839546018554</v>
      </c>
      <c r="E388" s="13">
        <f>(E386-D386)*10000</f>
        <v>100.08010560859427</v>
      </c>
      <c r="F388" s="13">
        <f>(F386-E386)*10000</f>
        <v>86.9472698784074</v>
      </c>
      <c r="G388" s="13"/>
      <c r="H388" s="13">
        <f>(H386-F386)*10000</f>
        <v>-107.65639234112668</v>
      </c>
      <c r="I388" s="13">
        <f>(I386-H386)*10000</f>
        <v>-3.7651198702298716</v>
      </c>
      <c r="J388" s="31">
        <f>(J386-I386)*10000</f>
        <v>0</v>
      </c>
      <c r="K388" s="1"/>
      <c r="L388" s="5"/>
    </row>
    <row r="389">
      <c r="A389" s="1"/>
      <c r="B389" s="11" t="s">
        <v>71</v>
      </c>
      <c r="C389" s="30"/>
      <c r="D389" s="30"/>
      <c r="E389" s="30"/>
      <c r="F389" s="30"/>
      <c r="G389" s="30"/>
      <c r="H389" s="30">
        <f>H385/C385-1</f>
        <v>0.16405871914824988</v>
      </c>
      <c r="I389" s="30">
        <f>I385/D385-1</f>
        <v>0.17450774086878096</v>
      </c>
      <c r="J389" s="34">
        <f>J385/E385-1</f>
        <v>0.14988390063576817</v>
      </c>
      <c r="K389" s="1"/>
      <c r="L389" s="5"/>
    </row>
    <row r="390">
      <c r="A390" s="1"/>
      <c r="B390" s="1" t="s">
        <v>73</v>
      </c>
      <c r="C390" s="14"/>
      <c r="D390" s="14">
        <f>D385-C385</f>
        <v>45.39999999999998</v>
      </c>
      <c r="E390" s="14">
        <f>E385-D385</f>
        <v>38.30000000000007</v>
      </c>
      <c r="F390" s="14">
        <f>F385-E385</f>
        <v>-17.300000000000068</v>
      </c>
      <c r="G390" s="14"/>
      <c r="H390" s="14">
        <f>H385-F385</f>
        <v>35.30000000000007</v>
      </c>
      <c r="I390" s="14">
        <f>I385-H385</f>
        <v>59.799999999999955</v>
      </c>
      <c r="J390" s="33">
        <f>J385-I385</f>
        <v>27.65831248732661</v>
      </c>
      <c r="K390" s="1"/>
      <c r="L390" s="5"/>
    </row>
    <row r="391">
      <c r="A391" s="1"/>
      <c r="B391" s="9" t="s">
        <v>254</v>
      </c>
      <c r="C391" s="35">
        <f>C379+C385</f>
        <v>859</v>
      </c>
      <c r="D391" s="35">
        <f>D379+D385</f>
        <v>928.5</v>
      </c>
      <c r="E391" s="35">
        <f>E379+E385</f>
        <v>978.4000000000001</v>
      </c>
      <c r="F391" s="35">
        <f>F379+F385</f>
        <v>946.9</v>
      </c>
      <c r="G391" s="35">
        <f>G379+G385</f>
        <v>3712.8</v>
      </c>
      <c r="H391" s="35">
        <f>H379+H385</f>
        <v>1001.4000000000001</v>
      </c>
      <c r="I391" s="35">
        <f>I379+I385</f>
        <v>1081</v>
      </c>
      <c r="J391" s="48">
        <f>J379+J385</f>
        <v>1119.262907344254</v>
      </c>
      <c r="K391" s="1"/>
      <c r="L391" s="5"/>
    </row>
    <row r="392" ht="28.5">
      <c r="A392" s="1"/>
      <c r="B392" s="1" t="s">
        <v>255</v>
      </c>
      <c r="C392" s="25">
        <v>859</v>
      </c>
      <c r="D392" s="25">
        <v>928.5</v>
      </c>
      <c r="E392" s="25">
        <v>978.4</v>
      </c>
      <c r="F392" s="25">
        <v>946.9</v>
      </c>
      <c r="G392" s="25">
        <v>3712.7</v>
      </c>
      <c r="H392" s="25">
        <v>1001.4</v>
      </c>
      <c r="I392" s="25">
        <v>1081</v>
      </c>
      <c r="J392" s="33"/>
      <c r="K392" s="1"/>
      <c r="L392" s="91" t="s">
        <v>256</v>
      </c>
    </row>
    <row r="393">
      <c r="A393" s="1"/>
      <c r="B393" s="11" t="s">
        <v>252</v>
      </c>
      <c r="C393" s="30">
        <f>C391/C12</f>
        <v>0.43839951005409816</v>
      </c>
      <c r="D393" s="30">
        <f>D391/D12</f>
        <v>0.44632985627073013</v>
      </c>
      <c r="E393" s="30">
        <f>E391/E12</f>
        <v>0.4586321661275957</v>
      </c>
      <c r="F393" s="30">
        <f>F391/F12</f>
        <v>0.467051395876492</v>
      </c>
      <c r="G393" s="30">
        <f>G391/G12</f>
        <v>0.4527584020291692</v>
      </c>
      <c r="H393" s="30">
        <f>H391/H12</f>
        <v>0.45483035835944957</v>
      </c>
      <c r="I393" s="30">
        <f>I391/I12</f>
        <v>0.4528886840672001</v>
      </c>
      <c r="J393" s="34">
        <f>J391/J12</f>
        <v>0.4528886840672001</v>
      </c>
      <c r="K393" s="1"/>
      <c r="L393" s="5"/>
    </row>
    <row r="394">
      <c r="A394" s="1"/>
      <c r="B394" s="1" t="s">
        <v>134</v>
      </c>
      <c r="C394" s="13"/>
      <c r="D394" s="13"/>
      <c r="E394" s="13"/>
      <c r="F394" s="13"/>
      <c r="G394" s="13"/>
      <c r="H394" s="13">
        <f>(H393-C393)*10000</f>
        <v>164.3084830535141</v>
      </c>
      <c r="I394" s="13">
        <f>(I393-D393)*10000</f>
        <v>65.5882779646999</v>
      </c>
      <c r="J394" s="31">
        <f>(J393-E393)*10000</f>
        <v>-57.43482060395599</v>
      </c>
      <c r="K394" s="1"/>
      <c r="L394" s="5"/>
    </row>
    <row r="395">
      <c r="A395" s="1"/>
      <c r="B395" s="1" t="s">
        <v>135</v>
      </c>
      <c r="C395" s="13"/>
      <c r="D395" s="13">
        <f>(D393-C393)*10000</f>
        <v>79.30346216631968</v>
      </c>
      <c r="E395" s="13">
        <f>(E393-D393)*10000</f>
        <v>123.0230985686559</v>
      </c>
      <c r="F395" s="13">
        <f>(F393-E393)*10000</f>
        <v>84.19229748896306</v>
      </c>
      <c r="G395" s="13"/>
      <c r="H395" s="13">
        <f>(H393-F393)*10000</f>
        <v>-122.21037517042454</v>
      </c>
      <c r="I395" s="13">
        <f>(I393-H393)*10000</f>
        <v>-19.416742922494514</v>
      </c>
      <c r="J395" s="31">
        <f>(J393-I393)*10000</f>
        <v>0</v>
      </c>
      <c r="K395" s="1"/>
      <c r="L395" s="5"/>
    </row>
    <row r="396">
      <c r="A396" s="1"/>
      <c r="B396" s="11" t="s">
        <v>71</v>
      </c>
      <c r="C396" s="30"/>
      <c r="D396" s="30"/>
      <c r="E396" s="30"/>
      <c r="F396" s="30"/>
      <c r="G396" s="30"/>
      <c r="H396" s="30">
        <f>H391/C391-1</f>
        <v>0.16577415599534362</v>
      </c>
      <c r="I396" s="30">
        <f>I391/D391-1</f>
        <v>0.16424340333871834</v>
      </c>
      <c r="J396" s="34">
        <f>J391/E391-1</f>
        <v>0.14397271805422518</v>
      </c>
      <c r="K396" s="1"/>
      <c r="L396" s="5"/>
    </row>
    <row r="397">
      <c r="A397" s="1"/>
      <c r="B397" s="1" t="s">
        <v>257</v>
      </c>
      <c r="C397" s="14">
        <f>C385*1000/C370</f>
        <v>4.825006907878095</v>
      </c>
      <c r="D397" s="14">
        <f>D385*1000/D370</f>
        <v>5.07533279932868</v>
      </c>
      <c r="E397" s="14">
        <f>E385*1000/E370</f>
        <v>5.288555493753853</v>
      </c>
      <c r="F397" s="14">
        <f>F385*1000/F370</f>
        <v>5.073406567411328</v>
      </c>
      <c r="G397" s="14"/>
      <c r="H397" s="14">
        <f>H385*1000/H370</f>
        <v>5.260625501202887</v>
      </c>
      <c r="I397" s="14">
        <f>I385*1000/I370</f>
        <v>5.611671472327652</v>
      </c>
      <c r="J397" s="33">
        <f>J385*1000/J370</f>
        <v>5.684222016112032</v>
      </c>
      <c r="K397" s="1"/>
      <c r="L397" s="5"/>
    </row>
    <row r="398">
      <c r="A398" s="1"/>
      <c r="B398" s="11" t="s">
        <v>230</v>
      </c>
      <c r="C398" s="30"/>
      <c r="D398" s="30"/>
      <c r="E398" s="30"/>
      <c r="F398" s="30"/>
      <c r="G398" s="30"/>
      <c r="H398" s="30">
        <f>H397/C397-1</f>
        <v>0.09028351702741211</v>
      </c>
      <c r="I398" s="30">
        <f>I397/D397-1</f>
        <v>0.10567556733814865</v>
      </c>
      <c r="J398" s="34">
        <f>J397/E397-1</f>
        <v>0.07481561322850605</v>
      </c>
      <c r="K398" s="1"/>
      <c r="L398" s="5"/>
    </row>
    <row r="399">
      <c r="A399" s="1"/>
      <c r="B399" s="1" t="s">
        <v>258</v>
      </c>
      <c r="C399" s="14"/>
      <c r="D399" s="14">
        <f>D397-C397</f>
        <v>0.2503258914505855</v>
      </c>
      <c r="E399" s="14">
        <f>E397-D397</f>
        <v>0.2132226944251725</v>
      </c>
      <c r="F399" s="14">
        <f>F397-E397</f>
        <v>-0.21514892634252458</v>
      </c>
      <c r="G399" s="14"/>
      <c r="H399" s="14">
        <f>H397-F397</f>
        <v>0.1872189337915593</v>
      </c>
      <c r="I399" s="14">
        <f>I397-H397</f>
        <v>0.35104597112476466</v>
      </c>
      <c r="J399" s="33">
        <f>J397-I397</f>
        <v>0.07255054378437986</v>
      </c>
      <c r="K399" s="1"/>
      <c r="L399" s="5"/>
    </row>
    <row r="400">
      <c r="A400" s="1"/>
      <c r="B400" s="1" t="s">
        <v>259</v>
      </c>
      <c r="C400" s="25">
        <v>607.6</v>
      </c>
      <c r="D400" s="25">
        <v>631.9</v>
      </c>
      <c r="E400" s="25">
        <v>628.7</v>
      </c>
      <c r="F400" s="25">
        <v>609</v>
      </c>
      <c r="G400" s="14">
        <f>SUM(C400:F400)</f>
        <v>2477.2</v>
      </c>
      <c r="H400" s="25">
        <v>648.8</v>
      </c>
      <c r="I400" s="25">
        <v>711.9</v>
      </c>
      <c r="J400" s="33">
        <f>J401*J12</f>
        <v>737.0983013305962</v>
      </c>
      <c r="K400" s="1"/>
      <c r="L400" s="5" t="s">
        <v>203</v>
      </c>
    </row>
    <row r="401">
      <c r="A401" s="1"/>
      <c r="B401" s="11" t="s">
        <v>252</v>
      </c>
      <c r="C401" s="30">
        <f>C400/C12</f>
        <v>0.310094927018475</v>
      </c>
      <c r="D401" s="30">
        <f>D400/D12</f>
        <v>0.30375426621160406</v>
      </c>
      <c r="E401" s="30">
        <f>E400/E12</f>
        <v>0.29470772980827825</v>
      </c>
      <c r="F401" s="30">
        <f>F400/F12</f>
        <v>0.3003847292098254</v>
      </c>
      <c r="G401" s="30">
        <f>G400/G12</f>
        <v>0.3020828252280376</v>
      </c>
      <c r="H401" s="30">
        <f>H400/H12</f>
        <v>0.2946813825680156</v>
      </c>
      <c r="I401" s="30">
        <f>I400/I12</f>
        <v>0.29825296409568897</v>
      </c>
      <c r="J401" s="34">
        <f>I401</f>
        <v>0.29825296409568897</v>
      </c>
      <c r="K401" s="1"/>
      <c r="L401" s="5"/>
    </row>
    <row r="402">
      <c r="A402" s="1"/>
      <c r="B402" s="1" t="s">
        <v>134</v>
      </c>
      <c r="C402" s="13"/>
      <c r="D402" s="13"/>
      <c r="E402" s="13"/>
      <c r="F402" s="13"/>
      <c r="G402" s="13"/>
      <c r="H402" s="13">
        <f>(H401-C401)*10000</f>
        <v>-154.13544450459392</v>
      </c>
      <c r="I402" s="13">
        <f>(I401-D401)*10000</f>
        <v>-55.013021159150966</v>
      </c>
      <c r="J402" s="31">
        <f>(J401-E401)*10000</f>
        <v>35.452342874107146</v>
      </c>
      <c r="K402" s="1"/>
      <c r="L402" s="5"/>
    </row>
    <row r="403">
      <c r="A403" s="1"/>
      <c r="B403" s="1" t="s">
        <v>135</v>
      </c>
      <c r="C403" s="13"/>
      <c r="D403" s="13">
        <f>(D401-C401)*10000</f>
        <v>-63.406608068709566</v>
      </c>
      <c r="E403" s="13">
        <f>(E401-D401)*10000</f>
        <v>-90.46536403325811</v>
      </c>
      <c r="F403" s="13">
        <f>(F401-E401)*10000</f>
        <v>56.76999401547145</v>
      </c>
      <c r="G403" s="13"/>
      <c r="H403" s="13">
        <f>(H401-F401)*10000</f>
        <v>-57.0334664180977</v>
      </c>
      <c r="I403" s="13">
        <f>(I401-H401)*10000</f>
        <v>35.715815276733395</v>
      </c>
      <c r="J403" s="31">
        <f>(J401-I401)*10000</f>
        <v>0</v>
      </c>
      <c r="K403" s="1"/>
      <c r="L403" s="5"/>
    </row>
    <row r="404">
      <c r="A404" s="1"/>
      <c r="B404" s="11" t="s">
        <v>71</v>
      </c>
      <c r="C404" s="30"/>
      <c r="D404" s="30"/>
      <c r="E404" s="30"/>
      <c r="F404" s="30"/>
      <c r="G404" s="30"/>
      <c r="H404" s="30">
        <f>H400/C400-1</f>
        <v>0.06780776826859758</v>
      </c>
      <c r="I404" s="30">
        <f>I400/D400-1</f>
        <v>0.12660231049216653</v>
      </c>
      <c r="J404" s="34">
        <f>J400/E400-1</f>
        <v>0.17241657599903948</v>
      </c>
      <c r="K404" s="1"/>
      <c r="L404" s="5"/>
    </row>
    <row r="405">
      <c r="A405" s="1"/>
      <c r="B405" s="1" t="s">
        <v>260</v>
      </c>
      <c r="C405" s="25">
        <v>258.6</v>
      </c>
      <c r="D405" s="25">
        <v>275.7</v>
      </c>
      <c r="E405" s="25">
        <v>283.3</v>
      </c>
      <c r="F405" s="25">
        <v>278.4</v>
      </c>
      <c r="G405" s="14">
        <f>SUM(C405:F405)</f>
        <v>1096</v>
      </c>
      <c r="H405" s="25">
        <v>278.4</v>
      </c>
      <c r="I405" s="25">
        <v>299.9</v>
      </c>
      <c r="J405" s="33">
        <f>J406*J12</f>
        <v>310.5152136101219</v>
      </c>
      <c r="K405" s="1"/>
      <c r="L405" s="5" t="s">
        <v>203</v>
      </c>
    </row>
    <row r="406">
      <c r="A406" s="1"/>
      <c r="B406" s="11" t="s">
        <v>252</v>
      </c>
      <c r="C406" s="30">
        <f>C405/C12</f>
        <v>0.13197917729917322</v>
      </c>
      <c r="D406" s="30">
        <f>D405/D12</f>
        <v>0.13252896216891794</v>
      </c>
      <c r="E406" s="30">
        <f>E405/E12</f>
        <v>0.13279894998359348</v>
      </c>
      <c r="F406" s="30">
        <f>F405/F12</f>
        <v>0.13731873335306302</v>
      </c>
      <c r="G406" s="30">
        <f>G405/G12</f>
        <v>0.13365201697478168</v>
      </c>
      <c r="H406" s="30">
        <f>H405/H12</f>
        <v>0.12644774492437663</v>
      </c>
      <c r="I406" s="30">
        <f>I405/I12</f>
        <v>0.125644140935942</v>
      </c>
      <c r="J406" s="34">
        <f>I406</f>
        <v>0.125644140935942</v>
      </c>
      <c r="K406" s="1"/>
      <c r="L406" s="5"/>
    </row>
    <row r="407">
      <c r="A407" s="1"/>
      <c r="B407" s="1" t="s">
        <v>134</v>
      </c>
      <c r="C407" s="13"/>
      <c r="D407" s="13"/>
      <c r="E407" s="13"/>
      <c r="F407" s="13"/>
      <c r="G407" s="13"/>
      <c r="H407" s="13">
        <f>(H406-C406)*10000</f>
        <v>-55.31432374796586</v>
      </c>
      <c r="I407" s="13">
        <f>(I406-D406)*10000</f>
        <v>-68.84821232975929</v>
      </c>
      <c r="J407" s="31">
        <f>(J406-E406)*10000</f>
        <v>-71.54809047651479</v>
      </c>
      <c r="K407" s="1"/>
      <c r="L407" s="5"/>
    </row>
    <row r="408">
      <c r="A408" s="1"/>
      <c r="B408" s="1" t="s">
        <v>135</v>
      </c>
      <c r="C408" s="13"/>
      <c r="D408" s="13">
        <f>(D406-C406)*10000</f>
        <v>5.497848697447183</v>
      </c>
      <c r="E408" s="13">
        <f>(E406-D406)*10000</f>
        <v>2.6998781467554855</v>
      </c>
      <c r="F408" s="13">
        <f>(F406-E406)*10000</f>
        <v>45.197833694695376</v>
      </c>
      <c r="G408" s="13"/>
      <c r="H408" s="13">
        <f>(H406-F406)*10000</f>
        <v>-108.7098842868639</v>
      </c>
      <c r="I408" s="13">
        <f>(I406-H406)*10000</f>
        <v>-8.036039884346257</v>
      </c>
      <c r="J408" s="31">
        <f>(J406-I406)*10000</f>
        <v>0</v>
      </c>
      <c r="K408" s="1"/>
      <c r="L408" s="5"/>
    </row>
    <row r="409">
      <c r="A409" s="1"/>
      <c r="B409" s="9" t="s">
        <v>261</v>
      </c>
      <c r="C409" s="35">
        <f>C391+C400-C405</f>
        <v>1208</v>
      </c>
      <c r="D409" s="35">
        <f>D391+D400-D405</f>
        <v>1284.7</v>
      </c>
      <c r="E409" s="35">
        <f>E391+E400-E405</f>
        <v>1323.8000000000002</v>
      </c>
      <c r="F409" s="35">
        <f>F391+F400-F405</f>
        <v>1277.5</v>
      </c>
      <c r="G409" s="35">
        <f>G391+G400-G405</f>
        <v>5094</v>
      </c>
      <c r="H409" s="35">
        <f>H391+H400-H405</f>
        <v>1371.8000000000002</v>
      </c>
      <c r="I409" s="35">
        <f>I391+I400-I405</f>
        <v>1493</v>
      </c>
      <c r="J409" s="48">
        <f>J391+J400-J405</f>
        <v>1545.8459950647284</v>
      </c>
      <c r="K409" s="1"/>
      <c r="L409" s="5"/>
    </row>
    <row r="410" ht="28.5">
      <c r="A410" s="1"/>
      <c r="B410" s="1" t="s">
        <v>262</v>
      </c>
      <c r="C410" s="25">
        <v>1208</v>
      </c>
      <c r="D410" s="25">
        <v>1284.7</v>
      </c>
      <c r="E410" s="25">
        <v>1323.8</v>
      </c>
      <c r="F410" s="25">
        <v>1277.5</v>
      </c>
      <c r="G410" s="25">
        <v>5094</v>
      </c>
      <c r="H410" s="25">
        <v>1371.8</v>
      </c>
      <c r="I410" s="25">
        <v>1492.9</v>
      </c>
      <c r="J410" s="33"/>
      <c r="K410" s="1"/>
      <c r="L410" s="91" t="s">
        <v>263</v>
      </c>
    </row>
    <row r="411">
      <c r="A411" s="1"/>
      <c r="B411" s="11" t="s">
        <v>252</v>
      </c>
      <c r="C411" s="30">
        <f>C409/C12</f>
        <v>0.6165152597733999</v>
      </c>
      <c r="D411" s="30">
        <f>D409/D12</f>
        <v>0.6175551603134163</v>
      </c>
      <c r="E411" s="30">
        <f>E409/E12</f>
        <v>0.6205409459522805</v>
      </c>
      <c r="F411" s="30">
        <f>F409/F12</f>
        <v>0.6301173917332544</v>
      </c>
      <c r="G411" s="30">
        <f>G409/G12</f>
        <v>0.6211892102824251</v>
      </c>
      <c r="H411" s="30">
        <f>H409/H12</f>
        <v>0.6230639960030887</v>
      </c>
      <c r="I411" s="30">
        <f>I409/I12</f>
        <v>0.6254975072269471</v>
      </c>
      <c r="J411" s="34">
        <f>J409/J12</f>
        <v>0.6254975072269471</v>
      </c>
      <c r="K411" s="1"/>
      <c r="L411" s="5"/>
    </row>
    <row r="412">
      <c r="A412" s="1"/>
      <c r="B412" s="1" t="s">
        <v>134</v>
      </c>
      <c r="C412" s="13"/>
      <c r="D412" s="13"/>
      <c r="E412" s="13"/>
      <c r="F412" s="13"/>
      <c r="G412" s="13"/>
      <c r="H412" s="13">
        <f>(H411-C411)*10000</f>
        <v>65.48736229688768</v>
      </c>
      <c r="I412" s="13">
        <f>(I411-D411)*10000</f>
        <v>79.42346913530795</v>
      </c>
      <c r="J412" s="31">
        <f>(J411-E411)*10000</f>
        <v>49.565612746665934</v>
      </c>
      <c r="K412" s="1"/>
      <c r="L412" s="5"/>
    </row>
    <row r="413">
      <c r="A413" s="1"/>
      <c r="B413" s="1" t="s">
        <v>135</v>
      </c>
      <c r="C413" s="13"/>
      <c r="D413" s="13">
        <f>(D411-C411)*10000</f>
        <v>10.399005400163475</v>
      </c>
      <c r="E413" s="13">
        <f>(E411-D411)*10000</f>
        <v>29.857856388642023</v>
      </c>
      <c r="F413" s="13">
        <f>(F411-E411)*10000</f>
        <v>95.76445780973941</v>
      </c>
      <c r="G413" s="13"/>
      <c r="H413" s="13">
        <f>(H411-F411)*10000</f>
        <v>-70.53395730165724</v>
      </c>
      <c r="I413" s="13">
        <f>(I411-H411)*10000</f>
        <v>24.335112238583754</v>
      </c>
      <c r="J413" s="31">
        <f>(J411-I411)*10000</f>
        <v>0</v>
      </c>
      <c r="K413" s="1"/>
      <c r="L413" s="5"/>
    </row>
    <row r="414">
      <c r="A414" s="1"/>
      <c r="B414" s="11" t="s">
        <v>71</v>
      </c>
      <c r="C414" s="30"/>
      <c r="D414" s="30"/>
      <c r="E414" s="30"/>
      <c r="F414" s="30"/>
      <c r="G414" s="30"/>
      <c r="H414" s="30">
        <f>H409/C409-1</f>
        <v>0.1355960264900664</v>
      </c>
      <c r="I414" s="30">
        <f>I409/D409-1</f>
        <v>0.1621390207830622</v>
      </c>
      <c r="J414" s="34">
        <f>J409/E409-1</f>
        <v>0.16773379291790924</v>
      </c>
      <c r="K414" s="1"/>
      <c r="L414" s="5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43"/>
      <c r="K415" s="1"/>
      <c r="L415" s="5"/>
    </row>
    <row r="416">
      <c r="A416" s="1"/>
      <c r="B416" s="9" t="s">
        <v>264</v>
      </c>
      <c r="C416" s="14"/>
      <c r="D416" s="14"/>
      <c r="E416" s="14"/>
      <c r="F416" s="14"/>
      <c r="G416" s="14"/>
      <c r="H416" s="14"/>
      <c r="I416" s="14"/>
      <c r="J416" s="33"/>
      <c r="K416" s="1"/>
      <c r="L416" s="5"/>
    </row>
    <row r="417" ht="28.5">
      <c r="A417" s="1"/>
      <c r="B417" s="96" t="s">
        <v>265</v>
      </c>
      <c r="C417" s="37">
        <v>21339</v>
      </c>
      <c r="D417" s="37">
        <v>21807</v>
      </c>
      <c r="E417" s="37">
        <v>21568</v>
      </c>
      <c r="F417" s="37">
        <v>21602</v>
      </c>
      <c r="G417" s="13">
        <f>F417</f>
        <v>21602</v>
      </c>
      <c r="H417" s="37">
        <v>21763</v>
      </c>
      <c r="I417" s="37">
        <v>22230</v>
      </c>
      <c r="J417" s="60">
        <f>Inputs!C160</f>
        <v>22206</v>
      </c>
      <c r="K417" s="1"/>
      <c r="L417" s="91" t="s">
        <v>266</v>
      </c>
    </row>
    <row r="418">
      <c r="A418" s="1"/>
      <c r="B418" s="1" t="s">
        <v>267</v>
      </c>
      <c r="C418" s="13"/>
      <c r="D418" s="13"/>
      <c r="E418" s="13"/>
      <c r="F418" s="13"/>
      <c r="G418" s="13"/>
      <c r="H418" s="13">
        <f>H417-C417</f>
        <v>424</v>
      </c>
      <c r="I418" s="13">
        <f>I417-D417</f>
        <v>423</v>
      </c>
      <c r="J418" s="31">
        <f>J417-E417</f>
        <v>638</v>
      </c>
      <c r="K418" s="1"/>
      <c r="L418" s="5"/>
    </row>
    <row r="419">
      <c r="A419" s="1"/>
      <c r="B419" s="1" t="s">
        <v>268</v>
      </c>
      <c r="C419" s="13"/>
      <c r="D419" s="13">
        <f>D417-C417</f>
        <v>468</v>
      </c>
      <c r="E419" s="13">
        <f>E417-D417</f>
        <v>-239</v>
      </c>
      <c r="F419" s="13">
        <f>F417-E417</f>
        <v>34</v>
      </c>
      <c r="G419" s="13"/>
      <c r="H419" s="13">
        <f>H417-F417</f>
        <v>161</v>
      </c>
      <c r="I419" s="13">
        <f>I417-H417</f>
        <v>467</v>
      </c>
      <c r="J419" s="31">
        <f>J417-I417</f>
        <v>-24</v>
      </c>
      <c r="K419" s="1"/>
      <c r="L419" s="5"/>
    </row>
    <row r="420" ht="28.5">
      <c r="A420" s="1"/>
      <c r="B420" s="96" t="s">
        <v>269</v>
      </c>
      <c r="C420" s="37">
        <v>15236</v>
      </c>
      <c r="D420" s="37">
        <v>15660</v>
      </c>
      <c r="E420" s="37">
        <v>15414</v>
      </c>
      <c r="F420" s="37">
        <v>15439</v>
      </c>
      <c r="G420" s="13">
        <f>F420</f>
        <v>15439</v>
      </c>
      <c r="H420" s="37">
        <v>15450</v>
      </c>
      <c r="I420" s="37">
        <v>15796</v>
      </c>
      <c r="J420" s="60">
        <f>Inputs!D161</f>
        <v>15514</v>
      </c>
      <c r="K420" s="1"/>
      <c r="L420" s="91" t="s">
        <v>270</v>
      </c>
    </row>
    <row r="421">
      <c r="A421" s="1"/>
      <c r="B421" s="1" t="s">
        <v>267</v>
      </c>
      <c r="C421" s="13"/>
      <c r="D421" s="13"/>
      <c r="E421" s="13"/>
      <c r="F421" s="13"/>
      <c r="G421" s="13"/>
      <c r="H421" s="13">
        <f>H420-C420</f>
        <v>214</v>
      </c>
      <c r="I421" s="13">
        <f>I420-D420</f>
        <v>136</v>
      </c>
      <c r="J421" s="31">
        <f>J420-E420</f>
        <v>100</v>
      </c>
      <c r="K421" s="1"/>
      <c r="L421" s="5"/>
    </row>
    <row r="422">
      <c r="A422" s="1"/>
      <c r="B422" s="1" t="s">
        <v>268</v>
      </c>
      <c r="C422" s="13"/>
      <c r="D422" s="13">
        <f>D420-C420</f>
        <v>424</v>
      </c>
      <c r="E422" s="13">
        <f>E420-D420</f>
        <v>-246</v>
      </c>
      <c r="F422" s="13">
        <f>F420-E420</f>
        <v>25</v>
      </c>
      <c r="G422" s="13"/>
      <c r="H422" s="13">
        <f>H420-F420</f>
        <v>11</v>
      </c>
      <c r="I422" s="13">
        <f>I420-H420</f>
        <v>346</v>
      </c>
      <c r="J422" s="31">
        <f>J420-I420</f>
        <v>-282</v>
      </c>
      <c r="K422" s="1"/>
      <c r="L422" s="5"/>
    </row>
    <row r="423" ht="28.5">
      <c r="A423" s="1"/>
      <c r="B423" s="1" t="s">
        <v>271</v>
      </c>
      <c r="C423" s="14"/>
      <c r="D423" s="14">
        <f>D12*1000/((D417+C417)/2)</f>
        <v>96.43072358967228</v>
      </c>
      <c r="E423" s="14">
        <f>E12*1000/((E417+D417)/2)</f>
        <v>98.36541786743516</v>
      </c>
      <c r="F423" s="14">
        <f>F12*1000/((F417+E417)/2)</f>
        <v>93.92633773453787</v>
      </c>
      <c r="G423" s="14"/>
      <c r="H423" s="14">
        <f>H12*1000/((H417+F417)/2)</f>
        <v>101.54271878242822</v>
      </c>
      <c r="I423" s="14">
        <f>I12*1000/((I417+H417)/2)</f>
        <v>108.51271793239833</v>
      </c>
      <c r="J423" s="33">
        <f>J12*1000/((J417+I417)/2)</f>
        <v>111.23351966873706</v>
      </c>
      <c r="K423" s="1"/>
      <c r="L423" s="91" t="s">
        <v>272</v>
      </c>
    </row>
    <row r="424">
      <c r="A424" s="1"/>
      <c r="B424" s="11" t="s">
        <v>71</v>
      </c>
      <c r="C424" s="30"/>
      <c r="D424" s="30"/>
      <c r="E424" s="30"/>
      <c r="F424" s="30"/>
      <c r="G424" s="30"/>
      <c r="H424" s="30"/>
      <c r="I424" s="30">
        <f>I423/D423-1</f>
        <v>0.12529195979215935</v>
      </c>
      <c r="J424" s="34">
        <f>J423/E423-1</f>
        <v>0.13081936802875127</v>
      </c>
      <c r="K424" s="1"/>
      <c r="L424" s="5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5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5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L7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273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"/>
    </row>
    <row r="10">
      <c r="A10" s="1"/>
      <c r="B10" s="9" t="s">
        <v>274</v>
      </c>
      <c r="C10" s="14"/>
      <c r="D10" s="14"/>
      <c r="E10" s="14"/>
      <c r="F10" s="14"/>
      <c r="G10" s="14"/>
      <c r="H10" s="14"/>
      <c r="I10" s="14"/>
      <c r="J10" s="33"/>
      <c r="K10" s="1"/>
      <c r="L10" s="5"/>
    </row>
    <row r="11">
      <c r="A11" s="1"/>
      <c r="B11" s="9" t="s">
        <v>66</v>
      </c>
      <c r="C11" s="53">
        <f>'Revenue summary'!C12</f>
        <v>1959.4</v>
      </c>
      <c r="D11" s="53">
        <f>'Revenue summary'!D12</f>
        <v>2080.3</v>
      </c>
      <c r="E11" s="53">
        <f>'Revenue summary'!E12</f>
        <v>2133.3</v>
      </c>
      <c r="F11" s="53">
        <f>'Revenue summary'!F12</f>
        <v>2027.4</v>
      </c>
      <c r="G11" s="53">
        <f>'Revenue summary'!G12</f>
        <v>8200.400000000001</v>
      </c>
      <c r="H11" s="53">
        <f>'Revenue summary'!H12</f>
        <v>2201.7</v>
      </c>
      <c r="I11" s="53">
        <f>'Revenue summary'!I12</f>
        <v>2386.9</v>
      </c>
      <c r="J11" s="57">
        <f>'Revenue summary'!J12</f>
        <v>2471.38634</v>
      </c>
      <c r="K11" s="1"/>
      <c r="L11" s="5" t="s">
        <v>275</v>
      </c>
    </row>
    <row r="12">
      <c r="A12" s="1"/>
      <c r="B12" s="11" t="s">
        <v>71</v>
      </c>
      <c r="C12" s="41">
        <f>C11/'Revenue summary'!C11-1</f>
        <v>0.03392960793625677</v>
      </c>
      <c r="D12" s="41">
        <f>D11/'Revenue summary'!D11-1</f>
        <v>0.08563824235466044</v>
      </c>
      <c r="E12" s="41">
        <f>E11/'Revenue summary'!E11-1</f>
        <v>0.11679405297874568</v>
      </c>
      <c r="F12" s="41">
        <f>F11/'Revenue summary'!F11-1</f>
        <v>0.11120855028775001</v>
      </c>
      <c r="G12" s="41">
        <f>G11/'Revenue summary'!G11-1</f>
        <v>0.08672144182348274</v>
      </c>
      <c r="H12" s="41">
        <f>H11/'Revenue summary'!H11-1</f>
        <v>0.12366030417474727</v>
      </c>
      <c r="I12" s="41">
        <f>I11/'Revenue summary'!I11-1</f>
        <v>0.1473825890496563</v>
      </c>
      <c r="J12" s="36">
        <f>J11/'Revenue summary'!J11-1</f>
        <v>0.1584804481320019</v>
      </c>
      <c r="K12" s="1"/>
      <c r="L12" s="5"/>
    </row>
    <row r="13">
      <c r="A13" s="1"/>
      <c r="B13" s="11" t="s">
        <v>72</v>
      </c>
      <c r="C13" s="30"/>
      <c r="D13" s="30">
        <f>D11/C11-1</f>
        <v>0.06170256200877833</v>
      </c>
      <c r="E13" s="30">
        <f>E11/D11-1</f>
        <v>0.025477094649810184</v>
      </c>
      <c r="F13" s="30">
        <f>F11/E11-1</f>
        <v>-0.04964140064688516</v>
      </c>
      <c r="G13" s="30"/>
      <c r="H13" s="30">
        <f>H11/F11-1</f>
        <v>0.085972181118674</v>
      </c>
      <c r="I13" s="30">
        <f>I11/H11-1</f>
        <v>0.08411681882181954</v>
      </c>
      <c r="J13" s="34">
        <f>J11/I11-1</f>
        <v>0.03539584398173368</v>
      </c>
      <c r="K13" s="1"/>
      <c r="L13" s="5"/>
    </row>
    <row r="14">
      <c r="A14" s="1"/>
      <c r="B14" s="1" t="s">
        <v>276</v>
      </c>
      <c r="C14" s="25">
        <v>1075.5</v>
      </c>
      <c r="D14" s="25">
        <v>1137.5</v>
      </c>
      <c r="E14" s="25">
        <v>1167.5</v>
      </c>
      <c r="F14" s="25">
        <v>1128.7</v>
      </c>
      <c r="G14" s="14">
        <f>SUM(C14:F14)</f>
        <v>4509.2</v>
      </c>
      <c r="H14" s="25">
        <v>1218.8</v>
      </c>
      <c r="I14" s="25">
        <v>1323.3</v>
      </c>
      <c r="J14" s="33">
        <f>J11-J15</f>
        <v>1373.846399851028</v>
      </c>
      <c r="K14" s="1"/>
      <c r="L14" s="5" t="s">
        <v>203</v>
      </c>
    </row>
    <row r="15">
      <c r="A15" s="1"/>
      <c r="B15" s="9" t="s">
        <v>277</v>
      </c>
      <c r="C15" s="35">
        <f>C11-C14</f>
        <v>883.9000000000001</v>
      </c>
      <c r="D15" s="35">
        <f>D11-D14</f>
        <v>942.8000000000002</v>
      </c>
      <c r="E15" s="35">
        <f>E11-E14</f>
        <v>965.8000000000002</v>
      </c>
      <c r="F15" s="35">
        <f>F11-F14</f>
        <v>898.7</v>
      </c>
      <c r="G15" s="35">
        <f>G11-G14</f>
        <v>3691.2000000000016</v>
      </c>
      <c r="H15" s="35">
        <f>H11-H14</f>
        <v>982.8999999999999</v>
      </c>
      <c r="I15" s="35">
        <f>I11-I14</f>
        <v>1063.6000000000001</v>
      </c>
      <c r="J15" s="48">
        <f>J11*J18</f>
        <v>1097.539940148972</v>
      </c>
      <c r="K15" s="1"/>
      <c r="L15" s="5"/>
    </row>
    <row r="16">
      <c r="A16" s="1"/>
      <c r="B16" s="11" t="s">
        <v>71</v>
      </c>
      <c r="C16" s="30"/>
      <c r="D16" s="30"/>
      <c r="E16" s="30"/>
      <c r="F16" s="30"/>
      <c r="G16" s="30"/>
      <c r="H16" s="30">
        <f>H15/C15-1</f>
        <v>0.11200362031904043</v>
      </c>
      <c r="I16" s="30">
        <f>I15/D15-1</f>
        <v>0.1281289775137886</v>
      </c>
      <c r="J16" s="34">
        <f>J15/E15-1</f>
        <v>0.13640499083554736</v>
      </c>
      <c r="K16" s="1"/>
      <c r="L16" s="5"/>
    </row>
    <row r="17" ht="28.5">
      <c r="A17" s="1"/>
      <c r="B17" s="1" t="s">
        <v>278</v>
      </c>
      <c r="C17" s="13"/>
      <c r="D17" s="13"/>
      <c r="E17" s="13"/>
      <c r="F17" s="13"/>
      <c r="G17" s="13"/>
      <c r="H17" s="13"/>
      <c r="I17" s="13"/>
      <c r="J17" s="60">
        <f>Guidance!G20</f>
        <v>-15</v>
      </c>
      <c r="K17" s="1"/>
      <c r="L17" s="85" t="s">
        <v>279</v>
      </c>
    </row>
    <row r="18">
      <c r="A18" s="1"/>
      <c r="B18" s="11" t="s">
        <v>280</v>
      </c>
      <c r="C18" s="30">
        <f>C15/C11</f>
        <v>0.45110748188220884</v>
      </c>
      <c r="D18" s="30">
        <f>D15/D11</f>
        <v>0.45320386482718844</v>
      </c>
      <c r="E18" s="30">
        <f>E15/E11</f>
        <v>0.4527258238409976</v>
      </c>
      <c r="F18" s="30">
        <f>F15/F11</f>
        <v>0.4432771036795896</v>
      </c>
      <c r="G18" s="30">
        <f>G15/G11</f>
        <v>0.4501243841763818</v>
      </c>
      <c r="H18" s="30">
        <f>H15/H11</f>
        <v>0.4464277603669891</v>
      </c>
      <c r="I18" s="30">
        <f>I15/I11</f>
        <v>0.44559889396288077</v>
      </c>
      <c r="J18" s="34">
        <f>I18+J17/10000</f>
        <v>0.44409889396288077</v>
      </c>
      <c r="K18" s="1"/>
      <c r="L18" s="5"/>
    </row>
    <row r="19">
      <c r="A19" s="1"/>
      <c r="B19" s="1" t="s">
        <v>150</v>
      </c>
      <c r="C19" s="13"/>
      <c r="D19" s="13"/>
      <c r="E19" s="13"/>
      <c r="F19" s="13"/>
      <c r="G19" s="13"/>
      <c r="H19" s="13">
        <f>(H18-C18)*10000</f>
        <v>-46.79721515219726</v>
      </c>
      <c r="I19" s="13">
        <f>(I18-D18)*10000</f>
        <v>-76.0497086430767</v>
      </c>
      <c r="J19" s="31">
        <f>(J18-E18)*10000</f>
        <v>-86.26929878116808</v>
      </c>
      <c r="K19" s="1"/>
      <c r="L19" s="5"/>
    </row>
    <row r="20">
      <c r="A20" s="1"/>
      <c r="B20" s="1" t="s">
        <v>151</v>
      </c>
      <c r="C20" s="13"/>
      <c r="D20" s="13">
        <f>(D18-C18)*10000</f>
        <v>20.963829449796023</v>
      </c>
      <c r="E20" s="13">
        <f>(E18-D18)*10000</f>
        <v>-4.780409861908641</v>
      </c>
      <c r="F20" s="13">
        <f>(F18-E18)*10000</f>
        <v>-94.48720161407964</v>
      </c>
      <c r="G20" s="13"/>
      <c r="H20" s="13">
        <f>(H18-F18)*10000</f>
        <v>31.506566873995002</v>
      </c>
      <c r="I20" s="13">
        <f>(I18-H18)*10000</f>
        <v>-8.288664041083415</v>
      </c>
      <c r="J20" s="31">
        <f>(J18-I18)*10000</f>
        <v>-15.000000000000014</v>
      </c>
      <c r="K20" s="1"/>
      <c r="L20" s="5"/>
    </row>
    <row r="21" ht="28.5">
      <c r="A21" s="1"/>
      <c r="B21" s="11" t="s">
        <v>281</v>
      </c>
      <c r="C21" s="30"/>
      <c r="D21" s="30"/>
      <c r="E21" s="30"/>
      <c r="F21" s="30"/>
      <c r="G21" s="30"/>
      <c r="H21" s="30"/>
      <c r="I21" s="30"/>
      <c r="J21" s="59">
        <v>0.11</v>
      </c>
      <c r="K21" s="1"/>
      <c r="L21" s="85" t="s">
        <v>282</v>
      </c>
    </row>
    <row r="22">
      <c r="A22" s="1"/>
      <c r="B22" s="1" t="s">
        <v>283</v>
      </c>
      <c r="C22" s="25">
        <v>490</v>
      </c>
      <c r="D22" s="25">
        <v>506.7</v>
      </c>
      <c r="E22" s="25">
        <v>524.3</v>
      </c>
      <c r="F22" s="25">
        <v>514.4</v>
      </c>
      <c r="G22" s="14">
        <f>SUM(C22:F22)</f>
        <v>2035.4</v>
      </c>
      <c r="H22" s="25">
        <v>535.3</v>
      </c>
      <c r="I22" s="25">
        <v>561.8</v>
      </c>
      <c r="J22" s="33">
        <f>E22*(1+J21)</f>
        <v>581.973</v>
      </c>
      <c r="K22" s="1"/>
      <c r="L22" s="5" t="s">
        <v>203</v>
      </c>
    </row>
    <row r="23">
      <c r="A23" s="1"/>
      <c r="B23" s="11" t="s">
        <v>71</v>
      </c>
      <c r="C23" s="30"/>
      <c r="D23" s="30"/>
      <c r="E23" s="30"/>
      <c r="F23" s="30"/>
      <c r="G23" s="30"/>
      <c r="H23" s="30">
        <f>H22/C22-1</f>
        <v>0.09244897959183662</v>
      </c>
      <c r="I23" s="30">
        <f>I22/D22-1</f>
        <v>0.10874284586540361</v>
      </c>
      <c r="J23" s="34">
        <f>J22/E22-1</f>
        <v>0.1100000000000001</v>
      </c>
      <c r="K23" s="1"/>
      <c r="L23" s="5"/>
    </row>
    <row r="24">
      <c r="A24" s="1"/>
      <c r="B24" s="11" t="s">
        <v>284</v>
      </c>
      <c r="C24" s="30">
        <f>C22/C11</f>
        <v>0.2500765540471573</v>
      </c>
      <c r="D24" s="30">
        <f>D22/D11</f>
        <v>0.2435706388501658</v>
      </c>
      <c r="E24" s="30">
        <f>E22/E11</f>
        <v>0.24576946514789288</v>
      </c>
      <c r="F24" s="30">
        <f>F22/F11</f>
        <v>0.2537239814540791</v>
      </c>
      <c r="G24" s="30">
        <f>G22/G11</f>
        <v>0.2482074045168528</v>
      </c>
      <c r="H24" s="30">
        <f>H22/H11</f>
        <v>0.24313030839805605</v>
      </c>
      <c r="I24" s="30">
        <f>I22/I11</f>
        <v>0.23536805060957725</v>
      </c>
      <c r="J24" s="34">
        <f>J22/J11</f>
        <v>0.23548442854952414</v>
      </c>
      <c r="K24" s="1"/>
      <c r="L24" s="5"/>
    </row>
    <row r="25">
      <c r="A25" s="1"/>
      <c r="B25" s="1" t="s">
        <v>134</v>
      </c>
      <c r="C25" s="13"/>
      <c r="D25" s="13"/>
      <c r="E25" s="13"/>
      <c r="F25" s="13"/>
      <c r="G25" s="13"/>
      <c r="H25" s="13">
        <f>(H24-C24)*10000</f>
        <v>-69.46245649101235</v>
      </c>
      <c r="I25" s="13">
        <f>(I24-D24)*10000</f>
        <v>-82.0258824058856</v>
      </c>
      <c r="J25" s="31">
        <f>(J24-E24)*10000</f>
        <v>-102.85036598368741</v>
      </c>
      <c r="K25" s="1"/>
      <c r="L25" s="5"/>
    </row>
    <row r="26">
      <c r="A26" s="1"/>
      <c r="B26" s="1" t="s">
        <v>135</v>
      </c>
      <c r="C26" s="13"/>
      <c r="D26" s="13">
        <f>(D24-C24)*10000</f>
        <v>-65.0591519699148</v>
      </c>
      <c r="E26" s="13">
        <f>(E24-D24)*10000</f>
        <v>21.9882629772708</v>
      </c>
      <c r="F26" s="13">
        <f>(F24-E24)*10000</f>
        <v>79.5451630618621</v>
      </c>
      <c r="G26" s="13"/>
      <c r="H26" s="13">
        <f>(H24-F24)*10000</f>
        <v>-105.93673056023046</v>
      </c>
      <c r="I26" s="13">
        <f>(I24-H24)*10000</f>
        <v>-77.62257788478804</v>
      </c>
      <c r="J26" s="31">
        <f>(J24-I24)*10000</f>
        <v>1.1637793994689893</v>
      </c>
      <c r="K26" s="1"/>
      <c r="L26" s="5"/>
    </row>
    <row r="27">
      <c r="A27" s="1"/>
      <c r="B27" s="9" t="s">
        <v>285</v>
      </c>
      <c r="C27" s="35">
        <f>C15-C22</f>
        <v>393.9000000000001</v>
      </c>
      <c r="D27" s="35">
        <f>D15-D22</f>
        <v>436.1000000000002</v>
      </c>
      <c r="E27" s="35">
        <f>E15-E22</f>
        <v>441.5000000000002</v>
      </c>
      <c r="F27" s="35">
        <f>F15-F22</f>
        <v>384.30000000000007</v>
      </c>
      <c r="G27" s="35">
        <f>G15-G22</f>
        <v>1655.8000000000015</v>
      </c>
      <c r="H27" s="35">
        <f>H15-H22</f>
        <v>447.5999999999999</v>
      </c>
      <c r="I27" s="35">
        <f>I15-I22</f>
        <v>501.8000000000002</v>
      </c>
      <c r="J27" s="48">
        <f>J15-J22</f>
        <v>515.566940148972</v>
      </c>
      <c r="K27" s="1"/>
      <c r="L27" s="5"/>
    </row>
    <row r="28">
      <c r="A28" s="1"/>
      <c r="B28" s="11" t="s">
        <v>71</v>
      </c>
      <c r="C28" s="30"/>
      <c r="D28" s="30"/>
      <c r="E28" s="30"/>
      <c r="F28" s="30"/>
      <c r="G28" s="30"/>
      <c r="H28" s="30">
        <f>H27/C27-1</f>
        <v>0.1363290175171359</v>
      </c>
      <c r="I28" s="30">
        <f>I27/D27-1</f>
        <v>0.15065351983490016</v>
      </c>
      <c r="J28" s="34">
        <f>J27/E27-1</f>
        <v>0.16776203884251806</v>
      </c>
      <c r="K28" s="1"/>
      <c r="L28" s="5"/>
    </row>
    <row r="29">
      <c r="A29" s="1"/>
      <c r="B29" s="11" t="s">
        <v>286</v>
      </c>
      <c r="C29" s="30">
        <f>C27/C11</f>
        <v>0.20103092783505158</v>
      </c>
      <c r="D29" s="30">
        <f>D27/D11</f>
        <v>0.2096332259770226</v>
      </c>
      <c r="E29" s="30">
        <f>E27/E11</f>
        <v>0.20695635869310466</v>
      </c>
      <c r="F29" s="30">
        <f>F27/F11</f>
        <v>0.18955312222551052</v>
      </c>
      <c r="G29" s="30">
        <f>G27/G11</f>
        <v>0.20191697965952896</v>
      </c>
      <c r="H29" s="30">
        <f>H27/H11</f>
        <v>0.20329745196893306</v>
      </c>
      <c r="I29" s="30">
        <f>I27/I11</f>
        <v>0.21023084335330353</v>
      </c>
      <c r="J29" s="34">
        <f>J27/J11</f>
        <v>0.2086144654133566</v>
      </c>
      <c r="K29" s="1"/>
      <c r="L29" s="5"/>
    </row>
    <row r="30">
      <c r="A30" s="1"/>
      <c r="B30" s="1" t="s">
        <v>150</v>
      </c>
      <c r="C30" s="13"/>
      <c r="D30" s="13"/>
      <c r="E30" s="13"/>
      <c r="F30" s="13"/>
      <c r="G30" s="13"/>
      <c r="H30" s="13">
        <f>(H29-C29)*10000</f>
        <v>22.665241338814813</v>
      </c>
      <c r="I30" s="13">
        <f>(I29-D29)*10000</f>
        <v>5.976173762809179</v>
      </c>
      <c r="J30" s="31">
        <f>(J29-E29)*10000</f>
        <v>16.58106720251934</v>
      </c>
      <c r="K30" s="1"/>
      <c r="L30" s="5"/>
    </row>
    <row r="31">
      <c r="A31" s="1"/>
      <c r="B31" s="1" t="s">
        <v>151</v>
      </c>
      <c r="C31" s="13"/>
      <c r="D31" s="13">
        <f>(D29-C29)*10000</f>
        <v>86.02298141971026</v>
      </c>
      <c r="E31" s="13">
        <f>(E29-D29)*10000</f>
        <v>-26.76867283917944</v>
      </c>
      <c r="F31" s="13">
        <f>(F29-E29)*10000</f>
        <v>-174.03236467594147</v>
      </c>
      <c r="G31" s="13"/>
      <c r="H31" s="13">
        <f>(H29-F29)*10000</f>
        <v>137.44329743422546</v>
      </c>
      <c r="I31" s="13">
        <f>(I29-H29)*10000</f>
        <v>69.33391384370464</v>
      </c>
      <c r="J31" s="31">
        <f>(J29-I29)*10000</f>
        <v>-16.16377939946928</v>
      </c>
      <c r="K31" s="1"/>
      <c r="L31" s="5"/>
    </row>
    <row r="32">
      <c r="A32" s="1"/>
      <c r="B32" s="11" t="s">
        <v>287</v>
      </c>
      <c r="C32" s="30"/>
      <c r="D32" s="30"/>
      <c r="E32" s="30"/>
      <c r="F32" s="30"/>
      <c r="G32" s="30"/>
      <c r="H32" s="30">
        <f>(H27-C27)/(H11-C11)</f>
        <v>0.22162608336772546</v>
      </c>
      <c r="I32" s="30">
        <f>(I27-D27)/(I11-D11)</f>
        <v>0.2142857142857143</v>
      </c>
      <c r="J32" s="34">
        <f>(J27-E27)/(J11-E11)</f>
        <v>0.21907699716283063</v>
      </c>
      <c r="K32" s="1"/>
      <c r="L32" s="5"/>
    </row>
    <row r="33">
      <c r="A33" s="1"/>
      <c r="B33" s="1" t="s">
        <v>288</v>
      </c>
      <c r="C33" s="25">
        <v>0.9</v>
      </c>
      <c r="D33" s="25">
        <v>2.7</v>
      </c>
      <c r="E33" s="25">
        <v>0.7</v>
      </c>
      <c r="F33" s="25">
        <v>1.2</v>
      </c>
      <c r="G33" s="14">
        <f>SUM(C33:F33)</f>
        <v>5.5</v>
      </c>
      <c r="H33" s="25">
        <v>1.6</v>
      </c>
      <c r="I33" s="25">
        <v>1.5</v>
      </c>
      <c r="J33" s="44">
        <v>1.4</v>
      </c>
      <c r="K33" s="1"/>
      <c r="L33" s="5" t="s">
        <v>289</v>
      </c>
    </row>
    <row r="34">
      <c r="A34" s="1"/>
      <c r="B34" s="1" t="s">
        <v>290</v>
      </c>
      <c r="C34" s="25">
        <v>-1.7</v>
      </c>
      <c r="D34" s="25">
        <v>-2.2</v>
      </c>
      <c r="E34" s="25">
        <v>-1.6</v>
      </c>
      <c r="F34" s="25">
        <v>-0.9</v>
      </c>
      <c r="G34" s="14">
        <f>SUM(C34:F34)</f>
        <v>-6.4</v>
      </c>
      <c r="H34" s="25">
        <v>-0.8</v>
      </c>
      <c r="I34" s="25">
        <v>-1.2</v>
      </c>
      <c r="J34" s="44">
        <v>-1</v>
      </c>
      <c r="K34" s="1"/>
      <c r="L34" s="5" t="s">
        <v>291</v>
      </c>
    </row>
    <row r="35">
      <c r="A35" s="1"/>
      <c r="B35" s="1" t="s">
        <v>292</v>
      </c>
      <c r="C35" s="14">
        <f>C33+C34</f>
        <v>-0.7999999999999999</v>
      </c>
      <c r="D35" s="14">
        <f>D33+D34</f>
        <v>0.5</v>
      </c>
      <c r="E35" s="14">
        <f>E33+E34</f>
        <v>-0.9000000000000001</v>
      </c>
      <c r="F35" s="14">
        <f>F33+F34</f>
        <v>0.29999999999999993</v>
      </c>
      <c r="G35" s="14">
        <f>G33+G34</f>
        <v>-0.9000000000000004</v>
      </c>
      <c r="H35" s="14">
        <f>H33+H34</f>
        <v>0.8</v>
      </c>
      <c r="I35" s="14">
        <f>I33+I34</f>
        <v>0.30000000000000004</v>
      </c>
      <c r="J35" s="33">
        <f>J33+J34</f>
        <v>0.3999999999999999</v>
      </c>
      <c r="K35" s="1"/>
      <c r="L35" s="5"/>
    </row>
    <row r="36">
      <c r="A36" s="1"/>
      <c r="B36" s="9" t="s">
        <v>293</v>
      </c>
      <c r="C36" s="35">
        <f>C27+C33+C34</f>
        <v>393.1000000000001</v>
      </c>
      <c r="D36" s="35">
        <f>D27+D33+D34</f>
        <v>436.6000000000002</v>
      </c>
      <c r="E36" s="35">
        <f>E27+E33+E34</f>
        <v>440.6000000000002</v>
      </c>
      <c r="F36" s="35">
        <f>F27+F33+F34</f>
        <v>384.6000000000001</v>
      </c>
      <c r="G36" s="35">
        <f>G27+G33+G34</f>
        <v>1654.9000000000015</v>
      </c>
      <c r="H36" s="35">
        <f>H27+H33+H34</f>
        <v>448.3999999999999</v>
      </c>
      <c r="I36" s="35">
        <f>I27+I33+I34</f>
        <v>502.1000000000002</v>
      </c>
      <c r="J36" s="48">
        <f>J27+J33+J34</f>
        <v>515.966940148972</v>
      </c>
      <c r="K36" s="1"/>
      <c r="L36" s="5"/>
    </row>
    <row r="37">
      <c r="A37" s="1"/>
      <c r="B37" s="11" t="s">
        <v>294</v>
      </c>
      <c r="C37" s="30">
        <f>C36/C11</f>
        <v>0.200622639583546</v>
      </c>
      <c r="D37" s="30">
        <f>D36/D11</f>
        <v>0.20987357592654912</v>
      </c>
      <c r="E37" s="30">
        <f>E36/E11</f>
        <v>0.2065344771012048</v>
      </c>
      <c r="F37" s="30">
        <f>F36/F11</f>
        <v>0.1897010949985203</v>
      </c>
      <c r="G37" s="30">
        <f>G36/G11</f>
        <v>0.2018072289156628</v>
      </c>
      <c r="H37" s="30">
        <f>H36/H11</f>
        <v>0.20366080755779623</v>
      </c>
      <c r="I37" s="30">
        <f>I36/I11</f>
        <v>0.21035652938958488</v>
      </c>
      <c r="J37" s="34">
        <f>J36/J11</f>
        <v>0.20877631789005194</v>
      </c>
      <c r="K37" s="1"/>
      <c r="L37" s="5"/>
    </row>
    <row r="38">
      <c r="A38" s="1"/>
      <c r="B38" s="1" t="s">
        <v>134</v>
      </c>
      <c r="C38" s="13"/>
      <c r="D38" s="13"/>
      <c r="E38" s="13"/>
      <c r="F38" s="13"/>
      <c r="G38" s="13"/>
      <c r="H38" s="13">
        <f>(H37-C37)*10000</f>
        <v>30.381679742502165</v>
      </c>
      <c r="I38" s="13">
        <f>(I37-D37)*10000</f>
        <v>4.829534630357568</v>
      </c>
      <c r="J38" s="31">
        <f>(J37-E37)*10000</f>
        <v>22.418407888471492</v>
      </c>
      <c r="K38" s="1"/>
      <c r="L38" s="5"/>
    </row>
    <row r="39">
      <c r="A39" s="1"/>
      <c r="B39" s="1" t="s">
        <v>135</v>
      </c>
      <c r="C39" s="13"/>
      <c r="D39" s="13">
        <f>(D37-C37)*10000</f>
        <v>92.50936343003113</v>
      </c>
      <c r="E39" s="13">
        <f>(E37-D37)*10000</f>
        <v>-33.39098825344333</v>
      </c>
      <c r="F39" s="13">
        <f>(F37-E37)*10000</f>
        <v>-168.3338210268448</v>
      </c>
      <c r="G39" s="13"/>
      <c r="H39" s="13">
        <f>(H37-F37)*10000</f>
        <v>139.59712559275917</v>
      </c>
      <c r="I39" s="13">
        <f>(I37-H37)*10000</f>
        <v>66.95721831788653</v>
      </c>
      <c r="J39" s="31">
        <f>(J37-I37)*10000</f>
        <v>-15.802114995329408</v>
      </c>
      <c r="K39" s="1"/>
      <c r="L39" s="5"/>
    </row>
    <row r="40" ht="28.5">
      <c r="A40" s="1"/>
      <c r="B40" s="11" t="s">
        <v>295</v>
      </c>
      <c r="C40" s="30"/>
      <c r="D40" s="30"/>
      <c r="E40" s="30"/>
      <c r="F40" s="30"/>
      <c r="G40" s="30"/>
      <c r="H40" s="30"/>
      <c r="I40" s="30"/>
      <c r="J40" s="59">
        <v>0.242</v>
      </c>
      <c r="K40" s="1"/>
      <c r="L40" s="85" t="s">
        <v>296</v>
      </c>
    </row>
    <row r="41">
      <c r="A41" s="1"/>
      <c r="B41" s="1" t="s">
        <v>297</v>
      </c>
      <c r="C41" s="25">
        <v>94.4</v>
      </c>
      <c r="D41" s="25">
        <v>106.3</v>
      </c>
      <c r="E41" s="25">
        <v>105.1</v>
      </c>
      <c r="F41" s="25">
        <v>90.5</v>
      </c>
      <c r="G41" s="14">
        <f>SUM(C41:F41)</f>
        <v>396.3</v>
      </c>
      <c r="H41" s="25">
        <v>108.6</v>
      </c>
      <c r="I41" s="25">
        <v>119.3</v>
      </c>
      <c r="J41" s="33">
        <f>J36*J40</f>
        <v>124.86399951605121</v>
      </c>
      <c r="K41" s="1"/>
      <c r="L41" s="5" t="s">
        <v>203</v>
      </c>
    </row>
    <row r="42">
      <c r="A42" s="1"/>
      <c r="B42" s="11" t="s">
        <v>298</v>
      </c>
      <c r="C42" s="30">
        <f>C41/C36</f>
        <v>0.24014245738997708</v>
      </c>
      <c r="D42" s="30">
        <f>D41/D36</f>
        <v>0.24347228584516709</v>
      </c>
      <c r="E42" s="30">
        <f>E41/E36</f>
        <v>0.23853835678620053</v>
      </c>
      <c r="F42" s="30">
        <f>F41/F36</f>
        <v>0.235309412376495</v>
      </c>
      <c r="G42" s="30">
        <f>G41/G36</f>
        <v>0.23947066287993213</v>
      </c>
      <c r="H42" s="30">
        <f>H41/H36</f>
        <v>0.24219446922390725</v>
      </c>
      <c r="I42" s="30">
        <f>I41/I36</f>
        <v>0.23760207130053765</v>
      </c>
      <c r="J42" s="34">
        <f>J41/J36</f>
        <v>0.242</v>
      </c>
      <c r="K42" s="1"/>
      <c r="L42" s="5"/>
    </row>
    <row r="43">
      <c r="A43" s="1"/>
      <c r="B43" s="1" t="s">
        <v>134</v>
      </c>
      <c r="C43" s="13"/>
      <c r="D43" s="13"/>
      <c r="E43" s="13"/>
      <c r="F43" s="13"/>
      <c r="G43" s="13"/>
      <c r="H43" s="13">
        <f>(H42-C42)*10000</f>
        <v>20.520118339301675</v>
      </c>
      <c r="I43" s="13">
        <f>(I42-D42)*10000</f>
        <v>-58.702145446294374</v>
      </c>
      <c r="J43" s="31">
        <f>(J42-E42)*10000</f>
        <v>34.61643213799464</v>
      </c>
      <c r="K43" s="1"/>
      <c r="L43" s="5"/>
    </row>
    <row r="44">
      <c r="A44" s="1"/>
      <c r="B44" s="1" t="s">
        <v>135</v>
      </c>
      <c r="C44" s="13"/>
      <c r="D44" s="13">
        <f>(D42-C42)*10000</f>
        <v>33.29828455190004</v>
      </c>
      <c r="E44" s="13">
        <f>(E42-D42)*10000</f>
        <v>-49.33929058966557</v>
      </c>
      <c r="F44" s="13">
        <f>(F42-E42)*10000</f>
        <v>-32.28944409705531</v>
      </c>
      <c r="G44" s="13"/>
      <c r="H44" s="13">
        <f>(H42-F42)*10000</f>
        <v>68.85056847412253</v>
      </c>
      <c r="I44" s="13">
        <f>(I42-H42)*10000</f>
        <v>-45.92397923369601</v>
      </c>
      <c r="J44" s="31">
        <f>(J42-I42)*10000</f>
        <v>43.97928699462344</v>
      </c>
      <c r="K44" s="1"/>
      <c r="L44" s="5"/>
    </row>
    <row r="45">
      <c r="A45" s="1"/>
      <c r="B45" s="9" t="s">
        <v>299</v>
      </c>
      <c r="C45" s="35">
        <f>C36-C41</f>
        <v>298.70000000000005</v>
      </c>
      <c r="D45" s="35">
        <f>D36-D41</f>
        <v>330.3000000000002</v>
      </c>
      <c r="E45" s="35">
        <f>E36-E41</f>
        <v>335.5000000000002</v>
      </c>
      <c r="F45" s="35">
        <f>F36-F41</f>
        <v>294.1000000000001</v>
      </c>
      <c r="G45" s="35">
        <f>G36-G41</f>
        <v>1258.6000000000015</v>
      </c>
      <c r="H45" s="35">
        <f>H36-H41</f>
        <v>339.79999999999995</v>
      </c>
      <c r="I45" s="35">
        <f>I36-I41</f>
        <v>382.8000000000002</v>
      </c>
      <c r="J45" s="48">
        <f>J36-J41</f>
        <v>391.10294063292076</v>
      </c>
      <c r="K45" s="1"/>
      <c r="L45" s="5"/>
    </row>
    <row r="46">
      <c r="A46" s="1"/>
      <c r="B46" s="11" t="s">
        <v>71</v>
      </c>
      <c r="C46" s="30"/>
      <c r="D46" s="30"/>
      <c r="E46" s="30"/>
      <c r="F46" s="30"/>
      <c r="G46" s="30"/>
      <c r="H46" s="30">
        <f>H45/C45-1</f>
        <v>0.13759625041847978</v>
      </c>
      <c r="I46" s="30">
        <f>I45/D45-1</f>
        <v>0.15894641235240692</v>
      </c>
      <c r="J46" s="34">
        <f>J45/E45-1</f>
        <v>0.16573156671511335</v>
      </c>
      <c r="K46" s="1"/>
      <c r="L46" s="5"/>
    </row>
    <row r="47">
      <c r="A47" s="1"/>
      <c r="B47" s="11" t="s">
        <v>300</v>
      </c>
      <c r="C47" s="30">
        <f>C45/C11</f>
        <v>0.15244462590588959</v>
      </c>
      <c r="D47" s="30">
        <f>D45/D11</f>
        <v>0.15877517665721297</v>
      </c>
      <c r="E47" s="30">
        <f>E45/E11</f>
        <v>0.15726808231378625</v>
      </c>
      <c r="F47" s="30">
        <f>F45/F11</f>
        <v>0.14506264180724082</v>
      </c>
      <c r="G47" s="30">
        <f>G45/G11</f>
        <v>0.15348031803326684</v>
      </c>
      <c r="H47" s="30">
        <f>H45/H11</f>
        <v>0.15433528636962346</v>
      </c>
      <c r="I47" s="30">
        <f>I45/I11</f>
        <v>0.1603753822950271</v>
      </c>
      <c r="J47" s="34">
        <f>J45/J11</f>
        <v>0.15825244896065938</v>
      </c>
      <c r="K47" s="1"/>
      <c r="L47" s="5"/>
    </row>
    <row r="48">
      <c r="A48" s="1"/>
      <c r="B48" s="1" t="s">
        <v>134</v>
      </c>
      <c r="C48" s="13"/>
      <c r="D48" s="13"/>
      <c r="E48" s="13"/>
      <c r="F48" s="13"/>
      <c r="G48" s="13"/>
      <c r="H48" s="13">
        <f>(H47-C47)*10000</f>
        <v>18.90660463733873</v>
      </c>
      <c r="I48" s="13">
        <f>(I47-D47)*10000</f>
        <v>16.002056378141283</v>
      </c>
      <c r="J48" s="31">
        <f>(J47-E47)*10000</f>
        <v>9.84366646873125</v>
      </c>
      <c r="K48" s="1"/>
      <c r="L48" s="5"/>
    </row>
    <row r="49">
      <c r="A49" s="1"/>
      <c r="B49" s="1" t="s">
        <v>135</v>
      </c>
      <c r="C49" s="13"/>
      <c r="D49" s="13">
        <f>(D47-C47)*10000</f>
        <v>63.30550751323383</v>
      </c>
      <c r="E49" s="13">
        <f>(E47-D47)*10000</f>
        <v>-15.070943434267182</v>
      </c>
      <c r="F49" s="13">
        <f>(F47-E47)*10000</f>
        <v>-122.05440506545429</v>
      </c>
      <c r="G49" s="13"/>
      <c r="H49" s="13">
        <f>(H47-F47)*10000</f>
        <v>92.72644562382636</v>
      </c>
      <c r="I49" s="13">
        <f>(I47-H47)*10000</f>
        <v>60.40095925403638</v>
      </c>
      <c r="J49" s="31">
        <f>(J47-I47)*10000</f>
        <v>-21.229333343677215</v>
      </c>
      <c r="K49" s="1"/>
      <c r="L49" s="5"/>
    </row>
    <row r="50">
      <c r="A50" s="1"/>
      <c r="B50" s="1"/>
      <c r="C50" s="1"/>
      <c r="D50" s="1"/>
      <c r="E50" s="1"/>
      <c r="F50" s="1"/>
      <c r="G50" s="1"/>
      <c r="H50" s="1"/>
      <c r="I50" s="1"/>
      <c r="J50" s="43"/>
      <c r="K50" s="1"/>
      <c r="L50" s="5"/>
    </row>
    <row r="51">
      <c r="A51" s="1"/>
      <c r="B51" s="9" t="s">
        <v>301</v>
      </c>
      <c r="C51" s="14"/>
      <c r="D51" s="14"/>
      <c r="E51" s="14"/>
      <c r="F51" s="14"/>
      <c r="G51" s="14"/>
      <c r="H51" s="14"/>
      <c r="I51" s="14"/>
      <c r="J51" s="33"/>
      <c r="K51" s="1"/>
      <c r="L51" s="5"/>
    </row>
    <row r="52">
      <c r="A52" s="1"/>
      <c r="B52" s="1" t="s">
        <v>302</v>
      </c>
      <c r="C52" s="7">
        <f>'Share Count'!C12</f>
        <v>1146.9</v>
      </c>
      <c r="D52" s="7">
        <f>'Share Count'!D12</f>
        <v>1147.5</v>
      </c>
      <c r="E52" s="7">
        <f>'Share Count'!E12</f>
        <v>1147.9</v>
      </c>
      <c r="F52" s="7">
        <f>'Share Count'!F12</f>
        <v>1148</v>
      </c>
      <c r="G52" s="7">
        <f>'Share Count'!G12</f>
        <v>1147.6</v>
      </c>
      <c r="H52" s="7">
        <f>'Share Count'!H12</f>
        <v>1148.2</v>
      </c>
      <c r="I52" s="7">
        <f>'Share Count'!I12</f>
        <v>1147.6</v>
      </c>
      <c r="J52" s="40">
        <f>'Share Count'!J12</f>
        <v>1147.5</v>
      </c>
      <c r="K52" s="1"/>
      <c r="L52" s="5"/>
    </row>
    <row r="53">
      <c r="A53" s="1"/>
      <c r="B53" s="1" t="s">
        <v>303</v>
      </c>
      <c r="C53" s="7">
        <f>'Share Count'!C16</f>
        <v>1149.5</v>
      </c>
      <c r="D53" s="7">
        <f>'Share Count'!D16</f>
        <v>1150.1</v>
      </c>
      <c r="E53" s="7">
        <f>'Share Count'!E16</f>
        <v>1151</v>
      </c>
      <c r="F53" s="7">
        <f>'Share Count'!F16</f>
        <v>1150.6</v>
      </c>
      <c r="G53" s="7">
        <f>'Share Count'!G16</f>
        <v>1150.3</v>
      </c>
      <c r="H53" s="7">
        <f>'Share Count'!H16</f>
        <v>1150.9</v>
      </c>
      <c r="I53" s="7">
        <f>'Share Count'!I16</f>
        <v>1150.3</v>
      </c>
      <c r="J53" s="40">
        <f>'Share Count'!J16</f>
        <v>1150.2</v>
      </c>
      <c r="K53" s="1"/>
      <c r="L53" s="5"/>
    </row>
    <row r="54">
      <c r="A54" s="1"/>
      <c r="B54" s="1" t="s">
        <v>304</v>
      </c>
      <c r="C54" s="8">
        <f>C45/C52</f>
        <v>0.26044118929287646</v>
      </c>
      <c r="D54" s="8">
        <f>D45/D52</f>
        <v>0.2878431372549021</v>
      </c>
      <c r="E54" s="8">
        <f>E45/E52</f>
        <v>0.2922728460667307</v>
      </c>
      <c r="F54" s="8">
        <f>F45/F52</f>
        <v>0.2561846689895471</v>
      </c>
      <c r="G54" s="8">
        <f>G45/G52</f>
        <v>1.096723597072152</v>
      </c>
      <c r="H54" s="8">
        <f>H45/H52</f>
        <v>0.29594147361086914</v>
      </c>
      <c r="I54" s="8">
        <f>I45/I52</f>
        <v>0.33356570233530863</v>
      </c>
      <c r="J54" s="50">
        <f>J45/J52</f>
        <v>0.34083044935330786</v>
      </c>
      <c r="K54" s="1"/>
      <c r="L54" s="5"/>
    </row>
    <row r="55">
      <c r="A55" s="1"/>
      <c r="B55" s="9" t="s">
        <v>305</v>
      </c>
      <c r="C55" s="52">
        <f>C45/C53</f>
        <v>0.2598521096128752</v>
      </c>
      <c r="D55" s="52">
        <f>D45/D53</f>
        <v>0.28719241805060447</v>
      </c>
      <c r="E55" s="52">
        <f>E45/E53</f>
        <v>0.29148566463944414</v>
      </c>
      <c r="F55" s="52">
        <f>F45/F53</f>
        <v>0.2556057709021381</v>
      </c>
      <c r="G55" s="52">
        <f>G45/G53</f>
        <v>1.0941493523428685</v>
      </c>
      <c r="H55" s="52">
        <f>H45/H53</f>
        <v>0.29524719784516457</v>
      </c>
      <c r="I55" s="52">
        <f>I45/I53</f>
        <v>0.3327827523254805</v>
      </c>
      <c r="J55" s="56">
        <f>J45/J53</f>
        <v>0.34003037787595264</v>
      </c>
      <c r="K55" s="1"/>
      <c r="L55" s="5"/>
    </row>
    <row r="56">
      <c r="A56" s="1"/>
      <c r="B56" s="11" t="s">
        <v>71</v>
      </c>
      <c r="C56" s="30"/>
      <c r="D56" s="30"/>
      <c r="E56" s="30"/>
      <c r="F56" s="30"/>
      <c r="G56" s="30"/>
      <c r="H56" s="30">
        <f>H55/C55-1</f>
        <v>0.1362124336224193</v>
      </c>
      <c r="I56" s="30">
        <f>I55/D55-1</f>
        <v>0.15874490902069294</v>
      </c>
      <c r="J56" s="34">
        <f>J55/E55-1</f>
        <v>0.16654236940453426</v>
      </c>
      <c r="K56" s="1"/>
      <c r="L56" s="5"/>
    </row>
    <row r="57">
      <c r="A57" s="1"/>
      <c r="B57" s="1" t="s">
        <v>306</v>
      </c>
      <c r="C57" s="28">
        <v>0.26</v>
      </c>
      <c r="D57" s="28">
        <v>0.29</v>
      </c>
      <c r="E57" s="28">
        <v>0.29</v>
      </c>
      <c r="F57" s="28">
        <v>0.26</v>
      </c>
      <c r="G57" s="28">
        <v>1.09</v>
      </c>
      <c r="H57" s="28">
        <v>0.3</v>
      </c>
      <c r="I57" s="28">
        <v>0.33</v>
      </c>
      <c r="J57" s="50"/>
      <c r="K57" s="1"/>
      <c r="L57" s="5" t="s">
        <v>203</v>
      </c>
    </row>
    <row r="58" ht="28.5">
      <c r="A58" s="1"/>
      <c r="B58" s="11" t="s">
        <v>307</v>
      </c>
      <c r="C58" s="18" t="b">
        <f>ROUND(C55,2)=C57</f>
        <v>1</v>
      </c>
      <c r="D58" s="18" t="b">
        <f>ROUND(D55,2)=D57</f>
        <v>1</v>
      </c>
      <c r="E58" s="18" t="b">
        <f>ROUND(E55,2)=E57</f>
        <v>1</v>
      </c>
      <c r="F58" s="18" t="b">
        <f>ROUND(F55,2)=F57</f>
        <v>1</v>
      </c>
      <c r="G58" s="18" t="b">
        <f>ROUND(G55,2)=G57</f>
        <v>1</v>
      </c>
      <c r="H58" s="18" t="b">
        <f>ROUND(H55,2)=H57</f>
        <v>1</v>
      </c>
      <c r="I58" s="18" t="b">
        <f>ROUND(I55,2)=I57</f>
        <v>1</v>
      </c>
      <c r="J58" s="55" t="b">
        <f>ABS(J55-J45/J53)&lt;0.000001</f>
        <v>1</v>
      </c>
      <c r="K58" s="1"/>
      <c r="L58" s="85" t="s">
        <v>308</v>
      </c>
    </row>
    <row r="59">
      <c r="A59" s="1"/>
      <c r="B59" s="1"/>
      <c r="C59" s="1"/>
      <c r="D59" s="1"/>
      <c r="E59" s="1"/>
      <c r="F59" s="1"/>
      <c r="G59" s="1"/>
      <c r="H59" s="1"/>
      <c r="I59" s="1"/>
      <c r="J59" s="43"/>
      <c r="K59" s="1"/>
      <c r="L59" s="5"/>
    </row>
    <row r="60">
      <c r="A60" s="1"/>
      <c r="B60" s="9" t="s">
        <v>309</v>
      </c>
      <c r="C60" s="14"/>
      <c r="D60" s="14"/>
      <c r="E60" s="14"/>
      <c r="F60" s="14"/>
      <c r="G60" s="14"/>
      <c r="H60" s="14"/>
      <c r="I60" s="14"/>
      <c r="J60" s="33"/>
      <c r="K60" s="1"/>
      <c r="L60" s="5"/>
    </row>
    <row r="61">
      <c r="A61" s="1"/>
      <c r="B61" s="1" t="s">
        <v>299</v>
      </c>
      <c r="C61" s="14">
        <f>C45</f>
        <v>298.70000000000005</v>
      </c>
      <c r="D61" s="14">
        <f>D45</f>
        <v>330.3000000000002</v>
      </c>
      <c r="E61" s="14">
        <f>E45</f>
        <v>335.5000000000002</v>
      </c>
      <c r="F61" s="14">
        <f>F45</f>
        <v>294.1000000000001</v>
      </c>
      <c r="G61" s="14">
        <f>G45</f>
        <v>1258.6000000000015</v>
      </c>
      <c r="H61" s="14">
        <f>H45</f>
        <v>339.79999999999995</v>
      </c>
      <c r="I61" s="14">
        <f>I45</f>
        <v>382.8000000000002</v>
      </c>
      <c r="J61" s="33">
        <f>J45</f>
        <v>391.10294063292076</v>
      </c>
      <c r="K61" s="1"/>
      <c r="L61" s="5"/>
    </row>
    <row r="62" ht="28.5">
      <c r="A62" s="1"/>
      <c r="B62" s="1" t="s">
        <v>310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44">
        <v>0</v>
      </c>
      <c r="K62" s="1"/>
      <c r="L62" s="85" t="s">
        <v>311</v>
      </c>
    </row>
    <row r="63">
      <c r="A63" s="1"/>
      <c r="B63" s="1" t="s">
        <v>312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44">
        <v>0</v>
      </c>
      <c r="K63" s="1"/>
      <c r="L63" s="5" t="s">
        <v>313</v>
      </c>
    </row>
    <row r="64">
      <c r="A64" s="1"/>
      <c r="B64" s="1" t="s">
        <v>314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44">
        <v>0</v>
      </c>
      <c r="K64" s="1"/>
      <c r="L64" s="5" t="s">
        <v>315</v>
      </c>
    </row>
    <row r="65" ht="41.25">
      <c r="A65" s="1"/>
      <c r="B65" s="94" t="s">
        <v>316</v>
      </c>
      <c r="C65" s="35">
        <f>C61+C62+C63+C64</f>
        <v>298.70000000000005</v>
      </c>
      <c r="D65" s="35">
        <f>D61+D62+D63+D64</f>
        <v>330.3000000000002</v>
      </c>
      <c r="E65" s="35">
        <f>E61+E62+E63+E64</f>
        <v>335.5000000000002</v>
      </c>
      <c r="F65" s="35">
        <f>F61+F62+F63+F64</f>
        <v>294.1000000000001</v>
      </c>
      <c r="G65" s="35">
        <f>G61+G62+G63+G64</f>
        <v>1258.6000000000015</v>
      </c>
      <c r="H65" s="35">
        <f>H61+H62+H63+H64</f>
        <v>339.79999999999995</v>
      </c>
      <c r="I65" s="35">
        <f>I61+I62+I63+I64</f>
        <v>382.8000000000002</v>
      </c>
      <c r="J65" s="48">
        <f>J61+J62+J63+J64</f>
        <v>391.10294063292076</v>
      </c>
      <c r="K65" s="1"/>
      <c r="L65" s="91" t="s">
        <v>317</v>
      </c>
    </row>
    <row r="66">
      <c r="A66" s="1"/>
      <c r="B66" s="9" t="s">
        <v>318</v>
      </c>
      <c r="C66" s="52">
        <f>C65/C53</f>
        <v>0.2598521096128752</v>
      </c>
      <c r="D66" s="52">
        <f>D65/D53</f>
        <v>0.28719241805060447</v>
      </c>
      <c r="E66" s="52">
        <f>E65/E53</f>
        <v>0.29148566463944414</v>
      </c>
      <c r="F66" s="52">
        <f>F65/F53</f>
        <v>0.2556057709021381</v>
      </c>
      <c r="G66" s="52">
        <f>G65/G53</f>
        <v>1.0941493523428685</v>
      </c>
      <c r="H66" s="52">
        <f>H65/H53</f>
        <v>0.29524719784516457</v>
      </c>
      <c r="I66" s="52">
        <f>I65/I53</f>
        <v>0.3327827523254805</v>
      </c>
      <c r="J66" s="56">
        <f>J65/J53</f>
        <v>0.34003037787595264</v>
      </c>
      <c r="K66" s="1"/>
      <c r="L66" s="5"/>
    </row>
    <row r="67">
      <c r="A67" s="1"/>
      <c r="B67" s="1" t="s">
        <v>319</v>
      </c>
      <c r="C67" s="3">
        <f>Inputs!E12</f>
        <v>0.26</v>
      </c>
      <c r="D67" s="3">
        <f>Inputs!E13</f>
        <v>0.29</v>
      </c>
      <c r="E67" s="3">
        <f>Inputs!E14</f>
        <v>0.29</v>
      </c>
      <c r="F67" s="3">
        <f>Inputs!E15</f>
        <v>0.26</v>
      </c>
      <c r="G67" s="8"/>
      <c r="H67" s="3">
        <f>Inputs!E16</f>
        <v>0.3</v>
      </c>
      <c r="I67" s="3">
        <f>Inputs!E17</f>
        <v>0.33</v>
      </c>
      <c r="J67" s="50"/>
      <c r="K67" s="1"/>
      <c r="L67" s="5" t="s">
        <v>320</v>
      </c>
    </row>
    <row r="68">
      <c r="A68" s="1"/>
      <c r="B68" s="1" t="s">
        <v>321</v>
      </c>
      <c r="C68" s="3">
        <f>Inputs!D12</f>
        <v>0.26</v>
      </c>
      <c r="D68" s="3">
        <f>Inputs!D13</f>
        <v>0.27</v>
      </c>
      <c r="E68" s="3">
        <f>Inputs!D14</f>
        <v>0.3</v>
      </c>
      <c r="F68" s="3">
        <f>Inputs!D15</f>
        <v>0.26</v>
      </c>
      <c r="G68" s="8"/>
      <c r="H68" s="3">
        <f>Inputs!D16</f>
        <v>0.3</v>
      </c>
      <c r="I68" s="3">
        <f>Inputs!D17</f>
        <v>0.33</v>
      </c>
      <c r="J68" s="54">
        <f>Inputs!C41</f>
        <v>0.34</v>
      </c>
      <c r="K68" s="1"/>
      <c r="L68" s="5"/>
    </row>
    <row r="69">
      <c r="A69" s="1"/>
      <c r="B69" s="1" t="s">
        <v>322</v>
      </c>
      <c r="C69" s="8">
        <f>ROUND(C66,2)-C68</f>
        <v>0</v>
      </c>
      <c r="D69" s="8">
        <f>ROUND(D66,2)-D68</f>
        <v>0.019999999999999962</v>
      </c>
      <c r="E69" s="8">
        <f>ROUND(E66,2)-E68</f>
        <v>-0.010000000000000009</v>
      </c>
      <c r="F69" s="8">
        <f>ROUND(F66,2)-F68</f>
        <v>0</v>
      </c>
      <c r="G69" s="8"/>
      <c r="H69" s="8">
        <f>ROUND(H66,2)-H68</f>
        <v>0</v>
      </c>
      <c r="I69" s="8">
        <f>ROUND(I66,2)-I68</f>
        <v>0</v>
      </c>
      <c r="J69" s="50">
        <f>ROUND(J66,2)-J68</f>
        <v>0</v>
      </c>
      <c r="K69" s="1"/>
      <c r="L69" s="5"/>
    </row>
    <row r="70">
      <c r="A70" s="1"/>
      <c r="B70" s="1"/>
      <c r="C70" s="1"/>
      <c r="D70" s="1"/>
      <c r="E70" s="1"/>
      <c r="F70" s="1"/>
      <c r="G70" s="1"/>
      <c r="H70" s="1"/>
      <c r="I70" s="1"/>
      <c r="J70" s="43"/>
      <c r="K70" s="1"/>
      <c r="L70" s="5"/>
    </row>
    <row r="71">
      <c r="A71" s="1"/>
      <c r="B71" s="9" t="s">
        <v>323</v>
      </c>
      <c r="C71" s="14"/>
      <c r="D71" s="14"/>
      <c r="E71" s="14"/>
      <c r="F71" s="14"/>
      <c r="G71" s="14"/>
      <c r="H71" s="14"/>
      <c r="I71" s="14"/>
      <c r="J71" s="33"/>
      <c r="K71" s="1"/>
      <c r="L71" s="5"/>
    </row>
    <row r="72">
      <c r="A72" s="1"/>
      <c r="B72" s="1" t="s">
        <v>324</v>
      </c>
      <c r="C72" s="7">
        <f>'Cash Flow Statement'!C12+'Cash Flow Statement'!C17</f>
        <v>44.7</v>
      </c>
      <c r="D72" s="7">
        <f>'Cash Flow Statement'!D12+'Cash Flow Statement'!D17</f>
        <v>45.1</v>
      </c>
      <c r="E72" s="7">
        <f>'Cash Flow Statement'!E12+'Cash Flow Statement'!E17</f>
        <v>45</v>
      </c>
      <c r="F72" s="7">
        <f>'Cash Flow Statement'!F12+'Cash Flow Statement'!F17</f>
        <v>44.5</v>
      </c>
      <c r="G72" s="7">
        <f>'Cash Flow Statement'!G12+'Cash Flow Statement'!G17</f>
        <v>179.3</v>
      </c>
      <c r="H72" s="7">
        <f>'Cash Flow Statement'!H12+'Cash Flow Statement'!H17</f>
        <v>44.6</v>
      </c>
      <c r="I72" s="7">
        <f>'Cash Flow Statement'!I12+'Cash Flow Statement'!I17</f>
        <v>45.5</v>
      </c>
      <c r="J72" s="40">
        <f>'Cash Flow Statement'!J12+'Cash Flow Statement'!J17</f>
        <v>46.2</v>
      </c>
      <c r="K72" s="1"/>
      <c r="L72" s="5"/>
    </row>
    <row r="73">
      <c r="A73" s="1"/>
      <c r="B73" s="11" t="s">
        <v>325</v>
      </c>
      <c r="C73" s="11"/>
      <c r="D73" s="11"/>
      <c r="E73" s="11"/>
      <c r="F73" s="11"/>
      <c r="G73" s="11"/>
      <c r="H73" s="11"/>
      <c r="I73" s="11"/>
      <c r="J73" s="58"/>
      <c r="K73" s="1"/>
      <c r="L73" s="5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5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5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L6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326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"/>
    </row>
    <row r="10">
      <c r="A10" s="1"/>
      <c r="B10" s="9" t="s">
        <v>327</v>
      </c>
      <c r="C10" s="14"/>
      <c r="D10" s="14"/>
      <c r="E10" s="14"/>
      <c r="F10" s="14"/>
      <c r="G10" s="14"/>
      <c r="H10" s="14"/>
      <c r="I10" s="14"/>
      <c r="J10" s="33"/>
      <c r="K10" s="1"/>
      <c r="L10" s="5"/>
    </row>
    <row r="11" ht="28.5">
      <c r="A11" s="1"/>
      <c r="B11" s="1" t="s">
        <v>328</v>
      </c>
      <c r="C11" s="25">
        <v>231.8</v>
      </c>
      <c r="D11" s="25">
        <v>237.8</v>
      </c>
      <c r="E11" s="25">
        <v>288.1</v>
      </c>
      <c r="F11" s="25">
        <v>276.8</v>
      </c>
      <c r="G11" s="14">
        <f>F11</f>
        <v>276.8</v>
      </c>
      <c r="H11" s="25">
        <v>308.6</v>
      </c>
      <c r="I11" s="25">
        <v>204.7</v>
      </c>
      <c r="J11" s="40">
        <f>'Cash Flow Statement'!J50</f>
        <v>247.61020343292165</v>
      </c>
      <c r="K11" s="1"/>
      <c r="L11" s="85" t="s">
        <v>329</v>
      </c>
    </row>
    <row r="12" ht="28.5">
      <c r="A12" s="1"/>
      <c r="B12" s="1" t="s">
        <v>330</v>
      </c>
      <c r="C12" s="25">
        <v>1278.7</v>
      </c>
      <c r="D12" s="25">
        <v>1324.2</v>
      </c>
      <c r="E12" s="25">
        <v>1347.3</v>
      </c>
      <c r="F12" s="25">
        <v>1245.3</v>
      </c>
      <c r="G12" s="14">
        <f>F12</f>
        <v>1245.3</v>
      </c>
      <c r="H12" s="25">
        <v>1445.2</v>
      </c>
      <c r="I12" s="25">
        <v>1557.4</v>
      </c>
      <c r="J12" s="40">
        <f>J48*'Income Statement'!J11</f>
        <v>1594.0441893</v>
      </c>
      <c r="K12" s="1"/>
      <c r="L12" s="85" t="s">
        <v>329</v>
      </c>
    </row>
    <row r="13" ht="28.5">
      <c r="A13" s="1"/>
      <c r="B13" s="1" t="s">
        <v>331</v>
      </c>
      <c r="C13" s="25">
        <v>1673.9</v>
      </c>
      <c r="D13" s="25">
        <v>1726.3</v>
      </c>
      <c r="E13" s="25">
        <v>1722.8</v>
      </c>
      <c r="F13" s="25">
        <v>1748</v>
      </c>
      <c r="G13" s="14">
        <f>F13</f>
        <v>1748</v>
      </c>
      <c r="H13" s="25">
        <v>1692.5</v>
      </c>
      <c r="I13" s="25">
        <v>1735.2</v>
      </c>
      <c r="J13" s="40">
        <f>I13-'Cash Flow Statement'!J19</f>
        <v>1765.2</v>
      </c>
      <c r="K13" s="1"/>
      <c r="L13" s="85" t="s">
        <v>329</v>
      </c>
    </row>
    <row r="14" ht="28.5">
      <c r="A14" s="1"/>
      <c r="B14" s="1" t="s">
        <v>332</v>
      </c>
      <c r="C14" s="25">
        <v>0</v>
      </c>
      <c r="D14" s="25">
        <v>14.5</v>
      </c>
      <c r="E14" s="25">
        <v>9.4</v>
      </c>
      <c r="F14" s="25">
        <v>20.1</v>
      </c>
      <c r="G14" s="14">
        <f>F14</f>
        <v>20.1</v>
      </c>
      <c r="H14" s="25">
        <v>12.1</v>
      </c>
      <c r="I14" s="25">
        <v>9.1</v>
      </c>
      <c r="J14" s="33">
        <f>I14</f>
        <v>9.1</v>
      </c>
      <c r="K14" s="1"/>
      <c r="L14" s="85" t="s">
        <v>329</v>
      </c>
    </row>
    <row r="15" ht="28.5">
      <c r="A15" s="1"/>
      <c r="B15" s="1" t="s">
        <v>333</v>
      </c>
      <c r="C15" s="25">
        <v>173.6</v>
      </c>
      <c r="D15" s="25">
        <v>158.9</v>
      </c>
      <c r="E15" s="25">
        <v>178.5</v>
      </c>
      <c r="F15" s="25">
        <v>181.9</v>
      </c>
      <c r="G15" s="14">
        <f>F15</f>
        <v>181.9</v>
      </c>
      <c r="H15" s="25">
        <v>161.4</v>
      </c>
      <c r="I15" s="25">
        <v>179</v>
      </c>
      <c r="J15" s="40">
        <f>I15-'Cash Flow Statement'!J20</f>
        <v>179</v>
      </c>
      <c r="K15" s="1"/>
      <c r="L15" s="85" t="s">
        <v>329</v>
      </c>
    </row>
    <row r="16">
      <c r="A16" s="1"/>
      <c r="B16" s="9" t="s">
        <v>334</v>
      </c>
      <c r="C16" s="35">
        <f>C11+C12+C13+C14+C15</f>
        <v>3358</v>
      </c>
      <c r="D16" s="35">
        <f>D11+D12+D13+D14+D15</f>
        <v>3461.7000000000003</v>
      </c>
      <c r="E16" s="35">
        <f>E11+E12+E13+E14+E15</f>
        <v>3546.1</v>
      </c>
      <c r="F16" s="35">
        <f>F11+F12+F13+F14+F15</f>
        <v>3472.1</v>
      </c>
      <c r="G16" s="35">
        <f>G11+G12+G13+G14+G15</f>
        <v>3472.1</v>
      </c>
      <c r="H16" s="35">
        <f>H11+H12+H13+H14+H15</f>
        <v>3619.8</v>
      </c>
      <c r="I16" s="35">
        <f>I11+I12+I13+I14+I15</f>
        <v>3685.4</v>
      </c>
      <c r="J16" s="48">
        <f>J11+J12+J13+J14+J15</f>
        <v>3794.954392732922</v>
      </c>
      <c r="K16" s="1"/>
      <c r="L16" s="5"/>
    </row>
    <row r="17" ht="28.5">
      <c r="A17" s="1"/>
      <c r="B17" s="1" t="s">
        <v>335</v>
      </c>
      <c r="C17" s="25">
        <v>1075.8</v>
      </c>
      <c r="D17" s="25">
        <v>1101</v>
      </c>
      <c r="E17" s="25">
        <v>1112.6</v>
      </c>
      <c r="F17" s="25">
        <v>1131.6</v>
      </c>
      <c r="G17" s="14">
        <f>F17</f>
        <v>1131.6</v>
      </c>
      <c r="H17" s="25">
        <v>1140.3</v>
      </c>
      <c r="I17" s="25">
        <v>1158</v>
      </c>
      <c r="J17" s="40">
        <f>I17-'Cash Flow Statement'!J34-'Cash Flow Statement'!J35-'Cash Flow Statement'!J12-'Cash Flow Statement'!J13</f>
        <v>1196.5</v>
      </c>
      <c r="K17" s="1"/>
      <c r="L17" s="85" t="s">
        <v>329</v>
      </c>
    </row>
    <row r="18" ht="28.5">
      <c r="A18" s="1"/>
      <c r="B18" s="1" t="s">
        <v>336</v>
      </c>
      <c r="C18" s="25">
        <v>289.4</v>
      </c>
      <c r="D18" s="25">
        <v>308.3</v>
      </c>
      <c r="E18" s="25">
        <v>315</v>
      </c>
      <c r="F18" s="25">
        <v>309</v>
      </c>
      <c r="G18" s="14">
        <f>F18</f>
        <v>309</v>
      </c>
      <c r="H18" s="25">
        <v>312.3</v>
      </c>
      <c r="I18" s="25">
        <v>313.4</v>
      </c>
      <c r="J18" s="33">
        <f>I18</f>
        <v>313.4</v>
      </c>
      <c r="K18" s="1"/>
      <c r="L18" s="85" t="s">
        <v>329</v>
      </c>
    </row>
    <row r="19" ht="28.5">
      <c r="A19" s="1"/>
      <c r="B19" s="1" t="s">
        <v>337</v>
      </c>
      <c r="C19" s="25">
        <v>147.7</v>
      </c>
      <c r="D19" s="25">
        <v>145.2</v>
      </c>
      <c r="E19" s="25">
        <v>142.6</v>
      </c>
      <c r="F19" s="25">
        <v>140.2</v>
      </c>
      <c r="G19" s="14">
        <f>F19</f>
        <v>140.2</v>
      </c>
      <c r="H19" s="25">
        <v>137.4</v>
      </c>
      <c r="I19" s="25">
        <v>136.7</v>
      </c>
      <c r="J19" s="40">
        <f>I19-'Cash Flow Statement'!J17-'Cash Flow Statement'!J36</f>
        <v>134</v>
      </c>
      <c r="K19" s="1"/>
      <c r="L19" s="85" t="s">
        <v>329</v>
      </c>
    </row>
    <row r="20">
      <c r="A20" s="1"/>
      <c r="B20" s="9" t="s">
        <v>338</v>
      </c>
      <c r="C20" s="35">
        <f>C16+C17+C18+C19</f>
        <v>4870.9</v>
      </c>
      <c r="D20" s="35">
        <f>D16+D17+D18+D19</f>
        <v>5016.200000000001</v>
      </c>
      <c r="E20" s="35">
        <f>E16+E17+E18+E19</f>
        <v>5116.3</v>
      </c>
      <c r="F20" s="35">
        <f>F16+F17+F18+F19</f>
        <v>5052.9</v>
      </c>
      <c r="G20" s="35">
        <f>G16+G17+G18+G19</f>
        <v>5052.9</v>
      </c>
      <c r="H20" s="35">
        <f>H16+H17+H18+H19</f>
        <v>5209.8</v>
      </c>
      <c r="I20" s="35">
        <f>I16+I17+I18+I19</f>
        <v>5293.499999999999</v>
      </c>
      <c r="J20" s="48">
        <f>J16+J17+J18+J19</f>
        <v>5438.854392732921</v>
      </c>
      <c r="K20" s="1"/>
      <c r="L20" s="5"/>
    </row>
    <row r="21" ht="28.5">
      <c r="A21" s="1"/>
      <c r="B21" s="1" t="s">
        <v>339</v>
      </c>
      <c r="C21" s="25">
        <v>4870.9</v>
      </c>
      <c r="D21" s="25">
        <v>5016.2</v>
      </c>
      <c r="E21" s="25">
        <v>5116.3</v>
      </c>
      <c r="F21" s="25">
        <v>5052.9</v>
      </c>
      <c r="G21" s="14">
        <f>F21</f>
        <v>5052.9</v>
      </c>
      <c r="H21" s="25">
        <v>5209.8</v>
      </c>
      <c r="I21" s="25">
        <v>5293.5</v>
      </c>
      <c r="J21" s="33"/>
      <c r="K21" s="1"/>
      <c r="L21" s="85" t="s">
        <v>329</v>
      </c>
    </row>
    <row r="22">
      <c r="A22" s="1"/>
      <c r="B22" s="11" t="s">
        <v>340</v>
      </c>
      <c r="C22" s="18" t="b">
        <f>ABS(C20-C21)&lt;0.15</f>
        <v>1</v>
      </c>
      <c r="D22" s="18" t="b">
        <f>ABS(D20-D21)&lt;0.15</f>
        <v>1</v>
      </c>
      <c r="E22" s="18" t="b">
        <f>ABS(E20-E21)&lt;0.15</f>
        <v>1</v>
      </c>
      <c r="F22" s="18" t="b">
        <f>ABS(F20-F21)&lt;0.15</f>
        <v>1</v>
      </c>
      <c r="G22" s="18" t="b">
        <f>ABS(G20-G21)&lt;0.15</f>
        <v>1</v>
      </c>
      <c r="H22" s="18" t="b">
        <f>ABS(H20-H21)&lt;0.15</f>
        <v>1</v>
      </c>
      <c r="I22" s="18" t="b">
        <f>ABS(I20-I21)&lt;0.15</f>
        <v>1</v>
      </c>
      <c r="J22" s="55"/>
      <c r="K22" s="1"/>
      <c r="L22" s="5"/>
    </row>
    <row r="23">
      <c r="A23" s="1"/>
      <c r="B23" s="1"/>
      <c r="C23" s="1"/>
      <c r="D23" s="1"/>
      <c r="E23" s="1"/>
      <c r="F23" s="1"/>
      <c r="G23" s="1"/>
      <c r="H23" s="1"/>
      <c r="I23" s="1"/>
      <c r="J23" s="43"/>
      <c r="K23" s="1"/>
      <c r="L23" s="5"/>
    </row>
    <row r="24">
      <c r="A24" s="1"/>
      <c r="B24" s="9" t="s">
        <v>341</v>
      </c>
      <c r="C24" s="14"/>
      <c r="D24" s="14"/>
      <c r="E24" s="14"/>
      <c r="F24" s="14"/>
      <c r="G24" s="14"/>
      <c r="H24" s="14"/>
      <c r="I24" s="14"/>
      <c r="J24" s="33"/>
      <c r="K24" s="1"/>
      <c r="L24" s="5"/>
    </row>
    <row r="25" ht="28.5">
      <c r="A25" s="1"/>
      <c r="B25" s="1" t="s">
        <v>342</v>
      </c>
      <c r="C25" s="25">
        <v>75</v>
      </c>
      <c r="D25" s="25">
        <v>130</v>
      </c>
      <c r="E25" s="25">
        <v>95</v>
      </c>
      <c r="F25" s="25">
        <v>25</v>
      </c>
      <c r="G25" s="14">
        <f>F25</f>
        <v>25</v>
      </c>
      <c r="H25" s="25">
        <v>25</v>
      </c>
      <c r="I25" s="25">
        <v>70</v>
      </c>
      <c r="J25" s="33">
        <f>I25</f>
        <v>70</v>
      </c>
      <c r="K25" s="1"/>
      <c r="L25" s="85" t="s">
        <v>329</v>
      </c>
    </row>
    <row r="26" ht="28.5">
      <c r="A26" s="1"/>
      <c r="B26" s="1" t="s">
        <v>343</v>
      </c>
      <c r="C26" s="25">
        <v>341.1</v>
      </c>
      <c r="D26" s="25">
        <v>319.3</v>
      </c>
      <c r="E26" s="25">
        <v>344.8</v>
      </c>
      <c r="F26" s="25">
        <v>316.8</v>
      </c>
      <c r="G26" s="14">
        <f>F26</f>
        <v>316.8</v>
      </c>
      <c r="H26" s="25">
        <v>363.2</v>
      </c>
      <c r="I26" s="25">
        <v>399.8</v>
      </c>
      <c r="J26" s="40">
        <f>I26+'Cash Flow Statement'!J21</f>
        <v>409.8</v>
      </c>
      <c r="K26" s="1"/>
      <c r="L26" s="85" t="s">
        <v>329</v>
      </c>
    </row>
    <row r="27" ht="28.5">
      <c r="A27" s="1"/>
      <c r="B27" s="1" t="s">
        <v>344</v>
      </c>
      <c r="C27" s="25">
        <v>215.7</v>
      </c>
      <c r="D27" s="25">
        <v>257.1</v>
      </c>
      <c r="E27" s="25">
        <v>261.1</v>
      </c>
      <c r="F27" s="25">
        <v>264.7</v>
      </c>
      <c r="G27" s="14">
        <f>F27</f>
        <v>264.7</v>
      </c>
      <c r="H27" s="25">
        <v>242.6</v>
      </c>
      <c r="I27" s="25">
        <v>288.7</v>
      </c>
      <c r="J27" s="40">
        <f>I27+'Cash Flow Statement'!J22</f>
        <v>303.7</v>
      </c>
      <c r="K27" s="1"/>
      <c r="L27" s="85" t="s">
        <v>329</v>
      </c>
    </row>
    <row r="28" ht="28.5">
      <c r="A28" s="1"/>
      <c r="B28" s="1" t="s">
        <v>345</v>
      </c>
      <c r="C28" s="25">
        <v>101.4</v>
      </c>
      <c r="D28" s="25">
        <v>106.1</v>
      </c>
      <c r="E28" s="25">
        <v>106.8</v>
      </c>
      <c r="F28" s="25">
        <v>106.1</v>
      </c>
      <c r="G28" s="14">
        <f>F28</f>
        <v>106.1</v>
      </c>
      <c r="H28" s="25">
        <v>106.1</v>
      </c>
      <c r="I28" s="25">
        <v>107</v>
      </c>
      <c r="J28" s="33">
        <f>I28</f>
        <v>107</v>
      </c>
      <c r="K28" s="1"/>
      <c r="L28" s="85" t="s">
        <v>329</v>
      </c>
    </row>
    <row r="29" ht="28.5">
      <c r="A29" s="1"/>
      <c r="B29" s="1" t="s">
        <v>346</v>
      </c>
      <c r="C29" s="25">
        <v>52</v>
      </c>
      <c r="D29" s="25">
        <v>7.8</v>
      </c>
      <c r="E29" s="25">
        <v>25</v>
      </c>
      <c r="F29" s="25">
        <v>3</v>
      </c>
      <c r="G29" s="14">
        <f>F29</f>
        <v>3</v>
      </c>
      <c r="H29" s="25">
        <v>87.2</v>
      </c>
      <c r="I29" s="25">
        <v>16.2</v>
      </c>
      <c r="J29" s="40">
        <f>I29+'Cash Flow Statement'!J23</f>
        <v>36.2</v>
      </c>
      <c r="K29" s="1"/>
      <c r="L29" s="85" t="s">
        <v>329</v>
      </c>
    </row>
    <row r="30">
      <c r="A30" s="1"/>
      <c r="B30" s="9" t="s">
        <v>347</v>
      </c>
      <c r="C30" s="35">
        <f>C25+C26+C27+C28+C29</f>
        <v>785.1999999999999</v>
      </c>
      <c r="D30" s="35">
        <f>D25+D26+D27+D28+D29</f>
        <v>820.3000000000001</v>
      </c>
      <c r="E30" s="35">
        <f>E25+E26+E27+E28+E29</f>
        <v>832.7</v>
      </c>
      <c r="F30" s="35">
        <f>F25+F26+F27+F28+F29</f>
        <v>715.6</v>
      </c>
      <c r="G30" s="35">
        <f>G25+G26+G27+G28+G29</f>
        <v>715.6</v>
      </c>
      <c r="H30" s="35">
        <f>H25+H26+H27+H28+H29</f>
        <v>824.1</v>
      </c>
      <c r="I30" s="35">
        <f>I25+I26+I27+I28+I29</f>
        <v>881.7</v>
      </c>
      <c r="J30" s="48">
        <f>J25+J26+J27+J28+J29</f>
        <v>926.7</v>
      </c>
      <c r="K30" s="1"/>
      <c r="L30" s="5"/>
    </row>
    <row r="31" ht="28.5">
      <c r="A31" s="1"/>
      <c r="B31" s="1" t="s">
        <v>348</v>
      </c>
      <c r="C31" s="25">
        <v>125</v>
      </c>
      <c r="D31" s="25">
        <v>100</v>
      </c>
      <c r="E31" s="25">
        <v>100</v>
      </c>
      <c r="F31" s="25">
        <v>100</v>
      </c>
      <c r="G31" s="14">
        <f>F31</f>
        <v>100</v>
      </c>
      <c r="H31" s="25">
        <v>100</v>
      </c>
      <c r="I31" s="25">
        <v>50</v>
      </c>
      <c r="J31" s="40">
        <f>I31+'Cash Flow Statement'!J40+'Cash Flow Statement'!J41</f>
        <v>50</v>
      </c>
      <c r="K31" s="1"/>
      <c r="L31" s="85" t="s">
        <v>329</v>
      </c>
    </row>
    <row r="32" ht="28.5">
      <c r="A32" s="1"/>
      <c r="B32" s="1" t="s">
        <v>349</v>
      </c>
      <c r="C32" s="25">
        <v>194.4</v>
      </c>
      <c r="D32" s="25">
        <v>209.1</v>
      </c>
      <c r="E32" s="25">
        <v>215.5</v>
      </c>
      <c r="F32" s="25">
        <v>210.8</v>
      </c>
      <c r="G32" s="14">
        <f>F32</f>
        <v>210.8</v>
      </c>
      <c r="H32" s="25">
        <v>214.4</v>
      </c>
      <c r="I32" s="25">
        <v>214.5</v>
      </c>
      <c r="J32" s="33">
        <f>I32</f>
        <v>214.5</v>
      </c>
      <c r="K32" s="1"/>
      <c r="L32" s="85" t="s">
        <v>329</v>
      </c>
    </row>
    <row r="33" ht="28.5">
      <c r="A33" s="1"/>
      <c r="B33" s="1" t="s">
        <v>350</v>
      </c>
      <c r="C33" s="25">
        <v>69.6</v>
      </c>
      <c r="D33" s="25">
        <v>70.3</v>
      </c>
      <c r="E33" s="25">
        <v>62.8</v>
      </c>
      <c r="F33" s="25">
        <v>67.4</v>
      </c>
      <c r="G33" s="14">
        <f>F33</f>
        <v>67.4</v>
      </c>
      <c r="H33" s="25">
        <v>65.5</v>
      </c>
      <c r="I33" s="25">
        <v>65.7</v>
      </c>
      <c r="J33" s="40">
        <f>I33+'Cash Flow Statement'!J15</f>
        <v>65.7</v>
      </c>
      <c r="K33" s="1"/>
      <c r="L33" s="85" t="s">
        <v>329</v>
      </c>
    </row>
    <row r="34" ht="28.5">
      <c r="A34" s="1"/>
      <c r="B34" s="1" t="s">
        <v>351</v>
      </c>
      <c r="C34" s="25">
        <v>6.4</v>
      </c>
      <c r="D34" s="25">
        <v>9.1</v>
      </c>
      <c r="E34" s="25">
        <v>10.8</v>
      </c>
      <c r="F34" s="25">
        <v>15.5</v>
      </c>
      <c r="G34" s="14">
        <f>F34</f>
        <v>15.5</v>
      </c>
      <c r="H34" s="25">
        <v>16.4</v>
      </c>
      <c r="I34" s="25">
        <v>12.7</v>
      </c>
      <c r="J34" s="40">
        <f>I34+'Cash Flow Statement'!J24</f>
        <v>12.7</v>
      </c>
      <c r="K34" s="1"/>
      <c r="L34" s="85" t="s">
        <v>329</v>
      </c>
    </row>
    <row r="35">
      <c r="A35" s="1"/>
      <c r="B35" s="9" t="s">
        <v>352</v>
      </c>
      <c r="C35" s="35">
        <f>C30+C31+C32+C33+C34</f>
        <v>1180.6</v>
      </c>
      <c r="D35" s="35">
        <f>D30+D31+D32+D33+D34</f>
        <v>1208.8</v>
      </c>
      <c r="E35" s="35">
        <f>E30+E31+E32+E33+E34</f>
        <v>1221.8</v>
      </c>
      <c r="F35" s="35">
        <f>F30+F31+F32+F33+F34</f>
        <v>1109.3000000000002</v>
      </c>
      <c r="G35" s="35">
        <f>G30+G31+G32+G33+G34</f>
        <v>1109.3000000000002</v>
      </c>
      <c r="H35" s="35">
        <f>H30+H31+H32+H33+H34</f>
        <v>1220.4</v>
      </c>
      <c r="I35" s="35">
        <f>I30+I31+I32+I33+I34</f>
        <v>1224.6000000000001</v>
      </c>
      <c r="J35" s="48">
        <f>J30+J31+J32+J33+J34</f>
        <v>1269.6000000000001</v>
      </c>
      <c r="K35" s="1"/>
      <c r="L35" s="5"/>
    </row>
    <row r="36">
      <c r="A36" s="1"/>
      <c r="B36" s="1"/>
      <c r="C36" s="1"/>
      <c r="D36" s="1"/>
      <c r="E36" s="1"/>
      <c r="F36" s="1"/>
      <c r="G36" s="1"/>
      <c r="H36" s="1"/>
      <c r="I36" s="1"/>
      <c r="J36" s="43"/>
      <c r="K36" s="1"/>
      <c r="L36" s="5"/>
    </row>
    <row r="37">
      <c r="A37" s="1"/>
      <c r="B37" s="9" t="s">
        <v>353</v>
      </c>
      <c r="C37" s="14"/>
      <c r="D37" s="14"/>
      <c r="E37" s="14"/>
      <c r="F37" s="14"/>
      <c r="G37" s="14"/>
      <c r="H37" s="14"/>
      <c r="I37" s="14"/>
      <c r="J37" s="33"/>
      <c r="K37" s="1"/>
      <c r="L37" s="5"/>
    </row>
    <row r="38" ht="28.5">
      <c r="A38" s="1"/>
      <c r="B38" s="1" t="s">
        <v>354</v>
      </c>
      <c r="C38" s="25">
        <v>5.7</v>
      </c>
      <c r="D38" s="25">
        <v>11.5</v>
      </c>
      <c r="E38" s="25">
        <v>11.5</v>
      </c>
      <c r="F38" s="25">
        <v>11.5</v>
      </c>
      <c r="G38" s="14">
        <f>F38</f>
        <v>11.5</v>
      </c>
      <c r="H38" s="25">
        <v>11.5</v>
      </c>
      <c r="I38" s="25">
        <v>11.5</v>
      </c>
      <c r="J38" s="33">
        <f>I38</f>
        <v>11.5</v>
      </c>
      <c r="K38" s="1"/>
      <c r="L38" s="85" t="s">
        <v>329</v>
      </c>
    </row>
    <row r="39" ht="28.5">
      <c r="A39" s="1"/>
      <c r="B39" s="1" t="s">
        <v>355</v>
      </c>
      <c r="C39" s="25">
        <v>101.8</v>
      </c>
      <c r="D39" s="25">
        <v>104.2</v>
      </c>
      <c r="E39" s="25">
        <v>112.9</v>
      </c>
      <c r="F39" s="25">
        <v>115.5</v>
      </c>
      <c r="G39" s="14">
        <f>F39</f>
        <v>115.5</v>
      </c>
      <c r="H39" s="25">
        <v>105.3</v>
      </c>
      <c r="I39" s="25">
        <v>80.7</v>
      </c>
      <c r="J39" s="40">
        <f>I39+'Cash Flow Statement'!J16+'Cash Flow Statement'!J42+'Cash Flow Statement'!J43</f>
        <v>88.3</v>
      </c>
      <c r="K39" s="1"/>
      <c r="L39" s="85" t="s">
        <v>329</v>
      </c>
    </row>
    <row r="40" ht="28.5">
      <c r="A40" s="1"/>
      <c r="B40" s="1" t="s">
        <v>356</v>
      </c>
      <c r="C40" s="25">
        <v>3665.5</v>
      </c>
      <c r="D40" s="25">
        <v>3743.3</v>
      </c>
      <c r="E40" s="25">
        <v>3826.3</v>
      </c>
      <c r="F40" s="25">
        <v>3867.7</v>
      </c>
      <c r="G40" s="14">
        <f>F40</f>
        <v>3867.7</v>
      </c>
      <c r="H40" s="25">
        <v>3931.9</v>
      </c>
      <c r="I40" s="25">
        <v>4039.4</v>
      </c>
      <c r="J40" s="40">
        <f>I40+'Cash Flow Statement'!J11+'Cash Flow Statement'!J44</f>
        <v>4132.154392732921</v>
      </c>
      <c r="K40" s="1"/>
      <c r="L40" s="85" t="s">
        <v>329</v>
      </c>
    </row>
    <row r="41" ht="41.25">
      <c r="A41" s="1"/>
      <c r="B41" s="1" t="s">
        <v>357</v>
      </c>
      <c r="C41" s="25">
        <v>-82.7</v>
      </c>
      <c r="D41" s="25">
        <v>-51.6</v>
      </c>
      <c r="E41" s="25">
        <v>-56.2</v>
      </c>
      <c r="F41" s="25">
        <v>-51.1</v>
      </c>
      <c r="G41" s="14">
        <f>F41</f>
        <v>-51.1</v>
      </c>
      <c r="H41" s="25">
        <v>-59.2</v>
      </c>
      <c r="I41" s="25">
        <v>-62.7</v>
      </c>
      <c r="J41" s="40">
        <f>I41+'Cash Flow Statement'!J47</f>
        <v>-62.7</v>
      </c>
      <c r="K41" s="1"/>
      <c r="L41" s="85" t="s">
        <v>358</v>
      </c>
    </row>
    <row r="42">
      <c r="A42" s="1"/>
      <c r="B42" s="9" t="s">
        <v>359</v>
      </c>
      <c r="C42" s="35">
        <f>C38+C39+C40+C41</f>
        <v>3690.3</v>
      </c>
      <c r="D42" s="35">
        <f>D38+D39+D40+D41</f>
        <v>3807.4</v>
      </c>
      <c r="E42" s="35">
        <f>E38+E39+E40+E41</f>
        <v>3894.5000000000005</v>
      </c>
      <c r="F42" s="35">
        <f>F38+F39+F40+F41</f>
        <v>3943.6</v>
      </c>
      <c r="G42" s="35">
        <f>G38+G39+G40+G41</f>
        <v>3943.6</v>
      </c>
      <c r="H42" s="35">
        <f>H38+H39+H40+H41</f>
        <v>3989.5000000000005</v>
      </c>
      <c r="I42" s="35">
        <f>I38+I39+I40+I41</f>
        <v>4068.9000000000005</v>
      </c>
      <c r="J42" s="48">
        <f>J38+J39+J40+J41</f>
        <v>4169.254392732922</v>
      </c>
      <c r="K42" s="1"/>
      <c r="L42" s="5"/>
    </row>
    <row r="43">
      <c r="A43" s="1"/>
      <c r="B43" s="9" t="s">
        <v>360</v>
      </c>
      <c r="C43" s="35">
        <f>C35+C42</f>
        <v>4870.9</v>
      </c>
      <c r="D43" s="35">
        <f>D35+D42</f>
        <v>5016.2</v>
      </c>
      <c r="E43" s="35">
        <f>E35+E42</f>
        <v>5116.3</v>
      </c>
      <c r="F43" s="35">
        <f>F35+F42</f>
        <v>5052.9</v>
      </c>
      <c r="G43" s="35">
        <f>G35+G42</f>
        <v>5052.9</v>
      </c>
      <c r="H43" s="35">
        <f>H35+H42</f>
        <v>5209.900000000001</v>
      </c>
      <c r="I43" s="35">
        <f>I35+I42</f>
        <v>5293.500000000001</v>
      </c>
      <c r="J43" s="48">
        <f>J35+J42</f>
        <v>5438.854392732922</v>
      </c>
      <c r="K43" s="1"/>
      <c r="L43" s="5"/>
    </row>
    <row r="44">
      <c r="A44" s="1"/>
      <c r="B44" s="1" t="s">
        <v>361</v>
      </c>
      <c r="C44" s="14">
        <f>C20-C35-C42</f>
        <v>0</v>
      </c>
      <c r="D44" s="14">
        <f>D20-D35-D42</f>
        <v>0</v>
      </c>
      <c r="E44" s="14">
        <f>E20-E35-E42</f>
        <v>0</v>
      </c>
      <c r="F44" s="14">
        <f>F20-F35-F42</f>
        <v>0</v>
      </c>
      <c r="G44" s="14">
        <f>G20-G35-G42</f>
        <v>0</v>
      </c>
      <c r="H44" s="14">
        <f>H20-H35-H42</f>
        <v>-0.1000000000003638</v>
      </c>
      <c r="I44" s="14">
        <f>I20-I35-I42</f>
        <v>0</v>
      </c>
      <c r="J44" s="33">
        <f>J20-J35-J42</f>
        <v>0</v>
      </c>
      <c r="K44" s="1"/>
      <c r="L44" s="5" t="s">
        <v>362</v>
      </c>
    </row>
    <row r="45">
      <c r="A45" s="1"/>
      <c r="B45" s="11" t="s">
        <v>363</v>
      </c>
      <c r="C45" s="18" t="b">
        <f>ABS(C44)&lt;0.15</f>
        <v>1</v>
      </c>
      <c r="D45" s="18" t="b">
        <f>ABS(D44)&lt;0.15</f>
        <v>1</v>
      </c>
      <c r="E45" s="18" t="b">
        <f>ABS(E44)&lt;0.15</f>
        <v>1</v>
      </c>
      <c r="F45" s="18" t="b">
        <f>ABS(F44)&lt;0.15</f>
        <v>1</v>
      </c>
      <c r="G45" s="18" t="b">
        <f>ABS(G44)&lt;0.15</f>
        <v>1</v>
      </c>
      <c r="H45" s="18" t="b">
        <f>ABS(H44)&lt;0.15</f>
        <v>1</v>
      </c>
      <c r="I45" s="18" t="b">
        <f>ABS(I44)&lt;0.15</f>
        <v>1</v>
      </c>
      <c r="J45" s="55" t="b">
        <f>ABS(J44)&lt;0.15</f>
        <v>1</v>
      </c>
      <c r="K45" s="1"/>
      <c r="L45" s="5" t="s">
        <v>364</v>
      </c>
    </row>
    <row r="46">
      <c r="A46" s="1"/>
      <c r="B46" s="1"/>
      <c r="C46" s="1"/>
      <c r="D46" s="1"/>
      <c r="E46" s="1"/>
      <c r="F46" s="1"/>
      <c r="G46" s="1"/>
      <c r="H46" s="1"/>
      <c r="I46" s="1"/>
      <c r="J46" s="43"/>
      <c r="K46" s="1"/>
      <c r="L46" s="5"/>
    </row>
    <row r="47">
      <c r="A47" s="1"/>
      <c r="B47" s="9" t="s">
        <v>365</v>
      </c>
      <c r="C47" s="14"/>
      <c r="D47" s="14"/>
      <c r="E47" s="14"/>
      <c r="F47" s="14"/>
      <c r="G47" s="14"/>
      <c r="H47" s="14"/>
      <c r="I47" s="14"/>
      <c r="J47" s="33"/>
      <c r="K47" s="1"/>
      <c r="L47" s="5"/>
    </row>
    <row r="48" ht="28.5">
      <c r="A48" s="1"/>
      <c r="B48" s="11" t="s">
        <v>366</v>
      </c>
      <c r="C48" s="41">
        <f>C12/'Income Statement'!C11</f>
        <v>0.6525977340002042</v>
      </c>
      <c r="D48" s="41">
        <f>D12/'Income Statement'!D11</f>
        <v>0.6365428063260107</v>
      </c>
      <c r="E48" s="41">
        <f>E12/'Income Statement'!E11</f>
        <v>0.6315567430741105</v>
      </c>
      <c r="F48" s="41">
        <f>F12/'Income Statement'!F11</f>
        <v>0.6142349807635394</v>
      </c>
      <c r="G48" s="30"/>
      <c r="H48" s="41">
        <f>H12/'Income Statement'!H11</f>
        <v>0.6564018712812827</v>
      </c>
      <c r="I48" s="41">
        <f>I12/'Income Statement'!I11</f>
        <v>0.6524781096820144</v>
      </c>
      <c r="J48" s="59">
        <v>0.645</v>
      </c>
      <c r="K48" s="1"/>
      <c r="L48" s="85" t="s">
        <v>367</v>
      </c>
    </row>
    <row r="49">
      <c r="A49" s="1"/>
      <c r="B49" s="1" t="s">
        <v>150</v>
      </c>
      <c r="C49" s="13"/>
      <c r="D49" s="13"/>
      <c r="E49" s="13"/>
      <c r="F49" s="13"/>
      <c r="G49" s="13"/>
      <c r="H49" s="13">
        <f>(H48-C48)*10000</f>
        <v>38.04137281078535</v>
      </c>
      <c r="I49" s="13">
        <f>(I48-D48)*10000</f>
        <v>159.35303356003683</v>
      </c>
      <c r="J49" s="31">
        <f>(J48-E48)*10000</f>
        <v>134.43256925889546</v>
      </c>
      <c r="K49" s="1"/>
      <c r="L49" s="5"/>
    </row>
    <row r="50">
      <c r="A50" s="1"/>
      <c r="B50" s="1" t="s">
        <v>151</v>
      </c>
      <c r="C50" s="13"/>
      <c r="D50" s="13">
        <f>(D48-C48)*10000</f>
        <v>-160.54927674193476</v>
      </c>
      <c r="E50" s="13">
        <f>(E48-D48)*10000</f>
        <v>-49.86063251900208</v>
      </c>
      <c r="F50" s="13">
        <f>(F48-E48)*10000</f>
        <v>-173.21762310571032</v>
      </c>
      <c r="G50" s="13"/>
      <c r="H50" s="13">
        <f>(H48-F48)*10000</f>
        <v>421.6689051774325</v>
      </c>
      <c r="I50" s="13">
        <f>(I48-H48)*10000</f>
        <v>-39.237615992683274</v>
      </c>
      <c r="J50" s="31">
        <f>(J48-I48)*10000</f>
        <v>-74.78109682014345</v>
      </c>
      <c r="K50" s="1"/>
      <c r="L50" s="5"/>
    </row>
    <row r="51" ht="28.5">
      <c r="A51" s="1"/>
      <c r="B51" s="1" t="s">
        <v>368</v>
      </c>
      <c r="C51" s="46">
        <f>'Income Statement'!C14*4/C13</f>
        <v>2.570046000358444</v>
      </c>
      <c r="D51" s="46">
        <f>'Income Statement'!D14*4/D13</f>
        <v>2.635694838672305</v>
      </c>
      <c r="E51" s="46">
        <f>'Income Statement'!E14*4/E13</f>
        <v>2.7107035059205944</v>
      </c>
      <c r="F51" s="46">
        <f>'Income Statement'!F14*4/F13</f>
        <v>2.582837528604119</v>
      </c>
      <c r="G51" s="45"/>
      <c r="H51" s="46">
        <f>'Income Statement'!H14*4/H13</f>
        <v>2.8804726735598227</v>
      </c>
      <c r="I51" s="46">
        <f>'Income Statement'!I14*4/I13</f>
        <v>3.0504840940525586</v>
      </c>
      <c r="J51" s="51">
        <f>'Income Statement'!J14*4/J13</f>
        <v>3.1131801492205486</v>
      </c>
      <c r="K51" s="1"/>
      <c r="L51" s="85" t="s">
        <v>369</v>
      </c>
    </row>
    <row r="52">
      <c r="A52" s="1"/>
      <c r="B52" s="1" t="s">
        <v>370</v>
      </c>
      <c r="C52" s="45"/>
      <c r="D52" s="45"/>
      <c r="E52" s="45"/>
      <c r="F52" s="45"/>
      <c r="G52" s="45"/>
      <c r="H52" s="45">
        <f>H51-C51</f>
        <v>0.31042667320137873</v>
      </c>
      <c r="I52" s="45">
        <f>I51-D51</f>
        <v>0.4147892553802537</v>
      </c>
      <c r="J52" s="49">
        <f>J51-E51</f>
        <v>0.40247664329995425</v>
      </c>
      <c r="K52" s="1"/>
      <c r="L52" s="5"/>
    </row>
    <row r="53">
      <c r="A53" s="1"/>
      <c r="B53" s="1" t="s">
        <v>371</v>
      </c>
      <c r="C53" s="45"/>
      <c r="D53" s="45">
        <f>D51-C51</f>
        <v>0.06564883831386092</v>
      </c>
      <c r="E53" s="45">
        <f>E51-D51</f>
        <v>0.07500866724828947</v>
      </c>
      <c r="F53" s="45">
        <f>F51-E51</f>
        <v>-0.1278659773164752</v>
      </c>
      <c r="G53" s="45"/>
      <c r="H53" s="45">
        <f>H51-F51</f>
        <v>0.29763514495570353</v>
      </c>
      <c r="I53" s="45">
        <f>I51-H51</f>
        <v>0.17001142049273588</v>
      </c>
      <c r="J53" s="49">
        <f>J51-I51</f>
        <v>0.06269605516799004</v>
      </c>
      <c r="K53" s="1"/>
      <c r="L53" s="5"/>
    </row>
    <row r="54">
      <c r="A54" s="1"/>
      <c r="B54" s="1" t="s">
        <v>372</v>
      </c>
      <c r="C54" s="14">
        <f>C12+C13-C26</f>
        <v>2611.5000000000005</v>
      </c>
      <c r="D54" s="14">
        <f>D12+D13-D26</f>
        <v>2731.2</v>
      </c>
      <c r="E54" s="14">
        <f>E12+E13-E26</f>
        <v>2725.2999999999997</v>
      </c>
      <c r="F54" s="14">
        <f>F12+F13-F26</f>
        <v>2676.5</v>
      </c>
      <c r="G54" s="14">
        <f>G12+G13-G26</f>
        <v>2676.5</v>
      </c>
      <c r="H54" s="14">
        <f>H12+H13-H26</f>
        <v>2774.5</v>
      </c>
      <c r="I54" s="14">
        <f>I12+I13-I26</f>
        <v>2892.8</v>
      </c>
      <c r="J54" s="33">
        <f>J12+J13-J26</f>
        <v>2949.4441893</v>
      </c>
      <c r="K54" s="1"/>
      <c r="L54" s="5"/>
    </row>
    <row r="55">
      <c r="A55" s="1"/>
      <c r="B55" s="11" t="s">
        <v>71</v>
      </c>
      <c r="C55" s="30"/>
      <c r="D55" s="30"/>
      <c r="E55" s="30"/>
      <c r="F55" s="30"/>
      <c r="G55" s="30"/>
      <c r="H55" s="30">
        <f>H54/C54-1</f>
        <v>0.062416235879762416</v>
      </c>
      <c r="I55" s="30">
        <f>I54/D54-1</f>
        <v>0.05916813122437037</v>
      </c>
      <c r="J55" s="34">
        <f>J54/E54-1</f>
        <v>0.08224569379517854</v>
      </c>
      <c r="K55" s="1"/>
      <c r="L55" s="5"/>
    </row>
    <row r="56">
      <c r="A56" s="1"/>
      <c r="B56" s="9" t="s">
        <v>373</v>
      </c>
      <c r="C56" s="35">
        <f>C25+C31</f>
        <v>200</v>
      </c>
      <c r="D56" s="35">
        <f>D25+D31</f>
        <v>230</v>
      </c>
      <c r="E56" s="35">
        <f>E25+E31</f>
        <v>195</v>
      </c>
      <c r="F56" s="35">
        <f>F25+F31</f>
        <v>125</v>
      </c>
      <c r="G56" s="35">
        <f>G25+G31</f>
        <v>125</v>
      </c>
      <c r="H56" s="35">
        <f>H25+H31</f>
        <v>125</v>
      </c>
      <c r="I56" s="35">
        <f>I25+I31</f>
        <v>120</v>
      </c>
      <c r="J56" s="48">
        <f>J25+J31</f>
        <v>120</v>
      </c>
      <c r="K56" s="1"/>
      <c r="L56" s="5"/>
    </row>
    <row r="57">
      <c r="A57" s="1"/>
      <c r="B57" s="1" t="s">
        <v>374</v>
      </c>
      <c r="C57" s="14">
        <f>C56-C11</f>
        <v>-31.80000000000001</v>
      </c>
      <c r="D57" s="14">
        <f>D56-D11</f>
        <v>-7.800000000000011</v>
      </c>
      <c r="E57" s="14">
        <f>E56-E11</f>
        <v>-93.10000000000002</v>
      </c>
      <c r="F57" s="14">
        <f>F56-F11</f>
        <v>-151.8</v>
      </c>
      <c r="G57" s="14">
        <f>G56-G11</f>
        <v>-151.8</v>
      </c>
      <c r="H57" s="14">
        <f>H56-H11</f>
        <v>-183.60000000000002</v>
      </c>
      <c r="I57" s="14">
        <f>I56-I11</f>
        <v>-84.69999999999999</v>
      </c>
      <c r="J57" s="33">
        <f>J56-J11</f>
        <v>-127.61020343292165</v>
      </c>
      <c r="K57" s="1"/>
      <c r="L57" s="5"/>
    </row>
    <row r="58">
      <c r="A58" s="1"/>
      <c r="B58" s="11" t="s">
        <v>375</v>
      </c>
      <c r="C58" s="30">
        <f>C56/(C56+C42)</f>
        <v>0.05140991697298409</v>
      </c>
      <c r="D58" s="30">
        <f>D56/(D56+D42)</f>
        <v>0.056967355228612473</v>
      </c>
      <c r="E58" s="30">
        <f>E56/(E56+E42)</f>
        <v>0.047683090842401264</v>
      </c>
      <c r="F58" s="30">
        <f>F56/(F56+F42)</f>
        <v>0.030723098854642875</v>
      </c>
      <c r="G58" s="30">
        <f>G56/(G56+G42)</f>
        <v>0.030723098854642875</v>
      </c>
      <c r="H58" s="30">
        <f>H56/(H56+H42)</f>
        <v>0.030380362133916636</v>
      </c>
      <c r="I58" s="30">
        <f>I56/(I56+I42)</f>
        <v>0.028647138867005654</v>
      </c>
      <c r="J58" s="34">
        <f>J56/(J56+J42)</f>
        <v>0.02797689038992657</v>
      </c>
      <c r="K58" s="1"/>
      <c r="L58" s="5"/>
    </row>
    <row r="59">
      <c r="A59" s="1"/>
      <c r="B59" s="1" t="s">
        <v>134</v>
      </c>
      <c r="C59" s="13"/>
      <c r="D59" s="13"/>
      <c r="E59" s="13"/>
      <c r="F59" s="13"/>
      <c r="G59" s="13"/>
      <c r="H59" s="13">
        <f>(H58-C58)*10000</f>
        <v>-210.29554839067453</v>
      </c>
      <c r="I59" s="13">
        <f>(I58-D58)*10000</f>
        <v>-283.2021636160682</v>
      </c>
      <c r="J59" s="31">
        <f>(J58-E58)*10000</f>
        <v>-197.06200452474692</v>
      </c>
      <c r="K59" s="1"/>
      <c r="L59" s="5"/>
    </row>
    <row r="60">
      <c r="A60" s="1"/>
      <c r="B60" s="1" t="s">
        <v>135</v>
      </c>
      <c r="C60" s="13"/>
      <c r="D60" s="13">
        <f>(D58-C58)*10000</f>
        <v>55.574382556283844</v>
      </c>
      <c r="E60" s="13">
        <f>(E58-D58)*10000</f>
        <v>-92.8426438621121</v>
      </c>
      <c r="F60" s="13">
        <f>(F58-E58)*10000</f>
        <v>-169.5999198775839</v>
      </c>
      <c r="G60" s="13"/>
      <c r="H60" s="13">
        <f>(H58-F58)*10000</f>
        <v>-3.4273672072623884</v>
      </c>
      <c r="I60" s="13">
        <f>(I58-H58)*10000</f>
        <v>-17.332232669109818</v>
      </c>
      <c r="J60" s="31">
        <f>(J58-I58)*10000</f>
        <v>-6.702484770790829</v>
      </c>
      <c r="K60" s="1"/>
      <c r="L60" s="5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5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5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L6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376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"/>
    </row>
    <row r="10">
      <c r="A10" s="1"/>
      <c r="B10" s="9" t="s">
        <v>377</v>
      </c>
      <c r="C10" s="14"/>
      <c r="D10" s="14"/>
      <c r="E10" s="14"/>
      <c r="F10" s="14"/>
      <c r="G10" s="14"/>
      <c r="H10" s="14"/>
      <c r="I10" s="14"/>
      <c r="J10" s="33"/>
      <c r="K10" s="1"/>
      <c r="L10" s="5"/>
    </row>
    <row r="11">
      <c r="A11" s="1"/>
      <c r="B11" s="1" t="s">
        <v>378</v>
      </c>
      <c r="C11" s="7">
        <f>'Income Statement'!C45</f>
        <v>298.70000000000005</v>
      </c>
      <c r="D11" s="7">
        <f>'Income Statement'!D45</f>
        <v>330.3000000000002</v>
      </c>
      <c r="E11" s="7">
        <f>'Income Statement'!E45</f>
        <v>335.5000000000002</v>
      </c>
      <c r="F11" s="7">
        <f>'Income Statement'!F45</f>
        <v>294.1000000000001</v>
      </c>
      <c r="G11" s="7">
        <f>'Income Statement'!G45</f>
        <v>1258.6000000000015</v>
      </c>
      <c r="H11" s="7">
        <f>'Income Statement'!H45</f>
        <v>339.79999999999995</v>
      </c>
      <c r="I11" s="7">
        <f>'Income Statement'!I45</f>
        <v>382.8000000000002</v>
      </c>
      <c r="J11" s="40">
        <f>'Income Statement'!J45</f>
        <v>391.10294063292076</v>
      </c>
      <c r="K11" s="1"/>
      <c r="L11" s="5" t="s">
        <v>379</v>
      </c>
    </row>
    <row r="12" ht="28.5">
      <c r="A12" s="1"/>
      <c r="B12" s="1" t="s">
        <v>380</v>
      </c>
      <c r="C12" s="25">
        <v>42</v>
      </c>
      <c r="D12" s="25">
        <v>42.4</v>
      </c>
      <c r="E12" s="25">
        <v>42.3</v>
      </c>
      <c r="F12" s="25">
        <v>41.8</v>
      </c>
      <c r="G12" s="14">
        <f>SUM(C12:F12)</f>
        <v>168.5</v>
      </c>
      <c r="H12" s="25">
        <v>41.9</v>
      </c>
      <c r="I12" s="25">
        <v>42.8</v>
      </c>
      <c r="J12" s="44">
        <v>43.5</v>
      </c>
      <c r="K12" s="1"/>
      <c r="L12" s="85" t="s">
        <v>381</v>
      </c>
    </row>
    <row r="13" ht="28.5">
      <c r="A13" s="1"/>
      <c r="B13" s="1" t="s">
        <v>382</v>
      </c>
      <c r="C13" s="25">
        <v>-0.3</v>
      </c>
      <c r="D13" s="25">
        <v>-1.3</v>
      </c>
      <c r="E13" s="25">
        <v>-1</v>
      </c>
      <c r="F13" s="25">
        <v>-0.5</v>
      </c>
      <c r="G13" s="14">
        <f>SUM(C13:F13)</f>
        <v>-3.1</v>
      </c>
      <c r="H13" s="25">
        <v>1</v>
      </c>
      <c r="I13" s="25">
        <v>-0.8</v>
      </c>
      <c r="J13" s="44">
        <v>0</v>
      </c>
      <c r="K13" s="1"/>
      <c r="L13" s="85" t="s">
        <v>383</v>
      </c>
    </row>
    <row r="14" ht="28.5">
      <c r="A14" s="1"/>
      <c r="B14" s="1" t="s">
        <v>384</v>
      </c>
      <c r="C14" s="25">
        <v>1.8</v>
      </c>
      <c r="D14" s="25">
        <v>0.2</v>
      </c>
      <c r="E14" s="25">
        <v>1.6</v>
      </c>
      <c r="F14" s="25">
        <v>1.1</v>
      </c>
      <c r="G14" s="14">
        <f>SUM(C14:F14)</f>
        <v>4.7</v>
      </c>
      <c r="H14" s="25">
        <v>1.4</v>
      </c>
      <c r="I14" s="25">
        <v>1.9</v>
      </c>
      <c r="J14" s="44">
        <v>0</v>
      </c>
      <c r="K14" s="1"/>
      <c r="L14" s="85" t="s">
        <v>385</v>
      </c>
    </row>
    <row r="15" ht="28.5">
      <c r="A15" s="1"/>
      <c r="B15" s="1" t="s">
        <v>386</v>
      </c>
      <c r="C15" s="25">
        <v>0.7</v>
      </c>
      <c r="D15" s="25">
        <v>0.7</v>
      </c>
      <c r="E15" s="25">
        <v>-7.4</v>
      </c>
      <c r="F15" s="25">
        <v>4.5</v>
      </c>
      <c r="G15" s="14">
        <f>SUM(C15:F15)</f>
        <v>-1.5</v>
      </c>
      <c r="H15" s="25">
        <v>-1.8</v>
      </c>
      <c r="I15" s="25">
        <v>0.2</v>
      </c>
      <c r="J15" s="44">
        <v>0</v>
      </c>
      <c r="K15" s="1"/>
      <c r="L15" s="85" t="s">
        <v>387</v>
      </c>
    </row>
    <row r="16">
      <c r="A16" s="1"/>
      <c r="B16" s="1" t="s">
        <v>388</v>
      </c>
      <c r="C16" s="25">
        <v>2</v>
      </c>
      <c r="D16" s="25">
        <v>2</v>
      </c>
      <c r="E16" s="25">
        <v>2.1</v>
      </c>
      <c r="F16" s="25">
        <v>2.1</v>
      </c>
      <c r="G16" s="14">
        <f>SUM(C16:F16)</f>
        <v>8.2</v>
      </c>
      <c r="H16" s="25">
        <v>2.6</v>
      </c>
      <c r="I16" s="25">
        <v>2.6</v>
      </c>
      <c r="J16" s="44">
        <v>2.6</v>
      </c>
      <c r="K16" s="1"/>
      <c r="L16" s="5" t="s">
        <v>389</v>
      </c>
    </row>
    <row r="17">
      <c r="A17" s="1"/>
      <c r="B17" s="1" t="s">
        <v>390</v>
      </c>
      <c r="C17" s="25">
        <v>2.7</v>
      </c>
      <c r="D17" s="25">
        <v>2.7</v>
      </c>
      <c r="E17" s="25">
        <v>2.7</v>
      </c>
      <c r="F17" s="25">
        <v>2.7</v>
      </c>
      <c r="G17" s="14">
        <f>SUM(C17:F17)</f>
        <v>10.8</v>
      </c>
      <c r="H17" s="25">
        <v>2.7</v>
      </c>
      <c r="I17" s="25">
        <v>2.7</v>
      </c>
      <c r="J17" s="44">
        <v>2.7</v>
      </c>
      <c r="K17" s="1"/>
      <c r="L17" s="5" t="s">
        <v>389</v>
      </c>
    </row>
    <row r="18" ht="28.5">
      <c r="A18" s="1"/>
      <c r="B18" s="1" t="s">
        <v>391</v>
      </c>
      <c r="C18" s="25">
        <v>-170</v>
      </c>
      <c r="D18" s="25">
        <v>-36.4</v>
      </c>
      <c r="E18" s="25">
        <v>-26.8</v>
      </c>
      <c r="F18" s="25">
        <v>103</v>
      </c>
      <c r="G18" s="14">
        <f>SUM(C18:F18)</f>
        <v>-130.2</v>
      </c>
      <c r="H18" s="25">
        <v>-204.2</v>
      </c>
      <c r="I18" s="25">
        <v>-116</v>
      </c>
      <c r="J18" s="40">
        <f>-('Balance Sheet'!J12-'Balance Sheet'!I12)-J14</f>
        <v>-36.64418929999988</v>
      </c>
      <c r="K18" s="1"/>
      <c r="L18" s="85" t="s">
        <v>392</v>
      </c>
    </row>
    <row r="19" ht="28.5">
      <c r="A19" s="1"/>
      <c r="B19" s="1" t="s">
        <v>393</v>
      </c>
      <c r="C19" s="25">
        <v>-26.5</v>
      </c>
      <c r="D19" s="25">
        <v>-41.2</v>
      </c>
      <c r="E19" s="25">
        <v>1.4</v>
      </c>
      <c r="F19" s="25">
        <v>-23</v>
      </c>
      <c r="G19" s="14">
        <f>SUM(C19:F19)</f>
        <v>-89.30000000000001</v>
      </c>
      <c r="H19" s="25">
        <v>52.5</v>
      </c>
      <c r="I19" s="25">
        <v>-44.8</v>
      </c>
      <c r="J19" s="44">
        <v>-30</v>
      </c>
      <c r="K19" s="1"/>
      <c r="L19" s="85" t="s">
        <v>394</v>
      </c>
    </row>
    <row r="20" ht="28.5">
      <c r="A20" s="1"/>
      <c r="B20" s="1" t="s">
        <v>395</v>
      </c>
      <c r="C20" s="25">
        <v>10.2</v>
      </c>
      <c r="D20" s="25">
        <v>15.5</v>
      </c>
      <c r="E20" s="25">
        <v>-19.8</v>
      </c>
      <c r="F20" s="25">
        <v>-3.3</v>
      </c>
      <c r="G20" s="14">
        <f>SUM(C20:F20)</f>
        <v>2.5999999999999988</v>
      </c>
      <c r="H20" s="25">
        <v>20.3</v>
      </c>
      <c r="I20" s="25">
        <v>-17.9</v>
      </c>
      <c r="J20" s="44">
        <v>0</v>
      </c>
      <c r="K20" s="1"/>
      <c r="L20" s="85" t="s">
        <v>396</v>
      </c>
    </row>
    <row r="21" ht="28.5">
      <c r="A21" s="1"/>
      <c r="B21" s="1" t="s">
        <v>397</v>
      </c>
      <c r="C21" s="25">
        <v>45.3</v>
      </c>
      <c r="D21" s="25">
        <v>-20.6</v>
      </c>
      <c r="E21" s="25">
        <v>25.6</v>
      </c>
      <c r="F21" s="25">
        <v>-24.3</v>
      </c>
      <c r="G21" s="14">
        <f>SUM(C21:F21)</f>
        <v>25.999999999999996</v>
      </c>
      <c r="H21" s="25">
        <v>46.6</v>
      </c>
      <c r="I21" s="25">
        <v>37.4</v>
      </c>
      <c r="J21" s="44">
        <v>10</v>
      </c>
      <c r="K21" s="1"/>
      <c r="L21" s="85" t="s">
        <v>398</v>
      </c>
    </row>
    <row r="22" ht="28.5">
      <c r="A22" s="1"/>
      <c r="B22" s="1" t="s">
        <v>399</v>
      </c>
      <c r="C22" s="25">
        <v>-8.8</v>
      </c>
      <c r="D22" s="25">
        <v>38.9</v>
      </c>
      <c r="E22" s="25">
        <v>5.4</v>
      </c>
      <c r="F22" s="25">
        <v>-2.1</v>
      </c>
      <c r="G22" s="14">
        <f>SUM(C22:F22)</f>
        <v>33.4</v>
      </c>
      <c r="H22" s="25">
        <v>-17.1</v>
      </c>
      <c r="I22" s="25">
        <v>45.7</v>
      </c>
      <c r="J22" s="44">
        <v>15</v>
      </c>
      <c r="K22" s="1"/>
      <c r="L22" s="85" t="s">
        <v>400</v>
      </c>
    </row>
    <row r="23" ht="28.5">
      <c r="A23" s="1"/>
      <c r="B23" s="1" t="s">
        <v>401</v>
      </c>
      <c r="C23" s="25">
        <v>70.9</v>
      </c>
      <c r="D23" s="25">
        <v>-58.4</v>
      </c>
      <c r="E23" s="25">
        <v>22.3</v>
      </c>
      <c r="F23" s="25">
        <v>-32.7</v>
      </c>
      <c r="G23" s="14">
        <f>SUM(C23:F23)</f>
        <v>2.1000000000000085</v>
      </c>
      <c r="H23" s="25">
        <v>92.2</v>
      </c>
      <c r="I23" s="25">
        <v>-68</v>
      </c>
      <c r="J23" s="44">
        <v>20</v>
      </c>
      <c r="K23" s="1"/>
      <c r="L23" s="85" t="s">
        <v>402</v>
      </c>
    </row>
    <row r="24" ht="28.5">
      <c r="A24" s="1"/>
      <c r="B24" s="1" t="s">
        <v>403</v>
      </c>
      <c r="C24" s="25">
        <v>-6.5</v>
      </c>
      <c r="D24" s="25">
        <v>3.8</v>
      </c>
      <c r="E24" s="25">
        <v>3</v>
      </c>
      <c r="F24" s="25">
        <v>4.7</v>
      </c>
      <c r="G24" s="14">
        <f>SUM(C24:F24)</f>
        <v>5</v>
      </c>
      <c r="H24" s="25">
        <v>0.5</v>
      </c>
      <c r="I24" s="25">
        <v>-3</v>
      </c>
      <c r="J24" s="44">
        <v>0</v>
      </c>
      <c r="K24" s="1"/>
      <c r="L24" s="85" t="s">
        <v>404</v>
      </c>
    </row>
    <row r="25">
      <c r="A25" s="1"/>
      <c r="B25" s="9" t="s">
        <v>405</v>
      </c>
      <c r="C25" s="35">
        <f>SUM(C11:C24)</f>
        <v>262.20000000000005</v>
      </c>
      <c r="D25" s="35">
        <f>SUM(D11:D24)</f>
        <v>278.6000000000002</v>
      </c>
      <c r="E25" s="35">
        <f>SUM(E11:E24)</f>
        <v>386.9000000000002</v>
      </c>
      <c r="F25" s="35">
        <f>SUM(F11:F24)</f>
        <v>368.1000000000001</v>
      </c>
      <c r="G25" s="35">
        <f>SUM(G11:G24)</f>
        <v>1295.8000000000015</v>
      </c>
      <c r="H25" s="35">
        <f>SUM(H11:H24)</f>
        <v>378.4</v>
      </c>
      <c r="I25" s="35">
        <f>SUM(I11:I24)</f>
        <v>265.6000000000002</v>
      </c>
      <c r="J25" s="48">
        <f>SUM(J11:J24)</f>
        <v>418.2587513329209</v>
      </c>
      <c r="K25" s="1"/>
      <c r="L25" s="5"/>
    </row>
    <row r="26" ht="41.25">
      <c r="A26" s="1"/>
      <c r="B26" s="1" t="s">
        <v>406</v>
      </c>
      <c r="C26" s="25">
        <v>262.2</v>
      </c>
      <c r="D26" s="25">
        <v>278.6</v>
      </c>
      <c r="E26" s="25">
        <v>386.9</v>
      </c>
      <c r="F26" s="25">
        <v>368.1</v>
      </c>
      <c r="G26" s="25">
        <v>1295.9</v>
      </c>
      <c r="H26" s="25">
        <v>378.4</v>
      </c>
      <c r="I26" s="25">
        <v>265.7</v>
      </c>
      <c r="J26" s="33"/>
      <c r="K26" s="1"/>
      <c r="L26" s="85" t="s">
        <v>407</v>
      </c>
    </row>
    <row r="27">
      <c r="A27" s="1"/>
      <c r="B27" s="11" t="s">
        <v>408</v>
      </c>
      <c r="C27" s="18" t="b">
        <f>ABS(C25-C26)&lt;0.25</f>
        <v>1</v>
      </c>
      <c r="D27" s="18" t="b">
        <f>ABS(D25-D26)&lt;0.25</f>
        <v>1</v>
      </c>
      <c r="E27" s="18" t="b">
        <f>ABS(E25-E26)&lt;0.25</f>
        <v>1</v>
      </c>
      <c r="F27" s="18" t="b">
        <f>ABS(F25-F26)&lt;0.25</f>
        <v>1</v>
      </c>
      <c r="G27" s="18" t="b">
        <f>ABS(G25-G26)&lt;0.25</f>
        <v>1</v>
      </c>
      <c r="H27" s="18" t="b">
        <f>ABS(H25-H26)&lt;0.25</f>
        <v>1</v>
      </c>
      <c r="I27" s="18" t="b">
        <f>ABS(I25-I26)&lt;0.25</f>
        <v>1</v>
      </c>
      <c r="J27" s="55"/>
      <c r="K27" s="1"/>
      <c r="L27" s="5"/>
    </row>
    <row r="28">
      <c r="A28" s="1"/>
      <c r="B28" s="11" t="s">
        <v>409</v>
      </c>
      <c r="C28" s="30">
        <f>C25/C11</f>
        <v>0.8778038165383328</v>
      </c>
      <c r="D28" s="30">
        <f>D25/D11</f>
        <v>0.8434756282167728</v>
      </c>
      <c r="E28" s="30">
        <f>E25/E11</f>
        <v>1.1532041728763038</v>
      </c>
      <c r="F28" s="30">
        <f>F25/F11</f>
        <v>1.2516150969058142</v>
      </c>
      <c r="G28" s="30">
        <f>G25/G11</f>
        <v>1.0295566502463054</v>
      </c>
      <c r="H28" s="30">
        <f>H25/H11</f>
        <v>1.1135962330782814</v>
      </c>
      <c r="I28" s="30">
        <f>I25/I11</f>
        <v>0.6938349007314526</v>
      </c>
      <c r="J28" s="34">
        <f>J25/J11</f>
        <v>1.0694339210440453</v>
      </c>
      <c r="K28" s="1"/>
      <c r="L28" s="5"/>
    </row>
    <row r="29">
      <c r="A29" s="1"/>
      <c r="B29" s="1" t="s">
        <v>134</v>
      </c>
      <c r="C29" s="13"/>
      <c r="D29" s="13"/>
      <c r="E29" s="13"/>
      <c r="F29" s="13"/>
      <c r="G29" s="13"/>
      <c r="H29" s="13">
        <f>(H28-C28)*10000</f>
        <v>2357.9241653994854</v>
      </c>
      <c r="I29" s="13">
        <f>(I28-D28)*10000</f>
        <v>-1496.4072748532021</v>
      </c>
      <c r="J29" s="31">
        <f>(J28-E28)*10000</f>
        <v>-837.702518322585</v>
      </c>
      <c r="K29" s="1"/>
      <c r="L29" s="5"/>
    </row>
    <row r="30">
      <c r="A30" s="1"/>
      <c r="B30" s="1" t="s">
        <v>135</v>
      </c>
      <c r="C30" s="13"/>
      <c r="D30" s="13">
        <f>(D28-C28)*10000</f>
        <v>-343.2818832156004</v>
      </c>
      <c r="E30" s="13">
        <f>(E28-D28)*10000</f>
        <v>3097.2854465953105</v>
      </c>
      <c r="F30" s="13">
        <f>(F28-E28)*10000</f>
        <v>984.1092402951035</v>
      </c>
      <c r="G30" s="13"/>
      <c r="H30" s="13">
        <f>(H28-F28)*10000</f>
        <v>-1380.1886382753282</v>
      </c>
      <c r="I30" s="13">
        <f>(I28-H28)*10000</f>
        <v>-4197.6133234682875</v>
      </c>
      <c r="J30" s="31">
        <f>(J28-I28)*10000</f>
        <v>3755.9902031259276</v>
      </c>
      <c r="K30" s="1"/>
      <c r="L30" s="5"/>
    </row>
    <row r="31">
      <c r="A31" s="1"/>
      <c r="B31" s="11" t="s">
        <v>71</v>
      </c>
      <c r="C31" s="30"/>
      <c r="D31" s="30"/>
      <c r="E31" s="30"/>
      <c r="F31" s="30"/>
      <c r="G31" s="30"/>
      <c r="H31" s="30">
        <f>H25/C25-1</f>
        <v>0.44317315026697135</v>
      </c>
      <c r="I31" s="30">
        <f>I25/D25-1</f>
        <v>-0.046661880832735037</v>
      </c>
      <c r="J31" s="34">
        <f>J25/E25-1</f>
        <v>0.08105130869196353</v>
      </c>
      <c r="K31" s="1"/>
      <c r="L31" s="5"/>
    </row>
    <row r="32">
      <c r="A32" s="1"/>
      <c r="B32" s="1"/>
      <c r="C32" s="1"/>
      <c r="D32" s="1"/>
      <c r="E32" s="1"/>
      <c r="F32" s="1"/>
      <c r="G32" s="1"/>
      <c r="H32" s="1"/>
      <c r="I32" s="1"/>
      <c r="J32" s="43"/>
      <c r="K32" s="1"/>
      <c r="L32" s="5"/>
    </row>
    <row r="33">
      <c r="A33" s="1"/>
      <c r="B33" s="9" t="s">
        <v>410</v>
      </c>
      <c r="C33" s="14"/>
      <c r="D33" s="14"/>
      <c r="E33" s="14"/>
      <c r="F33" s="14"/>
      <c r="G33" s="14"/>
      <c r="H33" s="14"/>
      <c r="I33" s="14"/>
      <c r="J33" s="33"/>
      <c r="K33" s="1"/>
      <c r="L33" s="5"/>
    </row>
    <row r="34" ht="54">
      <c r="A34" s="1"/>
      <c r="B34" s="1" t="s">
        <v>411</v>
      </c>
      <c r="C34" s="25">
        <v>-55.7</v>
      </c>
      <c r="D34" s="25">
        <v>-69.3</v>
      </c>
      <c r="E34" s="25">
        <v>-60.3</v>
      </c>
      <c r="F34" s="25">
        <v>-60</v>
      </c>
      <c r="G34" s="14">
        <f>SUM(C34:F34)</f>
        <v>-245.3</v>
      </c>
      <c r="H34" s="25">
        <v>-58.9</v>
      </c>
      <c r="I34" s="25">
        <v>-64.1</v>
      </c>
      <c r="J34" s="44">
        <v>-85</v>
      </c>
      <c r="K34" s="1"/>
      <c r="L34" s="85" t="s">
        <v>412</v>
      </c>
    </row>
    <row r="35">
      <c r="A35" s="1"/>
      <c r="B35" s="1" t="s">
        <v>413</v>
      </c>
      <c r="C35" s="25">
        <v>1.9</v>
      </c>
      <c r="D35" s="25">
        <v>5</v>
      </c>
      <c r="E35" s="25">
        <v>5.6</v>
      </c>
      <c r="F35" s="25">
        <v>2.2</v>
      </c>
      <c r="G35" s="14">
        <f>SUM(C35:F35)</f>
        <v>14.7</v>
      </c>
      <c r="H35" s="25">
        <v>1.3</v>
      </c>
      <c r="I35" s="25">
        <v>3.6</v>
      </c>
      <c r="J35" s="44">
        <v>3</v>
      </c>
      <c r="K35" s="1"/>
      <c r="L35" s="5" t="s">
        <v>389</v>
      </c>
    </row>
    <row r="36">
      <c r="A36" s="1"/>
      <c r="B36" s="1" t="s">
        <v>414</v>
      </c>
      <c r="C36" s="25">
        <v>0</v>
      </c>
      <c r="D36" s="25">
        <v>-0.1</v>
      </c>
      <c r="E36" s="25">
        <v>-0.1</v>
      </c>
      <c r="F36" s="25">
        <v>-0.1</v>
      </c>
      <c r="G36" s="14">
        <f>SUM(C36:F36)</f>
        <v>-0.30000000000000004</v>
      </c>
      <c r="H36" s="25">
        <v>0</v>
      </c>
      <c r="I36" s="25">
        <v>-2</v>
      </c>
      <c r="J36" s="44">
        <v>0</v>
      </c>
      <c r="K36" s="1"/>
      <c r="L36" s="5" t="s">
        <v>389</v>
      </c>
    </row>
    <row r="37">
      <c r="A37" s="1"/>
      <c r="B37" s="9" t="s">
        <v>415</v>
      </c>
      <c r="C37" s="35">
        <f>C34+C35+C36</f>
        <v>-53.800000000000004</v>
      </c>
      <c r="D37" s="35">
        <f>D34+D35+D36</f>
        <v>-64.39999999999999</v>
      </c>
      <c r="E37" s="35">
        <f>E34+E35+E36</f>
        <v>-54.8</v>
      </c>
      <c r="F37" s="35">
        <f>F34+F35+F36</f>
        <v>-57.9</v>
      </c>
      <c r="G37" s="35">
        <f>G34+G35+G36</f>
        <v>-230.90000000000003</v>
      </c>
      <c r="H37" s="35">
        <f>H34+H35+H36</f>
        <v>-57.6</v>
      </c>
      <c r="I37" s="35">
        <f>I34+I35+I36</f>
        <v>-62.49999999999999</v>
      </c>
      <c r="J37" s="48">
        <f>J34+J35+J36</f>
        <v>-82</v>
      </c>
      <c r="K37" s="1"/>
      <c r="L37" s="5"/>
    </row>
    <row r="38">
      <c r="A38" s="1"/>
      <c r="B38" s="1"/>
      <c r="C38" s="1"/>
      <c r="D38" s="1"/>
      <c r="E38" s="1"/>
      <c r="F38" s="1"/>
      <c r="G38" s="1"/>
      <c r="H38" s="1"/>
      <c r="I38" s="1"/>
      <c r="J38" s="43"/>
      <c r="K38" s="1"/>
      <c r="L38" s="5"/>
    </row>
    <row r="39">
      <c r="A39" s="1"/>
      <c r="B39" s="9" t="s">
        <v>416</v>
      </c>
      <c r="C39" s="14"/>
      <c r="D39" s="14"/>
      <c r="E39" s="14"/>
      <c r="F39" s="14"/>
      <c r="G39" s="14"/>
      <c r="H39" s="14"/>
      <c r="I39" s="14"/>
      <c r="J39" s="33"/>
      <c r="K39" s="1"/>
      <c r="L39" s="5"/>
    </row>
    <row r="40">
      <c r="A40" s="1"/>
      <c r="B40" s="1" t="s">
        <v>417</v>
      </c>
      <c r="C40" s="25">
        <v>155</v>
      </c>
      <c r="D40" s="25">
        <v>520</v>
      </c>
      <c r="E40" s="25">
        <v>365</v>
      </c>
      <c r="F40" s="25">
        <v>65</v>
      </c>
      <c r="G40" s="14">
        <f>SUM(C40:F40)</f>
        <v>1105</v>
      </c>
      <c r="H40" s="25">
        <v>47</v>
      </c>
      <c r="I40" s="25">
        <v>360</v>
      </c>
      <c r="J40" s="44">
        <v>0</v>
      </c>
      <c r="K40" s="1"/>
      <c r="L40" s="5" t="s">
        <v>389</v>
      </c>
    </row>
    <row r="41">
      <c r="A41" s="1"/>
      <c r="B41" s="1" t="s">
        <v>418</v>
      </c>
      <c r="C41" s="25">
        <v>-155</v>
      </c>
      <c r="D41" s="25">
        <v>-490</v>
      </c>
      <c r="E41" s="25">
        <v>-400</v>
      </c>
      <c r="F41" s="25">
        <v>-135</v>
      </c>
      <c r="G41" s="14">
        <f>SUM(C41:F41)</f>
        <v>-1180</v>
      </c>
      <c r="H41" s="25">
        <v>-47</v>
      </c>
      <c r="I41" s="25">
        <v>-365</v>
      </c>
      <c r="J41" s="44">
        <v>0</v>
      </c>
      <c r="K41" s="1"/>
      <c r="L41" s="5" t="s">
        <v>389</v>
      </c>
    </row>
    <row r="42" ht="28.5">
      <c r="A42" s="1"/>
      <c r="B42" s="1" t="s">
        <v>419</v>
      </c>
      <c r="C42" s="25">
        <v>11.2</v>
      </c>
      <c r="D42" s="25">
        <v>6.1</v>
      </c>
      <c r="E42" s="25">
        <v>6.6</v>
      </c>
      <c r="F42" s="25">
        <v>0.4</v>
      </c>
      <c r="G42" s="14">
        <f>SUM(C42:F42)</f>
        <v>24.299999999999997</v>
      </c>
      <c r="H42" s="25">
        <v>7.6</v>
      </c>
      <c r="I42" s="25">
        <v>2.8</v>
      </c>
      <c r="J42" s="44">
        <v>5</v>
      </c>
      <c r="K42" s="1"/>
      <c r="L42" s="85" t="s">
        <v>398</v>
      </c>
    </row>
    <row r="43" ht="28.5">
      <c r="A43" s="1"/>
      <c r="B43" s="1" t="s">
        <v>420</v>
      </c>
      <c r="C43" s="25">
        <v>0</v>
      </c>
      <c r="D43" s="25">
        <v>0</v>
      </c>
      <c r="E43" s="25">
        <v>0</v>
      </c>
      <c r="F43" s="25">
        <v>0</v>
      </c>
      <c r="G43" s="14">
        <f>SUM(C43:F43)</f>
        <v>0</v>
      </c>
      <c r="H43" s="25">
        <v>-20.3</v>
      </c>
      <c r="I43" s="25">
        <v>-30</v>
      </c>
      <c r="J43" s="40">
        <f>-'Share Count'!J24*'Share Count'!J38</f>
        <v>0</v>
      </c>
      <c r="K43" s="1"/>
      <c r="L43" s="85" t="s">
        <v>421</v>
      </c>
    </row>
    <row r="44" ht="28.5">
      <c r="A44" s="1"/>
      <c r="B44" s="1" t="s">
        <v>422</v>
      </c>
      <c r="C44" s="25">
        <v>-246.7</v>
      </c>
      <c r="D44" s="25">
        <v>-252.5</v>
      </c>
      <c r="E44" s="25">
        <v>-252.5</v>
      </c>
      <c r="F44" s="25">
        <v>-252.6</v>
      </c>
      <c r="G44" s="14">
        <f>SUM(C44:F44)</f>
        <v>-1004.3</v>
      </c>
      <c r="H44" s="25">
        <v>-275.6</v>
      </c>
      <c r="I44" s="25">
        <v>-275.4</v>
      </c>
      <c r="J44" s="40">
        <f>-'Share Count'!J29*'Share Count'!I21</f>
        <v>-298.34854789999997</v>
      </c>
      <c r="K44" s="1"/>
      <c r="L44" s="85" t="s">
        <v>423</v>
      </c>
    </row>
    <row r="45">
      <c r="A45" s="1"/>
      <c r="B45" s="9" t="s">
        <v>424</v>
      </c>
      <c r="C45" s="35">
        <f>C40+C41+C42+C43+C44</f>
        <v>-235.5</v>
      </c>
      <c r="D45" s="35">
        <f>D40+D41+D42+D43+D44</f>
        <v>-216.4</v>
      </c>
      <c r="E45" s="35">
        <f>E40+E41+E42+E43+E44</f>
        <v>-280.9</v>
      </c>
      <c r="F45" s="35">
        <f>F40+F41+F42+F43+F44</f>
        <v>-322.2</v>
      </c>
      <c r="G45" s="35">
        <f>G40+G41+G42+G43+G44</f>
        <v>-1055</v>
      </c>
      <c r="H45" s="35">
        <f>H40+H41+H42+H43+H44</f>
        <v>-288.3</v>
      </c>
      <c r="I45" s="35">
        <f>I40+I41+I42+I43+I44</f>
        <v>-307.59999999999997</v>
      </c>
      <c r="J45" s="48">
        <f>J40+J41+J42+J43+J44</f>
        <v>-293.34854789999997</v>
      </c>
      <c r="K45" s="1"/>
      <c r="L45" s="5"/>
    </row>
    <row r="46">
      <c r="A46" s="1"/>
      <c r="B46" s="1"/>
      <c r="C46" s="1"/>
      <c r="D46" s="1"/>
      <c r="E46" s="1"/>
      <c r="F46" s="1"/>
      <c r="G46" s="1"/>
      <c r="H46" s="1"/>
      <c r="I46" s="1"/>
      <c r="J46" s="43"/>
      <c r="K46" s="1"/>
      <c r="L46" s="5"/>
    </row>
    <row r="47" ht="41.25">
      <c r="A47" s="1"/>
      <c r="B47" s="1" t="s">
        <v>425</v>
      </c>
      <c r="C47" s="25">
        <v>3.1</v>
      </c>
      <c r="D47" s="25">
        <v>8.2</v>
      </c>
      <c r="E47" s="25">
        <v>-0.9</v>
      </c>
      <c r="F47" s="25">
        <v>0.7</v>
      </c>
      <c r="G47" s="14">
        <f>SUM(C47:F47)</f>
        <v>11.1</v>
      </c>
      <c r="H47" s="25">
        <v>-0.6</v>
      </c>
      <c r="I47" s="25">
        <v>0.5</v>
      </c>
      <c r="J47" s="44">
        <v>0</v>
      </c>
      <c r="K47" s="1"/>
      <c r="L47" s="85" t="s">
        <v>426</v>
      </c>
    </row>
    <row r="48">
      <c r="A48" s="1"/>
      <c r="B48" s="9" t="s">
        <v>427</v>
      </c>
      <c r="C48" s="35">
        <f>C25+C37+C45+C47</f>
        <v>-23.999999999999964</v>
      </c>
      <c r="D48" s="35">
        <f>D25+D37+D45+D47</f>
        <v>6.00000000000021</v>
      </c>
      <c r="E48" s="35">
        <f>E25+E37+E45+E47</f>
        <v>50.30000000000022</v>
      </c>
      <c r="F48" s="35">
        <f>F25+F37+F45+F47</f>
        <v>-11.299999999999887</v>
      </c>
      <c r="G48" s="35">
        <f>G25+G37+G45+G47</f>
        <v>21.000000000001457</v>
      </c>
      <c r="H48" s="35">
        <f>H25+H37+H45+H47</f>
        <v>31.89999999999994</v>
      </c>
      <c r="I48" s="35">
        <f>I25+I37+I45+I47</f>
        <v>-103.99999999999977</v>
      </c>
      <c r="J48" s="48">
        <f>J25+J37+J45+J47</f>
        <v>42.91020343292092</v>
      </c>
      <c r="K48" s="1"/>
      <c r="L48" s="5"/>
    </row>
    <row r="49">
      <c r="A49" s="1"/>
      <c r="B49" s="1" t="s">
        <v>428</v>
      </c>
      <c r="C49" s="25">
        <v>255.8</v>
      </c>
      <c r="D49" s="14">
        <f>C50</f>
        <v>231.80000000000004</v>
      </c>
      <c r="E49" s="14">
        <f>D50</f>
        <v>237.80000000000024</v>
      </c>
      <c r="F49" s="14">
        <f>E50</f>
        <v>288.1000000000005</v>
      </c>
      <c r="G49" s="14">
        <f>C49</f>
        <v>255.8</v>
      </c>
      <c r="H49" s="14">
        <f>F50</f>
        <v>276.8000000000006</v>
      </c>
      <c r="I49" s="14">
        <f>H50</f>
        <v>308.7000000000005</v>
      </c>
      <c r="J49" s="33">
        <f>I50</f>
        <v>204.70000000000073</v>
      </c>
      <c r="K49" s="1"/>
      <c r="L49" s="5" t="s">
        <v>429</v>
      </c>
    </row>
    <row r="50">
      <c r="A50" s="1"/>
      <c r="B50" s="9" t="s">
        <v>430</v>
      </c>
      <c r="C50" s="35">
        <f>C49+C48</f>
        <v>231.80000000000004</v>
      </c>
      <c r="D50" s="35">
        <f>D49+D48</f>
        <v>237.80000000000024</v>
      </c>
      <c r="E50" s="35">
        <f>E49+E48</f>
        <v>288.1000000000005</v>
      </c>
      <c r="F50" s="35">
        <f>F49+F48</f>
        <v>276.8000000000006</v>
      </c>
      <c r="G50" s="35">
        <f>G49+G48</f>
        <v>276.8000000000015</v>
      </c>
      <c r="H50" s="35">
        <f>H49+H48</f>
        <v>308.7000000000005</v>
      </c>
      <c r="I50" s="35">
        <f>I49+I48</f>
        <v>204.70000000000073</v>
      </c>
      <c r="J50" s="48">
        <f>J49+J48</f>
        <v>247.61020343292165</v>
      </c>
      <c r="K50" s="1"/>
      <c r="L50" s="5"/>
    </row>
    <row r="51">
      <c r="A51" s="1"/>
      <c r="B51" s="1" t="s">
        <v>431</v>
      </c>
      <c r="C51" s="7">
        <f>'Balance Sheet'!C11</f>
        <v>231.8</v>
      </c>
      <c r="D51" s="7">
        <f>'Balance Sheet'!D11</f>
        <v>237.8</v>
      </c>
      <c r="E51" s="7">
        <f>'Balance Sheet'!E11</f>
        <v>288.1</v>
      </c>
      <c r="F51" s="7">
        <f>'Balance Sheet'!F11</f>
        <v>276.8</v>
      </c>
      <c r="G51" s="7">
        <f>'Balance Sheet'!G11</f>
        <v>276.8</v>
      </c>
      <c r="H51" s="7">
        <f>'Balance Sheet'!H11</f>
        <v>308.6</v>
      </c>
      <c r="I51" s="7">
        <f>'Balance Sheet'!I11</f>
        <v>204.7</v>
      </c>
      <c r="J51" s="40">
        <f>'Balance Sheet'!J11</f>
        <v>247.61020343292165</v>
      </c>
      <c r="K51" s="1"/>
      <c r="L51" s="5"/>
    </row>
    <row r="52">
      <c r="A52" s="1"/>
      <c r="B52" s="1" t="s">
        <v>432</v>
      </c>
      <c r="C52" s="7">
        <f>'Balance Sheet'!C11-C49</f>
        <v>-24</v>
      </c>
      <c r="D52" s="7">
        <f>'Balance Sheet'!D11-'Balance Sheet'!C11</f>
        <v>6</v>
      </c>
      <c r="E52" s="7">
        <f>'Balance Sheet'!E11-'Balance Sheet'!D11</f>
        <v>50.30000000000001</v>
      </c>
      <c r="F52" s="7">
        <f>'Balance Sheet'!F11-'Balance Sheet'!E11</f>
        <v>-11.300000000000011</v>
      </c>
      <c r="G52" s="7">
        <f>'Balance Sheet'!G11-G49</f>
        <v>21</v>
      </c>
      <c r="H52" s="7">
        <f>'Balance Sheet'!H11-'Balance Sheet'!F11</f>
        <v>31.80000000000001</v>
      </c>
      <c r="I52" s="7">
        <f>'Balance Sheet'!I11-'Balance Sheet'!H11</f>
        <v>-103.90000000000003</v>
      </c>
      <c r="J52" s="40">
        <f>'Balance Sheet'!J11-'Balance Sheet'!I11</f>
        <v>42.91020343292166</v>
      </c>
      <c r="K52" s="1"/>
      <c r="L52" s="5"/>
    </row>
    <row r="53">
      <c r="A53" s="1"/>
      <c r="B53" s="1" t="s">
        <v>433</v>
      </c>
      <c r="C53" s="14">
        <f>C48-C52</f>
        <v>0</v>
      </c>
      <c r="D53" s="14">
        <f>D48-D52</f>
        <v>0</v>
      </c>
      <c r="E53" s="14">
        <f>E48-E52</f>
        <v>0</v>
      </c>
      <c r="F53" s="14">
        <f>F48-F52</f>
        <v>0</v>
      </c>
      <c r="G53" s="14">
        <f>G48-G52</f>
        <v>0</v>
      </c>
      <c r="H53" s="14">
        <f>H48-H52</f>
        <v>0.09999999999993037</v>
      </c>
      <c r="I53" s="14">
        <f>I48-I52</f>
        <v>-0.09999999999973852</v>
      </c>
      <c r="J53" s="33">
        <f>J48-J52</f>
        <v>0</v>
      </c>
      <c r="K53" s="1"/>
      <c r="L53" s="5"/>
    </row>
    <row r="54" ht="28.5">
      <c r="A54" s="1"/>
      <c r="B54" s="11" t="s">
        <v>434</v>
      </c>
      <c r="C54" s="18" t="b">
        <f>ABS(C53)&lt;0.25</f>
        <v>1</v>
      </c>
      <c r="D54" s="18" t="b">
        <f>ABS(D53)&lt;0.25</f>
        <v>1</v>
      </c>
      <c r="E54" s="18" t="b">
        <f>ABS(E53)&lt;0.25</f>
        <v>1</v>
      </c>
      <c r="F54" s="18" t="b">
        <f>ABS(F53)&lt;0.25</f>
        <v>1</v>
      </c>
      <c r="G54" s="18" t="b">
        <f>ABS(G53)&lt;0.25</f>
        <v>1</v>
      </c>
      <c r="H54" s="18" t="b">
        <f>ABS(H53)&lt;0.25</f>
        <v>1</v>
      </c>
      <c r="I54" s="18" t="b">
        <f>ABS(I53)&lt;0.25</f>
        <v>1</v>
      </c>
      <c r="J54" s="55" t="b">
        <f>ABS(J53)&lt;0.25</f>
        <v>1</v>
      </c>
      <c r="K54" s="1"/>
      <c r="L54" s="85" t="s">
        <v>435</v>
      </c>
    </row>
    <row r="55">
      <c r="A55" s="1"/>
      <c r="B55" s="1"/>
      <c r="C55" s="1"/>
      <c r="D55" s="1"/>
      <c r="E55" s="1"/>
      <c r="F55" s="1"/>
      <c r="G55" s="1"/>
      <c r="H55" s="1"/>
      <c r="I55" s="1"/>
      <c r="J55" s="43"/>
      <c r="K55" s="1"/>
      <c r="L55" s="5"/>
    </row>
    <row r="56">
      <c r="A56" s="1"/>
      <c r="B56" s="9" t="s">
        <v>436</v>
      </c>
      <c r="C56" s="14"/>
      <c r="D56" s="14"/>
      <c r="E56" s="14"/>
      <c r="F56" s="14"/>
      <c r="G56" s="14"/>
      <c r="H56" s="14"/>
      <c r="I56" s="14"/>
      <c r="J56" s="33"/>
      <c r="K56" s="1"/>
      <c r="L56" s="5"/>
    </row>
    <row r="57">
      <c r="A57" s="1"/>
      <c r="B57" s="1" t="s">
        <v>437</v>
      </c>
      <c r="C57" s="14">
        <f>C34+C35</f>
        <v>-53.800000000000004</v>
      </c>
      <c r="D57" s="14">
        <f>D34+D35</f>
        <v>-64.3</v>
      </c>
      <c r="E57" s="14">
        <f>E34+E35</f>
        <v>-54.699999999999996</v>
      </c>
      <c r="F57" s="14">
        <f>F34+F35</f>
        <v>-57.8</v>
      </c>
      <c r="G57" s="14">
        <f>G34+G35</f>
        <v>-230.60000000000002</v>
      </c>
      <c r="H57" s="14">
        <f>H34+H35</f>
        <v>-57.6</v>
      </c>
      <c r="I57" s="14">
        <f>I34+I35</f>
        <v>-60.49999999999999</v>
      </c>
      <c r="J57" s="33">
        <f>J34+J35</f>
        <v>-82</v>
      </c>
      <c r="K57" s="1"/>
      <c r="L57" s="5"/>
    </row>
    <row r="58">
      <c r="A58" s="1"/>
      <c r="B58" s="11" t="s">
        <v>252</v>
      </c>
      <c r="C58" s="41">
        <f>-C57/'Income Statement'!C11</f>
        <v>0.02745738491374911</v>
      </c>
      <c r="D58" s="41">
        <f>-D57/'Income Statement'!D11</f>
        <v>0.03090900350910926</v>
      </c>
      <c r="E58" s="41">
        <f>-E57/'Income Statement'!E11</f>
        <v>0.025641025641025637</v>
      </c>
      <c r="F58" s="41">
        <f>-F57/'Income Statement'!F11</f>
        <v>0.028509420933214954</v>
      </c>
      <c r="G58" s="41">
        <f>-G57/'Income Statement'!G11</f>
        <v>0.02812057948392761</v>
      </c>
      <c r="H58" s="41">
        <f>-H57/'Income Statement'!H11</f>
        <v>0.02616160239814689</v>
      </c>
      <c r="I58" s="41">
        <f>-I57/'Income Statement'!I11</f>
        <v>0.02534668398340944</v>
      </c>
      <c r="J58" s="36">
        <f>-J57/'Income Statement'!J11</f>
        <v>0.03317975772254208</v>
      </c>
      <c r="K58" s="1"/>
      <c r="L58" s="5"/>
    </row>
    <row r="59">
      <c r="A59" s="1"/>
      <c r="B59" s="1" t="s">
        <v>134</v>
      </c>
      <c r="C59" s="13"/>
      <c r="D59" s="13"/>
      <c r="E59" s="13"/>
      <c r="F59" s="13"/>
      <c r="G59" s="13"/>
      <c r="H59" s="13">
        <f>(H58-C58)*10000</f>
        <v>-12.957825156022194</v>
      </c>
      <c r="I59" s="13">
        <f>(I58-D58)*10000</f>
        <v>-55.6231952569982</v>
      </c>
      <c r="J59" s="31">
        <f>(J58-E58)*10000</f>
        <v>75.38732081516443</v>
      </c>
      <c r="K59" s="1"/>
      <c r="L59" s="5"/>
    </row>
    <row r="60">
      <c r="A60" s="1"/>
      <c r="B60" s="1" t="s">
        <v>135</v>
      </c>
      <c r="C60" s="13"/>
      <c r="D60" s="13">
        <f>(D58-C58)*10000</f>
        <v>34.5161859536015</v>
      </c>
      <c r="E60" s="13">
        <f>(E58-D58)*10000</f>
        <v>-52.67977868083622</v>
      </c>
      <c r="F60" s="13">
        <f>(F58-E58)*10000</f>
        <v>28.683952921893173</v>
      </c>
      <c r="G60" s="13"/>
      <c r="H60" s="13">
        <f>(H58-F58)*10000</f>
        <v>-23.478185350680643</v>
      </c>
      <c r="I60" s="13">
        <f>(I58-H58)*10000</f>
        <v>-8.149184147374505</v>
      </c>
      <c r="J60" s="31">
        <f>(J58-I58)*10000</f>
        <v>78.3307373913264</v>
      </c>
      <c r="K60" s="1"/>
      <c r="L60" s="5"/>
    </row>
    <row r="61">
      <c r="A61" s="1"/>
      <c r="B61" s="9" t="s">
        <v>438</v>
      </c>
      <c r="C61" s="35">
        <f>C25+C57</f>
        <v>208.40000000000003</v>
      </c>
      <c r="D61" s="35">
        <f>D25+D57</f>
        <v>214.30000000000018</v>
      </c>
      <c r="E61" s="35">
        <f>E25+E57</f>
        <v>332.2000000000002</v>
      </c>
      <c r="F61" s="35">
        <f>F25+F57</f>
        <v>310.30000000000007</v>
      </c>
      <c r="G61" s="35">
        <f>G25+G57</f>
        <v>1065.2000000000016</v>
      </c>
      <c r="H61" s="35">
        <f>H25+H57</f>
        <v>320.79999999999995</v>
      </c>
      <c r="I61" s="35">
        <f>I25+I57</f>
        <v>205.1000000000002</v>
      </c>
      <c r="J61" s="48">
        <f>J25+J57</f>
        <v>336.2587513329209</v>
      </c>
      <c r="K61" s="1"/>
      <c r="L61" s="5" t="s">
        <v>439</v>
      </c>
    </row>
    <row r="62">
      <c r="A62" s="1"/>
      <c r="B62" s="11" t="s">
        <v>440</v>
      </c>
      <c r="C62" s="30">
        <f>C61/C11</f>
        <v>0.6976899899564781</v>
      </c>
      <c r="D62" s="30">
        <f>D61/D11</f>
        <v>0.6488041174689678</v>
      </c>
      <c r="E62" s="30">
        <f>E61/E11</f>
        <v>0.9901639344262295</v>
      </c>
      <c r="F62" s="30">
        <f>F61/F11</f>
        <v>1.0550833049983</v>
      </c>
      <c r="G62" s="30">
        <f>G61/G11</f>
        <v>0.8463372000635629</v>
      </c>
      <c r="H62" s="30">
        <f>H61/H11</f>
        <v>0.9440847557386698</v>
      </c>
      <c r="I62" s="30">
        <f>I61/I11</f>
        <v>0.5357889237199585</v>
      </c>
      <c r="J62" s="34">
        <f>J61/J11</f>
        <v>0.8597704501754815</v>
      </c>
      <c r="K62" s="1"/>
      <c r="L62" s="5"/>
    </row>
    <row r="63">
      <c r="A63" s="1"/>
      <c r="B63" s="1" t="s">
        <v>134</v>
      </c>
      <c r="C63" s="13"/>
      <c r="D63" s="13"/>
      <c r="E63" s="13"/>
      <c r="F63" s="13"/>
      <c r="G63" s="13"/>
      <c r="H63" s="13">
        <f>(H62-C62)*10000</f>
        <v>2463.9476578219164</v>
      </c>
      <c r="I63" s="13">
        <f>(I62-D62)*10000</f>
        <v>-1130.1519374900936</v>
      </c>
      <c r="J63" s="31">
        <f>(J62-E62)*10000</f>
        <v>-1303.9348425074804</v>
      </c>
      <c r="K63" s="1"/>
      <c r="L63" s="5"/>
    </row>
    <row r="64">
      <c r="A64" s="1"/>
      <c r="B64" s="1" t="s">
        <v>135</v>
      </c>
      <c r="C64" s="13"/>
      <c r="D64" s="13">
        <f>(D62-C62)*10000</f>
        <v>-488.85872487510306</v>
      </c>
      <c r="E64" s="13">
        <f>(E62-D62)*10000</f>
        <v>3413.598169572617</v>
      </c>
      <c r="F64" s="13">
        <f>(F62-E62)*10000</f>
        <v>649.1937057207042</v>
      </c>
      <c r="G64" s="13"/>
      <c r="H64" s="13">
        <f>(H62-F62)*10000</f>
        <v>-1109.9854925963016</v>
      </c>
      <c r="I64" s="13">
        <f>(I62-H62)*10000</f>
        <v>-4082.9583201871133</v>
      </c>
      <c r="J64" s="31">
        <f>(J62-I62)*10000</f>
        <v>3239.8152645552304</v>
      </c>
      <c r="K64" s="1"/>
      <c r="L64" s="5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5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5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L5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441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"/>
    </row>
    <row r="10">
      <c r="A10" s="1"/>
      <c r="B10" s="9" t="s">
        <v>442</v>
      </c>
      <c r="C10" s="14"/>
      <c r="D10" s="14"/>
      <c r="E10" s="14"/>
      <c r="F10" s="14"/>
      <c r="G10" s="14"/>
      <c r="H10" s="14"/>
      <c r="I10" s="14"/>
      <c r="J10" s="33"/>
      <c r="K10" s="1"/>
      <c r="L10" s="5"/>
    </row>
    <row r="11" ht="41.25">
      <c r="A11" s="1"/>
      <c r="B11" s="1" t="s">
        <v>443</v>
      </c>
      <c r="C11" s="25">
        <v>1629.4</v>
      </c>
      <c r="D11" s="25">
        <v>1732.8</v>
      </c>
      <c r="E11" s="25">
        <v>1777.9</v>
      </c>
      <c r="F11" s="14">
        <f>G11-C11-D11-E11</f>
        <v>1678.7999999999997</v>
      </c>
      <c r="G11" s="25">
        <v>6818.9</v>
      </c>
      <c r="H11" s="25">
        <v>1816.3</v>
      </c>
      <c r="I11" s="25">
        <v>1969.8</v>
      </c>
      <c r="J11" s="33">
        <f>J42-J22-J32</f>
        <v>2043.01334</v>
      </c>
      <c r="K11" s="1"/>
      <c r="L11" s="85" t="s">
        <v>444</v>
      </c>
    </row>
    <row r="12" ht="41.25">
      <c r="A12" s="1"/>
      <c r="B12" s="11" t="s">
        <v>133</v>
      </c>
      <c r="C12" s="30">
        <f>C11/C42</f>
        <v>0.8315810962539553</v>
      </c>
      <c r="D12" s="30">
        <f>D11/D42</f>
        <v>0.8329567850790752</v>
      </c>
      <c r="E12" s="30">
        <f>E11/E42</f>
        <v>0.8334036469319833</v>
      </c>
      <c r="F12" s="30">
        <f>F11/F42</f>
        <v>0.8280147965474722</v>
      </c>
      <c r="G12" s="30">
        <f>G11/G42</f>
        <v>0.8315224681421864</v>
      </c>
      <c r="H12" s="30">
        <f>H11/H42</f>
        <v>0.824953445065177</v>
      </c>
      <c r="I12" s="30">
        <f>I11/I42</f>
        <v>0.8252545142234697</v>
      </c>
      <c r="J12" s="34">
        <f>J11/J42</f>
        <v>0.8266669225014814</v>
      </c>
      <c r="K12" s="1"/>
      <c r="L12" s="91" t="s">
        <v>445</v>
      </c>
    </row>
    <row r="13">
      <c r="A13" s="1"/>
      <c r="B13" s="1" t="s">
        <v>134</v>
      </c>
      <c r="C13" s="13"/>
      <c r="D13" s="13"/>
      <c r="E13" s="13"/>
      <c r="F13" s="13"/>
      <c r="G13" s="13"/>
      <c r="H13" s="13">
        <f>(H12-C12)*10000</f>
        <v>-66.27651188778283</v>
      </c>
      <c r="I13" s="13">
        <f>(I12-D12)*10000</f>
        <v>-77.02270855605487</v>
      </c>
      <c r="J13" s="31">
        <f>(J12-E12)*10000</f>
        <v>-67.36724430501883</v>
      </c>
      <c r="K13" s="1"/>
      <c r="L13" s="5"/>
    </row>
    <row r="14">
      <c r="A14" s="1"/>
      <c r="B14" s="1" t="s">
        <v>135</v>
      </c>
      <c r="C14" s="13"/>
      <c r="D14" s="13">
        <f>(D12-C12)*10000</f>
        <v>13.756888251199584</v>
      </c>
      <c r="E14" s="13">
        <f>(E12-D12)*10000</f>
        <v>4.468618529080981</v>
      </c>
      <c r="F14" s="13">
        <f>(F12-E12)*10000</f>
        <v>-53.888503845110904</v>
      </c>
      <c r="G14" s="13"/>
      <c r="H14" s="13">
        <f>(H12-F12)*10000</f>
        <v>-30.613514822952492</v>
      </c>
      <c r="I14" s="13">
        <f>(I12-H12)*10000</f>
        <v>3.0106915829275493</v>
      </c>
      <c r="J14" s="31">
        <f>(J12-I12)*10000</f>
        <v>14.124082780117009</v>
      </c>
      <c r="K14" s="1"/>
      <c r="L14" s="5"/>
    </row>
    <row r="15">
      <c r="A15" s="1"/>
      <c r="B15" s="11" t="s">
        <v>71</v>
      </c>
      <c r="C15" s="30"/>
      <c r="D15" s="30"/>
      <c r="E15" s="30"/>
      <c r="F15" s="30"/>
      <c r="G15" s="30"/>
      <c r="H15" s="30">
        <f>H11/C11-1</f>
        <v>0.11470479931263022</v>
      </c>
      <c r="I15" s="30">
        <f>I11/D11-1</f>
        <v>0.13677285318559562</v>
      </c>
      <c r="J15" s="34">
        <f>J11/E11-1</f>
        <v>0.14911600202486075</v>
      </c>
      <c r="K15" s="1"/>
      <c r="L15" s="5"/>
    </row>
    <row r="16">
      <c r="A16" s="1"/>
      <c r="B16" s="11" t="s">
        <v>72</v>
      </c>
      <c r="C16" s="30"/>
      <c r="D16" s="30">
        <f>D11/C11-1</f>
        <v>0.063458941941819</v>
      </c>
      <c r="E16" s="30">
        <f>E11/D11-1</f>
        <v>0.026027239150507864</v>
      </c>
      <c r="F16" s="30">
        <f>F11/E11-1</f>
        <v>-0.05573991788064592</v>
      </c>
      <c r="G16" s="30"/>
      <c r="H16" s="30">
        <f>H11/F11-1</f>
        <v>0.08190374076721474</v>
      </c>
      <c r="I16" s="30">
        <f>I11/H11-1</f>
        <v>0.08451247040687115</v>
      </c>
      <c r="J16" s="34">
        <f>J11/I11-1</f>
        <v>0.03716790537110359</v>
      </c>
      <c r="K16" s="1"/>
      <c r="L16" s="5"/>
    </row>
    <row r="17">
      <c r="A17" s="1"/>
      <c r="B17" s="1" t="s">
        <v>73</v>
      </c>
      <c r="C17" s="14"/>
      <c r="D17" s="14">
        <f>D11-C11</f>
        <v>103.39999999999986</v>
      </c>
      <c r="E17" s="14">
        <f>E11-D11</f>
        <v>45.100000000000136</v>
      </c>
      <c r="F17" s="14">
        <f>F11-E11</f>
        <v>-99.10000000000036</v>
      </c>
      <c r="G17" s="14"/>
      <c r="H17" s="14">
        <f>H11-F11</f>
        <v>137.50000000000023</v>
      </c>
      <c r="I17" s="14">
        <f>I11-H11</f>
        <v>153.5</v>
      </c>
      <c r="J17" s="33">
        <f>J11-I11</f>
        <v>73.21334000000002</v>
      </c>
      <c r="K17" s="1"/>
      <c r="L17" s="5"/>
    </row>
    <row r="18">
      <c r="A18" s="1"/>
      <c r="B18" s="11" t="s">
        <v>446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59">
        <v>0</v>
      </c>
      <c r="K18" s="1"/>
      <c r="L18" s="5"/>
    </row>
    <row r="19">
      <c r="A19" s="1"/>
      <c r="B19" s="11" t="s">
        <v>121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59">
        <v>0</v>
      </c>
      <c r="K19" s="1"/>
      <c r="L19" s="5"/>
    </row>
    <row r="20">
      <c r="A20" s="1"/>
      <c r="B20" s="11" t="s">
        <v>123</v>
      </c>
      <c r="C20" s="30"/>
      <c r="D20" s="30"/>
      <c r="E20" s="30"/>
      <c r="F20" s="30"/>
      <c r="G20" s="30"/>
      <c r="H20" s="30">
        <f>(1+H15)/((1+H19)*(1+H18))-1</f>
        <v>0.11470479931263022</v>
      </c>
      <c r="I20" s="30">
        <f>(1+I15)/((1+I19)*(1+I18))-1</f>
        <v>0.13677285318559562</v>
      </c>
      <c r="J20" s="34">
        <f>(1+J15)/((1+J19)*(1+J18))-1</f>
        <v>0.14911600202486075</v>
      </c>
      <c r="K20" s="1"/>
      <c r="L20" s="5"/>
    </row>
    <row r="21">
      <c r="A21" s="1"/>
      <c r="B21" s="11" t="s">
        <v>447</v>
      </c>
      <c r="C21" s="30"/>
      <c r="D21" s="30"/>
      <c r="E21" s="30"/>
      <c r="F21" s="30"/>
      <c r="G21" s="30"/>
      <c r="H21" s="30"/>
      <c r="I21" s="30"/>
      <c r="J21" s="36">
        <f>Inputs!E124</f>
        <v>0.1515</v>
      </c>
      <c r="K21" s="1"/>
      <c r="L21" s="5"/>
    </row>
    <row r="22">
      <c r="A22" s="1"/>
      <c r="B22" s="1" t="s">
        <v>448</v>
      </c>
      <c r="C22" s="25">
        <v>268.9</v>
      </c>
      <c r="D22" s="25">
        <v>281.4</v>
      </c>
      <c r="E22" s="25">
        <v>284.8</v>
      </c>
      <c r="F22" s="14">
        <f>G22-C22-D22-E22</f>
        <v>275.1000000000001</v>
      </c>
      <c r="G22" s="25">
        <v>1110.2</v>
      </c>
      <c r="H22" s="25">
        <v>306.3</v>
      </c>
      <c r="I22" s="25">
        <v>333.7</v>
      </c>
      <c r="J22" s="33">
        <f>E22*(1+J29)</f>
        <v>340.19360000000006</v>
      </c>
      <c r="K22" s="1"/>
      <c r="L22" s="5" t="s">
        <v>449</v>
      </c>
    </row>
    <row r="23">
      <c r="A23" s="1"/>
      <c r="B23" s="11" t="s">
        <v>133</v>
      </c>
      <c r="C23" s="30">
        <f>C22/C42</f>
        <v>0.1372358885373073</v>
      </c>
      <c r="D23" s="30">
        <f>D22/D42</f>
        <v>0.13526895159352018</v>
      </c>
      <c r="E23" s="30">
        <f>E22/E42</f>
        <v>0.13350208597009328</v>
      </c>
      <c r="F23" s="30">
        <f>F22/F42</f>
        <v>0.13568434032059193</v>
      </c>
      <c r="G23" s="30">
        <f>G22/G42</f>
        <v>0.13538198890311567</v>
      </c>
      <c r="H23" s="30">
        <f>H22/H42</f>
        <v>0.13911977108597903</v>
      </c>
      <c r="I23" s="30">
        <f>I22/I42</f>
        <v>0.13980476769030958</v>
      </c>
      <c r="J23" s="34">
        <f>J22/J42</f>
        <v>0.13765294178974868</v>
      </c>
      <c r="K23" s="1"/>
      <c r="L23" s="5" t="s">
        <v>450</v>
      </c>
    </row>
    <row r="24">
      <c r="A24" s="1"/>
      <c r="B24" s="1" t="s">
        <v>134</v>
      </c>
      <c r="C24" s="13"/>
      <c r="D24" s="13"/>
      <c r="E24" s="13"/>
      <c r="F24" s="13"/>
      <c r="G24" s="13"/>
      <c r="H24" s="13">
        <f>(H23-C23)*10000</f>
        <v>18.838825486717226</v>
      </c>
      <c r="I24" s="13">
        <f>(I23-D23)*10000</f>
        <v>45.35816096789408</v>
      </c>
      <c r="J24" s="31">
        <f>(J23-E23)*10000</f>
        <v>41.50855819655408</v>
      </c>
      <c r="K24" s="1"/>
      <c r="L24" s="5"/>
    </row>
    <row r="25">
      <c r="A25" s="1"/>
      <c r="B25" s="1" t="s">
        <v>135</v>
      </c>
      <c r="C25" s="13"/>
      <c r="D25" s="13">
        <f>(D23-C23)*10000</f>
        <v>-19.669369437871342</v>
      </c>
      <c r="E25" s="13">
        <f>(E23-D23)*10000</f>
        <v>-17.668656234268997</v>
      </c>
      <c r="F25" s="13">
        <f>(F23-E23)*10000</f>
        <v>21.822543504986523</v>
      </c>
      <c r="G25" s="13"/>
      <c r="H25" s="13">
        <f>(H23-F23)*10000</f>
        <v>34.35430765387104</v>
      </c>
      <c r="I25" s="13">
        <f>(I23-H23)*10000</f>
        <v>6.8499660433055105</v>
      </c>
      <c r="J25" s="31">
        <f>(J23-I23)*10000</f>
        <v>-21.518259005608996</v>
      </c>
      <c r="K25" s="1"/>
      <c r="L25" s="5"/>
    </row>
    <row r="26">
      <c r="A26" s="1"/>
      <c r="B26" s="11" t="s">
        <v>71</v>
      </c>
      <c r="C26" s="30"/>
      <c r="D26" s="30"/>
      <c r="E26" s="30"/>
      <c r="F26" s="30"/>
      <c r="G26" s="30"/>
      <c r="H26" s="30">
        <f>H22/C22-1</f>
        <v>0.13908516177017494</v>
      </c>
      <c r="I26" s="30">
        <f>I22/D22-1</f>
        <v>0.18585643212508884</v>
      </c>
      <c r="J26" s="34">
        <f>J22/E22-1</f>
        <v>0.19450000000000012</v>
      </c>
      <c r="K26" s="1"/>
      <c r="L26" s="5"/>
    </row>
    <row r="27">
      <c r="A27" s="1"/>
      <c r="B27" s="11" t="s">
        <v>72</v>
      </c>
      <c r="C27" s="30"/>
      <c r="D27" s="30">
        <f>D22/C22-1</f>
        <v>0.046485682409817874</v>
      </c>
      <c r="E27" s="30">
        <f>E22/D22-1</f>
        <v>0.012082444918265933</v>
      </c>
      <c r="F27" s="30">
        <f>F22/E22-1</f>
        <v>-0.03405898876404467</v>
      </c>
      <c r="G27" s="30"/>
      <c r="H27" s="30">
        <f>H22/F22-1</f>
        <v>0.11341330425299856</v>
      </c>
      <c r="I27" s="30">
        <f>I22/H22-1</f>
        <v>0.0894547828925889</v>
      </c>
      <c r="J27" s="34">
        <f>J22/I22-1</f>
        <v>0.019459394665867658</v>
      </c>
      <c r="K27" s="1"/>
      <c r="L27" s="5"/>
    </row>
    <row r="28">
      <c r="A28" s="1"/>
      <c r="B28" s="1" t="s">
        <v>73</v>
      </c>
      <c r="C28" s="14"/>
      <c r="D28" s="14">
        <f>D22-C22</f>
        <v>12.5</v>
      </c>
      <c r="E28" s="14">
        <f>E22-D22</f>
        <v>3.400000000000034</v>
      </c>
      <c r="F28" s="14">
        <f>F22-E22</f>
        <v>-9.699999999999932</v>
      </c>
      <c r="G28" s="14"/>
      <c r="H28" s="14">
        <f>H22-F22</f>
        <v>31.199999999999932</v>
      </c>
      <c r="I28" s="14">
        <f>I22-H22</f>
        <v>27.399999999999977</v>
      </c>
      <c r="J28" s="33">
        <f>J22-I22</f>
        <v>6.493600000000072</v>
      </c>
      <c r="K28" s="1"/>
      <c r="L28" s="5"/>
    </row>
    <row r="29">
      <c r="A29" s="1"/>
      <c r="B29" s="11" t="s">
        <v>451</v>
      </c>
      <c r="C29" s="30"/>
      <c r="D29" s="30"/>
      <c r="E29" s="30"/>
      <c r="F29" s="30"/>
      <c r="G29" s="30"/>
      <c r="H29" s="30"/>
      <c r="I29" s="30"/>
      <c r="J29" s="36">
        <f>Inputs!E125</f>
        <v>0.1945</v>
      </c>
      <c r="K29" s="1"/>
      <c r="L29" s="5"/>
    </row>
    <row r="30">
      <c r="A30" s="1"/>
      <c r="B30" s="11" t="s">
        <v>141</v>
      </c>
      <c r="C30" s="30"/>
      <c r="D30" s="30"/>
      <c r="E30" s="30"/>
      <c r="F30" s="30"/>
      <c r="G30" s="30"/>
      <c r="H30" s="30"/>
      <c r="I30" s="30"/>
      <c r="J30" s="34"/>
      <c r="K30" s="1"/>
      <c r="L30" s="5"/>
    </row>
    <row r="31">
      <c r="A31" s="1"/>
      <c r="B31" s="11" t="s">
        <v>121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59">
        <v>0</v>
      </c>
      <c r="K31" s="1"/>
      <c r="L31" s="5"/>
    </row>
    <row r="32">
      <c r="A32" s="1"/>
      <c r="B32" s="1" t="s">
        <v>452</v>
      </c>
      <c r="C32" s="25">
        <v>61.1</v>
      </c>
      <c r="D32" s="25">
        <v>66.1</v>
      </c>
      <c r="E32" s="25">
        <v>70.6</v>
      </c>
      <c r="F32" s="14">
        <f>G32-C32-D32-E32</f>
        <v>73.6</v>
      </c>
      <c r="G32" s="25">
        <v>271.4</v>
      </c>
      <c r="H32" s="25">
        <v>79.1</v>
      </c>
      <c r="I32" s="25">
        <v>83.4</v>
      </c>
      <c r="J32" s="33">
        <f>E32*(1+J39)</f>
        <v>88.1794</v>
      </c>
      <c r="K32" s="1"/>
      <c r="L32" s="5" t="s">
        <v>449</v>
      </c>
    </row>
    <row r="33">
      <c r="A33" s="1"/>
      <c r="B33" s="11" t="s">
        <v>133</v>
      </c>
      <c r="C33" s="30">
        <f>C32/C42</f>
        <v>0.03118301520873737</v>
      </c>
      <c r="D33" s="30">
        <f>D32/D42</f>
        <v>0.031774263327404705</v>
      </c>
      <c r="E33" s="30">
        <f>E32/E42</f>
        <v>0.0330942670979234</v>
      </c>
      <c r="F33" s="30">
        <f>F32/F42</f>
        <v>0.03630086313193588</v>
      </c>
      <c r="G33" s="30">
        <f>G32/G42</f>
        <v>0.03309554295469788</v>
      </c>
      <c r="H33" s="30">
        <f>H32/H42</f>
        <v>0.035926783848844075</v>
      </c>
      <c r="I33" s="30">
        <f>I32/I42</f>
        <v>0.034940718086220623</v>
      </c>
      <c r="J33" s="34">
        <f>J32/J42</f>
        <v>0.03568013570876984</v>
      </c>
      <c r="K33" s="1"/>
      <c r="L33" s="5" t="s">
        <v>450</v>
      </c>
    </row>
    <row r="34">
      <c r="A34" s="1"/>
      <c r="B34" s="1" t="s">
        <v>134</v>
      </c>
      <c r="C34" s="13"/>
      <c r="D34" s="13"/>
      <c r="E34" s="13"/>
      <c r="F34" s="13"/>
      <c r="G34" s="13"/>
      <c r="H34" s="13">
        <f>(H33-C33)*10000</f>
        <v>47.43768640106706</v>
      </c>
      <c r="I34" s="13">
        <f>(I33-D33)*10000</f>
        <v>31.664547588159188</v>
      </c>
      <c r="J34" s="31">
        <f>(J33-E33)*10000</f>
        <v>25.85868610846441</v>
      </c>
      <c r="K34" s="1"/>
      <c r="L34" s="5"/>
    </row>
    <row r="35">
      <c r="A35" s="1"/>
      <c r="B35" s="1" t="s">
        <v>135</v>
      </c>
      <c r="C35" s="13"/>
      <c r="D35" s="13">
        <f>(D33-C33)*10000</f>
        <v>5.912481186673355</v>
      </c>
      <c r="E35" s="13">
        <f>(E33-D33)*10000</f>
        <v>13.200037705186976</v>
      </c>
      <c r="F35" s="13">
        <f>(F33-E33)*10000</f>
        <v>32.065960340124796</v>
      </c>
      <c r="G35" s="13"/>
      <c r="H35" s="13">
        <f>(H33-F33)*10000</f>
        <v>-3.740792830918063</v>
      </c>
      <c r="I35" s="13">
        <f>(I33-H33)*10000</f>
        <v>-9.860657626234518</v>
      </c>
      <c r="J35" s="31">
        <f>(J33-I33)*10000</f>
        <v>7.394176225492196</v>
      </c>
      <c r="K35" s="1"/>
      <c r="L35" s="5"/>
    </row>
    <row r="36">
      <c r="A36" s="1"/>
      <c r="B36" s="11" t="s">
        <v>71</v>
      </c>
      <c r="C36" s="30"/>
      <c r="D36" s="30"/>
      <c r="E36" s="30"/>
      <c r="F36" s="30"/>
      <c r="G36" s="30"/>
      <c r="H36" s="30">
        <f>H32/C32-1</f>
        <v>0.29459901800327315</v>
      </c>
      <c r="I36" s="30">
        <f>I32/D32-1</f>
        <v>0.2617246596066567</v>
      </c>
      <c r="J36" s="34">
        <f>J32/E32-1</f>
        <v>0.2490000000000001</v>
      </c>
      <c r="K36" s="1"/>
      <c r="L36" s="5"/>
    </row>
    <row r="37">
      <c r="A37" s="1"/>
      <c r="B37" s="11" t="s">
        <v>72</v>
      </c>
      <c r="C37" s="30"/>
      <c r="D37" s="30">
        <f>D32/C32-1</f>
        <v>0.08183306055646478</v>
      </c>
      <c r="E37" s="30">
        <f>E32/D32-1</f>
        <v>0.0680786686838124</v>
      </c>
      <c r="F37" s="30">
        <f>F32/E32-1</f>
        <v>0.04249291784702547</v>
      </c>
      <c r="G37" s="30"/>
      <c r="H37" s="30">
        <f>H32/F32-1</f>
        <v>0.07472826086956519</v>
      </c>
      <c r="I37" s="30">
        <f>I32/H32-1</f>
        <v>0.05436156763590416</v>
      </c>
      <c r="J37" s="34">
        <f>J32/I32-1</f>
        <v>0.05730695443645084</v>
      </c>
      <c r="K37" s="1"/>
      <c r="L37" s="5"/>
    </row>
    <row r="38">
      <c r="A38" s="1"/>
      <c r="B38" s="1" t="s">
        <v>73</v>
      </c>
      <c r="C38" s="14"/>
      <c r="D38" s="14">
        <f>D32-C32</f>
        <v>4.999999999999993</v>
      </c>
      <c r="E38" s="14">
        <f>E32-D32</f>
        <v>4.5</v>
      </c>
      <c r="F38" s="14">
        <f>F32-E32</f>
        <v>3</v>
      </c>
      <c r="G38" s="14"/>
      <c r="H38" s="14">
        <f>H32-F32</f>
        <v>5.5</v>
      </c>
      <c r="I38" s="14">
        <f>I32-H32</f>
        <v>4.300000000000011</v>
      </c>
      <c r="J38" s="33">
        <f>J32-I32</f>
        <v>4.779399999999995</v>
      </c>
      <c r="K38" s="1"/>
      <c r="L38" s="5"/>
    </row>
    <row r="39">
      <c r="A39" s="1"/>
      <c r="B39" s="11" t="s">
        <v>451</v>
      </c>
      <c r="C39" s="30"/>
      <c r="D39" s="30"/>
      <c r="E39" s="30"/>
      <c r="F39" s="30"/>
      <c r="G39" s="30"/>
      <c r="H39" s="30"/>
      <c r="I39" s="30"/>
      <c r="J39" s="36">
        <f>Inputs!E126</f>
        <v>0.249</v>
      </c>
      <c r="K39" s="1"/>
      <c r="L39" s="5"/>
    </row>
    <row r="40">
      <c r="A40" s="1"/>
      <c r="B40" s="11" t="s">
        <v>141</v>
      </c>
      <c r="C40" s="30"/>
      <c r="D40" s="30"/>
      <c r="E40" s="30"/>
      <c r="F40" s="30"/>
      <c r="G40" s="30"/>
      <c r="H40" s="30"/>
      <c r="I40" s="30"/>
      <c r="J40" s="34"/>
      <c r="K40" s="1"/>
      <c r="L40" s="5"/>
    </row>
    <row r="41">
      <c r="A41" s="1"/>
      <c r="B41" s="11" t="s">
        <v>121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59">
        <v>0</v>
      </c>
      <c r="K41" s="1"/>
      <c r="L41" s="5"/>
    </row>
    <row r="42">
      <c r="A42" s="1"/>
      <c r="B42" s="9" t="s">
        <v>453</v>
      </c>
      <c r="C42" s="35">
        <f>C11+C22+C32</f>
        <v>1959.4</v>
      </c>
      <c r="D42" s="35">
        <f>D11+D22+D32</f>
        <v>2080.2999999999997</v>
      </c>
      <c r="E42" s="35">
        <f>E11+E22+E32</f>
        <v>2133.3</v>
      </c>
      <c r="F42" s="35">
        <f>F11+F22+F32</f>
        <v>2027.4999999999998</v>
      </c>
      <c r="G42" s="35">
        <f>G11+G22+G32</f>
        <v>8200.5</v>
      </c>
      <c r="H42" s="35">
        <f>H11+H22+H32</f>
        <v>2201.7</v>
      </c>
      <c r="I42" s="35">
        <f>I11+I22+I32</f>
        <v>2386.9</v>
      </c>
      <c r="J42" s="57">
        <f>'Revenue summary'!J12</f>
        <v>2471.38634</v>
      </c>
      <c r="K42" s="1"/>
      <c r="L42" s="5" t="s">
        <v>454</v>
      </c>
    </row>
    <row r="43">
      <c r="A43" s="1"/>
      <c r="B43" s="1" t="s">
        <v>455</v>
      </c>
      <c r="C43" s="7">
        <f>'Income Statement'!C11</f>
        <v>1959.4</v>
      </c>
      <c r="D43" s="7">
        <f>'Income Statement'!D11</f>
        <v>2080.3</v>
      </c>
      <c r="E43" s="7">
        <f>'Income Statement'!E11</f>
        <v>2133.3</v>
      </c>
      <c r="F43" s="7">
        <f>'Income Statement'!F11</f>
        <v>2027.4</v>
      </c>
      <c r="G43" s="7">
        <f>'Income Statement'!G11</f>
        <v>8200.400000000001</v>
      </c>
      <c r="H43" s="7">
        <f>'Income Statement'!H11</f>
        <v>2201.7</v>
      </c>
      <c r="I43" s="7">
        <f>'Income Statement'!I11</f>
        <v>2386.9</v>
      </c>
      <c r="J43" s="40">
        <f>'Income Statement'!J11</f>
        <v>2471.38634</v>
      </c>
      <c r="K43" s="1"/>
      <c r="L43" s="5"/>
    </row>
    <row r="44" ht="28.5">
      <c r="A44" s="1"/>
      <c r="B44" s="11" t="s">
        <v>456</v>
      </c>
      <c r="C44" s="18" t="b">
        <f>ABS(C42-C43)&lt;0.15</f>
        <v>1</v>
      </c>
      <c r="D44" s="18" t="b">
        <f>ABS(D42-D43)&lt;0.15</f>
        <v>1</v>
      </c>
      <c r="E44" s="18" t="b">
        <f>ABS(E42-E43)&lt;0.15</f>
        <v>1</v>
      </c>
      <c r="F44" s="18" t="b">
        <f>ABS(F42-F43)&lt;0.15</f>
        <v>1</v>
      </c>
      <c r="G44" s="18" t="b">
        <f>ABS(G42-G43)&lt;0.15</f>
        <v>1</v>
      </c>
      <c r="H44" s="18" t="b">
        <f>ABS(H42-H43)&lt;0.15</f>
        <v>1</v>
      </c>
      <c r="I44" s="18" t="b">
        <f>ABS(I42-I43)&lt;0.15</f>
        <v>1</v>
      </c>
      <c r="J44" s="55" t="b">
        <f>ABS(J42-J43)&lt;0.15</f>
        <v>1</v>
      </c>
      <c r="K44" s="1"/>
      <c r="L44" s="85" t="s">
        <v>457</v>
      </c>
    </row>
    <row r="45">
      <c r="A45" s="1"/>
      <c r="B45" s="1" t="s">
        <v>458</v>
      </c>
      <c r="C45" s="14">
        <f>C22+C32</f>
        <v>330</v>
      </c>
      <c r="D45" s="14">
        <f>D22+D32</f>
        <v>347.5</v>
      </c>
      <c r="E45" s="14">
        <f>E22+E32</f>
        <v>355.4</v>
      </c>
      <c r="F45" s="14">
        <f>F22+F32</f>
        <v>348.70000000000005</v>
      </c>
      <c r="G45" s="14">
        <f>G22+G32</f>
        <v>1381.6</v>
      </c>
      <c r="H45" s="14">
        <f>H22+H32</f>
        <v>385.4</v>
      </c>
      <c r="I45" s="14">
        <f>I22+I32</f>
        <v>417.1</v>
      </c>
      <c r="J45" s="33">
        <f>J22+J32</f>
        <v>428.37300000000005</v>
      </c>
      <c r="K45" s="1"/>
      <c r="L45" s="5"/>
    </row>
    <row r="46">
      <c r="A46" s="1"/>
      <c r="B46" s="11" t="s">
        <v>133</v>
      </c>
      <c r="C46" s="30">
        <f>C45/C42</f>
        <v>0.1684189037460447</v>
      </c>
      <c r="D46" s="30">
        <f>D45/D42</f>
        <v>0.1670432149209249</v>
      </c>
      <c r="E46" s="30">
        <f>E45/E42</f>
        <v>0.16659635306801665</v>
      </c>
      <c r="F46" s="30">
        <f>F45/F42</f>
        <v>0.1719852034525278</v>
      </c>
      <c r="G46" s="30">
        <f>G45/G42</f>
        <v>0.16847753185781353</v>
      </c>
      <c r="H46" s="30">
        <f>H45/H42</f>
        <v>0.1750465549348231</v>
      </c>
      <c r="I46" s="30">
        <f>I45/I42</f>
        <v>0.17474548577653023</v>
      </c>
      <c r="J46" s="34">
        <f>J45/J42</f>
        <v>0.17333307749851853</v>
      </c>
      <c r="K46" s="1"/>
      <c r="L46" s="5" t="s">
        <v>450</v>
      </c>
    </row>
    <row r="47">
      <c r="A47" s="1"/>
      <c r="B47" s="1" t="s">
        <v>134</v>
      </c>
      <c r="C47" s="13"/>
      <c r="D47" s="13"/>
      <c r="E47" s="13"/>
      <c r="F47" s="13"/>
      <c r="G47" s="13"/>
      <c r="H47" s="13">
        <f>(H46-C46)*10000</f>
        <v>66.27651188778394</v>
      </c>
      <c r="I47" s="13">
        <f>(I46-D46)*10000</f>
        <v>77.02270855605347</v>
      </c>
      <c r="J47" s="31">
        <f>(J46-E46)*10000</f>
        <v>67.36724430501883</v>
      </c>
      <c r="K47" s="1"/>
      <c r="L47" s="5"/>
    </row>
    <row r="48">
      <c r="A48" s="1"/>
      <c r="B48" s="1" t="s">
        <v>135</v>
      </c>
      <c r="C48" s="13"/>
      <c r="D48" s="13">
        <f>(D46-C46)*10000</f>
        <v>-13.756888251198196</v>
      </c>
      <c r="E48" s="13">
        <f>(E46-D46)*10000</f>
        <v>-4.468618529082368</v>
      </c>
      <c r="F48" s="13">
        <f>(F46-E46)*10000</f>
        <v>53.88850384511146</v>
      </c>
      <c r="G48" s="13"/>
      <c r="H48" s="13">
        <f>(H46-F46)*10000</f>
        <v>30.613514822953046</v>
      </c>
      <c r="I48" s="13">
        <f>(I46-H46)*10000</f>
        <v>-3.0106915829286596</v>
      </c>
      <c r="J48" s="31">
        <f>(J46-I46)*10000</f>
        <v>-14.124082780117009</v>
      </c>
      <c r="K48" s="1"/>
      <c r="L48" s="5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5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5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L4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459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460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"/>
    </row>
    <row r="10">
      <c r="A10" s="1"/>
      <c r="B10" s="9" t="s">
        <v>461</v>
      </c>
      <c r="C10" s="14"/>
      <c r="D10" s="14"/>
      <c r="E10" s="14"/>
      <c r="F10" s="14"/>
      <c r="G10" s="14"/>
      <c r="H10" s="14"/>
      <c r="I10" s="14"/>
      <c r="J10" s="33"/>
      <c r="K10" s="1"/>
      <c r="L10" s="5"/>
    </row>
    <row r="11" ht="28.5">
      <c r="A11" s="1"/>
      <c r="B11" s="1" t="s">
        <v>462</v>
      </c>
      <c r="C11" s="14"/>
      <c r="D11" s="14"/>
      <c r="E11" s="14"/>
      <c r="F11" s="14"/>
      <c r="G11" s="14"/>
      <c r="H11" s="14"/>
      <c r="I11" s="14"/>
      <c r="J11" s="44">
        <v>-0.1</v>
      </c>
      <c r="K11" s="1"/>
      <c r="L11" s="85" t="s">
        <v>463</v>
      </c>
    </row>
    <row r="12">
      <c r="A12" s="1"/>
      <c r="B12" s="1" t="s">
        <v>464</v>
      </c>
      <c r="C12" s="25">
        <v>1146.9</v>
      </c>
      <c r="D12" s="25">
        <v>1147.5</v>
      </c>
      <c r="E12" s="25">
        <v>1147.9</v>
      </c>
      <c r="F12" s="25">
        <v>1148</v>
      </c>
      <c r="G12" s="25">
        <v>1147.6</v>
      </c>
      <c r="H12" s="25">
        <v>1148.2</v>
      </c>
      <c r="I12" s="25">
        <v>1147.6</v>
      </c>
      <c r="J12" s="33">
        <f>I12+J11</f>
        <v>1147.5</v>
      </c>
      <c r="K12" s="1"/>
      <c r="L12" s="5" t="s">
        <v>465</v>
      </c>
    </row>
    <row r="13">
      <c r="A13" s="1"/>
      <c r="B13" s="1" t="s">
        <v>267</v>
      </c>
      <c r="C13" s="14"/>
      <c r="D13" s="14"/>
      <c r="E13" s="14"/>
      <c r="F13" s="14"/>
      <c r="G13" s="14"/>
      <c r="H13" s="14">
        <f>H12-C12</f>
        <v>1.2999999999999545</v>
      </c>
      <c r="I13" s="14">
        <f>I12-D12</f>
        <v>0.09999999999990905</v>
      </c>
      <c r="J13" s="33">
        <f>J12-E12</f>
        <v>-0.40000000000009095</v>
      </c>
      <c r="K13" s="1"/>
      <c r="L13" s="5"/>
    </row>
    <row r="14">
      <c r="A14" s="1"/>
      <c r="B14" s="1" t="s">
        <v>268</v>
      </c>
      <c r="C14" s="14"/>
      <c r="D14" s="14">
        <f>D12-C12</f>
        <v>0.599999999999909</v>
      </c>
      <c r="E14" s="14">
        <f>E12-D12</f>
        <v>0.40000000000009095</v>
      </c>
      <c r="F14" s="14">
        <f>F12-E12</f>
        <v>0.09999999999990905</v>
      </c>
      <c r="G14" s="14"/>
      <c r="H14" s="14">
        <f>H12-F12</f>
        <v>0.20000000000004547</v>
      </c>
      <c r="I14" s="14">
        <f>I12-H12</f>
        <v>-0.6000000000001364</v>
      </c>
      <c r="J14" s="33">
        <f>J12-I12</f>
        <v>-0.09999999999990905</v>
      </c>
      <c r="K14" s="1"/>
      <c r="L14" s="5"/>
    </row>
    <row r="15">
      <c r="A15" s="1"/>
      <c r="B15" s="1" t="s">
        <v>466</v>
      </c>
      <c r="C15" s="14">
        <f>C16-C12</f>
        <v>2.599999999999909</v>
      </c>
      <c r="D15" s="14">
        <f>D16-D12</f>
        <v>2.599999999999909</v>
      </c>
      <c r="E15" s="14">
        <f>E16-E12</f>
        <v>3.099999999999909</v>
      </c>
      <c r="F15" s="14">
        <f>F16-F12</f>
        <v>2.599999999999909</v>
      </c>
      <c r="G15" s="14">
        <f>G16-G12</f>
        <v>2.7000000000000455</v>
      </c>
      <c r="H15" s="14">
        <f>H16-H12</f>
        <v>2.7000000000000455</v>
      </c>
      <c r="I15" s="14">
        <f>I16-I12</f>
        <v>2.7000000000000455</v>
      </c>
      <c r="J15" s="33">
        <f>I15</f>
        <v>2.7000000000000455</v>
      </c>
      <c r="K15" s="1"/>
      <c r="L15" s="5" t="s">
        <v>467</v>
      </c>
    </row>
    <row r="16">
      <c r="A16" s="1"/>
      <c r="B16" s="9" t="s">
        <v>468</v>
      </c>
      <c r="C16" s="42">
        <v>1149.5</v>
      </c>
      <c r="D16" s="42">
        <v>1150.1</v>
      </c>
      <c r="E16" s="42">
        <v>1151</v>
      </c>
      <c r="F16" s="42">
        <v>1150.6</v>
      </c>
      <c r="G16" s="42">
        <v>1150.3</v>
      </c>
      <c r="H16" s="42">
        <v>1150.9</v>
      </c>
      <c r="I16" s="42">
        <v>1150.3</v>
      </c>
      <c r="J16" s="48">
        <f>J12+J15</f>
        <v>1150.2</v>
      </c>
      <c r="K16" s="1"/>
      <c r="L16" s="5" t="s">
        <v>203</v>
      </c>
    </row>
    <row r="17">
      <c r="A17" s="1"/>
      <c r="B17" s="11" t="s">
        <v>71</v>
      </c>
      <c r="C17" s="30"/>
      <c r="D17" s="30"/>
      <c r="E17" s="30"/>
      <c r="F17" s="30"/>
      <c r="G17" s="30"/>
      <c r="H17" s="30">
        <f>H16/C16-1</f>
        <v>0.0012179208351457138</v>
      </c>
      <c r="I17" s="30">
        <f>I16/D16-1</f>
        <v>0.00017389792191990772</v>
      </c>
      <c r="J17" s="34">
        <f>J16/E16-1</f>
        <v>-0.0006950477845351077</v>
      </c>
      <c r="K17" s="1"/>
      <c r="L17" s="5"/>
    </row>
    <row r="18">
      <c r="A18" s="1"/>
      <c r="B18" s="1" t="s">
        <v>268</v>
      </c>
      <c r="C18" s="14"/>
      <c r="D18" s="14">
        <f>D16-C16</f>
        <v>0.599999999999909</v>
      </c>
      <c r="E18" s="14">
        <f>E16-D16</f>
        <v>0.900000000000091</v>
      </c>
      <c r="F18" s="14">
        <f>F16-E16</f>
        <v>-0.40000000000009095</v>
      </c>
      <c r="G18" s="14"/>
      <c r="H18" s="14">
        <f>H16-F16</f>
        <v>0.3000000000001819</v>
      </c>
      <c r="I18" s="14">
        <f>I16-H16</f>
        <v>-0.6000000000001364</v>
      </c>
      <c r="J18" s="33">
        <f>J16-I16</f>
        <v>-0.09999999999990905</v>
      </c>
      <c r="K18" s="1"/>
      <c r="L18" s="5"/>
    </row>
    <row r="19">
      <c r="A19" s="1"/>
      <c r="B19" s="1"/>
      <c r="C19" s="1"/>
      <c r="D19" s="1"/>
      <c r="E19" s="1"/>
      <c r="F19" s="1"/>
      <c r="G19" s="1"/>
      <c r="H19" s="1"/>
      <c r="I19" s="1"/>
      <c r="J19" s="43"/>
      <c r="K19" s="1"/>
      <c r="L19" s="5"/>
    </row>
    <row r="20">
      <c r="A20" s="1"/>
      <c r="B20" s="9" t="s">
        <v>469</v>
      </c>
      <c r="C20" s="14"/>
      <c r="D20" s="14"/>
      <c r="E20" s="14"/>
      <c r="F20" s="14"/>
      <c r="G20" s="14"/>
      <c r="H20" s="14"/>
      <c r="I20" s="14"/>
      <c r="J20" s="33"/>
      <c r="K20" s="1"/>
      <c r="L20" s="5"/>
    </row>
    <row r="21" ht="54">
      <c r="A21" s="1"/>
      <c r="B21" s="1" t="s">
        <v>470</v>
      </c>
      <c r="C21" s="25">
        <v>1147.223914</v>
      </c>
      <c r="D21" s="25">
        <v>1147.617563</v>
      </c>
      <c r="E21" s="25">
        <v>1148.033521</v>
      </c>
      <c r="F21" s="25">
        <v>1148.057473</v>
      </c>
      <c r="G21" s="14">
        <f>F21</f>
        <v>1148.057473</v>
      </c>
      <c r="H21" s="25">
        <v>1148.000984</v>
      </c>
      <c r="I21" s="25">
        <v>1147.494415</v>
      </c>
      <c r="J21" s="33">
        <f>I21-J24</f>
        <v>1147.494415</v>
      </c>
      <c r="K21" s="1"/>
      <c r="L21" s="85" t="s">
        <v>471</v>
      </c>
    </row>
    <row r="22">
      <c r="A22" s="1"/>
      <c r="B22" s="1" t="s">
        <v>268</v>
      </c>
      <c r="C22" s="14"/>
      <c r="D22" s="14">
        <f>D21-C21</f>
        <v>0.39364900000009584</v>
      </c>
      <c r="E22" s="14">
        <f>E21-D21</f>
        <v>0.415958000000046</v>
      </c>
      <c r="F22" s="14">
        <f>F21-E21</f>
        <v>0.02395200000000841</v>
      </c>
      <c r="G22" s="14"/>
      <c r="H22" s="14">
        <f>H21-F21</f>
        <v>-0.05648900000005597</v>
      </c>
      <c r="I22" s="14">
        <f>I21-H21</f>
        <v>-0.5065690000001268</v>
      </c>
      <c r="J22" s="33">
        <f>J21-I21</f>
        <v>0</v>
      </c>
      <c r="K22" s="1"/>
      <c r="L22" s="5"/>
    </row>
    <row r="23">
      <c r="A23" s="1"/>
      <c r="B23" s="1" t="s">
        <v>472</v>
      </c>
      <c r="C23" s="7">
        <f>-'Cash Flow Statement'!C43</f>
        <v>0</v>
      </c>
      <c r="D23" s="7">
        <f>-'Cash Flow Statement'!D43</f>
        <v>0</v>
      </c>
      <c r="E23" s="7">
        <f>-'Cash Flow Statement'!E43</f>
        <v>0</v>
      </c>
      <c r="F23" s="7">
        <f>-'Cash Flow Statement'!F43</f>
        <v>0</v>
      </c>
      <c r="G23" s="7">
        <f>-'Cash Flow Statement'!G43</f>
        <v>0</v>
      </c>
      <c r="H23" s="7">
        <f>-'Cash Flow Statement'!H43</f>
        <v>20.3</v>
      </c>
      <c r="I23" s="7">
        <f>-'Cash Flow Statement'!I43</f>
        <v>30</v>
      </c>
      <c r="J23" s="40">
        <f>-'Cash Flow Statement'!J43</f>
        <v>0</v>
      </c>
      <c r="K23" s="1"/>
      <c r="L23" s="5"/>
    </row>
    <row r="24" ht="28.5">
      <c r="A24" s="1"/>
      <c r="B24" s="1" t="s">
        <v>473</v>
      </c>
      <c r="C24" s="73">
        <v>0</v>
      </c>
      <c r="D24" s="73">
        <v>0</v>
      </c>
      <c r="E24" s="73">
        <v>0</v>
      </c>
      <c r="F24" s="73">
        <v>0</v>
      </c>
      <c r="G24" s="76">
        <f>SUM(C24:F24)</f>
        <v>0</v>
      </c>
      <c r="H24" s="73">
        <v>0.425</v>
      </c>
      <c r="I24" s="73">
        <v>0.65</v>
      </c>
      <c r="J24" s="75">
        <v>0</v>
      </c>
      <c r="K24" s="1"/>
      <c r="L24" s="85" t="s">
        <v>474</v>
      </c>
    </row>
    <row r="25">
      <c r="A25" s="1"/>
      <c r="B25" s="1" t="s">
        <v>475</v>
      </c>
      <c r="C25" s="8"/>
      <c r="D25" s="8"/>
      <c r="E25" s="8"/>
      <c r="F25" s="8"/>
      <c r="G25" s="8"/>
      <c r="H25" s="8">
        <f>H23/H24</f>
        <v>47.76470588235294</v>
      </c>
      <c r="I25" s="8">
        <f>I23/I24</f>
        <v>46.15384615384615</v>
      </c>
      <c r="J25" s="50"/>
      <c r="K25" s="1"/>
      <c r="L25" s="5"/>
    </row>
    <row r="26">
      <c r="A26" s="1"/>
      <c r="B26" s="1" t="s">
        <v>476</v>
      </c>
      <c r="C26" s="7">
        <f>'Cash Flow Statement'!C42</f>
        <v>11.2</v>
      </c>
      <c r="D26" s="7">
        <f>'Cash Flow Statement'!D42</f>
        <v>6.1</v>
      </c>
      <c r="E26" s="7">
        <f>'Cash Flow Statement'!E42</f>
        <v>6.6</v>
      </c>
      <c r="F26" s="7">
        <f>'Cash Flow Statement'!F42</f>
        <v>0.4</v>
      </c>
      <c r="G26" s="7">
        <f>'Cash Flow Statement'!G42</f>
        <v>24.299999999999997</v>
      </c>
      <c r="H26" s="7">
        <f>'Cash Flow Statement'!H42</f>
        <v>7.6</v>
      </c>
      <c r="I26" s="7">
        <f>'Cash Flow Statement'!I42</f>
        <v>2.8</v>
      </c>
      <c r="J26" s="40">
        <f>'Cash Flow Statement'!J42</f>
        <v>5</v>
      </c>
      <c r="K26" s="1"/>
      <c r="L26" s="5"/>
    </row>
    <row r="27">
      <c r="A27" s="1"/>
      <c r="B27" s="1"/>
      <c r="C27" s="1"/>
      <c r="D27" s="1"/>
      <c r="E27" s="1"/>
      <c r="F27" s="1"/>
      <c r="G27" s="1"/>
      <c r="H27" s="1"/>
      <c r="I27" s="1"/>
      <c r="J27" s="43"/>
      <c r="K27" s="1"/>
      <c r="L27" s="5"/>
    </row>
    <row r="28">
      <c r="A28" s="1"/>
      <c r="B28" s="9" t="s">
        <v>477</v>
      </c>
      <c r="C28" s="14"/>
      <c r="D28" s="14"/>
      <c r="E28" s="14"/>
      <c r="F28" s="14"/>
      <c r="G28" s="14"/>
      <c r="H28" s="14"/>
      <c r="I28" s="14"/>
      <c r="J28" s="33"/>
      <c r="K28" s="1"/>
      <c r="L28" s="5"/>
    </row>
    <row r="29">
      <c r="A29" s="1"/>
      <c r="B29" s="1" t="s">
        <v>478</v>
      </c>
      <c r="C29" s="72">
        <v>0.215</v>
      </c>
      <c r="D29" s="72">
        <v>0.22</v>
      </c>
      <c r="E29" s="72">
        <v>0.22</v>
      </c>
      <c r="F29" s="72">
        <v>0.22</v>
      </c>
      <c r="G29" s="74">
        <f>SUM(C29:F29)</f>
        <v>0.875</v>
      </c>
      <c r="H29" s="72">
        <v>0.24</v>
      </c>
      <c r="I29" s="72">
        <v>0.24</v>
      </c>
      <c r="J29" s="77">
        <v>0.26</v>
      </c>
      <c r="K29" s="1"/>
      <c r="L29" s="5" t="s">
        <v>479</v>
      </c>
    </row>
    <row r="30">
      <c r="A30" s="1"/>
      <c r="B30" s="11" t="s">
        <v>71</v>
      </c>
      <c r="C30" s="30"/>
      <c r="D30" s="30"/>
      <c r="E30" s="30"/>
      <c r="F30" s="30"/>
      <c r="G30" s="30"/>
      <c r="H30" s="30">
        <f>H29/C29-1</f>
        <v>0.11627906976744184</v>
      </c>
      <c r="I30" s="30">
        <f>I29/D29-1</f>
        <v>0.09090909090909083</v>
      </c>
      <c r="J30" s="34">
        <f>J29/E29-1</f>
        <v>0.18181818181818188</v>
      </c>
      <c r="K30" s="1"/>
      <c r="L30" s="5"/>
    </row>
    <row r="31">
      <c r="A31" s="1"/>
      <c r="B31" s="1" t="s">
        <v>480</v>
      </c>
      <c r="C31" s="7">
        <f>-'Cash Flow Statement'!C44</f>
        <v>246.7</v>
      </c>
      <c r="D31" s="7">
        <f>-'Cash Flow Statement'!D44</f>
        <v>252.5</v>
      </c>
      <c r="E31" s="7">
        <f>-'Cash Flow Statement'!E44</f>
        <v>252.5</v>
      </c>
      <c r="F31" s="7">
        <f>-'Cash Flow Statement'!F44</f>
        <v>252.6</v>
      </c>
      <c r="G31" s="7">
        <f>-'Cash Flow Statement'!G44</f>
        <v>1004.3</v>
      </c>
      <c r="H31" s="7">
        <f>-'Cash Flow Statement'!H44</f>
        <v>275.6</v>
      </c>
      <c r="I31" s="7">
        <f>-'Cash Flow Statement'!I44</f>
        <v>275.4</v>
      </c>
      <c r="J31" s="40">
        <f>-'Cash Flow Statement'!J44</f>
        <v>298.34854789999997</v>
      </c>
      <c r="K31" s="1"/>
      <c r="L31" s="5"/>
    </row>
    <row r="32">
      <c r="A32" s="1"/>
      <c r="B32" s="11" t="s">
        <v>481</v>
      </c>
      <c r="C32" s="41">
        <f>C31/'Income Statement'!C45</f>
        <v>0.8259122865751588</v>
      </c>
      <c r="D32" s="41">
        <f>D31/'Income Statement'!D45</f>
        <v>0.7644565546472899</v>
      </c>
      <c r="E32" s="41">
        <f>E31/'Income Statement'!E45</f>
        <v>0.7526080476900144</v>
      </c>
      <c r="F32" s="41">
        <f>F31/'Income Statement'!F45</f>
        <v>0.8588915334920093</v>
      </c>
      <c r="G32" s="41">
        <f>G31/'Income Statement'!G45</f>
        <v>0.7979501032893681</v>
      </c>
      <c r="H32" s="41">
        <f>H31/'Income Statement'!H45</f>
        <v>0.8110653325485582</v>
      </c>
      <c r="I32" s="41">
        <f>I31/'Income Statement'!I45</f>
        <v>0.7194357366771156</v>
      </c>
      <c r="J32" s="36">
        <f>J31/'Income Statement'!J45</f>
        <v>0.7628389278208529</v>
      </c>
      <c r="K32" s="1"/>
      <c r="L32" s="5"/>
    </row>
    <row r="33">
      <c r="A33" s="1"/>
      <c r="B33" s="1" t="s">
        <v>134</v>
      </c>
      <c r="C33" s="13"/>
      <c r="D33" s="13"/>
      <c r="E33" s="13"/>
      <c r="F33" s="13"/>
      <c r="G33" s="13"/>
      <c r="H33" s="13">
        <f>(H32-C32)*10000</f>
        <v>-148.46954026600633</v>
      </c>
      <c r="I33" s="13">
        <f>(I32-D32)*10000</f>
        <v>-450.20817970174323</v>
      </c>
      <c r="J33" s="31">
        <f>(J32-E32)*10000</f>
        <v>102.30880130838504</v>
      </c>
      <c r="K33" s="1"/>
      <c r="L33" s="5"/>
    </row>
    <row r="34">
      <c r="A34" s="1"/>
      <c r="B34" s="1" t="s">
        <v>135</v>
      </c>
      <c r="C34" s="13"/>
      <c r="D34" s="13">
        <f>(D32-C32)*10000</f>
        <v>-614.5573192786891</v>
      </c>
      <c r="E34" s="13">
        <f>(E32-D32)*10000</f>
        <v>-118.48506957275463</v>
      </c>
      <c r="F34" s="13">
        <f>(F32-E32)*10000</f>
        <v>1062.8348580199488</v>
      </c>
      <c r="G34" s="13"/>
      <c r="H34" s="13">
        <f>(H32-F32)*10000</f>
        <v>-478.26200943451136</v>
      </c>
      <c r="I34" s="13">
        <f>(I32-H32)*10000</f>
        <v>-916.295958714426</v>
      </c>
      <c r="J34" s="31">
        <f>(J32-I32)*10000</f>
        <v>434.03191143737365</v>
      </c>
      <c r="K34" s="1"/>
      <c r="L34" s="5"/>
    </row>
    <row r="35">
      <c r="A35" s="1"/>
      <c r="B35" s="1"/>
      <c r="C35" s="1"/>
      <c r="D35" s="1"/>
      <c r="E35" s="1"/>
      <c r="F35" s="1"/>
      <c r="G35" s="1"/>
      <c r="H35" s="1"/>
      <c r="I35" s="1"/>
      <c r="J35" s="43"/>
      <c r="K35" s="1"/>
      <c r="L35" s="5"/>
    </row>
    <row r="36">
      <c r="A36" s="1"/>
      <c r="B36" s="9" t="s">
        <v>482</v>
      </c>
      <c r="C36" s="14"/>
      <c r="D36" s="14"/>
      <c r="E36" s="14"/>
      <c r="F36" s="14"/>
      <c r="G36" s="14"/>
      <c r="H36" s="14"/>
      <c r="I36" s="14"/>
      <c r="J36" s="33"/>
      <c r="K36" s="1"/>
      <c r="L36" s="5"/>
    </row>
    <row r="37">
      <c r="A37" s="1"/>
      <c r="B37" s="9" t="s">
        <v>483</v>
      </c>
      <c r="C37" s="35"/>
      <c r="D37" s="35"/>
      <c r="E37" s="35"/>
      <c r="F37" s="35"/>
      <c r="G37" s="35"/>
      <c r="H37" s="35"/>
      <c r="I37" s="35"/>
      <c r="J37" s="48">
        <f>J16</f>
        <v>1150.2</v>
      </c>
      <c r="K37" s="1"/>
      <c r="L37" s="5"/>
    </row>
    <row r="38">
      <c r="A38" s="1"/>
      <c r="B38" s="1" t="s">
        <v>484</v>
      </c>
      <c r="C38" s="8"/>
      <c r="D38" s="8"/>
      <c r="E38" s="8"/>
      <c r="F38" s="8"/>
      <c r="G38" s="8"/>
      <c r="H38" s="8"/>
      <c r="I38" s="8"/>
      <c r="J38" s="54">
        <f>Inputs!C94</f>
        <v>50.75</v>
      </c>
      <c r="K38" s="1"/>
      <c r="L38" s="5"/>
    </row>
    <row r="39">
      <c r="A39" s="1"/>
      <c r="B39" s="1" t="s">
        <v>485</v>
      </c>
      <c r="C39" s="14"/>
      <c r="D39" s="14"/>
      <c r="E39" s="14"/>
      <c r="F39" s="14"/>
      <c r="G39" s="14"/>
      <c r="H39" s="14"/>
      <c r="I39" s="14"/>
      <c r="J39" s="33">
        <f>J38*I21</f>
        <v>58235.341561249996</v>
      </c>
      <c r="K39" s="1"/>
      <c r="L39" s="5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5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5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L2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2" customWidth="1"/>
    <col min="12" max="12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486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487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70" t="s">
        <v>15</v>
      </c>
      <c r="C9" s="1"/>
      <c r="D9" s="1"/>
      <c r="E9" s="1"/>
      <c r="F9" s="1"/>
      <c r="G9" s="1"/>
      <c r="H9" s="1"/>
      <c r="I9" s="1"/>
      <c r="J9" s="1"/>
      <c r="K9" s="1"/>
      <c r="L9" s="5"/>
    </row>
    <row r="10" ht="22.5">
      <c r="A10" s="1"/>
      <c r="B10" s="2" t="s">
        <v>488</v>
      </c>
      <c r="C10" s="92" t="s">
        <v>489</v>
      </c>
      <c r="D10" s="92" t="s">
        <v>3</v>
      </c>
      <c r="E10" s="69" t="s">
        <v>490</v>
      </c>
      <c r="F10" s="69" t="s">
        <v>491</v>
      </c>
      <c r="G10" s="69" t="s">
        <v>492</v>
      </c>
      <c r="H10" s="69" t="s">
        <v>493</v>
      </c>
      <c r="I10" s="2" t="s">
        <v>494</v>
      </c>
      <c r="J10" s="2" t="s">
        <v>495</v>
      </c>
      <c r="K10" s="1"/>
      <c r="L10" s="5"/>
    </row>
    <row r="11">
      <c r="A11" s="1"/>
      <c r="B11" s="1" t="s">
        <v>496</v>
      </c>
      <c r="C11" s="90" t="s">
        <v>497</v>
      </c>
      <c r="D11" s="93" t="s">
        <v>498</v>
      </c>
      <c r="E11" s="25">
        <v>235</v>
      </c>
      <c r="F11" s="25">
        <v>255</v>
      </c>
      <c r="G11" s="14">
        <f>(E11+F11)/2</f>
        <v>245</v>
      </c>
      <c r="H11" s="7">
        <f>-'Cash Flow Statement'!G57</f>
        <v>230.60000000000002</v>
      </c>
      <c r="I11" s="1" t="str">
        <f>IF(H11&gt;F11,"Above",IF(H11&lt;E11,"Below","Within"))</f>
        <v>Below</v>
      </c>
      <c r="J11" s="1" t="s">
        <v>499</v>
      </c>
      <c r="K11" s="1"/>
      <c r="L11" s="5" t="s">
        <v>500</v>
      </c>
    </row>
    <row r="12">
      <c r="A12" s="1"/>
      <c r="B12" s="1" t="s">
        <v>501</v>
      </c>
      <c r="C12" s="90" t="s">
        <v>497</v>
      </c>
      <c r="D12" s="93" t="s">
        <v>498</v>
      </c>
      <c r="E12" s="37">
        <v>25000</v>
      </c>
      <c r="F12" s="37">
        <v>26000</v>
      </c>
      <c r="G12" s="13">
        <f>(E12+F12)/2</f>
        <v>25500</v>
      </c>
      <c r="H12" s="20">
        <f>'Revenue summary'!G363</f>
        <v>25892</v>
      </c>
      <c r="I12" s="1" t="str">
        <f>IF(H12&gt;F12,"Above",IF(H12&lt;E12,"Below","Within"))</f>
        <v>Within</v>
      </c>
      <c r="J12" s="1" t="s">
        <v>502</v>
      </c>
      <c r="K12" s="1"/>
      <c r="L12" s="5" t="s">
        <v>503</v>
      </c>
    </row>
    <row r="13">
      <c r="A13" s="1"/>
      <c r="B13" s="1" t="s">
        <v>504</v>
      </c>
      <c r="C13" s="90" t="s">
        <v>497</v>
      </c>
      <c r="D13" s="93" t="s">
        <v>505</v>
      </c>
      <c r="E13" s="39">
        <v>0.245</v>
      </c>
      <c r="F13" s="39">
        <v>0.245</v>
      </c>
      <c r="G13" s="23">
        <f>(E13+F13)/2</f>
        <v>0.245</v>
      </c>
      <c r="H13" s="38">
        <f>'Income Statement'!F42</f>
        <v>0.235309412376495</v>
      </c>
      <c r="I13" s="1" t="str">
        <f>IF(H13&gt;F13,"Above",IF(H13&lt;E13,"Below","Within"))</f>
        <v>Below</v>
      </c>
      <c r="J13" s="1" t="s">
        <v>506</v>
      </c>
      <c r="K13" s="1"/>
      <c r="L13" s="5" t="s">
        <v>507</v>
      </c>
    </row>
    <row r="14">
      <c r="A14" s="1"/>
      <c r="B14" s="1" t="s">
        <v>508</v>
      </c>
      <c r="C14" s="90" t="s">
        <v>509</v>
      </c>
      <c r="D14" s="93" t="s">
        <v>510</v>
      </c>
      <c r="E14" s="39">
        <v>0.245</v>
      </c>
      <c r="F14" s="39">
        <v>0.245</v>
      </c>
      <c r="G14" s="23">
        <f>(E14+F14)/2</f>
        <v>0.245</v>
      </c>
      <c r="H14" s="38">
        <f>'Income Statement'!H42</f>
        <v>0.24219446922390725</v>
      </c>
      <c r="I14" s="1" t="str">
        <f>IF(H14&gt;F14,"Above",IF(H14&lt;E14,"Below","Within"))</f>
        <v>Below</v>
      </c>
      <c r="J14" s="1" t="s">
        <v>506</v>
      </c>
      <c r="K14" s="1"/>
      <c r="L14" s="5" t="s">
        <v>511</v>
      </c>
    </row>
    <row r="15">
      <c r="A15" s="1"/>
      <c r="B15" s="1" t="s">
        <v>512</v>
      </c>
      <c r="C15" s="90" t="s">
        <v>513</v>
      </c>
      <c r="D15" s="93" t="s">
        <v>514</v>
      </c>
      <c r="E15" s="39">
        <v>0.246</v>
      </c>
      <c r="F15" s="39">
        <v>0.246</v>
      </c>
      <c r="G15" s="23">
        <f>(E15+F15)/2</f>
        <v>0.246</v>
      </c>
      <c r="H15" s="38">
        <f>'Income Statement'!I42</f>
        <v>0.23760207130053765</v>
      </c>
      <c r="I15" s="1" t="str">
        <f>IF(H15&gt;F15,"Above",IF(H15&lt;E15,"Below","Within"))</f>
        <v>Below</v>
      </c>
      <c r="J15" s="1" t="s">
        <v>506</v>
      </c>
      <c r="K15" s="1"/>
      <c r="L15" s="5" t="s">
        <v>515</v>
      </c>
    </row>
    <row r="16">
      <c r="A16" s="1"/>
      <c r="B16" s="1" t="s">
        <v>516</v>
      </c>
      <c r="C16" s="90" t="s">
        <v>517</v>
      </c>
      <c r="D16" s="93" t="s">
        <v>518</v>
      </c>
      <c r="E16" s="39">
        <v>0.246</v>
      </c>
      <c r="F16" s="39">
        <v>0.246</v>
      </c>
      <c r="G16" s="23">
        <f>(E16+F16)/2</f>
        <v>0.246</v>
      </c>
      <c r="H16" s="38">
        <f>'Income Statement'!J42</f>
        <v>0.242</v>
      </c>
      <c r="I16" s="1" t="str">
        <f>IF(H16&gt;F16,"Est. above",IF(H16&lt;E16,"Est. below","Est. within"))</f>
        <v>Est. below</v>
      </c>
      <c r="J16" s="1" t="s">
        <v>506</v>
      </c>
      <c r="K16" s="1"/>
      <c r="L16" s="5" t="s">
        <v>519</v>
      </c>
    </row>
    <row r="17" ht="28.5">
      <c r="A17" s="1"/>
      <c r="B17" s="1" t="s">
        <v>520</v>
      </c>
      <c r="C17" s="90" t="s">
        <v>517</v>
      </c>
      <c r="D17" s="93" t="s">
        <v>521</v>
      </c>
      <c r="E17" s="25">
        <v>310</v>
      </c>
      <c r="F17" s="25">
        <v>330</v>
      </c>
      <c r="G17" s="14">
        <f>(E17+F17)/2</f>
        <v>320</v>
      </c>
      <c r="H17" s="14"/>
      <c r="I17" s="1" t="s">
        <v>522</v>
      </c>
      <c r="J17" s="1" t="s">
        <v>499</v>
      </c>
      <c r="K17" s="1"/>
      <c r="L17" s="85" t="s">
        <v>523</v>
      </c>
    </row>
    <row r="18">
      <c r="A18" s="1"/>
      <c r="B18" s="1" t="s">
        <v>524</v>
      </c>
      <c r="C18" s="90" t="s">
        <v>509</v>
      </c>
      <c r="D18" s="93" t="s">
        <v>521</v>
      </c>
      <c r="E18" s="37">
        <v>28000</v>
      </c>
      <c r="F18" s="37">
        <v>30000</v>
      </c>
      <c r="G18" s="13">
        <f>(E18+F18)/2</f>
        <v>29000</v>
      </c>
      <c r="H18" s="13"/>
      <c r="I18" s="1" t="s">
        <v>522</v>
      </c>
      <c r="J18" s="1" t="s">
        <v>502</v>
      </c>
      <c r="K18" s="1"/>
      <c r="L18" s="5" t="s">
        <v>525</v>
      </c>
    </row>
    <row r="19">
      <c r="A19" s="1"/>
      <c r="B19" s="1" t="s">
        <v>526</v>
      </c>
      <c r="C19" s="90" t="s">
        <v>517</v>
      </c>
      <c r="D19" s="93" t="s">
        <v>521</v>
      </c>
      <c r="E19" s="37">
        <v>27000</v>
      </c>
      <c r="F19" s="37">
        <v>29000</v>
      </c>
      <c r="G19" s="13">
        <f>(E19+F19)/2</f>
        <v>28000</v>
      </c>
      <c r="H19" s="13"/>
      <c r="I19" s="1" t="s">
        <v>522</v>
      </c>
      <c r="J19" s="1" t="s">
        <v>502</v>
      </c>
      <c r="K19" s="1"/>
      <c r="L19" s="5" t="s">
        <v>527</v>
      </c>
    </row>
    <row r="20">
      <c r="A20" s="1"/>
      <c r="B20" s="1" t="s">
        <v>528</v>
      </c>
      <c r="C20" s="90" t="s">
        <v>517</v>
      </c>
      <c r="D20" s="93" t="s">
        <v>518</v>
      </c>
      <c r="E20" s="37">
        <v>-20</v>
      </c>
      <c r="F20" s="37">
        <v>-10</v>
      </c>
      <c r="G20" s="13">
        <f>(E20+F20)/2</f>
        <v>-15</v>
      </c>
      <c r="H20" s="13"/>
      <c r="I20" s="1" t="s">
        <v>529</v>
      </c>
      <c r="J20" s="1" t="s">
        <v>530</v>
      </c>
      <c r="K20" s="1"/>
      <c r="L20" s="5" t="s">
        <v>531</v>
      </c>
    </row>
    <row r="21">
      <c r="A21" s="1"/>
      <c r="B21" s="1" t="s">
        <v>532</v>
      </c>
      <c r="C21" s="90" t="s">
        <v>517</v>
      </c>
      <c r="D21" s="93" t="s">
        <v>518</v>
      </c>
      <c r="E21" s="38">
        <f>'Income Statement'!I18+E20/10000</f>
        <v>0.44359889396288077</v>
      </c>
      <c r="F21" s="38">
        <f>'Income Statement'!I18+F20/10000</f>
        <v>0.44459889396288077</v>
      </c>
      <c r="G21" s="23">
        <f>(E21+F21)/2</f>
        <v>0.44409889396288077</v>
      </c>
      <c r="H21" s="38">
        <f>'Income Statement'!J18</f>
        <v>0.44409889396288077</v>
      </c>
      <c r="I21" s="1" t="str">
        <f>IF(H21&gt;F21,"Est. above",IF(H21&lt;E21,"Est. below","Est. within"))</f>
        <v>Est. within</v>
      </c>
      <c r="J21" s="1" t="s">
        <v>506</v>
      </c>
      <c r="K21" s="1"/>
      <c r="L21" s="5" t="s">
        <v>533</v>
      </c>
    </row>
    <row r="22">
      <c r="A22" s="1"/>
      <c r="B22" s="1" t="s">
        <v>534</v>
      </c>
      <c r="C22" s="93" t="s">
        <v>535</v>
      </c>
      <c r="D22" s="93" t="s">
        <v>518</v>
      </c>
      <c r="E22" s="14"/>
      <c r="F22" s="14"/>
      <c r="G22" s="14"/>
      <c r="H22" s="14"/>
      <c r="I22" s="1" t="s">
        <v>536</v>
      </c>
      <c r="J22" s="1"/>
      <c r="K22" s="1"/>
      <c r="L22" s="5" t="s">
        <v>537</v>
      </c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5"/>
    </row>
    <row r="24">
      <c r="A24" s="1"/>
      <c r="B24" s="11" t="s">
        <v>538</v>
      </c>
      <c r="C24" s="11"/>
      <c r="D24" s="11"/>
      <c r="E24" s="11"/>
      <c r="F24" s="11"/>
      <c r="G24" s="11"/>
      <c r="H24" s="11"/>
      <c r="I24" s="11"/>
      <c r="J24" s="11"/>
      <c r="K24" s="1"/>
      <c r="L24" s="5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5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5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L4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7" width="12" customWidth="1"/>
    <col min="8" max="8" width="48" customWidth="1"/>
    <col min="9" max="10" width="12" customWidth="1"/>
    <col min="11" max="11" width="2" customWidth="1"/>
    <col min="12" max="12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539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540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70" t="s">
        <v>15</v>
      </c>
      <c r="C9" s="1"/>
      <c r="D9" s="1"/>
      <c r="E9" s="1"/>
      <c r="F9" s="1"/>
      <c r="G9" s="1"/>
      <c r="H9" s="1"/>
      <c r="I9" s="1"/>
      <c r="J9" s="1"/>
      <c r="K9" s="1"/>
      <c r="L9" s="5"/>
    </row>
    <row r="10" ht="22.5">
      <c r="A10" s="1"/>
      <c r="B10" s="2" t="s">
        <v>541</v>
      </c>
      <c r="C10" s="2" t="s">
        <v>542</v>
      </c>
      <c r="D10" s="2" t="s">
        <v>543</v>
      </c>
      <c r="E10" s="2" t="s">
        <v>544</v>
      </c>
      <c r="F10" s="2"/>
      <c r="G10" s="2"/>
      <c r="H10" s="2" t="s">
        <v>545</v>
      </c>
      <c r="I10" s="2"/>
      <c r="J10" s="2"/>
      <c r="K10" s="1"/>
      <c r="L10" s="89" t="s">
        <v>546</v>
      </c>
    </row>
    <row r="11" ht="28.5">
      <c r="A11" s="1"/>
      <c r="B11" s="78" t="s">
        <v>547</v>
      </c>
      <c r="C11" s="78" t="s">
        <v>517</v>
      </c>
      <c r="D11" s="78" t="s">
        <v>548</v>
      </c>
      <c r="E11" s="78" t="s">
        <v>549</v>
      </c>
      <c r="F11" s="78"/>
      <c r="G11" s="78"/>
      <c r="H11" s="79" t="s">
        <v>550</v>
      </c>
      <c r="I11" s="1"/>
      <c r="J11" s="1"/>
      <c r="K11" s="1"/>
      <c r="L11" s="87" t="s">
        <v>551</v>
      </c>
    </row>
    <row r="12" ht="28.5">
      <c r="A12" s="1"/>
      <c r="B12" s="78" t="s">
        <v>552</v>
      </c>
      <c r="C12" s="78" t="s">
        <v>553</v>
      </c>
      <c r="D12" s="78" t="s">
        <v>548</v>
      </c>
      <c r="E12" s="78" t="s">
        <v>554</v>
      </c>
      <c r="F12" s="78"/>
      <c r="G12" s="78"/>
      <c r="H12" s="79" t="s">
        <v>555</v>
      </c>
      <c r="I12" s="1"/>
      <c r="J12" s="1"/>
      <c r="K12" s="1"/>
      <c r="L12" s="87" t="s">
        <v>556</v>
      </c>
    </row>
    <row r="13" ht="28.5">
      <c r="A13" s="1"/>
      <c r="B13" s="78" t="s">
        <v>557</v>
      </c>
      <c r="C13" s="78" t="s">
        <v>497</v>
      </c>
      <c r="D13" s="78" t="s">
        <v>548</v>
      </c>
      <c r="E13" s="78" t="s">
        <v>549</v>
      </c>
      <c r="F13" s="78"/>
      <c r="G13" s="78"/>
      <c r="H13" s="79" t="s">
        <v>558</v>
      </c>
      <c r="I13" s="1"/>
      <c r="J13" s="1"/>
      <c r="K13" s="1"/>
      <c r="L13" s="87" t="s">
        <v>559</v>
      </c>
    </row>
    <row r="14" ht="28.5">
      <c r="A14" s="1"/>
      <c r="B14" s="78" t="s">
        <v>560</v>
      </c>
      <c r="C14" s="78" t="s">
        <v>509</v>
      </c>
      <c r="D14" s="78" t="s">
        <v>548</v>
      </c>
      <c r="E14" s="78" t="s">
        <v>549</v>
      </c>
      <c r="F14" s="78"/>
      <c r="G14" s="78"/>
      <c r="H14" s="79" t="s">
        <v>561</v>
      </c>
      <c r="I14" s="1"/>
      <c r="J14" s="1"/>
      <c r="K14" s="1"/>
      <c r="L14" s="87" t="s">
        <v>562</v>
      </c>
    </row>
    <row r="15" ht="28.5">
      <c r="A15" s="1"/>
      <c r="B15" s="78" t="s">
        <v>563</v>
      </c>
      <c r="C15" s="78" t="s">
        <v>513</v>
      </c>
      <c r="D15" s="78" t="s">
        <v>548</v>
      </c>
      <c r="E15" s="78" t="s">
        <v>549</v>
      </c>
      <c r="F15" s="78"/>
      <c r="G15" s="78"/>
      <c r="H15" s="79" t="s">
        <v>564</v>
      </c>
      <c r="I15" s="1"/>
      <c r="J15" s="1"/>
      <c r="K15" s="1"/>
      <c r="L15" s="87" t="s">
        <v>565</v>
      </c>
    </row>
    <row r="16" ht="15.75">
      <c r="A16" s="1"/>
      <c r="B16" s="78" t="s">
        <v>566</v>
      </c>
      <c r="C16" s="78" t="s">
        <v>567</v>
      </c>
      <c r="D16" s="78" t="s">
        <v>548</v>
      </c>
      <c r="E16" s="78" t="s">
        <v>568</v>
      </c>
      <c r="F16" s="78"/>
      <c r="G16" s="78"/>
      <c r="H16" s="79" t="s">
        <v>569</v>
      </c>
      <c r="I16" s="1"/>
      <c r="J16" s="1"/>
      <c r="K16" s="1"/>
      <c r="L16" s="80" t="s">
        <v>570</v>
      </c>
    </row>
    <row r="17" ht="15.75">
      <c r="A17" s="1"/>
      <c r="B17" s="78" t="s">
        <v>571</v>
      </c>
      <c r="C17" s="78" t="s">
        <v>572</v>
      </c>
      <c r="D17" s="78" t="s">
        <v>548</v>
      </c>
      <c r="E17" s="78" t="s">
        <v>573</v>
      </c>
      <c r="F17" s="78"/>
      <c r="G17" s="78"/>
      <c r="H17" s="79" t="s">
        <v>574</v>
      </c>
      <c r="I17" s="1"/>
      <c r="J17" s="1"/>
      <c r="K17" s="1"/>
      <c r="L17" s="80" t="s">
        <v>575</v>
      </c>
    </row>
    <row r="18" ht="28.5">
      <c r="A18" s="1"/>
      <c r="B18" s="78" t="s">
        <v>576</v>
      </c>
      <c r="C18" s="78" t="s">
        <v>577</v>
      </c>
      <c r="D18" s="78" t="s">
        <v>548</v>
      </c>
      <c r="E18" s="78" t="s">
        <v>578</v>
      </c>
      <c r="F18" s="78"/>
      <c r="G18" s="78"/>
      <c r="H18" s="79" t="s">
        <v>579</v>
      </c>
      <c r="I18" s="1"/>
      <c r="J18" s="1"/>
      <c r="K18" s="1"/>
      <c r="L18" s="87" t="s">
        <v>580</v>
      </c>
    </row>
    <row r="19" ht="54">
      <c r="A19" s="1"/>
      <c r="B19" s="78" t="s">
        <v>581</v>
      </c>
      <c r="C19" s="88" t="s">
        <v>582</v>
      </c>
      <c r="D19" s="78" t="s">
        <v>548</v>
      </c>
      <c r="E19" s="78" t="s">
        <v>583</v>
      </c>
      <c r="F19" s="78"/>
      <c r="G19" s="78"/>
      <c r="H19" s="79" t="s">
        <v>584</v>
      </c>
      <c r="I19" s="1"/>
      <c r="J19" s="1"/>
      <c r="K19" s="1"/>
      <c r="L19" s="87" t="s">
        <v>585</v>
      </c>
    </row>
    <row r="20" ht="28.5">
      <c r="A20" s="1"/>
      <c r="B20" s="78" t="s">
        <v>586</v>
      </c>
      <c r="C20" s="78" t="s">
        <v>587</v>
      </c>
      <c r="D20" s="78" t="s">
        <v>548</v>
      </c>
      <c r="E20" s="78" t="s">
        <v>588</v>
      </c>
      <c r="F20" s="78"/>
      <c r="G20" s="78"/>
      <c r="H20" s="79" t="s">
        <v>589</v>
      </c>
      <c r="I20" s="1"/>
      <c r="J20" s="1"/>
      <c r="K20" s="1"/>
      <c r="L20" s="87" t="s">
        <v>590</v>
      </c>
    </row>
    <row r="21" ht="28.5">
      <c r="A21" s="1"/>
      <c r="B21" s="78" t="s">
        <v>591</v>
      </c>
      <c r="C21" s="78" t="s">
        <v>567</v>
      </c>
      <c r="D21" s="78" t="s">
        <v>548</v>
      </c>
      <c r="E21" s="78" t="s">
        <v>592</v>
      </c>
      <c r="F21" s="78"/>
      <c r="G21" s="78"/>
      <c r="H21" s="79" t="s">
        <v>593</v>
      </c>
      <c r="I21" s="1"/>
      <c r="J21" s="1"/>
      <c r="K21" s="1"/>
      <c r="L21" s="87" t="s">
        <v>594</v>
      </c>
    </row>
    <row r="22" ht="28.5">
      <c r="A22" s="1"/>
      <c r="B22" s="78" t="s">
        <v>595</v>
      </c>
      <c r="C22" s="78" t="s">
        <v>596</v>
      </c>
      <c r="D22" s="78" t="s">
        <v>548</v>
      </c>
      <c r="E22" s="78" t="s">
        <v>549</v>
      </c>
      <c r="F22" s="78"/>
      <c r="G22" s="78"/>
      <c r="H22" s="79" t="s">
        <v>597</v>
      </c>
      <c r="I22" s="1"/>
      <c r="J22" s="1"/>
      <c r="K22" s="1"/>
      <c r="L22" s="87" t="s">
        <v>598</v>
      </c>
    </row>
    <row r="23" ht="28.5">
      <c r="A23" s="1"/>
      <c r="B23" s="78" t="s">
        <v>599</v>
      </c>
      <c r="C23" s="78" t="s">
        <v>600</v>
      </c>
      <c r="D23" s="78" t="s">
        <v>548</v>
      </c>
      <c r="E23" s="78" t="s">
        <v>549</v>
      </c>
      <c r="F23" s="78"/>
      <c r="G23" s="78"/>
      <c r="H23" s="79" t="s">
        <v>601</v>
      </c>
      <c r="I23" s="1"/>
      <c r="J23" s="1"/>
      <c r="K23" s="1"/>
      <c r="L23" s="87" t="s">
        <v>602</v>
      </c>
    </row>
    <row r="24" ht="54">
      <c r="A24" s="1"/>
      <c r="B24" s="78" t="s">
        <v>603</v>
      </c>
      <c r="C24" s="88" t="s">
        <v>604</v>
      </c>
      <c r="D24" s="78" t="s">
        <v>548</v>
      </c>
      <c r="E24" s="78" t="s">
        <v>605</v>
      </c>
      <c r="F24" s="78"/>
      <c r="G24" s="78"/>
      <c r="H24" s="79" t="s">
        <v>606</v>
      </c>
      <c r="I24" s="1"/>
      <c r="J24" s="1"/>
      <c r="K24" s="1"/>
      <c r="L24" s="80" t="s">
        <v>607</v>
      </c>
    </row>
    <row r="25" ht="28.5">
      <c r="A25" s="1"/>
      <c r="B25" s="78" t="s">
        <v>608</v>
      </c>
      <c r="C25" s="78" t="s">
        <v>609</v>
      </c>
      <c r="D25" s="78" t="s">
        <v>548</v>
      </c>
      <c r="E25" s="78" t="s">
        <v>610</v>
      </c>
      <c r="F25" s="78"/>
      <c r="G25" s="78"/>
      <c r="H25" s="79" t="s">
        <v>611</v>
      </c>
      <c r="I25" s="1"/>
      <c r="J25" s="1"/>
      <c r="K25" s="1"/>
      <c r="L25" s="87" t="s">
        <v>612</v>
      </c>
    </row>
    <row r="26" ht="28.5">
      <c r="A26" s="1"/>
      <c r="B26" s="78" t="s">
        <v>613</v>
      </c>
      <c r="C26" s="78" t="s">
        <v>614</v>
      </c>
      <c r="D26" s="78" t="s">
        <v>548</v>
      </c>
      <c r="E26" s="78" t="s">
        <v>610</v>
      </c>
      <c r="F26" s="78"/>
      <c r="G26" s="78"/>
      <c r="H26" s="79" t="s">
        <v>615</v>
      </c>
      <c r="I26" s="1"/>
      <c r="J26" s="1"/>
      <c r="K26" s="1"/>
      <c r="L26" s="87" t="s">
        <v>616</v>
      </c>
    </row>
    <row r="27" ht="28.5">
      <c r="A27" s="1"/>
      <c r="B27" s="78" t="s">
        <v>617</v>
      </c>
      <c r="C27" s="78" t="s">
        <v>618</v>
      </c>
      <c r="D27" s="78" t="s">
        <v>548</v>
      </c>
      <c r="E27" s="78" t="s">
        <v>610</v>
      </c>
      <c r="F27" s="78"/>
      <c r="G27" s="78"/>
      <c r="H27" s="79" t="s">
        <v>619</v>
      </c>
      <c r="I27" s="1"/>
      <c r="J27" s="1"/>
      <c r="K27" s="1"/>
      <c r="L27" s="87" t="s">
        <v>620</v>
      </c>
    </row>
    <row r="28" ht="28.5">
      <c r="A28" s="1"/>
      <c r="B28" s="78" t="s">
        <v>621</v>
      </c>
      <c r="C28" s="78" t="s">
        <v>622</v>
      </c>
      <c r="D28" s="78" t="s">
        <v>548</v>
      </c>
      <c r="E28" s="78" t="s">
        <v>610</v>
      </c>
      <c r="F28" s="78"/>
      <c r="G28" s="78"/>
      <c r="H28" s="79" t="s">
        <v>623</v>
      </c>
      <c r="I28" s="1"/>
      <c r="J28" s="1"/>
      <c r="K28" s="1"/>
      <c r="L28" s="80" t="s">
        <v>624</v>
      </c>
    </row>
    <row r="29" ht="15.75">
      <c r="A29" s="1"/>
      <c r="B29" s="78" t="s">
        <v>625</v>
      </c>
      <c r="C29" s="78" t="s">
        <v>622</v>
      </c>
      <c r="D29" s="78" t="s">
        <v>548</v>
      </c>
      <c r="E29" s="78" t="s">
        <v>610</v>
      </c>
      <c r="F29" s="78"/>
      <c r="G29" s="78"/>
      <c r="H29" s="79" t="s">
        <v>626</v>
      </c>
      <c r="I29" s="1"/>
      <c r="J29" s="1"/>
      <c r="K29" s="1"/>
      <c r="L29" s="80" t="s">
        <v>627</v>
      </c>
    </row>
    <row r="30" ht="28.5">
      <c r="A30" s="1"/>
      <c r="B30" s="78" t="s">
        <v>628</v>
      </c>
      <c r="C30" s="88" t="s">
        <v>629</v>
      </c>
      <c r="D30" s="78" t="s">
        <v>548</v>
      </c>
      <c r="E30" s="78" t="s">
        <v>630</v>
      </c>
      <c r="F30" s="78"/>
      <c r="G30" s="78"/>
      <c r="H30" s="79" t="s">
        <v>631</v>
      </c>
      <c r="I30" s="1"/>
      <c r="J30" s="1"/>
      <c r="K30" s="1"/>
      <c r="L30" s="87" t="s">
        <v>632</v>
      </c>
    </row>
    <row r="31" ht="41.25">
      <c r="A31" s="1"/>
      <c r="B31" s="78" t="s">
        <v>633</v>
      </c>
      <c r="C31" s="88" t="s">
        <v>634</v>
      </c>
      <c r="D31" s="78" t="s">
        <v>548</v>
      </c>
      <c r="E31" s="78" t="s">
        <v>635</v>
      </c>
      <c r="F31" s="78"/>
      <c r="G31" s="78"/>
      <c r="H31" s="79" t="s">
        <v>636</v>
      </c>
      <c r="I31" s="1"/>
      <c r="J31" s="1"/>
      <c r="K31" s="1"/>
      <c r="L31" s="80" t="s">
        <v>637</v>
      </c>
    </row>
    <row r="32" ht="41.25">
      <c r="A32" s="1"/>
      <c r="B32" s="78" t="s">
        <v>638</v>
      </c>
      <c r="C32" s="88" t="s">
        <v>639</v>
      </c>
      <c r="D32" s="78" t="s">
        <v>548</v>
      </c>
      <c r="E32" s="78" t="s">
        <v>640</v>
      </c>
      <c r="F32" s="78"/>
      <c r="G32" s="78"/>
      <c r="H32" s="79" t="s">
        <v>641</v>
      </c>
      <c r="I32" s="1"/>
      <c r="J32" s="1"/>
      <c r="K32" s="1"/>
      <c r="L32" s="80" t="s">
        <v>642</v>
      </c>
    </row>
    <row r="33" ht="15.75">
      <c r="A33" s="1"/>
      <c r="B33" s="78" t="s">
        <v>643</v>
      </c>
      <c r="C33" s="78" t="s">
        <v>61</v>
      </c>
      <c r="D33" s="78" t="s">
        <v>548</v>
      </c>
      <c r="E33" s="78" t="s">
        <v>644</v>
      </c>
      <c r="F33" s="78"/>
      <c r="G33" s="78"/>
      <c r="H33" s="79" t="s">
        <v>645</v>
      </c>
      <c r="I33" s="1"/>
      <c r="J33" s="1"/>
      <c r="K33" s="1"/>
      <c r="L33" s="80" t="s">
        <v>646</v>
      </c>
    </row>
    <row r="34" ht="28.5">
      <c r="A34" s="1"/>
      <c r="B34" s="78" t="s">
        <v>647</v>
      </c>
      <c r="C34" s="78" t="s">
        <v>63</v>
      </c>
      <c r="D34" s="78" t="s">
        <v>548</v>
      </c>
      <c r="E34" s="78" t="s">
        <v>648</v>
      </c>
      <c r="F34" s="78"/>
      <c r="G34" s="78"/>
      <c r="H34" s="79" t="s">
        <v>649</v>
      </c>
      <c r="I34" s="1"/>
      <c r="J34" s="1"/>
      <c r="K34" s="1"/>
      <c r="L34" s="87" t="s">
        <v>650</v>
      </c>
    </row>
    <row r="35" ht="28.5">
      <c r="A35" s="1"/>
      <c r="B35" s="78" t="s">
        <v>651</v>
      </c>
      <c r="C35" s="78" t="s">
        <v>652</v>
      </c>
      <c r="D35" s="78" t="s">
        <v>548</v>
      </c>
      <c r="E35" s="78" t="s">
        <v>653</v>
      </c>
      <c r="F35" s="78"/>
      <c r="G35" s="78"/>
      <c r="H35" s="79" t="s">
        <v>654</v>
      </c>
      <c r="I35" s="1"/>
      <c r="J35" s="1"/>
      <c r="K35" s="1"/>
      <c r="L35" s="87" t="s">
        <v>655</v>
      </c>
    </row>
    <row r="36" ht="28.5">
      <c r="A36" s="1"/>
      <c r="B36" s="78" t="s">
        <v>656</v>
      </c>
      <c r="C36" s="78" t="s">
        <v>657</v>
      </c>
      <c r="D36" s="78" t="s">
        <v>548</v>
      </c>
      <c r="E36" s="78" t="s">
        <v>658</v>
      </c>
      <c r="F36" s="78"/>
      <c r="G36" s="78"/>
      <c r="H36" s="79" t="s">
        <v>659</v>
      </c>
      <c r="I36" s="1"/>
      <c r="J36" s="1"/>
      <c r="K36" s="1"/>
      <c r="L36" s="87" t="s">
        <v>660</v>
      </c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5"/>
    </row>
    <row r="38">
      <c r="A38" s="1"/>
      <c r="B38" s="11" t="s">
        <v>661</v>
      </c>
      <c r="C38" s="11"/>
      <c r="D38" s="11"/>
      <c r="E38" s="11"/>
      <c r="F38" s="11"/>
      <c r="G38" s="11"/>
      <c r="H38" s="11"/>
      <c r="I38" s="11"/>
      <c r="J38" s="11"/>
      <c r="K38" s="1"/>
      <c r="L38" s="5"/>
    </row>
    <row r="39">
      <c r="A39" s="1"/>
      <c r="B39" s="11" t="s">
        <v>662</v>
      </c>
      <c r="C39" s="11"/>
      <c r="D39" s="11"/>
      <c r="E39" s="11"/>
      <c r="F39" s="11"/>
      <c r="G39" s="11"/>
      <c r="H39" s="11"/>
      <c r="I39" s="11"/>
      <c r="J39" s="11"/>
      <c r="K39" s="1"/>
      <c r="L39" s="5"/>
    </row>
    <row r="40">
      <c r="A40" s="1"/>
      <c r="B40" s="11" t="s">
        <v>663</v>
      </c>
      <c r="C40" s="11"/>
      <c r="D40" s="11"/>
      <c r="E40" s="11"/>
      <c r="F40" s="11"/>
      <c r="G40" s="11"/>
      <c r="H40" s="11"/>
      <c r="I40" s="11"/>
      <c r="J40" s="11"/>
      <c r="K40" s="1"/>
      <c r="L40" s="5"/>
    </row>
    <row r="41">
      <c r="A41" s="1"/>
      <c r="B41" s="11" t="s">
        <v>664</v>
      </c>
      <c r="C41" s="11"/>
      <c r="D41" s="11"/>
      <c r="E41" s="11"/>
      <c r="F41" s="11"/>
      <c r="G41" s="11"/>
      <c r="H41" s="11"/>
      <c r="I41" s="11"/>
      <c r="J41" s="11"/>
      <c r="K41" s="1"/>
      <c r="L41" s="5"/>
    </row>
    <row r="42">
      <c r="A42" s="1"/>
      <c r="B42" s="81" t="s">
        <v>665</v>
      </c>
      <c r="C42" s="1"/>
      <c r="D42" s="1"/>
      <c r="E42" s="1"/>
      <c r="F42" s="1"/>
      <c r="G42" s="1"/>
      <c r="H42" s="1"/>
      <c r="I42" s="1"/>
      <c r="J42" s="1"/>
      <c r="K42" s="1"/>
      <c r="L42" s="5"/>
    </row>
    <row r="43">
      <c r="A43" s="1"/>
      <c r="B43" s="81" t="s">
        <v>666</v>
      </c>
      <c r="C43" s="1"/>
      <c r="D43" s="1"/>
      <c r="E43" s="1"/>
      <c r="F43" s="1"/>
      <c r="G43" s="1"/>
      <c r="H43" s="1"/>
      <c r="I43" s="1"/>
      <c r="J43" s="1"/>
      <c r="K43" s="1"/>
      <c r="L43" s="5"/>
    </row>
    <row r="44">
      <c r="A44" s="1"/>
      <c r="B44" s="81" t="s">
        <v>667</v>
      </c>
      <c r="C44" s="1"/>
      <c r="D44" s="1"/>
      <c r="E44" s="1"/>
      <c r="F44" s="1"/>
      <c r="G44" s="1"/>
      <c r="H44" s="1"/>
      <c r="I44" s="1"/>
      <c r="J44" s="1"/>
      <c r="K44" s="1"/>
      <c r="L44" s="5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3" width="12" customWidth="1"/>
    <col min="4" max="9" width="25" customWidth="1"/>
    <col min="10" max="10" width="12" customWidth="1"/>
    <col min="11" max="11" width="2" customWidth="1"/>
    <col min="12" max="12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9" t="s">
        <v>668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1" t="s">
        <v>669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9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9"/>
      <c r="L6" s="19" t="s">
        <v>12</v>
      </c>
    </row>
    <row r="7">
      <c r="A7" s="1"/>
      <c r="B7" s="21" t="s">
        <v>13</v>
      </c>
      <c r="C7" s="4">
        <f>DATE(2025,3,31)</f>
        <v>45747</v>
      </c>
      <c r="D7" s="4">
        <f>DATE(2025,6,30)</f>
        <v>45838</v>
      </c>
      <c r="E7" s="4">
        <f>DATE(2025,9,30)</f>
        <v>45930</v>
      </c>
      <c r="F7" s="4">
        <f>DATE(2025,12,31)</f>
        <v>46022</v>
      </c>
      <c r="G7" s="4">
        <f>DATE(2025,12,31)</f>
        <v>46022</v>
      </c>
      <c r="H7" s="4">
        <f>DATE(2026,3,31)</f>
        <v>46112</v>
      </c>
      <c r="I7" s="4">
        <f>DATE(2026,6,30)</f>
        <v>46203</v>
      </c>
      <c r="J7" s="4">
        <f>DATE(2026,9,30)</f>
        <v>46295</v>
      </c>
      <c r="K7" s="21"/>
      <c r="L7" s="21"/>
    </row>
    <row r="8">
      <c r="A8" s="1"/>
      <c r="B8" s="24" t="s">
        <v>14</v>
      </c>
      <c r="C8" s="16">
        <f>C7-DATE(2024,12,31)</f>
        <v>90</v>
      </c>
      <c r="D8" s="16">
        <f>D7-C7</f>
        <v>91</v>
      </c>
      <c r="E8" s="16">
        <f>E7-D7</f>
        <v>92</v>
      </c>
      <c r="F8" s="16">
        <f>F7-E7</f>
        <v>92</v>
      </c>
      <c r="G8" s="16">
        <f>G7-DATE(2024,12,31)</f>
        <v>365</v>
      </c>
      <c r="H8" s="16">
        <f>H7-F7</f>
        <v>90</v>
      </c>
      <c r="I8" s="16">
        <f>I7-H7</f>
        <v>91</v>
      </c>
      <c r="J8" s="16">
        <f>J7-I7</f>
        <v>92</v>
      </c>
      <c r="K8" s="24"/>
      <c r="L8" s="24"/>
    </row>
    <row r="9">
      <c r="A9" s="1"/>
      <c r="B9" s="70" t="s">
        <v>15</v>
      </c>
      <c r="C9" s="1"/>
      <c r="D9" s="1"/>
      <c r="E9" s="1"/>
      <c r="F9" s="1"/>
      <c r="G9" s="1"/>
      <c r="H9" s="1"/>
      <c r="I9" s="1"/>
      <c r="J9" s="1"/>
      <c r="K9" s="1"/>
      <c r="L9" s="5"/>
    </row>
    <row r="10">
      <c r="A10" s="1"/>
      <c r="B10" s="9" t="s">
        <v>670</v>
      </c>
      <c r="C10" s="14"/>
      <c r="D10" s="14"/>
      <c r="E10" s="14"/>
      <c r="F10" s="14"/>
      <c r="G10" s="14"/>
      <c r="H10" s="14"/>
      <c r="I10" s="14"/>
      <c r="J10" s="14"/>
      <c r="K10" s="1"/>
      <c r="L10" s="5"/>
    </row>
    <row r="11" ht="28.5">
      <c r="A11" s="1"/>
      <c r="B11" s="2" t="s">
        <v>671</v>
      </c>
      <c r="C11" s="92" t="s">
        <v>672</v>
      </c>
      <c r="D11" s="69" t="s">
        <v>673</v>
      </c>
      <c r="E11" s="69" t="s">
        <v>674</v>
      </c>
      <c r="F11" s="69" t="s">
        <v>675</v>
      </c>
      <c r="G11" s="69" t="s">
        <v>676</v>
      </c>
      <c r="H11" s="69" t="s">
        <v>677</v>
      </c>
      <c r="I11" s="69" t="s">
        <v>678</v>
      </c>
      <c r="J11" s="69" t="s">
        <v>679</v>
      </c>
      <c r="K11" s="1"/>
      <c r="L11" s="85" t="s">
        <v>680</v>
      </c>
    </row>
    <row r="12">
      <c r="A12" s="1"/>
      <c r="B12" s="15" t="s">
        <v>681</v>
      </c>
      <c r="C12" s="90" t="s">
        <v>596</v>
      </c>
      <c r="D12" s="28">
        <v>0.26</v>
      </c>
      <c r="E12" s="28">
        <v>0.26</v>
      </c>
      <c r="F12" s="28">
        <v>0.26</v>
      </c>
      <c r="G12" s="28">
        <v>0.26</v>
      </c>
      <c r="H12" s="25">
        <v>1950.82</v>
      </c>
      <c r="I12" s="25">
        <v>1959.4</v>
      </c>
      <c r="J12" s="8">
        <f>E12-D12</f>
        <v>0</v>
      </c>
      <c r="K12" s="1"/>
      <c r="L12" s="5"/>
    </row>
    <row r="13">
      <c r="A13" s="1"/>
      <c r="B13" s="15" t="s">
        <v>682</v>
      </c>
      <c r="C13" s="90" t="s">
        <v>600</v>
      </c>
      <c r="D13" s="28">
        <v>0.27</v>
      </c>
      <c r="E13" s="28">
        <v>0.29</v>
      </c>
      <c r="F13" s="28">
        <v>0.27</v>
      </c>
      <c r="G13" s="28">
        <v>0.29</v>
      </c>
      <c r="H13" s="25">
        <v>2068.38</v>
      </c>
      <c r="I13" s="25">
        <v>2080.3</v>
      </c>
      <c r="J13" s="8">
        <f>E13-D13</f>
        <v>0.019999999999999962</v>
      </c>
      <c r="K13" s="1"/>
      <c r="L13" s="5"/>
    </row>
    <row r="14">
      <c r="A14" s="1"/>
      <c r="B14" s="15" t="s">
        <v>683</v>
      </c>
      <c r="C14" s="90" t="s">
        <v>497</v>
      </c>
      <c r="D14" s="28">
        <v>0.3</v>
      </c>
      <c r="E14" s="28">
        <v>0.29</v>
      </c>
      <c r="F14" s="28">
        <v>0.3</v>
      </c>
      <c r="G14" s="28">
        <v>0.29</v>
      </c>
      <c r="H14" s="25">
        <v>2131.48</v>
      </c>
      <c r="I14" s="25">
        <v>2133.3</v>
      </c>
      <c r="J14" s="8">
        <f>E14-D14</f>
        <v>-0.010000000000000009</v>
      </c>
      <c r="K14" s="1"/>
      <c r="L14" s="5"/>
    </row>
    <row r="15">
      <c r="A15" s="1"/>
      <c r="B15" s="15" t="s">
        <v>684</v>
      </c>
      <c r="C15" s="90" t="s">
        <v>509</v>
      </c>
      <c r="D15" s="28">
        <v>0.26</v>
      </c>
      <c r="E15" s="28">
        <v>0.26</v>
      </c>
      <c r="F15" s="28">
        <v>0.26</v>
      </c>
      <c r="G15" s="28">
        <v>0.26</v>
      </c>
      <c r="H15" s="25">
        <v>2041.76</v>
      </c>
      <c r="I15" s="25">
        <v>2027.4</v>
      </c>
      <c r="J15" s="8">
        <f>E15-D15</f>
        <v>0</v>
      </c>
      <c r="K15" s="1"/>
      <c r="L15" s="5"/>
    </row>
    <row r="16">
      <c r="A16" s="1"/>
      <c r="B16" s="15" t="s">
        <v>685</v>
      </c>
      <c r="C16" s="90" t="s">
        <v>513</v>
      </c>
      <c r="D16" s="28">
        <v>0.3</v>
      </c>
      <c r="E16" s="28">
        <v>0.3</v>
      </c>
      <c r="F16" s="28">
        <v>0.3</v>
      </c>
      <c r="G16" s="28">
        <v>0.3</v>
      </c>
      <c r="H16" s="25">
        <v>2196.47</v>
      </c>
      <c r="I16" s="25">
        <v>2201.7</v>
      </c>
      <c r="J16" s="8">
        <f>E16-D16</f>
        <v>0</v>
      </c>
      <c r="K16" s="1"/>
      <c r="L16" s="5"/>
    </row>
    <row r="17">
      <c r="A17" s="1"/>
      <c r="B17" s="15" t="s">
        <v>686</v>
      </c>
      <c r="C17" s="90" t="s">
        <v>517</v>
      </c>
      <c r="D17" s="28">
        <v>0.33</v>
      </c>
      <c r="E17" s="28">
        <v>0.33</v>
      </c>
      <c r="F17" s="28">
        <v>0.33</v>
      </c>
      <c r="G17" s="28">
        <v>0.33</v>
      </c>
      <c r="H17" s="25">
        <v>2338.43</v>
      </c>
      <c r="I17" s="25">
        <v>2386.9</v>
      </c>
      <c r="J17" s="8">
        <f>E17-D17</f>
        <v>0</v>
      </c>
      <c r="K17" s="1"/>
      <c r="L17" s="5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5"/>
    </row>
    <row r="19">
      <c r="A19" s="1"/>
      <c r="B19" s="9" t="s">
        <v>687</v>
      </c>
      <c r="C19" s="14"/>
      <c r="D19" s="14"/>
      <c r="E19" s="14"/>
      <c r="F19" s="14"/>
      <c r="G19" s="14"/>
      <c r="H19" s="14"/>
      <c r="I19" s="14"/>
      <c r="J19" s="14"/>
      <c r="K19" s="1"/>
      <c r="L19" s="5"/>
    </row>
    <row r="20" ht="22.5">
      <c r="A20" s="1"/>
      <c r="B20" s="2" t="s">
        <v>688</v>
      </c>
      <c r="C20" s="69" t="s">
        <v>689</v>
      </c>
      <c r="D20" s="69" t="s">
        <v>38</v>
      </c>
      <c r="E20" s="69" t="s">
        <v>690</v>
      </c>
      <c r="F20" s="69" t="s">
        <v>691</v>
      </c>
      <c r="G20" s="69" t="s">
        <v>692</v>
      </c>
      <c r="H20" s="2"/>
      <c r="I20" s="2"/>
      <c r="J20" s="2"/>
      <c r="K20" s="1"/>
      <c r="L20" s="5"/>
    </row>
    <row r="21">
      <c r="A21" s="1"/>
      <c r="B21" s="1" t="s">
        <v>4</v>
      </c>
      <c r="C21" s="8">
        <f>E12</f>
        <v>0.26</v>
      </c>
      <c r="D21" s="8">
        <f>D12</f>
        <v>0.26</v>
      </c>
      <c r="E21" s="8">
        <f>C21-D21</f>
        <v>0</v>
      </c>
      <c r="F21" s="82" t="b">
        <f>C21&gt;D21</f>
        <v>0</v>
      </c>
      <c r="G21" s="82" t="b">
        <f>C21&lt;D21</f>
        <v>0</v>
      </c>
      <c r="H21" s="1"/>
      <c r="I21" s="1"/>
      <c r="J21" s="1"/>
      <c r="K21" s="1"/>
      <c r="L21" s="5"/>
    </row>
    <row r="22">
      <c r="A22" s="1"/>
      <c r="B22" s="1" t="s">
        <v>5</v>
      </c>
      <c r="C22" s="8">
        <f>E13</f>
        <v>0.29</v>
      </c>
      <c r="D22" s="8">
        <f>D13</f>
        <v>0.27</v>
      </c>
      <c r="E22" s="8">
        <f>C22-D22</f>
        <v>0.019999999999999962</v>
      </c>
      <c r="F22" s="82" t="b">
        <f>C22&gt;D22</f>
        <v>1</v>
      </c>
      <c r="G22" s="82" t="b">
        <f>C22&lt;D22</f>
        <v>0</v>
      </c>
      <c r="H22" s="1"/>
      <c r="I22" s="1"/>
      <c r="J22" s="1"/>
      <c r="K22" s="1"/>
      <c r="L22" s="5"/>
    </row>
    <row r="23">
      <c r="A23" s="1"/>
      <c r="B23" s="1" t="s">
        <v>6</v>
      </c>
      <c r="C23" s="8">
        <f>E14</f>
        <v>0.29</v>
      </c>
      <c r="D23" s="8">
        <f>D14</f>
        <v>0.3</v>
      </c>
      <c r="E23" s="8">
        <f>C23-D23</f>
        <v>-0.010000000000000009</v>
      </c>
      <c r="F23" s="82" t="b">
        <f>C23&gt;D23</f>
        <v>0</v>
      </c>
      <c r="G23" s="82" t="b">
        <f>C23&lt;D23</f>
        <v>1</v>
      </c>
      <c r="H23" s="1"/>
      <c r="I23" s="1"/>
      <c r="J23" s="1"/>
      <c r="K23" s="1"/>
      <c r="L23" s="5"/>
    </row>
    <row r="24">
      <c r="A24" s="1"/>
      <c r="B24" s="1" t="s">
        <v>7</v>
      </c>
      <c r="C24" s="8">
        <f>E15</f>
        <v>0.26</v>
      </c>
      <c r="D24" s="8">
        <f>D15</f>
        <v>0.26</v>
      </c>
      <c r="E24" s="8">
        <f>C24-D24</f>
        <v>0</v>
      </c>
      <c r="F24" s="82" t="b">
        <f>C24&gt;D24</f>
        <v>0</v>
      </c>
      <c r="G24" s="82" t="b">
        <f>C24&lt;D24</f>
        <v>0</v>
      </c>
      <c r="H24" s="1"/>
      <c r="I24" s="1"/>
      <c r="J24" s="1"/>
      <c r="K24" s="1"/>
      <c r="L24" s="5"/>
    </row>
    <row r="25">
      <c r="A25" s="1"/>
      <c r="B25" s="1" t="s">
        <v>9</v>
      </c>
      <c r="C25" s="8">
        <f>E16</f>
        <v>0.3</v>
      </c>
      <c r="D25" s="8">
        <f>D16</f>
        <v>0.3</v>
      </c>
      <c r="E25" s="8">
        <f>C25-D25</f>
        <v>0</v>
      </c>
      <c r="F25" s="82" t="b">
        <f>C25&gt;D25</f>
        <v>0</v>
      </c>
      <c r="G25" s="82" t="b">
        <f>C25&lt;D25</f>
        <v>0</v>
      </c>
      <c r="H25" s="1"/>
      <c r="I25" s="1"/>
      <c r="J25" s="1"/>
      <c r="K25" s="1"/>
      <c r="L25" s="5"/>
    </row>
    <row r="26">
      <c r="A26" s="1"/>
      <c r="B26" s="1" t="s">
        <v>10</v>
      </c>
      <c r="C26" s="8">
        <f>E17</f>
        <v>0.33</v>
      </c>
      <c r="D26" s="8">
        <f>D17</f>
        <v>0.33</v>
      </c>
      <c r="E26" s="8">
        <f>C26-D26</f>
        <v>0</v>
      </c>
      <c r="F26" s="82" t="b">
        <f>C26&gt;D26</f>
        <v>0</v>
      </c>
      <c r="G26" s="82" t="b">
        <f>C26&lt;D26</f>
        <v>0</v>
      </c>
      <c r="H26" s="1"/>
      <c r="I26" s="1"/>
      <c r="J26" s="1"/>
      <c r="K26" s="1"/>
      <c r="L26" s="5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5"/>
    </row>
    <row r="28">
      <c r="A28" s="1"/>
      <c r="B28" s="9" t="s">
        <v>693</v>
      </c>
      <c r="C28" s="14"/>
      <c r="D28" s="14"/>
      <c r="E28" s="14"/>
      <c r="F28" s="14"/>
      <c r="G28" s="14"/>
      <c r="H28" s="14"/>
      <c r="I28" s="14"/>
      <c r="J28" s="14"/>
      <c r="K28" s="1"/>
      <c r="L28" s="5"/>
    </row>
    <row r="29" ht="28.5">
      <c r="A29" s="1"/>
      <c r="B29" s="2" t="s">
        <v>694</v>
      </c>
      <c r="C29" s="2" t="s">
        <v>695</v>
      </c>
      <c r="D29" s="2"/>
      <c r="E29" s="2"/>
      <c r="F29" s="2"/>
      <c r="G29" s="2"/>
      <c r="H29" s="2"/>
      <c r="I29" s="2"/>
      <c r="J29" s="2"/>
      <c r="K29" s="1"/>
      <c r="L29" s="85" t="s">
        <v>696</v>
      </c>
    </row>
    <row r="30">
      <c r="A30" s="1"/>
      <c r="B30" s="1" t="s">
        <v>697</v>
      </c>
      <c r="C30" s="1" t="s">
        <v>19</v>
      </c>
      <c r="D30" s="1"/>
      <c r="E30" s="1"/>
      <c r="F30" s="1"/>
      <c r="G30" s="1"/>
      <c r="H30" s="1"/>
      <c r="I30" s="1"/>
      <c r="J30" s="1"/>
      <c r="K30" s="1"/>
      <c r="L30" s="5"/>
    </row>
    <row r="31">
      <c r="A31" s="1"/>
      <c r="B31" s="1" t="s">
        <v>698</v>
      </c>
      <c r="C31" s="1" t="s">
        <v>17</v>
      </c>
      <c r="D31" s="1"/>
      <c r="E31" s="1"/>
      <c r="F31" s="1"/>
      <c r="G31" s="1"/>
      <c r="H31" s="1"/>
      <c r="I31" s="1"/>
      <c r="J31" s="1"/>
      <c r="K31" s="1"/>
      <c r="L31" s="5"/>
    </row>
    <row r="32">
      <c r="A32" s="1"/>
      <c r="B32" s="1" t="s">
        <v>699</v>
      </c>
      <c r="C32" s="1" t="s">
        <v>700</v>
      </c>
      <c r="D32" s="1"/>
      <c r="E32" s="1"/>
      <c r="F32" s="1"/>
      <c r="G32" s="1"/>
      <c r="H32" s="1"/>
      <c r="I32" s="1"/>
      <c r="J32" s="1"/>
      <c r="K32" s="1"/>
      <c r="L32" s="5"/>
    </row>
    <row r="33">
      <c r="A33" s="1"/>
      <c r="B33" s="1" t="s">
        <v>701</v>
      </c>
      <c r="C33" s="61">
        <v>270747</v>
      </c>
      <c r="D33" s="1"/>
      <c r="E33" s="1"/>
      <c r="F33" s="1"/>
      <c r="G33" s="1"/>
      <c r="H33" s="1"/>
      <c r="I33" s="1"/>
      <c r="J33" s="1"/>
      <c r="K33" s="1"/>
      <c r="L33" s="5"/>
    </row>
    <row r="34">
      <c r="A34" s="1"/>
      <c r="B34" s="1" t="s">
        <v>702</v>
      </c>
      <c r="C34" s="1" t="s">
        <v>703</v>
      </c>
      <c r="D34" s="1"/>
      <c r="E34" s="1"/>
      <c r="F34" s="1"/>
      <c r="G34" s="1"/>
      <c r="H34" s="1"/>
      <c r="I34" s="1"/>
      <c r="J34" s="1"/>
      <c r="K34" s="1"/>
      <c r="L34" s="5"/>
    </row>
    <row r="35">
      <c r="A35" s="1"/>
      <c r="B35" s="1" t="s">
        <v>704</v>
      </c>
      <c r="C35" s="1"/>
      <c r="D35" s="1"/>
      <c r="E35" s="1"/>
      <c r="F35" s="1"/>
      <c r="G35" s="1"/>
      <c r="H35" s="1"/>
      <c r="I35" s="1"/>
      <c r="J35" s="1"/>
      <c r="K35" s="1"/>
      <c r="L35" s="5"/>
    </row>
    <row r="36">
      <c r="A36" s="1"/>
      <c r="B36" s="1" t="s">
        <v>705</v>
      </c>
      <c r="C36" s="1" t="s">
        <v>706</v>
      </c>
      <c r="D36" s="1"/>
      <c r="E36" s="1"/>
      <c r="F36" s="1"/>
      <c r="G36" s="1"/>
      <c r="H36" s="1"/>
      <c r="I36" s="1"/>
      <c r="J36" s="1"/>
      <c r="K36" s="1"/>
      <c r="L36" s="5"/>
    </row>
    <row r="37">
      <c r="A37" s="1"/>
      <c r="B37" s="1" t="s">
        <v>707</v>
      </c>
      <c r="C37" s="15" t="s">
        <v>708</v>
      </c>
      <c r="D37" s="1"/>
      <c r="E37" s="1"/>
      <c r="F37" s="1"/>
      <c r="G37" s="1"/>
      <c r="H37" s="1"/>
      <c r="I37" s="1"/>
      <c r="J37" s="1"/>
      <c r="K37" s="1"/>
      <c r="L37" s="5"/>
    </row>
    <row r="38">
      <c r="A38" s="1"/>
      <c r="B38" s="1" t="s">
        <v>709</v>
      </c>
      <c r="C38" s="15" t="s">
        <v>710</v>
      </c>
      <c r="D38" s="1"/>
      <c r="E38" s="1"/>
      <c r="F38" s="1"/>
      <c r="G38" s="1"/>
      <c r="H38" s="1"/>
      <c r="I38" s="1"/>
      <c r="J38" s="1"/>
      <c r="K38" s="1"/>
      <c r="L38" s="5"/>
    </row>
    <row r="39">
      <c r="A39" s="1"/>
      <c r="B39" s="1" t="s">
        <v>711</v>
      </c>
      <c r="C39" s="1" t="s">
        <v>712</v>
      </c>
      <c r="D39" s="1"/>
      <c r="E39" s="1"/>
      <c r="F39" s="1"/>
      <c r="G39" s="1"/>
      <c r="H39" s="1"/>
      <c r="I39" s="1"/>
      <c r="J39" s="1"/>
      <c r="K39" s="1"/>
      <c r="L39" s="5"/>
    </row>
    <row r="40">
      <c r="A40" s="1"/>
      <c r="B40" s="1" t="s">
        <v>713</v>
      </c>
      <c r="C40" s="61">
        <v>18</v>
      </c>
      <c r="D40" s="1"/>
      <c r="E40" s="1"/>
      <c r="F40" s="1"/>
      <c r="G40" s="1"/>
      <c r="H40" s="1"/>
      <c r="I40" s="1"/>
      <c r="J40" s="1"/>
      <c r="K40" s="1"/>
      <c r="L40" s="5"/>
    </row>
    <row r="41">
      <c r="A41" s="1"/>
      <c r="B41" s="1" t="s">
        <v>714</v>
      </c>
      <c r="C41" s="61">
        <v>0.34</v>
      </c>
      <c r="D41" s="1"/>
      <c r="E41" s="1"/>
      <c r="F41" s="1"/>
      <c r="G41" s="1"/>
      <c r="H41" s="1"/>
      <c r="I41" s="1"/>
      <c r="J41" s="1"/>
      <c r="K41" s="1"/>
      <c r="L41" s="5"/>
    </row>
    <row r="42">
      <c r="A42" s="1"/>
      <c r="B42" s="1" t="s">
        <v>715</v>
      </c>
      <c r="C42" s="61">
        <v>0.34</v>
      </c>
      <c r="D42" s="1"/>
      <c r="E42" s="1"/>
      <c r="F42" s="1"/>
      <c r="G42" s="1"/>
      <c r="H42" s="1"/>
      <c r="I42" s="1"/>
      <c r="J42" s="1"/>
      <c r="K42" s="1"/>
      <c r="L42" s="5"/>
    </row>
    <row r="43">
      <c r="A43" s="1"/>
      <c r="B43" s="1" t="s">
        <v>716</v>
      </c>
      <c r="C43" s="61">
        <v>0.35</v>
      </c>
      <c r="D43" s="1"/>
      <c r="E43" s="1"/>
      <c r="F43" s="1"/>
      <c r="G43" s="1"/>
      <c r="H43" s="1"/>
      <c r="I43" s="1"/>
      <c r="J43" s="1"/>
      <c r="K43" s="1"/>
      <c r="L43" s="5"/>
    </row>
    <row r="44">
      <c r="A44" s="1"/>
      <c r="B44" s="1" t="s">
        <v>717</v>
      </c>
      <c r="C44" s="61">
        <v>0.32</v>
      </c>
      <c r="D44" s="1"/>
      <c r="E44" s="1"/>
      <c r="F44" s="1"/>
      <c r="G44" s="1"/>
      <c r="H44" s="1"/>
      <c r="I44" s="1"/>
      <c r="J44" s="1"/>
      <c r="K44" s="1"/>
      <c r="L44" s="5"/>
    </row>
    <row r="45">
      <c r="A45" s="1"/>
      <c r="B45" s="1" t="s">
        <v>718</v>
      </c>
      <c r="C45" s="61">
        <v>0.01</v>
      </c>
      <c r="D45" s="1"/>
      <c r="E45" s="1"/>
      <c r="F45" s="1"/>
      <c r="G45" s="1"/>
      <c r="H45" s="1"/>
      <c r="I45" s="1"/>
      <c r="J45" s="1"/>
      <c r="K45" s="1"/>
      <c r="L45" s="5"/>
    </row>
    <row r="46">
      <c r="A46" s="1"/>
      <c r="B46" s="1" t="s">
        <v>719</v>
      </c>
      <c r="C46" s="61">
        <v>14</v>
      </c>
      <c r="D46" s="1"/>
      <c r="E46" s="1"/>
      <c r="F46" s="1"/>
      <c r="G46" s="1"/>
      <c r="H46" s="1"/>
      <c r="I46" s="1"/>
      <c r="J46" s="1"/>
      <c r="K46" s="1"/>
      <c r="L46" s="5"/>
    </row>
    <row r="47">
      <c r="A47" s="1"/>
      <c r="B47" s="1" t="s">
        <v>720</v>
      </c>
      <c r="C47" s="1"/>
      <c r="D47" s="1"/>
      <c r="E47" s="1"/>
      <c r="F47" s="1"/>
      <c r="G47" s="1"/>
      <c r="H47" s="1"/>
      <c r="I47" s="1"/>
      <c r="J47" s="1"/>
      <c r="K47" s="1"/>
      <c r="L47" s="5"/>
    </row>
    <row r="48">
      <c r="A48" s="1"/>
      <c r="B48" s="1" t="s">
        <v>721</v>
      </c>
      <c r="C48" s="1"/>
      <c r="D48" s="1"/>
      <c r="E48" s="1"/>
      <c r="F48" s="1"/>
      <c r="G48" s="1"/>
      <c r="H48" s="1"/>
      <c r="I48" s="1"/>
      <c r="J48" s="1"/>
      <c r="K48" s="1"/>
      <c r="L48" s="5"/>
    </row>
    <row r="49">
      <c r="A49" s="1"/>
      <c r="B49" s="1" t="s">
        <v>722</v>
      </c>
      <c r="C49" s="1"/>
      <c r="D49" s="1"/>
      <c r="E49" s="1"/>
      <c r="F49" s="1"/>
      <c r="G49" s="1"/>
      <c r="H49" s="1"/>
      <c r="I49" s="1"/>
      <c r="J49" s="1"/>
      <c r="K49" s="1"/>
      <c r="L49" s="5"/>
    </row>
    <row r="50">
      <c r="A50" s="1"/>
      <c r="B50" s="1" t="s">
        <v>723</v>
      </c>
      <c r="C50" s="61">
        <v>0.34</v>
      </c>
      <c r="D50" s="1"/>
      <c r="E50" s="1"/>
      <c r="F50" s="1"/>
      <c r="G50" s="1"/>
      <c r="H50" s="1"/>
      <c r="I50" s="1"/>
      <c r="J50" s="1"/>
      <c r="K50" s="1"/>
      <c r="L50" s="5"/>
    </row>
    <row r="51">
      <c r="A51" s="1"/>
      <c r="B51" s="1" t="s">
        <v>724</v>
      </c>
      <c r="C51" s="61">
        <v>0.34</v>
      </c>
      <c r="D51" s="1"/>
      <c r="E51" s="1"/>
      <c r="F51" s="1"/>
      <c r="G51" s="1"/>
      <c r="H51" s="1"/>
      <c r="I51" s="1"/>
      <c r="J51" s="1"/>
      <c r="K51" s="1"/>
      <c r="L51" s="5"/>
    </row>
    <row r="52">
      <c r="A52" s="1"/>
      <c r="B52" s="1" t="s">
        <v>725</v>
      </c>
      <c r="C52" s="61">
        <v>0.35</v>
      </c>
      <c r="D52" s="1"/>
      <c r="E52" s="1"/>
      <c r="F52" s="1"/>
      <c r="G52" s="1"/>
      <c r="H52" s="1"/>
      <c r="I52" s="1"/>
      <c r="J52" s="1"/>
      <c r="K52" s="1"/>
      <c r="L52" s="5"/>
    </row>
    <row r="53">
      <c r="A53" s="1"/>
      <c r="B53" s="1" t="s">
        <v>726</v>
      </c>
      <c r="C53" s="61">
        <v>0.32</v>
      </c>
      <c r="D53" s="1"/>
      <c r="E53" s="1"/>
      <c r="F53" s="1"/>
      <c r="G53" s="1"/>
      <c r="H53" s="1"/>
      <c r="I53" s="1"/>
      <c r="J53" s="1"/>
      <c r="K53" s="1"/>
      <c r="L53" s="5"/>
    </row>
    <row r="54">
      <c r="A54" s="1"/>
      <c r="B54" s="1" t="s">
        <v>727</v>
      </c>
      <c r="C54" s="61">
        <v>0.01</v>
      </c>
      <c r="D54" s="1"/>
      <c r="E54" s="1"/>
      <c r="F54" s="1"/>
      <c r="G54" s="1"/>
      <c r="H54" s="1"/>
      <c r="I54" s="1"/>
      <c r="J54" s="1"/>
      <c r="K54" s="1"/>
      <c r="L54" s="5"/>
    </row>
    <row r="55">
      <c r="A55" s="1"/>
      <c r="B55" s="1" t="s">
        <v>728</v>
      </c>
      <c r="C55" s="61">
        <v>11</v>
      </c>
      <c r="D55" s="1"/>
      <c r="E55" s="1"/>
      <c r="F55" s="1"/>
      <c r="G55" s="1"/>
      <c r="H55" s="1"/>
      <c r="I55" s="1"/>
      <c r="J55" s="1"/>
      <c r="K55" s="1"/>
      <c r="L55" s="5"/>
    </row>
    <row r="56">
      <c r="A56" s="1"/>
      <c r="B56" s="1" t="s">
        <v>729</v>
      </c>
      <c r="C56" s="1"/>
      <c r="D56" s="1"/>
      <c r="E56" s="1"/>
      <c r="F56" s="1"/>
      <c r="G56" s="1"/>
      <c r="H56" s="1"/>
      <c r="I56" s="1"/>
      <c r="J56" s="1"/>
      <c r="K56" s="1"/>
      <c r="L56" s="5"/>
    </row>
    <row r="57">
      <c r="A57" s="1"/>
      <c r="B57" s="1" t="s">
        <v>730</v>
      </c>
      <c r="C57" s="61">
        <v>2440.33</v>
      </c>
      <c r="D57" s="1"/>
      <c r="E57" s="1"/>
      <c r="F57" s="1"/>
      <c r="G57" s="1"/>
      <c r="H57" s="1"/>
      <c r="I57" s="1"/>
      <c r="J57" s="1"/>
      <c r="K57" s="1"/>
      <c r="L57" s="5"/>
    </row>
    <row r="58">
      <c r="A58" s="1"/>
      <c r="B58" s="1" t="s">
        <v>731</v>
      </c>
      <c r="C58" s="61">
        <v>2459.8</v>
      </c>
      <c r="D58" s="1"/>
      <c r="E58" s="1"/>
      <c r="F58" s="1"/>
      <c r="G58" s="1"/>
      <c r="H58" s="1"/>
      <c r="I58" s="1"/>
      <c r="J58" s="1"/>
      <c r="K58" s="1"/>
      <c r="L58" s="5"/>
    </row>
    <row r="59">
      <c r="A59" s="1"/>
      <c r="B59" s="1" t="s">
        <v>732</v>
      </c>
      <c r="C59" s="61">
        <v>2491</v>
      </c>
      <c r="D59" s="1"/>
      <c r="E59" s="1"/>
      <c r="F59" s="1"/>
      <c r="G59" s="1"/>
      <c r="H59" s="1"/>
      <c r="I59" s="1"/>
      <c r="J59" s="1"/>
      <c r="K59" s="1"/>
      <c r="L59" s="5"/>
    </row>
    <row r="60">
      <c r="A60" s="1"/>
      <c r="B60" s="1" t="s">
        <v>733</v>
      </c>
      <c r="C60" s="61">
        <v>2359.4</v>
      </c>
      <c r="D60" s="1"/>
      <c r="E60" s="1"/>
      <c r="F60" s="1"/>
      <c r="G60" s="1"/>
      <c r="H60" s="1"/>
      <c r="I60" s="1"/>
      <c r="J60" s="1"/>
      <c r="K60" s="1"/>
      <c r="L60" s="5"/>
    </row>
    <row r="61">
      <c r="A61" s="1"/>
      <c r="B61" s="1" t="s">
        <v>734</v>
      </c>
      <c r="C61" s="61">
        <v>46.98</v>
      </c>
      <c r="D61" s="1"/>
      <c r="E61" s="1"/>
      <c r="F61" s="1"/>
      <c r="G61" s="1"/>
      <c r="H61" s="1"/>
      <c r="I61" s="1"/>
      <c r="J61" s="1"/>
      <c r="K61" s="1"/>
      <c r="L61" s="5"/>
    </row>
    <row r="62">
      <c r="A62" s="1"/>
      <c r="B62" s="1" t="s">
        <v>735</v>
      </c>
      <c r="C62" s="61">
        <v>12</v>
      </c>
      <c r="D62" s="1"/>
      <c r="E62" s="1"/>
      <c r="F62" s="1"/>
      <c r="G62" s="1"/>
      <c r="H62" s="1"/>
      <c r="I62" s="1"/>
      <c r="J62" s="1"/>
      <c r="K62" s="1"/>
      <c r="L62" s="5"/>
    </row>
    <row r="63">
      <c r="A63" s="1"/>
      <c r="B63" s="1" t="s">
        <v>736</v>
      </c>
      <c r="C63" s="1"/>
      <c r="D63" s="1"/>
      <c r="E63" s="1"/>
      <c r="F63" s="1"/>
      <c r="G63" s="1"/>
      <c r="H63" s="1"/>
      <c r="I63" s="1"/>
      <c r="J63" s="1"/>
      <c r="K63" s="1"/>
      <c r="L63" s="5"/>
    </row>
    <row r="64">
      <c r="A64" s="1"/>
      <c r="B64" s="1" t="s">
        <v>737</v>
      </c>
      <c r="C64" s="1"/>
      <c r="D64" s="1"/>
      <c r="E64" s="1"/>
      <c r="F64" s="1"/>
      <c r="G64" s="1"/>
      <c r="H64" s="1"/>
      <c r="I64" s="1"/>
      <c r="J64" s="1"/>
      <c r="K64" s="1"/>
      <c r="L64" s="5"/>
    </row>
    <row r="65">
      <c r="A65" s="1"/>
      <c r="B65" s="1" t="s">
        <v>738</v>
      </c>
      <c r="C65" s="1"/>
      <c r="D65" s="1"/>
      <c r="E65" s="1"/>
      <c r="F65" s="1"/>
      <c r="G65" s="1"/>
      <c r="H65" s="1"/>
      <c r="I65" s="1"/>
      <c r="J65" s="1"/>
      <c r="K65" s="1"/>
      <c r="L65" s="5"/>
    </row>
    <row r="66">
      <c r="A66" s="1"/>
      <c r="B66" s="1" t="s">
        <v>739</v>
      </c>
      <c r="C66" s="61">
        <v>563.54</v>
      </c>
      <c r="D66" s="1"/>
      <c r="E66" s="1"/>
      <c r="F66" s="1"/>
      <c r="G66" s="1"/>
      <c r="H66" s="1"/>
      <c r="I66" s="1"/>
      <c r="J66" s="1"/>
      <c r="K66" s="1"/>
      <c r="L66" s="5"/>
    </row>
    <row r="67">
      <c r="A67" s="1"/>
      <c r="B67" s="1" t="s">
        <v>740</v>
      </c>
      <c r="C67" s="61">
        <v>511.61</v>
      </c>
      <c r="D67" s="1"/>
      <c r="E67" s="1"/>
      <c r="F67" s="1"/>
      <c r="G67" s="1"/>
      <c r="H67" s="1"/>
      <c r="I67" s="1"/>
      <c r="J67" s="1"/>
      <c r="K67" s="1"/>
      <c r="L67" s="5"/>
    </row>
    <row r="68">
      <c r="A68" s="1"/>
      <c r="B68" s="1" t="s">
        <v>741</v>
      </c>
      <c r="C68" s="61">
        <v>511.02</v>
      </c>
      <c r="D68" s="1"/>
      <c r="E68" s="1"/>
      <c r="F68" s="1"/>
      <c r="G68" s="1"/>
      <c r="H68" s="1"/>
      <c r="I68" s="1"/>
      <c r="J68" s="1"/>
      <c r="K68" s="1"/>
      <c r="L68" s="5"/>
    </row>
    <row r="69">
      <c r="A69" s="1"/>
      <c r="B69" s="1" t="s">
        <v>742</v>
      </c>
      <c r="C69" s="61">
        <v>509.92</v>
      </c>
      <c r="D69" s="1"/>
      <c r="E69" s="1"/>
      <c r="F69" s="1"/>
      <c r="G69" s="1"/>
      <c r="H69" s="1"/>
      <c r="I69" s="1"/>
      <c r="J69" s="1"/>
      <c r="K69" s="1"/>
      <c r="L69" s="5"/>
    </row>
    <row r="70">
      <c r="A70" s="1"/>
      <c r="B70" s="1" t="s">
        <v>743</v>
      </c>
      <c r="C70" s="61">
        <v>387.16</v>
      </c>
      <c r="D70" s="1"/>
      <c r="E70" s="1"/>
      <c r="F70" s="1"/>
      <c r="G70" s="1"/>
      <c r="H70" s="1"/>
      <c r="I70" s="1"/>
      <c r="J70" s="1"/>
      <c r="K70" s="1"/>
      <c r="L70" s="5"/>
    </row>
    <row r="71">
      <c r="A71" s="1"/>
      <c r="B71" s="1" t="s">
        <v>744</v>
      </c>
      <c r="C71" s="61">
        <v>386.17</v>
      </c>
      <c r="D71" s="1"/>
      <c r="E71" s="1"/>
      <c r="F71" s="1"/>
      <c r="G71" s="1"/>
      <c r="H71" s="1"/>
      <c r="I71" s="1"/>
      <c r="J71" s="1"/>
      <c r="K71" s="1"/>
      <c r="L71" s="5"/>
    </row>
    <row r="72">
      <c r="A72" s="1"/>
      <c r="B72" s="1" t="s">
        <v>745</v>
      </c>
      <c r="C72" s="1"/>
      <c r="D72" s="1"/>
      <c r="E72" s="1"/>
      <c r="F72" s="1"/>
      <c r="G72" s="1"/>
      <c r="H72" s="1"/>
      <c r="I72" s="1"/>
      <c r="J72" s="1"/>
      <c r="K72" s="1"/>
      <c r="L72" s="5"/>
    </row>
    <row r="73">
      <c r="A73" s="1"/>
      <c r="B73" s="1" t="s">
        <v>746</v>
      </c>
      <c r="C73" s="1"/>
      <c r="D73" s="1"/>
      <c r="E73" s="1"/>
      <c r="F73" s="1"/>
      <c r="G73" s="1"/>
      <c r="H73" s="1"/>
      <c r="I73" s="1"/>
      <c r="J73" s="1"/>
      <c r="K73" s="1"/>
      <c r="L73" s="5"/>
    </row>
    <row r="74">
      <c r="A74" s="1"/>
      <c r="B74" s="1" t="s">
        <v>747</v>
      </c>
      <c r="C74" s="61">
        <v>46.08</v>
      </c>
      <c r="D74" s="1"/>
      <c r="E74" s="1"/>
      <c r="F74" s="1"/>
      <c r="G74" s="1"/>
      <c r="H74" s="1"/>
      <c r="I74" s="1"/>
      <c r="J74" s="1"/>
      <c r="K74" s="1"/>
      <c r="L74" s="5"/>
    </row>
    <row r="75">
      <c r="A75" s="1"/>
      <c r="B75" s="1" t="s">
        <v>748</v>
      </c>
      <c r="C75" s="1"/>
      <c r="D75" s="1"/>
      <c r="E75" s="1"/>
      <c r="F75" s="1"/>
      <c r="G75" s="1"/>
      <c r="H75" s="1"/>
      <c r="I75" s="1"/>
      <c r="J75" s="1"/>
      <c r="K75" s="1"/>
      <c r="L75" s="5"/>
    </row>
    <row r="76">
      <c r="A76" s="1"/>
      <c r="B76" s="1" t="s">
        <v>749</v>
      </c>
      <c r="C76" s="1"/>
      <c r="D76" s="1"/>
      <c r="E76" s="1"/>
      <c r="F76" s="1"/>
      <c r="G76" s="1"/>
      <c r="H76" s="1"/>
      <c r="I76" s="1"/>
      <c r="J76" s="1"/>
      <c r="K76" s="1"/>
      <c r="L76" s="5"/>
    </row>
    <row r="77">
      <c r="A77" s="1"/>
      <c r="B77" s="1" t="s">
        <v>750</v>
      </c>
      <c r="C77" s="1"/>
      <c r="D77" s="1"/>
      <c r="E77" s="1"/>
      <c r="F77" s="1"/>
      <c r="G77" s="1"/>
      <c r="H77" s="1"/>
      <c r="I77" s="1"/>
      <c r="J77" s="1"/>
      <c r="K77" s="1"/>
      <c r="L77" s="5"/>
    </row>
    <row r="78">
      <c r="A78" s="1"/>
      <c r="B78" s="1" t="s">
        <v>751</v>
      </c>
      <c r="C78" s="1"/>
      <c r="D78" s="1"/>
      <c r="E78" s="1"/>
      <c r="F78" s="1"/>
      <c r="G78" s="1"/>
      <c r="H78" s="1"/>
      <c r="I78" s="1"/>
      <c r="J78" s="1"/>
      <c r="K78" s="1"/>
      <c r="L78" s="5"/>
    </row>
    <row r="79">
      <c r="A79" s="1"/>
      <c r="B79" s="1" t="s">
        <v>752</v>
      </c>
      <c r="C79" s="61">
        <v>-135</v>
      </c>
      <c r="D79" s="1"/>
      <c r="E79" s="1"/>
      <c r="F79" s="1"/>
      <c r="G79" s="1"/>
      <c r="H79" s="1"/>
      <c r="I79" s="1"/>
      <c r="J79" s="1"/>
      <c r="K79" s="1"/>
      <c r="L79" s="5"/>
    </row>
    <row r="80">
      <c r="A80" s="1"/>
      <c r="B80" s="1" t="s">
        <v>753</v>
      </c>
      <c r="C80" s="1"/>
      <c r="D80" s="1"/>
      <c r="E80" s="1"/>
      <c r="F80" s="1"/>
      <c r="G80" s="1"/>
      <c r="H80" s="1"/>
      <c r="I80" s="1"/>
      <c r="J80" s="1"/>
      <c r="K80" s="1"/>
      <c r="L80" s="5"/>
    </row>
    <row r="81">
      <c r="A81" s="1"/>
      <c r="B81" s="1" t="s">
        <v>754</v>
      </c>
      <c r="C81" s="1"/>
      <c r="D81" s="1"/>
      <c r="E81" s="1"/>
      <c r="F81" s="1"/>
      <c r="G81" s="1"/>
      <c r="H81" s="1"/>
      <c r="I81" s="1"/>
      <c r="J81" s="1"/>
      <c r="K81" s="1"/>
      <c r="L81" s="5"/>
    </row>
    <row r="82">
      <c r="A82" s="1"/>
      <c r="B82" s="1" t="s">
        <v>755</v>
      </c>
      <c r="C82" s="1"/>
      <c r="D82" s="1"/>
      <c r="E82" s="1"/>
      <c r="F82" s="1"/>
      <c r="G82" s="1"/>
      <c r="H82" s="1"/>
      <c r="I82" s="1"/>
      <c r="J82" s="1"/>
      <c r="K82" s="1"/>
      <c r="L82" s="5"/>
    </row>
    <row r="83">
      <c r="A83" s="1"/>
      <c r="B83" s="1" t="s">
        <v>756</v>
      </c>
      <c r="C83" s="1"/>
      <c r="D83" s="1"/>
      <c r="E83" s="1"/>
      <c r="F83" s="1"/>
      <c r="G83" s="1"/>
      <c r="H83" s="1"/>
      <c r="I83" s="1"/>
      <c r="J83" s="1"/>
      <c r="K83" s="1"/>
      <c r="L83" s="5"/>
    </row>
    <row r="84">
      <c r="A84" s="1"/>
      <c r="B84" s="1" t="s">
        <v>757</v>
      </c>
      <c r="C84" s="1"/>
      <c r="D84" s="1"/>
      <c r="E84" s="1"/>
      <c r="F84" s="1"/>
      <c r="G84" s="1"/>
      <c r="H84" s="1"/>
      <c r="I84" s="1"/>
      <c r="J84" s="1"/>
      <c r="K84" s="1"/>
      <c r="L84" s="5"/>
    </row>
    <row r="85">
      <c r="A85" s="1"/>
      <c r="B85" s="1" t="s">
        <v>758</v>
      </c>
      <c r="C85" s="1"/>
      <c r="D85" s="1"/>
      <c r="E85" s="1"/>
      <c r="F85" s="1"/>
      <c r="G85" s="1"/>
      <c r="H85" s="1"/>
      <c r="I85" s="1"/>
      <c r="J85" s="1"/>
      <c r="K85" s="1"/>
      <c r="L85" s="5"/>
    </row>
    <row r="86">
      <c r="A86" s="1"/>
      <c r="B86" s="1" t="s">
        <v>759</v>
      </c>
      <c r="C86" s="61">
        <v>48.84</v>
      </c>
      <c r="D86" s="1"/>
      <c r="E86" s="1"/>
      <c r="F86" s="1"/>
      <c r="G86" s="1"/>
      <c r="H86" s="1"/>
      <c r="I86" s="1"/>
      <c r="J86" s="1"/>
      <c r="K86" s="1"/>
      <c r="L86" s="5"/>
    </row>
    <row r="87">
      <c r="A87" s="1"/>
      <c r="B87" s="1" t="s">
        <v>760</v>
      </c>
      <c r="C87" s="61">
        <v>49</v>
      </c>
      <c r="D87" s="1"/>
      <c r="E87" s="1"/>
      <c r="F87" s="1"/>
      <c r="G87" s="1"/>
      <c r="H87" s="1"/>
      <c r="I87" s="1"/>
      <c r="J87" s="1"/>
      <c r="K87" s="1"/>
      <c r="L87" s="5"/>
    </row>
    <row r="88">
      <c r="A88" s="1"/>
      <c r="B88" s="1" t="s">
        <v>761</v>
      </c>
      <c r="C88" s="61">
        <v>59</v>
      </c>
      <c r="D88" s="1"/>
      <c r="E88" s="1"/>
      <c r="F88" s="1"/>
      <c r="G88" s="1"/>
      <c r="H88" s="1"/>
      <c r="I88" s="1"/>
      <c r="J88" s="1"/>
      <c r="K88" s="1"/>
      <c r="L88" s="5"/>
    </row>
    <row r="89">
      <c r="A89" s="1"/>
      <c r="B89" s="1" t="s">
        <v>762</v>
      </c>
      <c r="C89" s="61">
        <v>39.9</v>
      </c>
      <c r="D89" s="1"/>
      <c r="E89" s="1"/>
      <c r="F89" s="1"/>
      <c r="G89" s="1"/>
      <c r="H89" s="1"/>
      <c r="I89" s="1"/>
      <c r="J89" s="1"/>
      <c r="K89" s="1"/>
      <c r="L89" s="5"/>
    </row>
    <row r="90">
      <c r="A90" s="1"/>
      <c r="B90" s="1" t="s">
        <v>763</v>
      </c>
      <c r="C90" s="61">
        <v>5.52</v>
      </c>
      <c r="D90" s="1"/>
      <c r="E90" s="1"/>
      <c r="F90" s="1"/>
      <c r="G90" s="1"/>
      <c r="H90" s="1"/>
      <c r="I90" s="1"/>
      <c r="J90" s="1"/>
      <c r="K90" s="1"/>
      <c r="L90" s="5"/>
    </row>
    <row r="91">
      <c r="A91" s="1"/>
      <c r="B91" s="1" t="s">
        <v>764</v>
      </c>
      <c r="C91" s="61">
        <v>13</v>
      </c>
      <c r="D91" s="1"/>
      <c r="E91" s="1"/>
      <c r="F91" s="1"/>
      <c r="G91" s="1"/>
      <c r="H91" s="1"/>
      <c r="I91" s="1"/>
      <c r="J91" s="1"/>
      <c r="K91" s="1"/>
      <c r="L91" s="5"/>
    </row>
    <row r="92">
      <c r="A92" s="1"/>
      <c r="B92" s="1" t="s">
        <v>765</v>
      </c>
      <c r="C92" s="1" t="s">
        <v>766</v>
      </c>
      <c r="D92" s="1"/>
      <c r="E92" s="1"/>
      <c r="F92" s="1"/>
      <c r="G92" s="1"/>
      <c r="H92" s="1"/>
      <c r="I92" s="1"/>
      <c r="J92" s="1"/>
      <c r="K92" s="1"/>
      <c r="L92" s="5"/>
    </row>
    <row r="93">
      <c r="A93" s="1"/>
      <c r="B93" s="1" t="s">
        <v>767</v>
      </c>
      <c r="C93" s="61">
        <v>2.72</v>
      </c>
      <c r="D93" s="1"/>
      <c r="E93" s="1"/>
      <c r="F93" s="1"/>
      <c r="G93" s="1"/>
      <c r="H93" s="1"/>
      <c r="I93" s="1"/>
      <c r="J93" s="1"/>
      <c r="K93" s="1"/>
      <c r="L93" s="5"/>
    </row>
    <row r="94">
      <c r="A94" s="1"/>
      <c r="B94" s="1" t="s">
        <v>768</v>
      </c>
      <c r="C94" s="61">
        <v>50.75</v>
      </c>
      <c r="D94" s="1"/>
      <c r="E94" s="1"/>
      <c r="F94" s="1"/>
      <c r="G94" s="1"/>
      <c r="H94" s="1"/>
      <c r="I94" s="1"/>
      <c r="J94" s="1"/>
      <c r="K94" s="1"/>
      <c r="L94" s="5"/>
    </row>
    <row r="95">
      <c r="A95" s="1"/>
      <c r="B95" s="1" t="s">
        <v>769</v>
      </c>
      <c r="C95" s="1" t="s">
        <v>770</v>
      </c>
      <c r="D95" s="1"/>
      <c r="E95" s="1"/>
      <c r="F95" s="1"/>
      <c r="G95" s="1"/>
      <c r="H95" s="1"/>
      <c r="I95" s="1"/>
      <c r="J95" s="1"/>
      <c r="K95" s="1"/>
      <c r="L95" s="5"/>
    </row>
    <row r="96">
      <c r="A96" s="1"/>
      <c r="B96" s="1" t="s">
        <v>771</v>
      </c>
      <c r="C96" s="1" t="s">
        <v>27</v>
      </c>
      <c r="D96" s="1"/>
      <c r="E96" s="1"/>
      <c r="F96" s="1"/>
      <c r="G96" s="1"/>
      <c r="H96" s="1"/>
      <c r="I96" s="1"/>
      <c r="J96" s="1"/>
      <c r="K96" s="1"/>
      <c r="L96" s="5"/>
    </row>
    <row r="97">
      <c r="A97" s="1"/>
      <c r="B97" s="1" t="s">
        <v>772</v>
      </c>
      <c r="C97" s="1" t="s">
        <v>773</v>
      </c>
      <c r="D97" s="1"/>
      <c r="E97" s="1"/>
      <c r="F97" s="1"/>
      <c r="G97" s="1"/>
      <c r="H97" s="1"/>
      <c r="I97" s="1"/>
      <c r="J97" s="1"/>
      <c r="K97" s="1"/>
      <c r="L97" s="5"/>
    </row>
    <row r="98">
      <c r="A98" s="1"/>
      <c r="B98" s="1" t="s">
        <v>774</v>
      </c>
      <c r="C98" s="15" t="s">
        <v>567</v>
      </c>
      <c r="D98" s="1"/>
      <c r="E98" s="1"/>
      <c r="F98" s="1"/>
      <c r="G98" s="1"/>
      <c r="H98" s="1"/>
      <c r="I98" s="1"/>
      <c r="J98" s="1"/>
      <c r="K98" s="1"/>
      <c r="L98" s="5"/>
    </row>
    <row r="99">
      <c r="A99" s="1"/>
      <c r="B99" s="1" t="s">
        <v>775</v>
      </c>
      <c r="C99" s="1"/>
      <c r="D99" s="1"/>
      <c r="E99" s="1"/>
      <c r="F99" s="1"/>
      <c r="G99" s="1"/>
      <c r="H99" s="1"/>
      <c r="I99" s="1"/>
      <c r="J99" s="1"/>
      <c r="K99" s="1"/>
      <c r="L99" s="5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5"/>
    </row>
    <row r="101">
      <c r="A101" s="1"/>
      <c r="B101" s="9" t="s">
        <v>776</v>
      </c>
      <c r="C101" s="14"/>
      <c r="D101" s="14"/>
      <c r="E101" s="14"/>
      <c r="F101" s="14"/>
      <c r="G101" s="14"/>
      <c r="H101" s="14"/>
      <c r="I101" s="14"/>
      <c r="J101" s="14"/>
      <c r="K101" s="1"/>
      <c r="L101" s="5"/>
    </row>
    <row r="102">
      <c r="A102" s="1"/>
      <c r="B102" s="1" t="s">
        <v>777</v>
      </c>
      <c r="C102" s="1" t="s">
        <v>778</v>
      </c>
      <c r="D102" s="1"/>
      <c r="E102" s="1"/>
      <c r="F102" s="1"/>
      <c r="G102" s="1"/>
      <c r="H102" s="1"/>
      <c r="I102" s="1"/>
      <c r="J102" s="1"/>
      <c r="K102" s="1"/>
      <c r="L102" s="5"/>
    </row>
    <row r="103">
      <c r="A103" s="1"/>
      <c r="B103" s="1" t="s">
        <v>697</v>
      </c>
      <c r="C103" s="1" t="s">
        <v>19</v>
      </c>
      <c r="D103" s="1"/>
      <c r="E103" s="1"/>
      <c r="F103" s="1"/>
      <c r="G103" s="1"/>
      <c r="H103" s="1"/>
      <c r="I103" s="1"/>
      <c r="J103" s="1"/>
      <c r="K103" s="1"/>
      <c r="L103" s="5"/>
    </row>
    <row r="104">
      <c r="A104" s="1"/>
      <c r="B104" s="1" t="s">
        <v>779</v>
      </c>
      <c r="C104" s="1" t="s">
        <v>17</v>
      </c>
      <c r="D104" s="1"/>
      <c r="E104" s="1"/>
      <c r="F104" s="1"/>
      <c r="G104" s="1"/>
      <c r="H104" s="1"/>
      <c r="I104" s="1"/>
      <c r="J104" s="1"/>
      <c r="K104" s="1"/>
      <c r="L104" s="5"/>
    </row>
    <row r="105">
      <c r="A105" s="1"/>
      <c r="B105" s="1" t="s">
        <v>780</v>
      </c>
      <c r="C105" s="1" t="s">
        <v>706</v>
      </c>
      <c r="D105" s="1"/>
      <c r="E105" s="1"/>
      <c r="F105" s="1"/>
      <c r="G105" s="1"/>
      <c r="H105" s="1"/>
      <c r="I105" s="1"/>
      <c r="J105" s="1"/>
      <c r="K105" s="1"/>
      <c r="L105" s="5"/>
    </row>
    <row r="106">
      <c r="A106" s="1"/>
      <c r="B106" s="1" t="s">
        <v>671</v>
      </c>
      <c r="C106" s="15" t="s">
        <v>708</v>
      </c>
      <c r="D106" s="1"/>
      <c r="E106" s="1"/>
      <c r="F106" s="1"/>
      <c r="G106" s="1"/>
      <c r="H106" s="1"/>
      <c r="I106" s="1"/>
      <c r="J106" s="1"/>
      <c r="K106" s="1"/>
      <c r="L106" s="5"/>
    </row>
    <row r="107">
      <c r="A107" s="1"/>
      <c r="B107" s="1" t="s">
        <v>781</v>
      </c>
      <c r="C107" s="15" t="s">
        <v>567</v>
      </c>
      <c r="D107" s="1"/>
      <c r="E107" s="1"/>
      <c r="F107" s="1"/>
      <c r="G107" s="1"/>
      <c r="H107" s="1"/>
      <c r="I107" s="1"/>
      <c r="J107" s="1"/>
      <c r="K107" s="1"/>
      <c r="L107" s="5"/>
    </row>
    <row r="108">
      <c r="A108" s="1"/>
      <c r="B108" s="1" t="s">
        <v>782</v>
      </c>
      <c r="C108" s="61">
        <v>14</v>
      </c>
      <c r="D108" s="1"/>
      <c r="E108" s="1"/>
      <c r="F108" s="1"/>
      <c r="G108" s="1"/>
      <c r="H108" s="1"/>
      <c r="I108" s="1"/>
      <c r="J108" s="1"/>
      <c r="K108" s="1"/>
      <c r="L108" s="5"/>
    </row>
    <row r="109">
      <c r="A109" s="1"/>
      <c r="B109" s="1" t="s">
        <v>783</v>
      </c>
      <c r="C109" s="61">
        <v>0.34</v>
      </c>
      <c r="D109" s="1"/>
      <c r="E109" s="1"/>
      <c r="F109" s="1"/>
      <c r="G109" s="1"/>
      <c r="H109" s="1"/>
      <c r="I109" s="1"/>
      <c r="J109" s="1"/>
      <c r="K109" s="1"/>
      <c r="L109" s="5"/>
    </row>
    <row r="110">
      <c r="A110" s="1"/>
      <c r="B110" s="1" t="s">
        <v>784</v>
      </c>
      <c r="C110" s="1" t="s">
        <v>785</v>
      </c>
      <c r="D110" s="1"/>
      <c r="E110" s="1"/>
      <c r="F110" s="1"/>
      <c r="G110" s="1"/>
      <c r="H110" s="1"/>
      <c r="I110" s="1"/>
      <c r="J110" s="1"/>
      <c r="K110" s="1"/>
      <c r="L110" s="5"/>
    </row>
    <row r="111">
      <c r="A111" s="1"/>
      <c r="B111" s="1" t="s">
        <v>786</v>
      </c>
      <c r="C111" s="61">
        <v>2440.33</v>
      </c>
      <c r="D111" s="1"/>
      <c r="E111" s="1"/>
      <c r="F111" s="1"/>
      <c r="G111" s="1"/>
      <c r="H111" s="1"/>
      <c r="I111" s="1"/>
      <c r="J111" s="1"/>
      <c r="K111" s="1"/>
      <c r="L111" s="5"/>
    </row>
    <row r="112">
      <c r="A112" s="1"/>
      <c r="B112" s="1" t="s">
        <v>771</v>
      </c>
      <c r="C112" s="1" t="s">
        <v>27</v>
      </c>
      <c r="D112" s="1"/>
      <c r="E112" s="1"/>
      <c r="F112" s="1"/>
      <c r="G112" s="1"/>
      <c r="H112" s="1"/>
      <c r="I112" s="1"/>
      <c r="J112" s="1"/>
      <c r="K112" s="1"/>
      <c r="L112" s="5"/>
    </row>
    <row r="113">
      <c r="A113" s="1"/>
      <c r="B113" s="1" t="s">
        <v>787</v>
      </c>
      <c r="C113" s="1" t="s">
        <v>788</v>
      </c>
      <c r="D113" s="1"/>
      <c r="E113" s="1"/>
      <c r="F113" s="1"/>
      <c r="G113" s="1"/>
      <c r="H113" s="1"/>
      <c r="I113" s="1"/>
      <c r="J113" s="1"/>
      <c r="K113" s="1"/>
      <c r="L113" s="5"/>
    </row>
    <row r="114">
      <c r="A114" s="1"/>
      <c r="B114" s="1" t="s">
        <v>789</v>
      </c>
      <c r="C114" s="1" t="s">
        <v>790</v>
      </c>
      <c r="D114" s="1"/>
      <c r="E114" s="1"/>
      <c r="F114" s="1"/>
      <c r="G114" s="1"/>
      <c r="H114" s="1"/>
      <c r="I114" s="1"/>
      <c r="J114" s="1"/>
      <c r="K114" s="1"/>
      <c r="L114" s="5"/>
    </row>
    <row r="115">
      <c r="A115" s="1"/>
      <c r="B115" s="1" t="s">
        <v>791</v>
      </c>
      <c r="C115" s="1" t="s">
        <v>773</v>
      </c>
      <c r="D115" s="1"/>
      <c r="E115" s="1"/>
      <c r="F115" s="1"/>
      <c r="G115" s="1"/>
      <c r="H115" s="1"/>
      <c r="I115" s="1"/>
      <c r="J115" s="1"/>
      <c r="K115" s="1"/>
      <c r="L115" s="5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5"/>
    </row>
    <row r="117">
      <c r="A117" s="1"/>
      <c r="B117" s="9" t="s">
        <v>792</v>
      </c>
      <c r="C117" s="14"/>
      <c r="D117" s="14"/>
      <c r="E117" s="14"/>
      <c r="F117" s="14"/>
      <c r="G117" s="14"/>
      <c r="H117" s="14"/>
      <c r="I117" s="14"/>
      <c r="J117" s="14"/>
      <c r="K117" s="1"/>
      <c r="L117" s="5"/>
    </row>
    <row r="118" ht="22.5">
      <c r="A118" s="1"/>
      <c r="B118" s="2" t="s">
        <v>793</v>
      </c>
      <c r="C118" s="69" t="s">
        <v>794</v>
      </c>
      <c r="D118" s="69" t="s">
        <v>795</v>
      </c>
      <c r="E118" s="69" t="s">
        <v>796</v>
      </c>
      <c r="F118" s="2"/>
      <c r="G118" s="2"/>
      <c r="H118" s="2"/>
      <c r="I118" s="2"/>
      <c r="J118" s="2"/>
      <c r="K118" s="1"/>
      <c r="L118" s="5"/>
    </row>
    <row r="119">
      <c r="A119" s="1"/>
      <c r="B119" s="1" t="s">
        <v>797</v>
      </c>
      <c r="C119" s="25">
        <v>825.846</v>
      </c>
      <c r="D119" s="25">
        <v>812.06</v>
      </c>
      <c r="E119" s="14"/>
      <c r="F119" s="14"/>
      <c r="G119" s="14"/>
      <c r="H119" s="14"/>
      <c r="I119" s="14"/>
      <c r="J119" s="14"/>
      <c r="K119" s="1"/>
      <c r="L119" s="5" t="s">
        <v>798</v>
      </c>
    </row>
    <row r="120">
      <c r="A120" s="1"/>
      <c r="B120" s="1" t="s">
        <v>799</v>
      </c>
      <c r="C120" s="37">
        <v>22</v>
      </c>
      <c r="D120" s="37">
        <v>21</v>
      </c>
      <c r="E120" s="13"/>
      <c r="F120" s="13"/>
      <c r="G120" s="13"/>
      <c r="H120" s="13"/>
      <c r="I120" s="13"/>
      <c r="J120" s="13"/>
      <c r="K120" s="1"/>
      <c r="L120" s="5" t="s">
        <v>800</v>
      </c>
    </row>
    <row r="121">
      <c r="A121" s="1"/>
      <c r="B121" s="1" t="s">
        <v>801</v>
      </c>
      <c r="C121" s="25">
        <v>714.972</v>
      </c>
      <c r="D121" s="25">
        <v>696.7</v>
      </c>
      <c r="E121" s="14"/>
      <c r="F121" s="14"/>
      <c r="G121" s="14"/>
      <c r="H121" s="14"/>
      <c r="I121" s="14"/>
      <c r="J121" s="14"/>
      <c r="K121" s="1"/>
      <c r="L121" s="5" t="s">
        <v>802</v>
      </c>
    </row>
    <row r="122">
      <c r="A122" s="1"/>
      <c r="B122" s="11" t="s">
        <v>803</v>
      </c>
      <c r="C122" s="32">
        <v>0.155</v>
      </c>
      <c r="D122" s="32">
        <v>0.166</v>
      </c>
      <c r="E122" s="30">
        <f>AVERAGE(C122:D122)</f>
        <v>0.1605</v>
      </c>
      <c r="F122" s="30"/>
      <c r="G122" s="30"/>
      <c r="H122" s="30"/>
      <c r="I122" s="30"/>
      <c r="J122" s="30"/>
      <c r="K122" s="1"/>
      <c r="L122" s="5" t="s">
        <v>804</v>
      </c>
    </row>
    <row r="123" ht="28.5">
      <c r="A123" s="1"/>
      <c r="B123" s="11" t="s">
        <v>805</v>
      </c>
      <c r="C123" s="32">
        <v>-0.002</v>
      </c>
      <c r="D123" s="30"/>
      <c r="E123" s="30">
        <f>AVERAGE(C123:D123)</f>
        <v>-0.002</v>
      </c>
      <c r="F123" s="30"/>
      <c r="G123" s="30"/>
      <c r="H123" s="30"/>
      <c r="I123" s="30"/>
      <c r="J123" s="30"/>
      <c r="K123" s="1"/>
      <c r="L123" s="85" t="s">
        <v>806</v>
      </c>
    </row>
    <row r="124">
      <c r="A124" s="1"/>
      <c r="B124" s="11" t="s">
        <v>807</v>
      </c>
      <c r="C124" s="32">
        <v>0.148</v>
      </c>
      <c r="D124" s="32">
        <v>0.155</v>
      </c>
      <c r="E124" s="30">
        <f>AVERAGE(C124:D124)</f>
        <v>0.1515</v>
      </c>
      <c r="F124" s="30"/>
      <c r="G124" s="30"/>
      <c r="H124" s="30"/>
      <c r="I124" s="30"/>
      <c r="J124" s="30"/>
      <c r="K124" s="1"/>
      <c r="L124" s="5" t="s">
        <v>804</v>
      </c>
    </row>
    <row r="125">
      <c r="A125" s="1"/>
      <c r="B125" s="11" t="s">
        <v>808</v>
      </c>
      <c r="C125" s="32">
        <v>0.182</v>
      </c>
      <c r="D125" s="32">
        <v>0.207</v>
      </c>
      <c r="E125" s="30">
        <f>AVERAGE(C125:D125)</f>
        <v>0.1945</v>
      </c>
      <c r="F125" s="30"/>
      <c r="G125" s="30"/>
      <c r="H125" s="30"/>
      <c r="I125" s="30"/>
      <c r="J125" s="30"/>
      <c r="K125" s="1"/>
      <c r="L125" s="5" t="s">
        <v>804</v>
      </c>
    </row>
    <row r="126">
      <c r="A126" s="1"/>
      <c r="B126" s="11" t="s">
        <v>809</v>
      </c>
      <c r="C126" s="32">
        <v>0.214</v>
      </c>
      <c r="D126" s="32">
        <v>0.284</v>
      </c>
      <c r="E126" s="30">
        <f>AVERAGE(C126:D126)</f>
        <v>0.249</v>
      </c>
      <c r="F126" s="30"/>
      <c r="G126" s="30"/>
      <c r="H126" s="30"/>
      <c r="I126" s="30"/>
      <c r="J126" s="30"/>
      <c r="K126" s="1"/>
      <c r="L126" s="5" t="s">
        <v>804</v>
      </c>
    </row>
    <row r="127">
      <c r="A127" s="1"/>
      <c r="B127" s="11" t="s">
        <v>810</v>
      </c>
      <c r="C127" s="32">
        <v>0.826</v>
      </c>
      <c r="D127" s="32">
        <v>0.831</v>
      </c>
      <c r="E127" s="30">
        <f>AVERAGE(C127:D127)</f>
        <v>0.8285</v>
      </c>
      <c r="F127" s="30"/>
      <c r="G127" s="30"/>
      <c r="H127" s="30"/>
      <c r="I127" s="30"/>
      <c r="J127" s="30"/>
      <c r="K127" s="1"/>
      <c r="L127" s="5" t="s">
        <v>804</v>
      </c>
    </row>
    <row r="128">
      <c r="A128" s="1"/>
      <c r="B128" s="11" t="s">
        <v>811</v>
      </c>
      <c r="C128" s="32">
        <v>0.139</v>
      </c>
      <c r="D128" s="32">
        <v>0.136</v>
      </c>
      <c r="E128" s="30">
        <f>AVERAGE(C128:D128)</f>
        <v>0.1375</v>
      </c>
      <c r="F128" s="30"/>
      <c r="G128" s="30"/>
      <c r="H128" s="30"/>
      <c r="I128" s="30"/>
      <c r="J128" s="30"/>
      <c r="K128" s="1"/>
      <c r="L128" s="5" t="s">
        <v>804</v>
      </c>
    </row>
    <row r="129">
      <c r="A129" s="1"/>
      <c r="B129" s="11" t="s">
        <v>812</v>
      </c>
      <c r="C129" s="32">
        <v>0.035</v>
      </c>
      <c r="D129" s="32">
        <v>0.033</v>
      </c>
      <c r="E129" s="30">
        <f>AVERAGE(C129:D129)</f>
        <v>0.034</v>
      </c>
      <c r="F129" s="30"/>
      <c r="G129" s="30"/>
      <c r="H129" s="30"/>
      <c r="I129" s="30"/>
      <c r="J129" s="30"/>
      <c r="K129" s="1"/>
      <c r="L129" s="5" t="s">
        <v>804</v>
      </c>
    </row>
    <row r="130">
      <c r="A130" s="1"/>
      <c r="B130" s="11" t="s">
        <v>813</v>
      </c>
      <c r="C130" s="32">
        <v>0.187</v>
      </c>
      <c r="D130" s="32">
        <v>0.218</v>
      </c>
      <c r="E130" s="30">
        <f>AVERAGE(C130:D130)</f>
        <v>0.2025</v>
      </c>
      <c r="F130" s="30"/>
      <c r="G130" s="30"/>
      <c r="H130" s="30"/>
      <c r="I130" s="30"/>
      <c r="J130" s="30"/>
      <c r="K130" s="1"/>
      <c r="L130" s="5" t="s">
        <v>804</v>
      </c>
    </row>
    <row r="131">
      <c r="A131" s="1"/>
      <c r="B131" s="11" t="s">
        <v>814</v>
      </c>
      <c r="C131" s="32">
        <v>0.44</v>
      </c>
      <c r="D131" s="32">
        <v>0.449</v>
      </c>
      <c r="E131" s="30">
        <f>AVERAGE(C131:D131)</f>
        <v>0.4445</v>
      </c>
      <c r="F131" s="30"/>
      <c r="G131" s="30"/>
      <c r="H131" s="30"/>
      <c r="I131" s="30"/>
      <c r="J131" s="30"/>
      <c r="K131" s="1"/>
      <c r="L131" s="5" t="s">
        <v>804</v>
      </c>
    </row>
    <row r="132">
      <c r="A132" s="1"/>
      <c r="B132" s="11" t="s">
        <v>815</v>
      </c>
      <c r="C132" s="32">
        <v>0.125</v>
      </c>
      <c r="D132" s="32">
        <v>0.143</v>
      </c>
      <c r="E132" s="30">
        <f>AVERAGE(C132:D132)</f>
        <v>0.134</v>
      </c>
      <c r="F132" s="30"/>
      <c r="G132" s="30"/>
      <c r="H132" s="30"/>
      <c r="I132" s="30"/>
      <c r="J132" s="30"/>
      <c r="K132" s="1"/>
      <c r="L132" s="5" t="s">
        <v>804</v>
      </c>
    </row>
    <row r="133">
      <c r="A133" s="1"/>
      <c r="B133" s="11" t="s">
        <v>816</v>
      </c>
      <c r="C133" s="32">
        <v>0.32</v>
      </c>
      <c r="D133" s="32">
        <v>0.319</v>
      </c>
      <c r="E133" s="30">
        <f>AVERAGE(C133:D133)</f>
        <v>0.3195</v>
      </c>
      <c r="F133" s="30"/>
      <c r="G133" s="30"/>
      <c r="H133" s="30"/>
      <c r="I133" s="30"/>
      <c r="J133" s="30"/>
      <c r="K133" s="1"/>
      <c r="L133" s="5" t="s">
        <v>804</v>
      </c>
    </row>
    <row r="134">
      <c r="A134" s="1"/>
      <c r="B134" s="11" t="s">
        <v>817</v>
      </c>
      <c r="C134" s="32">
        <v>0.169</v>
      </c>
      <c r="D134" s="32">
        <v>0.096</v>
      </c>
      <c r="E134" s="30">
        <f>AVERAGE(C134:D134)</f>
        <v>0.1325</v>
      </c>
      <c r="F134" s="30"/>
      <c r="G134" s="30"/>
      <c r="H134" s="30"/>
      <c r="I134" s="30"/>
      <c r="J134" s="30"/>
      <c r="K134" s="1"/>
      <c r="L134" s="5" t="s">
        <v>804</v>
      </c>
    </row>
    <row r="135">
      <c r="A135" s="1"/>
      <c r="B135" s="11" t="s">
        <v>818</v>
      </c>
      <c r="C135" s="32">
        <v>0.081</v>
      </c>
      <c r="D135" s="32">
        <v>0.079</v>
      </c>
      <c r="E135" s="30">
        <f>AVERAGE(C135:D135)</f>
        <v>0.08</v>
      </c>
      <c r="F135" s="30"/>
      <c r="G135" s="30"/>
      <c r="H135" s="30"/>
      <c r="I135" s="30"/>
      <c r="J135" s="30"/>
      <c r="K135" s="1"/>
      <c r="L135" s="5" t="s">
        <v>804</v>
      </c>
    </row>
    <row r="136">
      <c r="A136" s="1"/>
      <c r="B136" s="11" t="s">
        <v>819</v>
      </c>
      <c r="C136" s="32">
        <v>0.155</v>
      </c>
      <c r="D136" s="32">
        <v>0.136</v>
      </c>
      <c r="E136" s="30">
        <f>AVERAGE(C136:D136)</f>
        <v>0.14550000000000002</v>
      </c>
      <c r="F136" s="30"/>
      <c r="G136" s="30"/>
      <c r="H136" s="30"/>
      <c r="I136" s="30"/>
      <c r="J136" s="30"/>
      <c r="K136" s="1"/>
      <c r="L136" s="5" t="s">
        <v>804</v>
      </c>
    </row>
    <row r="137">
      <c r="A137" s="1"/>
      <c r="B137" s="11" t="s">
        <v>820</v>
      </c>
      <c r="C137" s="32">
        <v>0.159</v>
      </c>
      <c r="D137" s="32">
        <v>0.153</v>
      </c>
      <c r="E137" s="30">
        <f>AVERAGE(C137:D137)</f>
        <v>0.156</v>
      </c>
      <c r="F137" s="30"/>
      <c r="G137" s="30"/>
      <c r="H137" s="30"/>
      <c r="I137" s="30"/>
      <c r="J137" s="30"/>
      <c r="K137" s="1"/>
      <c r="L137" s="5" t="s">
        <v>804</v>
      </c>
    </row>
    <row r="138">
      <c r="A138" s="1"/>
      <c r="B138" s="11" t="s">
        <v>821</v>
      </c>
      <c r="C138" s="32">
        <v>0.146</v>
      </c>
      <c r="D138" s="32">
        <v>0.167</v>
      </c>
      <c r="E138" s="30">
        <f>AVERAGE(C138:D138)</f>
        <v>0.1565</v>
      </c>
      <c r="F138" s="30"/>
      <c r="G138" s="30"/>
      <c r="H138" s="30"/>
      <c r="I138" s="30"/>
      <c r="J138" s="30"/>
      <c r="K138" s="1"/>
      <c r="L138" s="5" t="s">
        <v>804</v>
      </c>
    </row>
    <row r="139">
      <c r="A139" s="1"/>
      <c r="B139" s="11" t="s">
        <v>822</v>
      </c>
      <c r="C139" s="32">
        <v>0.209</v>
      </c>
      <c r="D139" s="32">
        <v>0.209</v>
      </c>
      <c r="E139" s="30">
        <f>AVERAGE(C139:D139)</f>
        <v>0.209</v>
      </c>
      <c r="F139" s="30"/>
      <c r="G139" s="30"/>
      <c r="H139" s="30"/>
      <c r="I139" s="30"/>
      <c r="J139" s="30"/>
      <c r="K139" s="1"/>
      <c r="L139" s="5" t="s">
        <v>804</v>
      </c>
    </row>
    <row r="140">
      <c r="A140" s="1"/>
      <c r="B140" s="11" t="s">
        <v>823</v>
      </c>
      <c r="C140" s="32">
        <v>0.171</v>
      </c>
      <c r="D140" s="32">
        <v>0.217</v>
      </c>
      <c r="E140" s="30">
        <f>AVERAGE(C140:D140)</f>
        <v>0.194</v>
      </c>
      <c r="F140" s="30"/>
      <c r="G140" s="30"/>
      <c r="H140" s="30"/>
      <c r="I140" s="30"/>
      <c r="J140" s="30"/>
      <c r="K140" s="1"/>
      <c r="L140" s="5" t="s">
        <v>804</v>
      </c>
    </row>
    <row r="141">
      <c r="A141" s="1"/>
      <c r="B141" s="11" t="s">
        <v>824</v>
      </c>
      <c r="C141" s="32">
        <v>0.052</v>
      </c>
      <c r="D141" s="32">
        <v>0.056</v>
      </c>
      <c r="E141" s="30">
        <f>AVERAGE(C141:D141)</f>
        <v>0.054</v>
      </c>
      <c r="F141" s="30"/>
      <c r="G141" s="30"/>
      <c r="H141" s="30"/>
      <c r="I141" s="30"/>
      <c r="J141" s="30"/>
      <c r="K141" s="1"/>
      <c r="L141" s="5" t="s">
        <v>804</v>
      </c>
    </row>
    <row r="142">
      <c r="A142" s="1"/>
      <c r="B142" s="11" t="s">
        <v>825</v>
      </c>
      <c r="C142" s="32">
        <v>0.17</v>
      </c>
      <c r="D142" s="32">
        <v>0.218</v>
      </c>
      <c r="E142" s="30">
        <f>AVERAGE(C142:D142)</f>
        <v>0.194</v>
      </c>
      <c r="F142" s="30"/>
      <c r="G142" s="30"/>
      <c r="H142" s="30"/>
      <c r="I142" s="30"/>
      <c r="J142" s="30"/>
      <c r="K142" s="1"/>
      <c r="L142" s="5" t="s">
        <v>804</v>
      </c>
    </row>
    <row r="143">
      <c r="A143" s="1"/>
      <c r="B143" s="11" t="s">
        <v>826</v>
      </c>
      <c r="C143" s="32">
        <v>0.131</v>
      </c>
      <c r="D143" s="32">
        <v>0.134</v>
      </c>
      <c r="E143" s="30">
        <f>AVERAGE(C143:D143)</f>
        <v>0.1325</v>
      </c>
      <c r="F143" s="30"/>
      <c r="G143" s="30"/>
      <c r="H143" s="30"/>
      <c r="I143" s="30"/>
      <c r="J143" s="30"/>
      <c r="K143" s="1"/>
      <c r="L143" s="5" t="s">
        <v>804</v>
      </c>
    </row>
    <row r="144">
      <c r="A144" s="1"/>
      <c r="B144" s="11" t="s">
        <v>827</v>
      </c>
      <c r="C144" s="32">
        <v>0.157</v>
      </c>
      <c r="D144" s="32">
        <v>0.191</v>
      </c>
      <c r="E144" s="30">
        <f>AVERAGE(C144:D144)</f>
        <v>0.174</v>
      </c>
      <c r="F144" s="30"/>
      <c r="G144" s="30"/>
      <c r="H144" s="30"/>
      <c r="I144" s="30"/>
      <c r="J144" s="30"/>
      <c r="K144" s="1"/>
      <c r="L144" s="5" t="s">
        <v>804</v>
      </c>
    </row>
    <row r="145">
      <c r="A145" s="1"/>
      <c r="B145" s="11" t="s">
        <v>828</v>
      </c>
      <c r="C145" s="32">
        <v>0.392</v>
      </c>
      <c r="D145" s="32">
        <v>0.399</v>
      </c>
      <c r="E145" s="30">
        <f>AVERAGE(C145:D145)</f>
        <v>0.3955</v>
      </c>
      <c r="F145" s="30"/>
      <c r="G145" s="30"/>
      <c r="H145" s="30"/>
      <c r="I145" s="30"/>
      <c r="J145" s="30"/>
      <c r="K145" s="1"/>
      <c r="L145" s="5" t="s">
        <v>804</v>
      </c>
    </row>
    <row r="146">
      <c r="A146" s="1"/>
      <c r="B146" s="11" t="s">
        <v>829</v>
      </c>
      <c r="C146" s="32">
        <v>0.136</v>
      </c>
      <c r="D146" s="32">
        <v>0.117</v>
      </c>
      <c r="E146" s="30">
        <f>AVERAGE(C146:D146)</f>
        <v>0.1265</v>
      </c>
      <c r="F146" s="30"/>
      <c r="G146" s="30"/>
      <c r="H146" s="30"/>
      <c r="I146" s="30"/>
      <c r="J146" s="30"/>
      <c r="K146" s="1"/>
      <c r="L146" s="5" t="s">
        <v>804</v>
      </c>
    </row>
    <row r="147">
      <c r="A147" s="1"/>
      <c r="B147" s="11" t="s">
        <v>830</v>
      </c>
      <c r="C147" s="32">
        <v>0.093</v>
      </c>
      <c r="D147" s="32">
        <v>0.094</v>
      </c>
      <c r="E147" s="30">
        <f>AVERAGE(C147:D147)</f>
        <v>0.0935</v>
      </c>
      <c r="F147" s="30"/>
      <c r="G147" s="30"/>
      <c r="H147" s="30"/>
      <c r="I147" s="30"/>
      <c r="J147" s="30"/>
      <c r="K147" s="1"/>
      <c r="L147" s="5" t="s">
        <v>804</v>
      </c>
    </row>
    <row r="148">
      <c r="A148" s="1"/>
      <c r="B148" s="11" t="s">
        <v>831</v>
      </c>
      <c r="C148" s="32">
        <v>0.128</v>
      </c>
      <c r="D148" s="32">
        <v>0.157</v>
      </c>
      <c r="E148" s="30">
        <f>AVERAGE(C148:D148)</f>
        <v>0.14250000000000002</v>
      </c>
      <c r="F148" s="30"/>
      <c r="G148" s="30"/>
      <c r="H148" s="30"/>
      <c r="I148" s="30"/>
      <c r="J148" s="30"/>
      <c r="K148" s="1"/>
      <c r="L148" s="5" t="s">
        <v>804</v>
      </c>
    </row>
    <row r="149">
      <c r="A149" s="1"/>
      <c r="B149" s="11" t="s">
        <v>832</v>
      </c>
      <c r="C149" s="32">
        <v>0.21</v>
      </c>
      <c r="D149" s="32">
        <v>0.207</v>
      </c>
      <c r="E149" s="30">
        <f>AVERAGE(C149:D149)</f>
        <v>0.2085</v>
      </c>
      <c r="F149" s="30"/>
      <c r="G149" s="30"/>
      <c r="H149" s="30"/>
      <c r="I149" s="30"/>
      <c r="J149" s="30"/>
      <c r="K149" s="1"/>
      <c r="L149" s="5" t="s">
        <v>804</v>
      </c>
    </row>
    <row r="150">
      <c r="A150" s="1"/>
      <c r="B150" s="11" t="s">
        <v>833</v>
      </c>
      <c r="C150" s="32">
        <v>0.193</v>
      </c>
      <c r="D150" s="32">
        <v>0.168</v>
      </c>
      <c r="E150" s="30">
        <f>AVERAGE(C150:D150)</f>
        <v>0.1805</v>
      </c>
      <c r="F150" s="30"/>
      <c r="G150" s="30"/>
      <c r="H150" s="30"/>
      <c r="I150" s="30"/>
      <c r="J150" s="30"/>
      <c r="K150" s="1"/>
      <c r="L150" s="5" t="s">
        <v>804</v>
      </c>
    </row>
    <row r="151">
      <c r="A151" s="1"/>
      <c r="B151" s="11" t="s">
        <v>834</v>
      </c>
      <c r="C151" s="32">
        <v>0.305</v>
      </c>
      <c r="D151" s="32">
        <v>0.3</v>
      </c>
      <c r="E151" s="30">
        <f>AVERAGE(C151:D151)</f>
        <v>0.3025</v>
      </c>
      <c r="F151" s="30"/>
      <c r="G151" s="30"/>
      <c r="H151" s="30"/>
      <c r="I151" s="30"/>
      <c r="J151" s="30"/>
      <c r="K151" s="1"/>
      <c r="L151" s="5" t="s">
        <v>804</v>
      </c>
    </row>
    <row r="152">
      <c r="A152" s="1"/>
      <c r="B152" s="11" t="s">
        <v>835</v>
      </c>
      <c r="C152" s="32">
        <v>0.161</v>
      </c>
      <c r="D152" s="32">
        <v>0.156</v>
      </c>
      <c r="E152" s="30">
        <f>AVERAGE(C152:D152)</f>
        <v>0.1585</v>
      </c>
      <c r="F152" s="30"/>
      <c r="G152" s="30"/>
      <c r="H152" s="30"/>
      <c r="I152" s="30"/>
      <c r="J152" s="30"/>
      <c r="K152" s="1"/>
      <c r="L152" s="5" t="s">
        <v>804</v>
      </c>
    </row>
    <row r="153">
      <c r="A153" s="1"/>
      <c r="B153" s="11" t="s">
        <v>836</v>
      </c>
      <c r="C153" s="32">
        <v>0.608</v>
      </c>
      <c r="D153" s="32">
        <v>0.601</v>
      </c>
      <c r="E153" s="30">
        <f>AVERAGE(C153:D153)</f>
        <v>0.6045</v>
      </c>
      <c r="F153" s="30"/>
      <c r="G153" s="30"/>
      <c r="H153" s="30"/>
      <c r="I153" s="30"/>
      <c r="J153" s="30"/>
      <c r="K153" s="1"/>
      <c r="L153" s="5" t="s">
        <v>804</v>
      </c>
    </row>
    <row r="154">
      <c r="A154" s="1"/>
      <c r="B154" s="11" t="s">
        <v>837</v>
      </c>
      <c r="C154" s="32">
        <v>0.19</v>
      </c>
      <c r="D154" s="32">
        <v>0.19</v>
      </c>
      <c r="E154" s="30">
        <f>AVERAGE(C154:D154)</f>
        <v>0.19</v>
      </c>
      <c r="F154" s="30"/>
      <c r="G154" s="30"/>
      <c r="H154" s="30"/>
      <c r="I154" s="30"/>
      <c r="J154" s="30"/>
      <c r="K154" s="1"/>
      <c r="L154" s="5" t="s">
        <v>804</v>
      </c>
    </row>
    <row r="155">
      <c r="A155" s="1"/>
      <c r="B155" s="11" t="s">
        <v>838</v>
      </c>
      <c r="C155" s="32">
        <v>0.08</v>
      </c>
      <c r="D155" s="32">
        <v>0.11</v>
      </c>
      <c r="E155" s="30">
        <f>AVERAGE(C155:D155)</f>
        <v>0.095</v>
      </c>
      <c r="F155" s="30"/>
      <c r="G155" s="30"/>
      <c r="H155" s="30"/>
      <c r="I155" s="30"/>
      <c r="J155" s="30"/>
      <c r="K155" s="1"/>
      <c r="L155" s="5" t="s">
        <v>804</v>
      </c>
    </row>
    <row r="156">
      <c r="A156" s="1"/>
      <c r="B156" s="11" t="s">
        <v>839</v>
      </c>
      <c r="C156" s="32">
        <v>0.15</v>
      </c>
      <c r="D156" s="32">
        <v>0.15</v>
      </c>
      <c r="E156" s="30">
        <f>AVERAGE(C156:D156)</f>
        <v>0.15</v>
      </c>
      <c r="F156" s="30"/>
      <c r="G156" s="30"/>
      <c r="H156" s="30"/>
      <c r="I156" s="30"/>
      <c r="J156" s="30"/>
      <c r="K156" s="1"/>
      <c r="L156" s="5" t="s">
        <v>804</v>
      </c>
    </row>
    <row r="157">
      <c r="A157" s="1"/>
      <c r="B157" s="11" t="s">
        <v>840</v>
      </c>
      <c r="C157" s="32">
        <v>0.14</v>
      </c>
      <c r="D157" s="32">
        <v>0.15</v>
      </c>
      <c r="E157" s="30">
        <f>AVERAGE(C157:D157)</f>
        <v>0.14500000000000002</v>
      </c>
      <c r="F157" s="30"/>
      <c r="G157" s="30"/>
      <c r="H157" s="30"/>
      <c r="I157" s="30"/>
      <c r="J157" s="30"/>
      <c r="K157" s="1"/>
      <c r="L157" s="5" t="s">
        <v>804</v>
      </c>
    </row>
    <row r="158">
      <c r="A158" s="1"/>
      <c r="B158" s="11" t="s">
        <v>841</v>
      </c>
      <c r="C158" s="32">
        <v>0.69</v>
      </c>
      <c r="D158" s="32">
        <v>0.7</v>
      </c>
      <c r="E158" s="30">
        <f>AVERAGE(C158:D158)</f>
        <v>0.695</v>
      </c>
      <c r="F158" s="30"/>
      <c r="G158" s="30"/>
      <c r="H158" s="30"/>
      <c r="I158" s="30"/>
      <c r="J158" s="30"/>
      <c r="K158" s="1"/>
      <c r="L158" s="5" t="s">
        <v>804</v>
      </c>
    </row>
    <row r="159">
      <c r="A159" s="1"/>
      <c r="B159" s="11" t="s">
        <v>842</v>
      </c>
      <c r="C159" s="32">
        <v>0.659</v>
      </c>
      <c r="D159" s="32">
        <v>0.672</v>
      </c>
      <c r="E159" s="30">
        <f>AVERAGE(C159:D159)</f>
        <v>0.6655</v>
      </c>
      <c r="F159" s="30"/>
      <c r="G159" s="30"/>
      <c r="H159" s="30"/>
      <c r="I159" s="30"/>
      <c r="J159" s="30"/>
      <c r="K159" s="1"/>
      <c r="L159" s="5" t="s">
        <v>804</v>
      </c>
    </row>
    <row r="160">
      <c r="A160" s="1"/>
      <c r="B160" s="1" t="s">
        <v>843</v>
      </c>
      <c r="C160" s="37">
        <v>22206</v>
      </c>
      <c r="D160" s="13"/>
      <c r="E160" s="13"/>
      <c r="F160" s="13"/>
      <c r="G160" s="13"/>
      <c r="H160" s="13"/>
      <c r="I160" s="13"/>
      <c r="J160" s="13"/>
      <c r="K160" s="1"/>
      <c r="L160" s="5" t="s">
        <v>844</v>
      </c>
    </row>
    <row r="161">
      <c r="A161" s="1"/>
      <c r="B161" s="1" t="s">
        <v>845</v>
      </c>
      <c r="C161" s="37">
        <v>15718</v>
      </c>
      <c r="D161" s="37">
        <v>15514</v>
      </c>
      <c r="E161" s="13"/>
      <c r="F161" s="13"/>
      <c r="G161" s="13"/>
      <c r="H161" s="13"/>
      <c r="I161" s="13"/>
      <c r="J161" s="13"/>
      <c r="K161" s="1"/>
      <c r="L161" s="5" t="s">
        <v>804</v>
      </c>
    </row>
    <row r="162">
      <c r="A162" s="1"/>
      <c r="B162" s="1" t="s">
        <v>846</v>
      </c>
      <c r="C162" s="37">
        <v>24702</v>
      </c>
      <c r="D162" s="37">
        <v>24608</v>
      </c>
      <c r="E162" s="13"/>
      <c r="F162" s="13"/>
      <c r="G162" s="13"/>
      <c r="H162" s="13"/>
      <c r="I162" s="13"/>
      <c r="J162" s="13"/>
      <c r="K162" s="1"/>
      <c r="L162" s="5" t="s">
        <v>804</v>
      </c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5"/>
    </row>
    <row r="164">
      <c r="A164" s="1"/>
      <c r="B164" s="9" t="s">
        <v>847</v>
      </c>
      <c r="C164" s="14"/>
      <c r="D164" s="14"/>
      <c r="E164" s="14"/>
      <c r="F164" s="14"/>
      <c r="G164" s="14"/>
      <c r="H164" s="14"/>
      <c r="I164" s="14"/>
      <c r="J164" s="14"/>
      <c r="K164" s="1"/>
      <c r="L164" s="5"/>
    </row>
    <row r="165">
      <c r="A165" s="1"/>
      <c r="B165" s="11" t="s">
        <v>848</v>
      </c>
      <c r="C165" s="32">
        <v>0.153</v>
      </c>
      <c r="D165" s="30"/>
      <c r="E165" s="30"/>
      <c r="F165" s="30"/>
      <c r="G165" s="30"/>
      <c r="H165" s="30"/>
      <c r="I165" s="30"/>
      <c r="J165" s="30"/>
      <c r="K165" s="1"/>
      <c r="L165" s="5" t="s">
        <v>849</v>
      </c>
    </row>
    <row r="166">
      <c r="A166" s="1"/>
      <c r="B166" s="1" t="s">
        <v>850</v>
      </c>
      <c r="C166" s="37">
        <v>150</v>
      </c>
      <c r="D166" s="13"/>
      <c r="E166" s="13"/>
      <c r="F166" s="13"/>
      <c r="G166" s="13"/>
      <c r="H166" s="13"/>
      <c r="I166" s="13"/>
      <c r="J166" s="13"/>
      <c r="K166" s="1"/>
      <c r="L166" s="5" t="s">
        <v>851</v>
      </c>
    </row>
    <row r="167">
      <c r="A167" s="1"/>
      <c r="B167" s="11" t="s">
        <v>852</v>
      </c>
      <c r="C167" s="30">
        <f>C165+C166/10000</f>
        <v>0.16799999999999998</v>
      </c>
      <c r="D167" s="30"/>
      <c r="E167" s="30"/>
      <c r="F167" s="30"/>
      <c r="G167" s="30"/>
      <c r="H167" s="30"/>
      <c r="I167" s="30"/>
      <c r="J167" s="30"/>
      <c r="K167" s="1"/>
      <c r="L167" s="5" t="s">
        <v>853</v>
      </c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5"/>
    </row>
    <row r="169">
      <c r="A169" s="1"/>
      <c r="B169" s="9" t="s">
        <v>854</v>
      </c>
      <c r="C169" s="14"/>
      <c r="D169" s="14"/>
      <c r="E169" s="14"/>
      <c r="F169" s="14"/>
      <c r="G169" s="14"/>
      <c r="H169" s="14"/>
      <c r="I169" s="14"/>
      <c r="J169" s="14"/>
      <c r="K169" s="1"/>
      <c r="L169" s="5"/>
    </row>
    <row r="170">
      <c r="A170" s="1"/>
      <c r="B170" s="1" t="s">
        <v>855</v>
      </c>
      <c r="C170" s="25">
        <v>58240</v>
      </c>
      <c r="D170" s="14"/>
      <c r="E170" s="14"/>
      <c r="F170" s="14"/>
      <c r="G170" s="14"/>
      <c r="H170" s="14"/>
      <c r="I170" s="14"/>
      <c r="J170" s="14"/>
      <c r="K170" s="1"/>
      <c r="L170" s="5" t="s">
        <v>856</v>
      </c>
    </row>
    <row r="171">
      <c r="A171" s="1"/>
      <c r="B171" s="1" t="s">
        <v>857</v>
      </c>
      <c r="C171" s="15" t="s">
        <v>858</v>
      </c>
      <c r="D171" s="1"/>
      <c r="E171" s="1"/>
      <c r="F171" s="1"/>
      <c r="G171" s="1"/>
      <c r="H171" s="1"/>
      <c r="I171" s="1"/>
      <c r="J171" s="1"/>
      <c r="K171" s="1"/>
      <c r="L171" s="5" t="s">
        <v>859</v>
      </c>
    </row>
    <row r="172">
      <c r="A172" s="1"/>
      <c r="B172" s="1" t="s">
        <v>860</v>
      </c>
      <c r="C172" s="1" t="s">
        <v>861</v>
      </c>
      <c r="D172" s="1"/>
      <c r="E172" s="1"/>
      <c r="F172" s="1"/>
      <c r="G172" s="1"/>
      <c r="H172" s="1"/>
      <c r="I172" s="1"/>
      <c r="J172" s="1"/>
      <c r="K172" s="1"/>
      <c r="L172" s="5" t="s">
        <v>862</v>
      </c>
    </row>
    <row r="173">
      <c r="A173" s="1"/>
      <c r="B173" s="1" t="s">
        <v>863</v>
      </c>
      <c r="C173" s="1" t="str">
        <f>IF(C170&gt;10000,"large",IF(C170&gt;=2000,"mid",IF(C170&gt;=300,"small","micro")))</f>
        <v>large</v>
      </c>
      <c r="D173" s="1"/>
      <c r="E173" s="1"/>
      <c r="F173" s="1"/>
      <c r="G173" s="1"/>
      <c r="H173" s="1"/>
      <c r="I173" s="1"/>
      <c r="J173" s="1"/>
      <c r="K173" s="1"/>
      <c r="L173" s="5" t="s">
        <v>864</v>
      </c>
    </row>
    <row r="174">
      <c r="A174" s="1"/>
      <c r="B174" s="1" t="s">
        <v>865</v>
      </c>
      <c r="C174" s="1" t="str">
        <f>C34</f>
        <v>Y</v>
      </c>
      <c r="D174" s="1"/>
      <c r="E174" s="1"/>
      <c r="F174" s="1"/>
      <c r="G174" s="1"/>
      <c r="H174" s="1"/>
      <c r="I174" s="1"/>
      <c r="J174" s="1"/>
      <c r="K174" s="1"/>
      <c r="L174" s="5" t="s">
        <v>866</v>
      </c>
    </row>
    <row r="175">
      <c r="A175" s="1"/>
      <c r="B175" s="11" t="s">
        <v>867</v>
      </c>
      <c r="C175" s="30">
        <f>IF(OR(C173="large",C174="Y"),0.78,IF(C173="mid",0.7,0.6))</f>
        <v>0.78</v>
      </c>
      <c r="D175" s="30"/>
      <c r="E175" s="30"/>
      <c r="F175" s="30"/>
      <c r="G175" s="30"/>
      <c r="H175" s="30"/>
      <c r="I175" s="30"/>
      <c r="J175" s="30"/>
      <c r="K175" s="1"/>
      <c r="L175" s="5" t="s">
        <v>868</v>
      </c>
    </row>
    <row r="176">
      <c r="A176" s="1"/>
      <c r="B176" s="1" t="s">
        <v>869</v>
      </c>
      <c r="C176" s="13">
        <f>SUMPRODUCT(--(E12:E17&gt;D12:D17))</f>
        <v>1</v>
      </c>
      <c r="D176" s="13"/>
      <c r="E176" s="13"/>
      <c r="F176" s="13"/>
      <c r="G176" s="13"/>
      <c r="H176" s="13"/>
      <c r="I176" s="13"/>
      <c r="J176" s="13"/>
      <c r="K176" s="1"/>
      <c r="L176" s="5" t="s">
        <v>870</v>
      </c>
    </row>
    <row r="177" ht="28.5">
      <c r="A177" s="1"/>
      <c r="B177" s="1" t="s">
        <v>871</v>
      </c>
      <c r="C177" s="13">
        <f>COUNTIFS(D12:D17,"&gt;-1E+307",E12:E17,"&gt;-1E+307")</f>
        <v>6</v>
      </c>
      <c r="D177" s="13"/>
      <c r="E177" s="13"/>
      <c r="F177" s="13"/>
      <c r="G177" s="13"/>
      <c r="H177" s="13"/>
      <c r="I177" s="13"/>
      <c r="J177" s="13"/>
      <c r="K177" s="1"/>
      <c r="L177" s="85" t="s">
        <v>872</v>
      </c>
    </row>
    <row r="178">
      <c r="A178" s="1"/>
      <c r="B178" s="1" t="s">
        <v>873</v>
      </c>
      <c r="C178" s="37">
        <v>8</v>
      </c>
      <c r="D178" s="13"/>
      <c r="E178" s="13"/>
      <c r="F178" s="13"/>
      <c r="G178" s="13"/>
      <c r="H178" s="13"/>
      <c r="I178" s="13"/>
      <c r="J178" s="13"/>
      <c r="K178" s="1"/>
      <c r="L178" s="5" t="s">
        <v>874</v>
      </c>
    </row>
    <row r="179">
      <c r="A179" s="1"/>
      <c r="B179" s="11" t="s">
        <v>875</v>
      </c>
      <c r="C179" s="30">
        <f>(C178*C175+C176)/(C178+C177)</f>
        <v>0.5171428571428571</v>
      </c>
      <c r="D179" s="30"/>
      <c r="E179" s="30"/>
      <c r="F179" s="30"/>
      <c r="G179" s="30"/>
      <c r="H179" s="30"/>
      <c r="I179" s="30"/>
      <c r="J179" s="30"/>
      <c r="K179" s="1"/>
      <c r="L179" s="5"/>
    </row>
    <row r="180">
      <c r="A180" s="1"/>
      <c r="B180" s="1" t="s">
        <v>876</v>
      </c>
      <c r="C180" s="3">
        <f>'Income Statement'!J66</f>
        <v>0.34003037787595264</v>
      </c>
      <c r="D180" s="8"/>
      <c r="E180" s="8"/>
      <c r="F180" s="8"/>
      <c r="G180" s="8"/>
      <c r="H180" s="8"/>
      <c r="I180" s="8"/>
      <c r="J180" s="8"/>
      <c r="K180" s="1"/>
      <c r="L180" s="5" t="s">
        <v>273</v>
      </c>
    </row>
    <row r="181">
      <c r="A181" s="1"/>
      <c r="B181" s="1" t="s">
        <v>877</v>
      </c>
      <c r="C181" s="25">
        <v>7</v>
      </c>
      <c r="D181" s="14"/>
      <c r="E181" s="14"/>
      <c r="F181" s="14"/>
      <c r="G181" s="14"/>
      <c r="H181" s="14"/>
      <c r="I181" s="14"/>
      <c r="J181" s="14"/>
      <c r="K181" s="1"/>
      <c r="L181" s="5" t="s">
        <v>878</v>
      </c>
    </row>
    <row r="182">
      <c r="A182" s="1"/>
      <c r="B182" s="1" t="s">
        <v>879</v>
      </c>
      <c r="C182" s="65">
        <f>C181/'Share Count'!J16</f>
        <v>0.0060858981046774474</v>
      </c>
      <c r="D182" s="62"/>
      <c r="E182" s="62"/>
      <c r="F182" s="62"/>
      <c r="G182" s="62"/>
      <c r="H182" s="62"/>
      <c r="I182" s="62"/>
      <c r="J182" s="62"/>
      <c r="K182" s="1"/>
      <c r="L182" s="5"/>
    </row>
    <row r="183">
      <c r="A183" s="1"/>
      <c r="B183" s="1" t="s">
        <v>880</v>
      </c>
      <c r="C183" s="63">
        <f>C41+0.005</f>
        <v>0.34500000000000003</v>
      </c>
      <c r="D183" s="63"/>
      <c r="E183" s="63"/>
      <c r="F183" s="63"/>
      <c r="G183" s="63"/>
      <c r="H183" s="63"/>
      <c r="I183" s="63"/>
      <c r="J183" s="63"/>
      <c r="K183" s="1"/>
      <c r="L183" s="5" t="s">
        <v>881</v>
      </c>
    </row>
    <row r="184">
      <c r="A184" s="1"/>
      <c r="B184" s="11" t="s">
        <v>882</v>
      </c>
      <c r="C184" s="30">
        <f>1-_xlfn.NORM.DIST(C183,C180,C182,TRUE)</f>
        <v>0.20708427006899843</v>
      </c>
      <c r="D184" s="30"/>
      <c r="E184" s="30"/>
      <c r="F184" s="30"/>
      <c r="G184" s="30"/>
      <c r="H184" s="30"/>
      <c r="I184" s="30"/>
      <c r="J184" s="30"/>
      <c r="K184" s="1"/>
      <c r="L184" s="5" t="s">
        <v>883</v>
      </c>
    </row>
    <row r="185">
      <c r="A185" s="1"/>
      <c r="B185" s="11" t="s">
        <v>884</v>
      </c>
      <c r="C185" s="32">
        <v>0.35</v>
      </c>
      <c r="D185" s="30"/>
      <c r="E185" s="30"/>
      <c r="F185" s="30"/>
      <c r="G185" s="30"/>
      <c r="H185" s="30"/>
      <c r="I185" s="30"/>
      <c r="J185" s="30"/>
      <c r="K185" s="1"/>
      <c r="L185" s="5" t="s">
        <v>885</v>
      </c>
    </row>
    <row r="186">
      <c r="A186" s="1"/>
      <c r="B186" s="11" t="s">
        <v>886</v>
      </c>
      <c r="C186" s="30">
        <f>C185*C179+(1-C185)*C184</f>
        <v>0.315604775544849</v>
      </c>
      <c r="D186" s="30"/>
      <c r="E186" s="30"/>
      <c r="F186" s="30"/>
      <c r="G186" s="30"/>
      <c r="H186" s="30"/>
      <c r="I186" s="30"/>
      <c r="J186" s="30"/>
      <c r="K186" s="1"/>
      <c r="L186" s="5"/>
    </row>
    <row r="187">
      <c r="A187" s="1"/>
      <c r="B187" s="11" t="s">
        <v>887</v>
      </c>
      <c r="C187" s="30">
        <f>ROUND(C186,2)</f>
        <v>0.32</v>
      </c>
      <c r="D187" s="30"/>
      <c r="E187" s="30"/>
      <c r="F187" s="30"/>
      <c r="G187" s="30"/>
      <c r="H187" s="30"/>
      <c r="I187" s="30"/>
      <c r="J187" s="30"/>
      <c r="K187" s="1"/>
      <c r="L187" s="5" t="s">
        <v>888</v>
      </c>
    </row>
    <row r="188">
      <c r="A188" s="1"/>
      <c r="B188" s="1" t="s">
        <v>54</v>
      </c>
      <c r="C188" s="1" t="s">
        <v>889</v>
      </c>
      <c r="D188" s="1"/>
      <c r="E188" s="1"/>
      <c r="F188" s="1"/>
      <c r="G188" s="1"/>
      <c r="H188" s="1"/>
      <c r="I188" s="1"/>
      <c r="J188" s="1"/>
      <c r="K188" s="1"/>
      <c r="L188" s="5" t="s">
        <v>890</v>
      </c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5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5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5"/>
    </row>
  </sheetData>
</worksheet>
</file>