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2"/>
    <sheet name="Segment - CCW" sheetId="3" r:id="rId3"/>
    <sheet name="Segment - Wholesale" sheetId="4" r:id="rId4"/>
    <sheet name="Segment - Corporate" sheetId="5" r:id="rId5"/>
    <sheet name="Income Statement" sheetId="6" r:id="rId6"/>
    <sheet name="Balance Sheet" sheetId="7" r:id="rId7"/>
    <sheet name="Cash Flow Statement" sheetId="8" r:id="rId8"/>
    <sheet name="Share Count" sheetId="9" r:id="rId9"/>
    <sheet name="Guidance" sheetId="10" r:id="rId10"/>
    <sheet name="Sources" sheetId="11" r:id="rId11"/>
    <sheet name="Inputs" sheetId="12" r:id="rId12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B27" authorId="0">
      <text>
        <t>PASS requires: segments = revenue, balance sheet balances, cash ties, EPS = NI / diluted shares, Cover ties to Income Statement</t>
      </text>
    </comment>
    <comment ref="B32" authorId="0">
      <text>
        <t>9-Oct-26 CapIQ close $23.08 x 474m shares at 30-Jun-26 (S1); cross-check ~$11.1bn on 25-Sep-26 (S15)</t>
      </text>
    </comment>
    <comment ref="B33" authorId="0">
      <text>
        <t>Playbook v2: large &gt; $10bn</t>
      </text>
    </comment>
    <comment ref="B34" authorId="0">
      <text>
        <t>Playbook v2: mid $2-10bn; small $0.3-2bn</t>
      </text>
    </comment>
    <comment ref="B44" authorId="0">
      <text>
        <t>(8 x prior + b) / (8 + n)</t>
      </text>
    </comment>
    <comment ref="B45" authorId="0">
      <text>
        <t>Model EPS $0.532 clears the $0.525 rounding threshold by only ~$0.007 (sd ~$0.018 -&gt; ~65%); Zacks ESP negative; LMC/mortgage/FI softer intra-quarter; offset by six-for-six beat record</t>
      </text>
    </comment>
  </commentList>
</comments>
</file>

<file path=xl/sharedStrings.xml><?xml version="1.0" encoding="utf-8"?>
<sst xmlns="http://schemas.openxmlformats.org/spreadsheetml/2006/main" count="3078" uniqueCount="1039">
  <si>
    <t>First Horizon Corporation (NYSE: FHN)</t>
  </si>
  <si>
    <t>Cover</t>
  </si>
  <si>
    <t>$ millions, except per share</t>
  </si>
  <si>
    <t>Period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</si>
  <si>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</si>
  <si>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</si>
  <si>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</si>
  <si>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</si>
  <si>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</si>
  <si>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</si>
  <si>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</si>
  <si>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</si>
  <si>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Note: period band in rows 4-6 is navigation only; the headline table columns below are not period columns.</t>
  </si>
  <si>
    <t>Company Model — built by Shortcut</t>
  </si>
  <si>
    <t>Author: Shortcut. Figures in USD.</t>
  </si>
  <si>
    <t>Company</t>
  </si>
  <si>
    <t>First Horizon Corporation</t>
  </si>
  <si>
    <t>Ticker</t>
  </si>
  <si>
    <t>FHN</t>
  </si>
  <si>
    <t>Exchange</t>
  </si>
  <si>
    <t>NYSE</t>
  </si>
  <si>
    <t>Fiscal year end</t>
  </si>
  <si>
    <t>Calendar year (ends 31 December)</t>
  </si>
  <si>
    <t>Currency</t>
  </si>
  <si>
    <t>USD</t>
  </si>
  <si>
    <t>Forecast period</t>
  </si>
  <si>
    <t>FQ3 2026 (3Q26E): quarter ended 2026-09-30; issuer fiscal quarter = calendar quarter (supplied label "Sep 2026")</t>
  </si>
  <si>
    <t>EPS basis</t>
  </si>
  <si>
    <t>Adjusted (non-GAAP) diluted EPS = CapIQ normalized diluted EPS; excludes notable items (Visa derivative, FDIC, deemed preferred dividends)</t>
  </si>
  <si>
    <t>Information cutoff</t>
  </si>
  <si>
    <t>2026-10-11 22:24 UTC</t>
  </si>
  <si>
    <t>Expected report date</t>
  </si>
  <si>
    <t>2026-10-15 pre-market (issuer release 22-Sep-26, S14); CapIQ snapshot showed 2026-10-14 (unconfirmed)</t>
  </si>
  <si>
    <t>Headline: 3Q26E</t>
  </si>
  <si>
    <t>Shortcut estimate</t>
  </si>
  <si>
    <t>Consensus at cutoff (CapIQ)</t>
  </si>
  <si>
    <t>Variance</t>
  </si>
  <si>
    <t>Variance %</t>
  </si>
  <si>
    <t>Implied from FY guide (derived)</t>
  </si>
  <si>
    <t>Est. less guidance</t>
  </si>
  <si>
    <t>Other consensus found</t>
  </si>
  <si>
    <t>Total revenue (FTE, $m)</t>
  </si>
  <si>
    <t>Net income to common, adj. ($m)</t>
  </si>
  <si>
    <t>not guided</t>
  </si>
  <si>
    <t>n/a</t>
  </si>
  <si>
    <t>Net income to common, GAAP ($m)</t>
  </si>
  <si>
    <t>Adj. diluted EPS (consensus basis)</t>
  </si>
  <si>
    <t>GAAP diluted EPS</t>
  </si>
  <si>
    <t>Model checks: C = substantive ties; D = identities / plug-driven</t>
  </si>
  <si>
    <t>P(beat consensus EPS)</t>
  </si>
  <si>
    <t>Confidence</t>
  </si>
  <si>
    <t>medium</t>
  </si>
  <si>
    <t>Beat-probability calibration (playbook v2: size and issuer history)</t>
  </si>
  <si>
    <t>Market cap ($m)</t>
  </si>
  <si>
    <t>9-Oct-26 price x 2Q26 period-end shares (Share Count I47)</t>
  </si>
  <si>
    <t>Large-cap threshold ($m)</t>
  </si>
  <si>
    <t>Saved playbook v2 s.7 (sha 1f08987c): large &gt;$10bn, mid $2-10bn; 10,851 at 470.1m sh</t>
  </si>
  <si>
    <t>Mid-cap floor ($m)</t>
  </si>
  <si>
    <t>Size bucket</t>
  </si>
  <si>
    <t>S&amp;P 500 member (CapIQ flag)</t>
  </si>
  <si>
    <t>Prior: small cap</t>
  </si>
  <si>
    <t>Playbook v2 s.7 priors: 0.60 / 0.70 / 0.78 (large or S&amp;P 500); rounded hypotheses</t>
  </si>
  <si>
    <t>Prior: mid cap</t>
  </si>
  <si>
    <t>Prior: large cap or S&amp;P 500</t>
  </si>
  <si>
    <t>Cohort prior applied</t>
  </si>
  <si>
    <t>Strict EPS beats (b)</t>
  </si>
  <si>
    <t>Valid history pairs (n)</t>
  </si>
  <si>
    <t>Pseudo-count (fixed)</t>
  </si>
  <si>
    <t>Starting probability</t>
  </si>
  <si>
    <t>Evidence adjustment</t>
  </si>
  <si>
    <t>Judgmental: margin-only ~65% ($0.007 over $0.525 vs ~$0.018 sd); ESP -0.55% (S18); PT cuts (S19)</t>
  </si>
  <si>
    <t>Final P(beat consensus EPS)</t>
  </si>
  <si>
    <t>Mean EPS surprise, 6 qtrs ($/sh)</t>
  </si>
  <si>
    <t>Normalized EPS estimates (n)</t>
  </si>
  <si>
    <t>Revenue summary and revenue build (consolidated)</t>
  </si>
  <si>
    <t>Notes / source</t>
  </si>
  <si>
    <t>Consolidated revenue (FTE basis = CapIQ/consensus revenue basis)</t>
  </si>
  <si>
    <t>Net interest income (FTE)</t>
  </si>
  <si>
    <t>Links NII build below</t>
  </si>
  <si>
    <t>% Y/Y</t>
  </si>
  <si>
    <t>% Q/Q</t>
  </si>
  <si>
    <t>Total Y/Y growth</t>
  </si>
  <si>
    <t>M&amp;A / scope contribution</t>
  </si>
  <si>
    <t>unavailable</t>
  </si>
  <si>
    <t>Not disclosed by issuer; no acquisition closed in window per 10-K/10-Q; not set to zero</t>
  </si>
  <si>
    <t>FX impact</t>
  </si>
  <si>
    <t>Not disclosed (USD reporter); not set to zero</t>
  </si>
  <si>
    <t>Organic growth</t>
  </si>
  <si>
    <t>Organic = (1+Y/Y)/((1+M&amp;A)*(1+FX))-1; unavailable because M&amp;A and FX are not disclosed</t>
  </si>
  <si>
    <t>Noninterest income</t>
  </si>
  <si>
    <t>Links fee build below</t>
  </si>
  <si>
    <t>Total revenue (FTE)</t>
  </si>
  <si>
    <t>Same cell as Income Statement total revenue (FTE)</t>
  </si>
  <si>
    <t>Less: taxable-equivalent adjustment</t>
  </si>
  <si>
    <t>Total revenue (GAAP)</t>
  </si>
  <si>
    <t>Revenue by reported segment (GAAP, $m)</t>
  </si>
  <si>
    <t>Commercial, Consumer &amp; Wealth</t>
  </si>
  <si>
    <t>% of total revenue</t>
  </si>
  <si>
    <t>Wholesale</t>
  </si>
  <si>
    <t>Corporate</t>
  </si>
  <si>
    <t>n/m</t>
  </si>
  <si>
    <t>Sum of segments</t>
  </si>
  <si>
    <t>Check: segments less GAAP revenue</t>
  </si>
  <si>
    <t>Inline check row</t>
  </si>
  <si>
    <t>Geography: FHN banks in 12 southern U.S. states; revenue is effectively all U.S., so no Geo tab (FY2025 10-K: no geographic revenue split).</t>
  </si>
  <si>
    <t>Noninterest (fee) income build ($m)</t>
  </si>
  <si>
    <t>Fixed income</t>
  </si>
  <si>
    <t>Forecast = Wholesale ADR x trading days + other FI revenue</t>
  </si>
  <si>
    <t>Q/Q change ($m)</t>
  </si>
  <si>
    <t>Mortgage banking</t>
  </si>
  <si>
    <t>Assumption: mortgage softer as rates rose (S10)</t>
  </si>
  <si>
    <t>Brokerage, trust, and insurance</t>
  </si>
  <si>
    <t>Assumption: wealth momentum; S&amp;P 500 +2.0% in 3Q26 (S16)</t>
  </si>
  <si>
    <t>Service charges and fees</t>
  </si>
  <si>
    <t>Assumption: treasury management growth</t>
  </si>
  <si>
    <t>Card and digital banking fees</t>
  </si>
  <si>
    <t>Assumption: flat</t>
  </si>
  <si>
    <t>Deferred compensation income</t>
  </si>
  <si>
    <t>Market-driven; offset in deferred comp expense (EPS-neutral)</t>
  </si>
  <si>
    <t>Securities gains/(losses)</t>
  </si>
  <si>
    <t>Assumption: none</t>
  </si>
  <si>
    <t>Other noninterest income</t>
  </si>
  <si>
    <t>Issuer rounding difference</t>
  </si>
  <si>
    <t>Release note: numbers may not total due to rounding</t>
  </si>
  <si>
    <t>Total noninterest income</t>
  </si>
  <si>
    <t>Noninterest income ex deferred comp</t>
  </si>
  <si>
    <t>Adj. revenue (FTE) ex deferred comp</t>
  </si>
  <si>
    <t>Net interest income build: average balances ($m), yields and interest (FTE)</t>
  </si>
  <si>
    <t>Average earning assets</t>
  </si>
  <si>
    <t>C&amp;I loans</t>
  </si>
  <si>
    <t>Assumption: steady C&amp;I ex LMC growth</t>
  </si>
  <si>
    <t>Y/Y change ($m)</t>
  </si>
  <si>
    <t>of which: LMC</t>
  </si>
  <si>
    <t>LMC peaked Jun/Jul then softer (S10)</t>
  </si>
  <si>
    <t>C&amp;I ex LMC</t>
  </si>
  <si>
    <t>Commercial real estate loans</t>
  </si>
  <si>
    <t>CRE funding up (S9, S10)</t>
  </si>
  <si>
    <t>Total commercial loans</t>
  </si>
  <si>
    <t>Consumer real estate loans</t>
  </si>
  <si>
    <t>Runoff trend</t>
  </si>
  <si>
    <t>Credit card and other</t>
  </si>
  <si>
    <t>Total consumer loans</t>
  </si>
  <si>
    <t>Total loans and leases (average)</t>
  </si>
  <si>
    <t>Loans held for sale</t>
  </si>
  <si>
    <t>Investment securities</t>
  </si>
  <si>
    <t>Trading securities</t>
  </si>
  <si>
    <t>Interest-bearing deposits with banks</t>
  </si>
  <si>
    <t>Fed funds sold and reverse repos</t>
  </si>
  <si>
    <t>Total earning assets (average)</t>
  </si>
  <si>
    <t>3Q26E averages are judgmental inputs, not BS endpoint midpoints (e.g. trading 1,600 vs 1,417). At midpoints (rows 146-280 vs BS) NII would be ~3.18m lower, so adj. EPS ~-$0.0052 (~$0.527). Retained; unresolved</t>
  </si>
  <si>
    <t>Yields on earning assets (annualized)</t>
  </si>
  <si>
    <t>Commercial loan yield</t>
  </si>
  <si>
    <t>58% of loans floating; Fed +25bp mid-Sep 2026 (S20); spread pressure (S9)</t>
  </si>
  <si>
    <t>Y/Y change (bp)</t>
  </si>
  <si>
    <t>Q/Q change (bp)</t>
  </si>
  <si>
    <t>Consumer loan yield</t>
  </si>
  <si>
    <t>Loans held for sale yield</t>
  </si>
  <si>
    <t>Investment securities yield</t>
  </si>
  <si>
    <t>$1.2bn rolling off ~2.8%, reinvested 4%+ (S9)</t>
  </si>
  <si>
    <t>Trading securities yield</t>
  </si>
  <si>
    <t>Deposits with banks yield</t>
  </si>
  <si>
    <t>Fed funds sold yield</t>
  </si>
  <si>
    <t>Interest income (FTE)</t>
  </si>
  <si>
    <t>Commercial loans</t>
  </si>
  <si>
    <t>Consumer loans</t>
  </si>
  <si>
    <t>Total interest income (FTE)</t>
  </si>
  <si>
    <t>Yield on earning assets</t>
  </si>
  <si>
    <t>Total loan yield (derived)</t>
  </si>
  <si>
    <t>Average funding</t>
  </si>
  <si>
    <t>3Q26E average funding is judgmental, not BS midpoints (e.g. time deposits 9,500 vs ~9,959; STB 1,000 vs ~721). Included in the I175 midpoint sensitivity (net -$0.0052). Retained; unresolved</t>
  </si>
  <si>
    <t>Savings deposits</t>
  </si>
  <si>
    <t>Time deposits</t>
  </si>
  <si>
    <t>Brokered CDs added in 2Q26; partly paid down with customer deposits (S9, S10)</t>
  </si>
  <si>
    <t>Other interest-bearing deposits</t>
  </si>
  <si>
    <t>Total interest-bearing deposits</t>
  </si>
  <si>
    <t>Noninterest-bearing deposits</t>
  </si>
  <si>
    <t>DDA campaign momentum (S9)</t>
  </si>
  <si>
    <t>Total deposits (average)</t>
  </si>
  <si>
    <t>Trading liabilities</t>
  </si>
  <si>
    <t>Fed funds purchased and repos</t>
  </si>
  <si>
    <t>Short-term borrowings</t>
  </si>
  <si>
    <t>Term borrowings</t>
  </si>
  <si>
    <t>Total IB liabilities (average)</t>
  </si>
  <si>
    <t>Rates paid (annualized)</t>
  </si>
  <si>
    <t>Savings rate</t>
  </si>
  <si>
    <t>IB deposit spot rate 2.43% at 30-Jun-26 vs 2.33% 2Q avg (S1)</t>
  </si>
  <si>
    <t>Time deposit rate</t>
  </si>
  <si>
    <t>Other interest-bearing deposit rate</t>
  </si>
  <si>
    <t>Trading liabilities rate</t>
  </si>
  <si>
    <t>Fed funds purchased rate</t>
  </si>
  <si>
    <t>Short-term borrowings rate</t>
  </si>
  <si>
    <t>Term borrowings rate</t>
  </si>
  <si>
    <t>Interest expense (FTE)</t>
  </si>
  <si>
    <t>Savings</t>
  </si>
  <si>
    <t>Total interest expense (FTE)</t>
  </si>
  <si>
    <t>IB deposit cost (derived)</t>
  </si>
  <si>
    <t>Total deposit cost (derived)</t>
  </si>
  <si>
    <t>Net interest margin (FTE, derived)</t>
  </si>
  <si>
    <t>Net interest margin (reported; 3Q26E = derived)</t>
  </si>
  <si>
    <t>Basis break: C:G issuer-reported (S1/S4); H = derived NIM (row 326). Historical derived-less-reported spread -1.3 to +1.3bp</t>
  </si>
  <si>
    <t>H330 compares derived 3Q26E with reported 3Q25; derived-to-derived Y/Y is H327</t>
  </si>
  <si>
    <t>Net interest spread</t>
  </si>
  <si>
    <t>Earning-asset yield less rate on interest-bearing liabilities</t>
  </si>
  <si>
    <t>Days in period (header link)</t>
  </si>
  <si>
    <t>Reported totals used for issuer-rounding reconciliation (as published)</t>
  </si>
  <si>
    <t>Reported: noninterest income</t>
  </si>
  <si>
    <t>Reported actual; see Sources</t>
  </si>
  <si>
    <t>Reported: commercial loans</t>
  </si>
  <si>
    <t>Reported: consumer loans</t>
  </si>
  <si>
    <t>Reported: loans and leases (avg)</t>
  </si>
  <si>
    <t>Reported: earning assets (avg)</t>
  </si>
  <si>
    <t>Reported: interest income (FTE)</t>
  </si>
  <si>
    <t>Reported: IB deposits</t>
  </si>
  <si>
    <t>Reported: deposits (avg)</t>
  </si>
  <si>
    <t>Reported: IB liabilities (avg)</t>
  </si>
  <si>
    <t>Reported: interest expense (FTE)</t>
  </si>
  <si>
    <t>Reported: Net interest income (FTE)</t>
  </si>
  <si>
    <t>Segment - Commercial, Consumer &amp; Wealth</t>
  </si>
  <si>
    <t>Segment income statement ($m, GAAP; as recast in latest release)</t>
  </si>
  <si>
    <t>Net interest income</t>
  </si>
  <si>
    <t>3Q26E = IEA x NIM (row 76); historical residual row 77 (avg -2.86) not carried; Corporate residual absorbs; no consolidated EPS effect</t>
  </si>
  <si>
    <t>Total segment revenue</t>
  </si>
  <si>
    <t>% of consolidated revenue (GAAP)</t>
  </si>
  <si>
    <t>Noninterest expense</t>
  </si>
  <si>
    <t>Pre-provision net revenue</t>
  </si>
  <si>
    <t>Provision for credit losses</t>
  </si>
  <si>
    <t>Income before income taxes</t>
  </si>
  <si>
    <t>Income tax expense (benefit)</t>
  </si>
  <si>
    <t>Segment net income</t>
  </si>
  <si>
    <t>Segment ratios</t>
  </si>
  <si>
    <t>Efficiency ratio (expense / revenue)</t>
  </si>
  <si>
    <t>Pre-tax margin (pre-tax / revenue)</t>
  </si>
  <si>
    <t>Effective tax rate (tax / pre-tax)</t>
  </si>
  <si>
    <t>Forecast: assumption in line with segment history</t>
  </si>
  <si>
    <t>Segment drivers: average balances ($bn) and margin</t>
  </si>
  <si>
    <t>Average loans and leases</t>
  </si>
  <si>
    <t>n/d</t>
  </si>
  <si>
    <t>FY25 recast annual average not disclosed</t>
  </si>
  <si>
    <t>Y/Y change ($bn)</t>
  </si>
  <si>
    <t>Q/Q change ($bn)</t>
  </si>
  <si>
    <t>Average interest-earning assets</t>
  </si>
  <si>
    <t>Average total assets</t>
  </si>
  <si>
    <t>Average deposits</t>
  </si>
  <si>
    <t>Segment net interest margin (reported)</t>
  </si>
  <si>
    <t>NII implied by IEA x NIM ($m)</t>
  </si>
  <si>
    <t>Forecast NII driver; history shows fit vs reported (balances rounded to $0.1bn)</t>
  </si>
  <si>
    <t>Reported NII less implied</t>
  </si>
  <si>
    <t>Loans-to-deposits (average)</t>
  </si>
  <si>
    <t>Return on average assets (annualized)</t>
  </si>
  <si>
    <t>Segment average loans ladder ($bn; segment period-end balances not disclosed)</t>
  </si>
  <si>
    <t>Opening: prior-qtr avg loans</t>
  </si>
  <si>
    <t>C: 2Q25 average (S1)</t>
  </si>
  <si>
    <t>Gross additions (originations)</t>
  </si>
  <si>
    <t>Not disclosed by segment; not set to zero</t>
  </si>
  <si>
    <t>Runoff (payoffs, maturities)</t>
  </si>
  <si>
    <t>Net change in average balance</t>
  </si>
  <si>
    <t>Closing: current-qtr avg loans</t>
  </si>
  <si>
    <t>Sequential growth in average balance</t>
  </si>
  <si>
    <t>Segment average deposits ladder ($bn; segment period-end balances not disclosed)</t>
  </si>
  <si>
    <t>Opening: prior-qtr avg deposits</t>
  </si>
  <si>
    <t>Closing: current-qtr avg deposits</t>
  </si>
  <si>
    <t>Fee drivers mapped to this segment (consolidated lines, $m)</t>
  </si>
  <si>
    <t>Forecast noninterest income = 2Q26 segment fee income + Q/Q change in the three consolidated lines above.</t>
  </si>
  <si>
    <t>Reported: segment revenue</t>
  </si>
  <si>
    <t>Reported: PPNR</t>
  </si>
  <si>
    <t>Reported: Pre-tax income</t>
  </si>
  <si>
    <t>Reported: Segment net income</t>
  </si>
  <si>
    <t>Segment - Wholesale (mortgage warehouse, FHN Financial fixed income, mortgage)</t>
  </si>
  <si>
    <t>3Q26E adds 60% FI-fee pass-through (H112); consolidated incentives flat, so Corporate residual absorbs ~0.56; no consolidated EPS effect</t>
  </si>
  <si>
    <t>Fixed income (FHN Financial) revenue build</t>
  </si>
  <si>
    <t>Fixed income ADR ($000)</t>
  </si>
  <si>
    <t>Assumption: ADR near 2Q26 level; Sep-26 CEO: volatile but relatively low ADRs (S10)</t>
  </si>
  <si>
    <t>Y/Y change ($000)</t>
  </si>
  <si>
    <t>Q/Q change ($000)</t>
  </si>
  <si>
    <t>Trading days (Shortcut count)</t>
  </si>
  <si>
    <t>Shortcut estimate from SIFMA bond-market holiday calendar</t>
  </si>
  <si>
    <t>Y/Y change (days)</t>
  </si>
  <si>
    <t>Q/Q change (days)</t>
  </si>
  <si>
    <t>ADR revenue ($m)</t>
  </si>
  <si>
    <t>Fixed income revenue (consolidated)</t>
  </si>
  <si>
    <t>History links Revenue summary; forecast feeds it</t>
  </si>
  <si>
    <t>Other fixed income revenue</t>
  </si>
  <si>
    <t>Incentive pass-through on FI revenue</t>
  </si>
  <si>
    <t>CFO rule of thumb ~60% commissions on countercyclical revenue (Jan-26 call, S4)</t>
  </si>
  <si>
    <t>Loans to mortgage companies (LMC)</t>
  </si>
  <si>
    <t>LMC average balance ($m)</t>
  </si>
  <si>
    <t>LMC period-end balance ($m)</t>
  </si>
  <si>
    <t>Mortgage banking fees ($m)</t>
  </si>
  <si>
    <t>Segment - Corporate (treasury, funding, support functions, run-off)</t>
  </si>
  <si>
    <t>Efficiency and margin ratios not meaningful: Corporate revenue is negative (funding/treasury centre).</t>
  </si>
  <si>
    <t>n/f</t>
  </si>
  <si>
    <t>Forecast: Corporate = consolidated forecast less Commercial, Consumer &amp; Wealth and Wholesale (reconciling segment).</t>
  </si>
  <si>
    <t>Income Statement (GAAP to adjusted)</t>
  </si>
  <si>
    <t>Net interest income (GAAP)</t>
  </si>
  <si>
    <t>Total revenue (FTE, consensus basis)</t>
  </si>
  <si>
    <t>Salaries and benefits</t>
  </si>
  <si>
    <t>Assumption: hiring + extra day (S9)</t>
  </si>
  <si>
    <t>Incentives and commissions</t>
  </si>
  <si>
    <t>Assumption: flat Q/Q at 2Q26 level (judgmental). FI ADR 600k is below 3Q25 (771k) but above 2Q26 (594k), so FI revenue rises +0.93m Q/Q; the Wholesale H32 60% pass-through (+0.56m) is not mirrored here and sits in the Corporate residual; if mirrored, adj. EPS -$0.0009. Unresolved</t>
  </si>
  <si>
    <t>Deferred compensation expense</t>
  </si>
  <si>
    <t>Mirrors deferred comp income</t>
  </si>
  <si>
    <t>Total personnel expense</t>
  </si>
  <si>
    <t>Occupancy and equipment</t>
  </si>
  <si>
    <t>Outside services</t>
  </si>
  <si>
    <t>Assumption: 2Q seasonal marketing rolls off (S9)</t>
  </si>
  <si>
    <t>Amortization of intangible assets</t>
  </si>
  <si>
    <t>Other noninterest expense (GAAP)</t>
  </si>
  <si>
    <t>of which: other expense ex notables</t>
  </si>
  <si>
    <t>Forecast assumption: client cash-incentive payouts shift here from outside services (S9). Hist.: excludes only FDIC + Visa/other notables (other NIE per S1/S4); deferred-comp notable is personnel</t>
  </si>
  <si>
    <t>1Q25/2Q25 comparators exclude only other-NIE notables (Inputs rows 240-241); 2Q25 -4 deferred-comp notable sits in personnel (S1 notable-impact table)</t>
  </si>
  <si>
    <t>Total noninterest expense</t>
  </si>
  <si>
    <t>Pre-provision net revenue (GAAP)</t>
  </si>
  <si>
    <t>Assumption: NCO ~20bp, modest reserve release; guide NCO 15-25bp (S2)</t>
  </si>
  <si>
    <t>Provision for income taxes</t>
  </si>
  <si>
    <t>Net income</t>
  </si>
  <si>
    <t>Noncontrolling interest</t>
  </si>
  <si>
    <t>First Horizon Bank Class A preferred (NCI)</t>
  </si>
  <si>
    <t>Net income to controlling interest</t>
  </si>
  <si>
    <t>Preferred stock dividends</t>
  </si>
  <si>
    <t>3Q26E = Series E + F + H regular coupons (S11-S13). S1: 2Q26 pref. divs 10 = ~13 regular (incl. ~8.85m Series H first period declared 28-Apr) less 3 deemed benefit, consistent with stub booked in 2Q26; no 3Q26 stub charge. Sensitivity: -$0.0021 adj. EPS per +$1m pref.; if the ~2.1m first-period stub (8.85-6.75) instead fell in 3Q26, -$0.0044 (~$0.5279). Timing retained; unresolved</t>
  </si>
  <si>
    <t>Net income to common (GAAP)</t>
  </si>
  <si>
    <t>Per share (diluted shares link Share Count)</t>
  </si>
  <si>
    <t>Weighted average basic shares (m)</t>
  </si>
  <si>
    <t>Weighted average diluted shares (m)</t>
  </si>
  <si>
    <t>Basic EPS (NIAC / basic shares)</t>
  </si>
  <si>
    <t>Basic EPS (reported)</t>
  </si>
  <si>
    <t>GAAP diluted EPS (NIAC / diluted)</t>
  </si>
  <si>
    <t>Mixed basis: 1Q26/2Q26 Y/Y = computed EPS vs reported 1Q25/2Q25 EPS (Inputs C238/D238); 3Q26E Y/Y = computed vs computed 3Q25</t>
  </si>
  <si>
    <t>GAAP diluted EPS (reported)</t>
  </si>
  <si>
    <t>Check: computed less reported</t>
  </si>
  <si>
    <t>GAAP to adjusted (non-GAAP) bridge - one row per notable item</t>
  </si>
  <si>
    <t>GAAP net income to common</t>
  </si>
  <si>
    <t>Add: deferred comp adjustment</t>
  </si>
  <si>
    <t>Add: FDIC special assessment</t>
  </si>
  <si>
    <t>Add: Visa derivative / other notable</t>
  </si>
  <si>
    <t>3Q26E: expected value; Visa charges in 4 of last 6 quarters (S1, S4)</t>
  </si>
  <si>
    <t>Total notable items (pre-tax)</t>
  </si>
  <si>
    <t>Less: tax on notable items</t>
  </si>
  <si>
    <t>Add: deemed preferred dividend</t>
  </si>
  <si>
    <t>3Q25 Series B; 2Q26 Series C redemption (S1)</t>
  </si>
  <si>
    <t>Adjusted net income to common</t>
  </si>
  <si>
    <t>Adjusted diluted EPS</t>
  </si>
  <si>
    <t>Mixed basis: 1Q26/2Q26 Y/Y = computed adj. EPS vs reported 1Q25/2Q25 adj. EPS (Inputs C246/D246); 3Q26E Y/Y = computed vs computed 3Q25</t>
  </si>
  <si>
    <t>Adjusted diluted EPS (reported)</t>
  </si>
  <si>
    <t>Issuer computes b/c from unrounded $; displayed NI ($1m) and shares (1m) are rounded, so &gt;0.5c gaps (3Q25, 2Q26) fit rounding bounds. Method retained. Gaps avg +0.29c, max +0.58c (2Q26); a 2Q26-sized bias on 3Q26E gives ~$0.5265 (unresolved basis)</t>
  </si>
  <si>
    <t>EPS, consensus basis (normalized)</t>
  </si>
  <si>
    <t>Basis conditional: S1 b/c definition (deemed pref. div. in notables, 3Q25 +9 after-tax ties S1); 3Q25/2Q26 gaps within rounding; no source correction or plug (unresolved)</t>
  </si>
  <si>
    <t>Adjusted operating metrics</t>
  </si>
  <si>
    <t>Adjusted noninterest expense</t>
  </si>
  <si>
    <t>Adj. expense ex deferred comp</t>
  </si>
  <si>
    <t>Adjusted PPNR (FTE)</t>
  </si>
  <si>
    <t>Adjusted pre-tax income</t>
  </si>
  <si>
    <t>Growth and margin analysis</t>
  </si>
  <si>
    <t>Efficiency ratio (GAAP)</t>
  </si>
  <si>
    <t>Adjusted efficiency ratio</t>
  </si>
  <si>
    <t>Pre-tax margin</t>
  </si>
  <si>
    <t>Effective tax rate</t>
  </si>
  <si>
    <t>Forecast: guide 21-23% (S2); 3Q25-1Q26 avg 22.5%; 2Q26 19.5% had discrete benefit</t>
  </si>
  <si>
    <t>Net interest margin (FTE)</t>
  </si>
  <si>
    <t>NIAC margin</t>
  </si>
  <si>
    <t>Preferred dividend build (3Q26E)</t>
  </si>
  <si>
    <t>Series E: liquidation amount ($m)</t>
  </si>
  <si>
    <t>Series E 6.50% non-cumulative; S13 (10-Q preferred stock note)</t>
  </si>
  <si>
    <t>Series E: annual dividend rate</t>
  </si>
  <si>
    <t>S11/S12</t>
  </si>
  <si>
    <t>Series E: quarterly dividend ($m)</t>
  </si>
  <si>
    <t>Series F: liquidation amount ($m)</t>
  </si>
  <si>
    <t>Series F 4.70% non-cumulative; S13 (10-Q preferred stock note)</t>
  </si>
  <si>
    <t>Series F: annual dividend rate</t>
  </si>
  <si>
    <t>Series F: quarterly dividend ($m)</t>
  </si>
  <si>
    <t>Series H: liquidation amount ($m)</t>
  </si>
  <si>
    <t>Series H 6.75% non-cumulative (issued 12-Mar-26); S13 (10-Q preferred stock note)</t>
  </si>
  <si>
    <t>Series H: annual dividend rate</t>
  </si>
  <si>
    <t>Series H: quarterly dividend ($m)</t>
  </si>
  <si>
    <t>Reported: Net interest income (GAAP)</t>
  </si>
  <si>
    <t>Reported: revenue (FTE)</t>
  </si>
  <si>
    <t>Reported: personnel expense</t>
  </si>
  <si>
    <t>Reported: noninterest expense</t>
  </si>
  <si>
    <t>Reported: PPNR (GAAP)</t>
  </si>
  <si>
    <t>Reported: Net income</t>
  </si>
  <si>
    <t>Reported: NI to controlling int.</t>
  </si>
  <si>
    <t>Reported: Net income to common (GAAP)</t>
  </si>
  <si>
    <t>Reported: notable items (pre-tax)</t>
  </si>
  <si>
    <t>Reported: Adjusted net income to common</t>
  </si>
  <si>
    <t>Balance Sheet (period-end, as reported)</t>
  </si>
  <si>
    <t>Assets ($m)</t>
  </si>
  <si>
    <t>Commercial and industrial (C&amp;I)</t>
  </si>
  <si>
    <t>of which: C&amp;I ex mortgage cos. (LMC)</t>
  </si>
  <si>
    <t>Forecast: +$450m (pipelines strong, S9/S10)</t>
  </si>
  <si>
    <t>of which: loans to mortgage cos. (LMC)</t>
  </si>
  <si>
    <t>Forecast: LMC peaked Jun/Jul, softer as mortgage rates rose (S10)</t>
  </si>
  <si>
    <t>Commercial real estate</t>
  </si>
  <si>
    <t>Forecast: +$200m construction fund-up (S9/S10)</t>
  </si>
  <si>
    <t>Consumer real estate</t>
  </si>
  <si>
    <t>Loans and leases</t>
  </si>
  <si>
    <t>Interest-bearing deposits w/ banks</t>
  </si>
  <si>
    <t>Total interest-earning assets</t>
  </si>
  <si>
    <t>Cash and due from banks</t>
  </si>
  <si>
    <t>3Q26E: balancing item (cash plug)</t>
  </si>
  <si>
    <t>Goodwill and intangibles, net</t>
  </si>
  <si>
    <t>Premises and equipment, net</t>
  </si>
  <si>
    <t>Forecast flat: capex = depreciation</t>
  </si>
  <si>
    <t>Allowance for loan and lease losses</t>
  </si>
  <si>
    <t>Other assets</t>
  </si>
  <si>
    <t>Total assets</t>
  </si>
  <si>
    <t>Liabilities ($m)</t>
  </si>
  <si>
    <t>Forecast: brokered CDs partly repaid with customer deposits (S10)</t>
  </si>
  <si>
    <t>Total interest-bearing liabilities</t>
  </si>
  <si>
    <t>Other liabilities</t>
  </si>
  <si>
    <t>Total liabilities</t>
  </si>
  <si>
    <t>Shareholders' equity ($m)</t>
  </si>
  <si>
    <t>Preferred stock</t>
  </si>
  <si>
    <t>Common stock (par $0.625)</t>
  </si>
  <si>
    <t>Capital surplus</t>
  </si>
  <si>
    <t>Retained earnings</t>
  </si>
  <si>
    <t>Accumulated OCI (loss), net</t>
  </si>
  <si>
    <t>Held flat; higher 3Q26 yields likely widened AOCI loss (equity only, not EPS)</t>
  </si>
  <si>
    <t>Combined shareholders' equity</t>
  </si>
  <si>
    <t>Total shareholders' equity</t>
  </si>
  <si>
    <t>Total liabilities and equity</t>
  </si>
  <si>
    <t>Check: assets - liabilities - equity</t>
  </si>
  <si>
    <t>Reported 2Q26 figures carry issuer rounding of $1m</t>
  </si>
  <si>
    <t>Balances within $1m issuer rounding</t>
  </si>
  <si>
    <t>Memo: period-end deposits and loan / deposit ladders ($m)</t>
  </si>
  <si>
    <t>Total deposits (period-end)</t>
  </si>
  <si>
    <t>Loans: opening (prior period-end)</t>
  </si>
  <si>
    <t>C: 2Q25 and E: 4Q24 period-end (S1, S4)</t>
  </si>
  <si>
    <t>Loans: gross originations</t>
  </si>
  <si>
    <t>Not disclosed; not set to zero</t>
  </si>
  <si>
    <t>Loans: payoffs, runoff, charge-offs</t>
  </si>
  <si>
    <t>Loans: net change in period</t>
  </si>
  <si>
    <t>Loans: closing balance</t>
  </si>
  <si>
    <t>Loans: average balance for period</t>
  </si>
  <si>
    <t>Loans: annualized growth</t>
  </si>
  <si>
    <t>Deposits: opening (prior period-end)</t>
  </si>
  <si>
    <t>Deposits: gross inflows / new accounts</t>
  </si>
  <si>
    <t>Deposits: outflows / attrition</t>
  </si>
  <si>
    <t>Deposits: net change in period</t>
  </si>
  <si>
    <t>Deposits: closing balance</t>
  </si>
  <si>
    <t>Deposits: average balance for period</t>
  </si>
  <si>
    <t>Loans-to-deposits (period-end)</t>
  </si>
  <si>
    <t>Allowance for credit losses roll-forward ($m)</t>
  </si>
  <si>
    <t>ALLL: beginning of period</t>
  </si>
  <si>
    <t>E: 31-Dec-24 (S4)</t>
  </si>
  <si>
    <t>Gross charge-offs</t>
  </si>
  <si>
    <t>Recoveries</t>
  </si>
  <si>
    <t>Forecast assumption</t>
  </si>
  <si>
    <t>1Q25/2Q25 detail not retrieved in memo</t>
  </si>
  <si>
    <t>Net charge-offs (reported)</t>
  </si>
  <si>
    <t>Gross charge-offs + recoveries differ from reported NCO by issuer rounding</t>
  </si>
  <si>
    <t>Provision for loan and lease losses</t>
  </si>
  <si>
    <t>ALLL: end of period</t>
  </si>
  <si>
    <t>Unfunded reserve: beginning</t>
  </si>
  <si>
    <t>Provision for unfunded commitments</t>
  </si>
  <si>
    <t>Forecast assumption: nil</t>
  </si>
  <si>
    <t>Unfunded reserve: end of period</t>
  </si>
  <si>
    <t>Total allowance for credit losses</t>
  </si>
  <si>
    <t>ACL / period-end loans</t>
  </si>
  <si>
    <t>Net charge-off ratio (annualized)</t>
  </si>
  <si>
    <t>Forecast: midpoint of 15-25bp FY26 guide (S2)</t>
  </si>
  <si>
    <t>Mixed basis: G162 = derived 2Q26 NCO ratio less issuer-reported 2Q25 (Inputs D274); 2Q25 NCO dollars not in workbook, so a derived comparator is unavailable (unresolved)</t>
  </si>
  <si>
    <t>CET1 ratio (reported)</t>
  </si>
  <si>
    <t>Issuer-reported; capital ratios preliminary (S1: 2Q26 CET1 10.5%)</t>
  </si>
  <si>
    <t>Reported: interest-earning assets</t>
  </si>
  <si>
    <t>Reported: assets</t>
  </si>
  <si>
    <t>Reported: IB liabilities</t>
  </si>
  <si>
    <t>Reported: liabilities</t>
  </si>
  <si>
    <t>Reported: shareholders' equity</t>
  </si>
  <si>
    <t>Reported: liabilities and equity</t>
  </si>
  <si>
    <t>Reported: deposits (period-end)</t>
  </si>
  <si>
    <t>Reported: ALLL: end of period</t>
  </si>
  <si>
    <t>Cash Flow Statement (quarters derived from reported YTD statements)</t>
  </si>
  <si>
    <t>Operating activities ($m)</t>
  </si>
  <si>
    <t>C9/G9 derived from issuer YTD (Inputs row 284): 265 vs IS C77 266 and 275 vs IS G77 274 (issuer YTD rounding, ±$1m). D9/F9 and FY25 998 tie to IS; YTD subtotals kept. No EPS effect</t>
  </si>
  <si>
    <t>Deferred income tax expense</t>
  </si>
  <si>
    <t>Not forecast: held at 0 as scope assumption (no BS movement modelled); not a zero estimate</t>
  </si>
  <si>
    <t>Depreciation of premises and equipment</t>
  </si>
  <si>
    <t>Forecast assumption ~ 2Q26 run-rate</t>
  </si>
  <si>
    <t>Net other amortization (accretion)</t>
  </si>
  <si>
    <t>Change in trading securities</t>
  </si>
  <si>
    <t>Change in derivatives</t>
  </si>
  <si>
    <t>Stock-based compensation expense</t>
  </si>
  <si>
    <t>Forecast assumption ~ quarterly run-rate</t>
  </si>
  <si>
    <t>Securities (gains) losses, net</t>
  </si>
  <si>
    <t>LHFS: purchases and originations</t>
  </si>
  <si>
    <t>not forecast</t>
  </si>
  <si>
    <t>Gross LHFS flows not forecast (scope label, not a zero); net LHFS change carried in H21</t>
  </si>
  <si>
    <t>LHFS: proceeds from sales</t>
  </si>
  <si>
    <t>LHFS: fair value and other</t>
  </si>
  <si>
    <t>3Q26E basis differs: net LHFS balance change = -(H34-G34) on BS, carried here because gross rows 19-20 are not forecast; C:G history = fair value and other only</t>
  </si>
  <si>
    <t>Other operating activities, net</t>
  </si>
  <si>
    <t>Forecast = change in other assets/liabilities and trading liabilities</t>
  </si>
  <si>
    <t>Net cash from operating activities</t>
  </si>
  <si>
    <t>Reported subtotal (from YTD)</t>
  </si>
  <si>
    <t>n/a: no reported YTD subtotal exists for the forecast quarter (label, not a zero)</t>
  </si>
  <si>
    <t>Check: lines less reported</t>
  </si>
  <si>
    <t>Investing activities ($m)</t>
  </si>
  <si>
    <t>AFS securities sold</t>
  </si>
  <si>
    <t>Held at 0: no AFS sales in 3Q25-2Q26</t>
  </si>
  <si>
    <t>AFS maturities and payments</t>
  </si>
  <si>
    <t>Purchases of AFS securities</t>
  </si>
  <si>
    <t>HTM payments</t>
  </si>
  <si>
    <t>Not forecast separately: held at 0; net securities change captured in H30</t>
  </si>
  <si>
    <t>Sales of premises and equipment</t>
  </si>
  <si>
    <t>Capex (premises and equipment)</t>
  </si>
  <si>
    <t>Forecast: capex = depreciation (premises flat)</t>
  </si>
  <si>
    <t>Proceeds from BOLI</t>
  </si>
  <si>
    <t>Change in loans and leases</t>
  </si>
  <si>
    <t>Change in deposits with banks</t>
  </si>
  <si>
    <t>Other investing activities, net</t>
  </si>
  <si>
    <t>Net cash from investing activities</t>
  </si>
  <si>
    <t>Financing activities ($m)</t>
  </si>
  <si>
    <t>Stock options exercised</t>
  </si>
  <si>
    <t>Cash dividends paid - common</t>
  </si>
  <si>
    <t>Repurchase of common shares</t>
  </si>
  <si>
    <t>Preferred stock redemption</t>
  </si>
  <si>
    <t>None expected: no redemption announced for 3Q26 (held at 0)</t>
  </si>
  <si>
    <t>Preferred stock issuance (Series H)</t>
  </si>
  <si>
    <t>None expected: no issuance announced for 3Q26 (held at 0)</t>
  </si>
  <si>
    <t>Dividends paid - subsidiary preferred</t>
  </si>
  <si>
    <t>Dividends paid - preferred stock</t>
  </si>
  <si>
    <t>Paid = declared (simplification retained). Cash actually paid 10-Jul-26 = 2Q26 declarations ~13.05m (incl. Series H first period ~8.85m) vs 10.95: financing cash/BS cash plug ~2.1m too high; no EPS or OCF effect. Unresolved</t>
  </si>
  <si>
    <t>Change in deposits</t>
  </si>
  <si>
    <t>Change in short-term borrowings</t>
  </si>
  <si>
    <t>Includes fed funds purchased and repos</t>
  </si>
  <si>
    <t>Term borrowings issued</t>
  </si>
  <si>
    <t>Repayment of term borrowings</t>
  </si>
  <si>
    <t>Change in secured borrowings</t>
  </si>
  <si>
    <t>Net cash from financing activities</t>
  </si>
  <si>
    <t>Net change in cash and equivalents</t>
  </si>
  <si>
    <t>Cash and equivalents: beginning</t>
  </si>
  <si>
    <t>Cash and equivalents: end of period</t>
  </si>
  <si>
    <t>Balance Sheet cash + fed funds sold</t>
  </si>
  <si>
    <t>Check: CF cash less BS cash</t>
  </si>
  <si>
    <t>Cash-flow metrics</t>
  </si>
  <si>
    <t>Operating cash flow (GAAP)</t>
  </si>
  <si>
    <t>3Q26E OCF = net income + modelled non-cash items; working-capital lines held flat or not forecast. Low-confidence output; cash is the BS plug</t>
  </si>
  <si>
    <t>Capital expenditures</t>
  </si>
  <si>
    <t>3Q26E capex = depreciation (premises held flat); assumption</t>
  </si>
  <si>
    <t>Free cash flow: not an issuer-defined measure for FHN (bank); not computed. OCF is dominated by trading and held-for-sale flows.</t>
  </si>
  <si>
    <t>Share Count</t>
  </si>
  <si>
    <t>Common shares (millions)</t>
  </si>
  <si>
    <t>Period-end shares outstanding</t>
  </si>
  <si>
    <t>Y/Y change (m shares)</t>
  </si>
  <si>
    <t>Q/Q change (m shares)</t>
  </si>
  <si>
    <t>Repurchases per release ($m)</t>
  </si>
  <si>
    <t>E: FY25 $894m (S4); G: 2Q26 $100m (S1); H: assumption ~ 2Q26 pace at 10.5% CET1 target</t>
  </si>
  <si>
    <t>Repurchases: Q/Q change ($m)</t>
  </si>
  <si>
    <t>Repurchases: Y/Y change ($m)</t>
  </si>
  <si>
    <t>1Q25/2Q25 comparatives not retrieved</t>
  </si>
  <si>
    <t>Repurchases per cash flow ($m)</t>
  </si>
  <si>
    <t>Cash basis incl. settlement timing</t>
  </si>
  <si>
    <t>Repurchases (CF): Q/Q change ($m)</t>
  </si>
  <si>
    <t>Repurchases (CF): Y/Y change ($m)</t>
  </si>
  <si>
    <t>Average repurchase price ($)</t>
  </si>
  <si>
    <t>H: assumption; FHN traded ~$23-25 in 3Q26 (S15, S19)</t>
  </si>
  <si>
    <t>Avg price: Q/Q change ($)</t>
  </si>
  <si>
    <t>Avg price: Y/Y change ($)</t>
  </si>
  <si>
    <t>Shares repurchased (m)</t>
  </si>
  <si>
    <t>2Q26 reported ~4 million shares (S9)</t>
  </si>
  <si>
    <t>Shares repurchased: Q/Q change (m shares)</t>
  </si>
  <si>
    <t>Shares repurchased: Y/Y change (m shares)</t>
  </si>
  <si>
    <t>Shares issued (equity comp, net)</t>
  </si>
  <si>
    <t>H: assumption (3Q vesting light)</t>
  </si>
  <si>
    <t>Shares issued: Q/Q change (m shares)</t>
  </si>
  <si>
    <t>Shares issued: Y/Y change (m shares)</t>
  </si>
  <si>
    <t>Weighted average shares (millions)</t>
  </si>
  <si>
    <t>Weighted average basic shares</t>
  </si>
  <si>
    <t>Dilutive securities (m)</t>
  </si>
  <si>
    <t>H: held at 2Q26 level</t>
  </si>
  <si>
    <t>Dilutive: Q/Q change (m shares)</t>
  </si>
  <si>
    <t>Dilutive: Y/Y change (m shares)</t>
  </si>
  <si>
    <t>Weighted average diluted shares</t>
  </si>
  <si>
    <t>Diluted shares in 3Q26E EPS</t>
  </si>
  <si>
    <t>Dividends and capital</t>
  </si>
  <si>
    <t>Dividends per share ($)</t>
  </si>
  <si>
    <t>3Q26 $0.17 declared 28-Jul-26 (S12); FY25 = sum of four quarterly dividends</t>
  </si>
  <si>
    <t>Y/Y change ($)</t>
  </si>
  <si>
    <t>Q/Q change ($)</t>
  </si>
  <si>
    <t>Common dividends ($m) = DPS x basic</t>
  </si>
  <si>
    <t>DPS x weighted basic; declared treated as paid. 3Q26 $0.17 payable 1-Oct (S12), so 3Q cash = 2Q declaration on record-date shares (~$0.3m diff.); no NIAC effect</t>
  </si>
  <si>
    <t>Common stock par value ($)</t>
  </si>
  <si>
    <t>10-K</t>
  </si>
  <si>
    <t>Market cap ($m) at 9-Oct-26 close</t>
  </si>
  <si>
    <t>Mixed dates: 23.08 last close (9-Oct-26, CapIQ) x 474m 2Q26 period-end shares (latest disclosed). 10,851 at 470.1m; bucket flips &lt;433m. S15 ~$11.1bn</t>
  </si>
  <si>
    <t>Guidance tracker (issuer outlook vs actual / tracking)</t>
  </si>
  <si>
    <t>Note: period band in rows 4-6 is navigation only; the table columns below are not period columns.</t>
  </si>
  <si>
    <t>Date given</t>
  </si>
  <si>
    <t>Metric</t>
  </si>
  <si>
    <t>Low</t>
  </si>
  <si>
    <t>High</t>
  </si>
  <si>
    <t>Midpoint</t>
  </si>
  <si>
    <t>Actual / tracking</t>
  </si>
  <si>
    <t>Beat / miss vs midpoint</t>
  </si>
  <si>
    <t>2025 baseline (issuer-stated)</t>
  </si>
  <si>
    <t>Source / basis</t>
  </si>
  <si>
    <t>FY2026</t>
  </si>
  <si>
    <t>Adjusted revenue ex deferred comp, Y/Y growth</t>
  </si>
  <si>
    <t>S4 (outlook slide; base case Oct-25 forward curve); baseline $3.42bn as stated by issuer</t>
  </si>
  <si>
    <t>S3 (reaffirmed); baseline $3.42bn as stated by issuer</t>
  </si>
  <si>
    <t>S2 slide 15 (reaffirmed); baseline $3.42bn as stated by issuer</t>
  </si>
  <si>
    <t>Adjusted expenses ex deferred comp, Y/Y growth</t>
  </si>
  <si>
    <t>S4/S2; baseline $2.05bn as stated by issuer; tracking = 1H26 x 2 vs baseline</t>
  </si>
  <si>
    <t>Net charge-offs / average loans</t>
  </si>
  <si>
    <t>S4/S2; baseline 0.19% as stated by issuer</t>
  </si>
  <si>
    <t>S4/S2; baseline 22.1% as stated by issuer</t>
  </si>
  <si>
    <t>CET1 ratio (near-term target)</t>
  </si>
  <si>
    <t>S4/S2; baseline 10.63% as stated by issuer; actual = 2Q26 reported CET1 (preliminary, S1)</t>
  </si>
  <si>
    <t>3Q26-4Q26</t>
  </si>
  <si>
    <t>Adjusted expense ex deferred comp ~flat vs 2Q26 run-rate ($m)</t>
  </si>
  <si>
    <t>Pending: 3Q26 actual not yet reported (H = Shortcut 3Q26E)</t>
  </si>
  <si>
    <t>S9 (CFO: flat expenses next 2 quarters)</t>
  </si>
  <si>
    <t>2H26</t>
  </si>
  <si>
    <t>NIM settles in the high-3.40s</t>
  </si>
  <si>
    <t>S9 (qualitative; range is Shortcut reading of "high 340s")</t>
  </si>
  <si>
    <t>Derived</t>
  </si>
  <si>
    <t>3Q26</t>
  </si>
  <si>
    <t>Implied 3Q26 revenue (FTE, $m) at FY26 guide: (FY guide - 1H26)/2 + deferred comp</t>
  </si>
  <si>
    <t>Shortcut derivation; assumes even 2H split; uses issuer FY25 baseline $3,420m (J11) vs model FY25 $3,417m (Revenue summary!E128)</t>
  </si>
  <si>
    <t>EPS / net income guidance</t>
  </si>
  <si>
    <t>FHN does not guide EPS or net income</t>
  </si>
  <si>
    <t>FY2025</t>
  </si>
  <si>
    <t>FY2025 outlook ranges</t>
  </si>
  <si>
    <t>FY25 adj. EPS $1.89</t>
  </si>
  <si>
    <t>FY2025 outlook slide not retrieved; record left unavailable</t>
  </si>
  <si>
    <t>FHN guides annually (no quarterly EPS guidance). Record: EPS beat CapIQ consensus in all six quarters 1Q25-2Q26 (Inputs C); 1H26 revenue tracking above FY midpoint.</t>
  </si>
  <si>
    <t>Sources</t>
  </si>
  <si>
    <t>ID</t>
  </si>
  <si>
    <t>Publication date</t>
  </si>
  <si>
    <t>Publisher</t>
  </si>
  <si>
    <t>URL or file</t>
  </si>
  <si>
    <t>What it feeds</t>
  </si>
  <si>
    <t>Retrieved (UTC)</t>
  </si>
  <si>
    <t>S1</t>
  </si>
  <si>
    <t>First Horizon (SEC 8-K Ex.99.1)</t>
  </si>
  <si>
    <t>https://www.sec.gov/Archives/edgar/data/36966/000003696626000143/a2q2026earningsrelease.htm</t>
  </si>
  <si>
    <t>2Q26/1Q26/4Q25/3Q25 IS, BS, average balances, yields, segments, notable items, NCO/ACL</t>
  </si>
  <si>
    <t>S2</t>
  </si>
  <si>
    <t>First Horizon (SEC 8-K Ex.99.2)</t>
  </si>
  <si>
    <t>https://www.sec.gov/Archives/edgar/data/36966/000003696626000143/a2q26earningsslides.htm</t>
  </si>
  <si>
    <t>2026 outlook (slide 15), rate sensitivity, loan mix</t>
  </si>
  <si>
    <t>S3</t>
  </si>
  <si>
    <t>https://www.sec.gov/Archives/edgar/data/36966/000003696626000067/a1q2026earningsrelease.htm</t>
  </si>
  <si>
    <t>Recast 1Q25 segment results; 1Q26 data</t>
  </si>
  <si>
    <t>S4</t>
  </si>
  <si>
    <t>https://www.sec.gov/Archives/edgar/data/36966/000003696626000012/a4q2025earningsrelease.htm</t>
  </si>
  <si>
    <t>1Q25/2Q25 IS lines, FY25 totals and annual averages/yields, notable items, 4Q24 balances, 2026 outlook</t>
  </si>
  <si>
    <t>S5</t>
  </si>
  <si>
    <t>First Horizon 10-Q 2Q26 (SEC)</t>
  </si>
  <si>
    <t>https://www.sec.gov/Archives/edgar/data/36966/000003696626000155/R8.htm</t>
  </si>
  <si>
    <t>Cash flow 6M26 and 6M25 YTD</t>
  </si>
  <si>
    <t>S6</t>
  </si>
  <si>
    <t>First Horizon 10-Q 1Q26 (SEC)</t>
  </si>
  <si>
    <t>https://www.sec.gov/Archives/edgar/data/36966/000003696626000112/R8.htm</t>
  </si>
  <si>
    <t>Cash flow 3M26 and 3M25 YTD</t>
  </si>
  <si>
    <t>S7</t>
  </si>
  <si>
    <t>First Horizon 10-Q 3Q25 (SEC)</t>
  </si>
  <si>
    <t>https://www.sec.gov/Archives/edgar/data/36966/000003696625000155/R8.htm</t>
  </si>
  <si>
    <t>Cash flow 9M25 YTD</t>
  </si>
  <si>
    <t>S8</t>
  </si>
  <si>
    <t>First Horizon 10-K FY2025 (SEC)</t>
  </si>
  <si>
    <t>https://www.sec.gov/Archives/edgar/data/36966/000003696626000051/R8.htm</t>
  </si>
  <si>
    <t>Cash flow FY25; Geo check: 12 southern U.S. states, no geographic revenue split</t>
  </si>
  <si>
    <t>S9</t>
  </si>
  <si>
    <t>Motley Fool transcript (call 15-Jul-26; posted 22-Jul-26)</t>
  </si>
  <si>
    <t>https://www.fool.com/earnings/call-transcripts/2026/07/22/first-horizon-fhn-q2-2026-earnings-call-transcript/</t>
  </si>
  <si>
    <t>Expense flat next 2 quarters, deposit cost outlook, NIM high-340s, buybacks</t>
  </si>
  <si>
    <t>S10</t>
  </si>
  <si>
    <t>Barclays Global Financial Services Conference transcript (Quartr via StockAnalysis)</t>
  </si>
  <si>
    <t>https://stockanalysis.com/stocks/fhn/transcripts/742498-barclays-24th-annual-global-financial-services-conference/</t>
  </si>
  <si>
    <t>Intra-quarter: LMC peaked Jun/Jul, low FI ADR, strong 3Q customer deposits, stable deposit pricing, CRE growth</t>
  </si>
  <si>
    <t>S11</t>
  </si>
  <si>
    <t>First Horizon 424B2 (SEC)</t>
  </si>
  <si>
    <t>https://www.sec.gov/Archives/edgar/data/36966/000093041326000705/c115733_424b2.htm</t>
  </si>
  <si>
    <t>Series H 6.75% preferred terms</t>
  </si>
  <si>
    <t>S12</t>
  </si>
  <si>
    <t>PR Newswire (First Horizon)</t>
  </si>
  <si>
    <t>https://www.prnewswire.com/news-releases/first-horizon-declares-cash-dividends-on-common-and-preferred-stock-302836986.html</t>
  </si>
  <si>
    <t>3Q26 common DPS $0.17; Series E/F/H dividends</t>
  </si>
  <si>
    <t>S13</t>
  </si>
  <si>
    <t>First Horizon 10-Q 2Q26 preferred note (SEC)</t>
  </si>
  <si>
    <t>https://www.sec.gov/Archives/edgar/data/36966/000003696626000155/R15.htm</t>
  </si>
  <si>
    <t>Preferred liquidation amounts; Series C redeemed 1-May-26</t>
  </si>
  <si>
    <t>S14</t>
  </si>
  <si>
    <t>First Horizon IR press release</t>
  </si>
  <si>
    <t>https://ir.firsthorizon.com/press-releases/press-release-details/2026/First-Horizon-Corporation-to-Announce-Third-Quarter-Financial-Results-on-October-15-2026/default.aspx</t>
  </si>
  <si>
    <t>Report date 15-Oct-26 (pre-market)</t>
  </si>
  <si>
    <t>S15</t>
  </si>
  <si>
    <t>drillr</t>
  </si>
  <si>
    <t>https://drillr.ai/article/fhn-fed-bank-oversight-threshold-150-billion-bank-mergers-2026</t>
  </si>
  <si>
    <t>Market cap cross-check ~$11.1bn (25-Sep-26 close $23.46)</t>
  </si>
  <si>
    <t>S16</t>
  </si>
  <si>
    <t>Morningstar / Dow Jones Data Talk</t>
  </si>
  <si>
    <t>https://www.morningstar.com/news/dow-jones/202609307962/sp-500-rises-203-this-quarter-to-765154-data-talk</t>
  </si>
  <si>
    <t>S&amp;P 500 +2.03% in 3Q26 (deferred comp, wealth fees)</t>
  </si>
  <si>
    <t>S17</t>
  </si>
  <si>
    <t>Earnings Whispers</t>
  </si>
  <si>
    <t>https://earningswhispers.com/article/FHN/20333</t>
  </si>
  <si>
    <t>Alternative consensus $0.53 / $891.1m (not scoring baseline)</t>
  </si>
  <si>
    <t>S18</t>
  </si>
  <si>
    <t>Zacks via Yahoo Finance</t>
  </si>
  <si>
    <t>https://finance.yahoo.com/markets/stocks/articles/first-horizon-national-fhn-earnings-130003939.html</t>
  </si>
  <si>
    <t>Zacks Earnings ESP -0.55% (most accurate estimate below consensus)</t>
  </si>
  <si>
    <t>S19</t>
  </si>
  <si>
    <t>ORTEX News</t>
  </si>
  <si>
    <t>https://ortex.news/articles/185008/fhn-heads-into-q3-print-with-analyst-cuts-and-shorts-on-the-rise</t>
  </si>
  <si>
    <t>Price-target cuts (Truist, Evercore, Wells Fargo); price $23.08</t>
  </si>
  <si>
    <t>S20</t>
  </si>
  <si>
    <t>MarketIV</t>
  </si>
  <si>
    <t>https://marketiv.app/news/fed-rate-hike-seen-lifting-first-horizon-net-interest-income-29092026</t>
  </si>
  <si>
    <t>Fed +25bp to 3.75-4.00% in Sep-26; FHN +100bp = +2.9% NII</t>
  </si>
  <si>
    <t>S21</t>
  </si>
  <si>
    <t>S&amp;P Capital IQ (attached file)</t>
  </si>
  <si>
    <t>FHN_consensus.json (sha256 0496430a...4d055e)</t>
  </si>
  <si>
    <t>Frozen consensus: EPS $0.52 (18 est.), revenue $889.99m, NI; Inputs A/B</t>
  </si>
  <si>
    <t>S22</t>
  </si>
  <si>
    <t>FHN_history.csv (sha256 abb2e849...79e50)</t>
  </si>
  <si>
    <t>Six-quarter EPS/revenue actual vs consensus; prior calibration</t>
  </si>
  <si>
    <t>S23</t>
  </si>
  <si>
    <t>FactSet / LSEG (playbook reference)</t>
  </si>
  <si>
    <t>https://insight.factset.com/sp-500-earnings-season-update-july-31-2026</t>
  </si>
  <si>
    <t>Context for cohort priors only</t>
  </si>
  <si>
    <t>Note</t>
  </si>
  <si>
    <t>Shortcut</t>
  </si>
  <si>
    <t>Geo tab omitted</t>
  </si>
  <si>
    <t>FY2025 10-K (S8) shows FHN operates in 12 southern U.S. states with no geographic revenue disclosure; geography noted on Revenue summary</t>
  </si>
  <si>
    <t>No Dates / Consensus / Checks tabs</t>
  </si>
  <si>
    <t>Period headers on each tab; consensus on Cover; checks in artifacts/checks.md and inline check rows</t>
  </si>
  <si>
    <t>Retrieved dates post-date cutoff</t>
  </si>
  <si>
    <t>Retrieved (UTC) column is date precision 2026-10-12, after the 2026-10-11 22:24 UTC cutoff; all publication dates are on/before the cutoff. Post-cutoff content stability not verifiable; no capture times asserted</t>
  </si>
  <si>
    <t>Inputs: raw source data (CapIQ snapshot, history, memo quarters, YTD cash flows)</t>
  </si>
  <si>
    <t>A. CapIQ summary row (FHN_consensus.json -&gt; summary_row), raw values; blank source values left blank</t>
  </si>
  <si>
    <t>Field</t>
  </si>
  <si>
    <t>Value (raw)</t>
  </si>
  <si>
    <t>Used in model</t>
  </si>
  <si>
    <t>ticker</t>
  </si>
  <si>
    <t>company_name</t>
  </si>
  <si>
    <t>exchange_ticker</t>
  </si>
  <si>
    <t>NYSE:FHN</t>
  </si>
  <si>
    <t>capiq_company_id</t>
  </si>
  <si>
    <t>sp500_member</t>
  </si>
  <si>
    <t>N</t>
  </si>
  <si>
    <t>Cover prior: S&amp;P 500 flag</t>
  </si>
  <si>
    <t>market_cap_usd_m</t>
  </si>
  <si>
    <t>Blank in export; researched on Share Count; blank in source</t>
  </si>
  <si>
    <t>fiscal_quarter</t>
  </si>
  <si>
    <t>FQ3 2026 - Sep 2026</t>
  </si>
  <si>
    <t>quarter_end_date</t>
  </si>
  <si>
    <t>Cover period end</t>
  </si>
  <si>
    <t>expected_report_date</t>
  </si>
  <si>
    <t>Cover (supplied date; issuer confirmed 2026-10-15)</t>
  </si>
  <si>
    <t>fiscal_year_end</t>
  </si>
  <si>
    <t>Dec-31</t>
  </si>
  <si>
    <t>analysts_covering</t>
  </si>
  <si>
    <t>eps_normalized_mean</t>
  </si>
  <si>
    <t>Cover consensus EPS (scoring baseline)</t>
  </si>
  <si>
    <t>eps_normalized_median</t>
  </si>
  <si>
    <t>eps_normalized_high</t>
  </si>
  <si>
    <t>eps_normalized_low</t>
  </si>
  <si>
    <t>eps_normalized_std_dev</t>
  </si>
  <si>
    <t>eps_normalized_n_est</t>
  </si>
  <si>
    <t>Cover: primary contributor count</t>
  </si>
  <si>
    <t>eps_normalized_guidance</t>
  </si>
  <si>
    <t>blank in source</t>
  </si>
  <si>
    <t>eps_normalized_guidance_low</t>
  </si>
  <si>
    <t>eps_normalized_guidance_high</t>
  </si>
  <si>
    <t>eps_gaap_mean</t>
  </si>
  <si>
    <t>Cover consensus GAAP EPS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</si>
  <si>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</si>
  <si>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</si>
  <si>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</si>
  <si>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</si>
  <si>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</si>
  <si>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</si>
  <si>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</si>
  <si>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Cover consensus revenue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</si>
  <si>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</si>
  <si>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</si>
  <si>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</si>
  <si>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</si>
  <si>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</si>
  <si>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</si>
  <si>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</si>
  <si>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</si>
  <si>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</si>
  <si>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</si>
  <si>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</si>
  <si>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</si>
  <si>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</si>
  <si>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Cover consensus adjusted NI</t>
  </si>
  <si>
    <t>net_income_gaap_m</t>
  </si>
  <si>
    <t>Cover consensus GAAP NI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</si>
  <si>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</si>
  <si>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</si>
  <si>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</si>
  <si>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</si>
  <si>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</si>
  <si>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</si>
  <si>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</si>
  <si>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</si>
  <si>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</si>
  <si>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</si>
  <si>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</si>
  <si>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</si>
  <si>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</si>
  <si>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</si>
  <si>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</si>
  <si>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</si>
  <si>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</si>
  <si>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</si>
  <si>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</si>
  <si>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</si>
  <si>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</si>
  <si>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</si>
  <si>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</si>
  <si>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</si>
  <si>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Share Count market cap</t>
  </si>
  <si>
    <t>wk52_high_low</t>
  </si>
  <si>
    <t>26.56/19.80</t>
  </si>
  <si>
    <t>currency</t>
  </si>
  <si>
    <t>units</t>
  </si>
  <si>
    <t>per-share in USD; revenue and income in USD millions</t>
  </si>
  <si>
    <t>estimates_captured_at</t>
  </si>
  <si>
    <t>notes</t>
  </si>
  <si>
    <t>B. FHN_consensus.json metadata</t>
  </si>
  <si>
    <t>source</t>
  </si>
  <si>
    <t>S&amp;P Capital IQ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</si>
  <si>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</si>
  <si>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</si>
  <si>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</si>
  <si>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</si>
  <si>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</si>
  <si>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</si>
  <si>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summary_sha256</t>
  </si>
  <si>
    <t>edbf949d984075e582c0427440965f3f2b24f43d8e9ef3ba40bd5d158b8c8d16</t>
  </si>
  <si>
    <t>captured_precision</t>
  </si>
  <si>
    <t>date only, user confirmed</t>
  </si>
  <si>
    <t>currency_units_status</t>
  </si>
  <si>
    <t>C. FHN_history.csv (six rows, raw)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</si>
  <si>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</si>
  <si>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</si>
  <si>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</si>
  <si>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</si>
  <si>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</si>
  <si>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</si>
  <si>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</si>
  <si>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</si>
  <si>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strict EPS beat</t>
  </si>
  <si>
    <t>EPS surprise ($)</t>
  </si>
  <si>
    <t>D. Memo quarters for FY25 sums and year-ago comparisons (1Q25, 2Q25 as reported/recast)</t>
  </si>
  <si>
    <t>Line</t>
  </si>
  <si>
    <t>1Q25A</t>
  </si>
  <si>
    <t>2Q25A</t>
  </si>
  <si>
    <t>Source</t>
  </si>
  <si>
    <t>Revenue summary: Fixed income</t>
  </si>
  <si>
    <t>S4/S3</t>
  </si>
  <si>
    <t>Revenue summary: Mortgage banking</t>
  </si>
  <si>
    <t>Revenue summary: Brokerage, trust, and insurance</t>
  </si>
  <si>
    <t>Revenue summary: Service charges and fees</t>
  </si>
  <si>
    <t>Revenue summary: Card and digital banking fees</t>
  </si>
  <si>
    <t>Revenue summary: Deferred compensation income</t>
  </si>
  <si>
    <t>Revenue summary: Securities gains/(losses)</t>
  </si>
  <si>
    <t>Revenue summary: Other noninterest income</t>
  </si>
  <si>
    <t>Revenue summary: Total noninterest income</t>
  </si>
  <si>
    <t>Revenue summary: C&amp;I loans</t>
  </si>
  <si>
    <t>Revenue summary: of which: LMC</t>
  </si>
  <si>
    <t>Revenue summary: C&amp;I ex LMC</t>
  </si>
  <si>
    <t>Revenue summary: Commercial real estate loans</t>
  </si>
  <si>
    <t>Revenue summary: Total commercial loans</t>
  </si>
  <si>
    <t>Revenue summary: Consumer real estate loans</t>
  </si>
  <si>
    <t>Revenue summary: Credit card and other</t>
  </si>
  <si>
    <t>Revenue summary: Total consumer loans</t>
  </si>
  <si>
    <t>Revenue summary: Total loans and leases (average)</t>
  </si>
  <si>
    <t>Revenue summary: Loans held for sale</t>
  </si>
  <si>
    <t>Revenue summary: Investment securities</t>
  </si>
  <si>
    <t>Revenue summary: Trading securities</t>
  </si>
  <si>
    <t>Revenue summary: Interest-bearing deposits with banks</t>
  </si>
  <si>
    <t>Revenue summary: Fed funds sold and reverse repos</t>
  </si>
  <si>
    <t>Revenue summary: Total earning assets (average)</t>
  </si>
  <si>
    <t>Revenue summary: Commercial loan yield</t>
  </si>
  <si>
    <t>Revenue summary: Consumer loan yield</t>
  </si>
  <si>
    <t>Revenue summary: Loans held for sale yield</t>
  </si>
  <si>
    <t>Revenue summary: Investment securities yield</t>
  </si>
  <si>
    <t>Revenue summary: Trading securities yield</t>
  </si>
  <si>
    <t>Revenue summary: Deposits with banks yield</t>
  </si>
  <si>
    <t>Revenue summary: Fed funds sold yield</t>
  </si>
  <si>
    <t>Revenue summary: Commercial loans</t>
  </si>
  <si>
    <t>Revenue summary: Consumer loans</t>
  </si>
  <si>
    <t>Revenue summary: Total interest income (FTE)</t>
  </si>
  <si>
    <t>Revenue summary: Yield on earning assets</t>
  </si>
  <si>
    <t>Revenue summary: Total loan yield</t>
  </si>
  <si>
    <t>Revenue summary: Savings deposits</t>
  </si>
  <si>
    <t>Revenue summary: Time deposits</t>
  </si>
  <si>
    <t>Revenue summary: Other interest-bearing deposits</t>
  </si>
  <si>
    <t>Revenue summary: Total interest-bearing deposits</t>
  </si>
  <si>
    <t>Revenue summary: Noninterest-bearing deposits</t>
  </si>
  <si>
    <t>Revenue summary: Total deposits (average)</t>
  </si>
  <si>
    <t>Revenue summary: Trading liabilities</t>
  </si>
  <si>
    <t>Revenue summary: Fed funds purchased and repos</t>
  </si>
  <si>
    <t>Revenue summary: Short-term borrowings</t>
  </si>
  <si>
    <t>Revenue summary: Term borrowings</t>
  </si>
  <si>
    <t>Revenue summary: Total IB liabilities (average)</t>
  </si>
  <si>
    <t>Revenue summary: Savings rate</t>
  </si>
  <si>
    <t>Revenue summary: Time deposit rate</t>
  </si>
  <si>
    <t>Revenue summary: Other interest-bearing deposit rate</t>
  </si>
  <si>
    <t>Revenue summary: Trading liabilities rate</t>
  </si>
  <si>
    <t>Revenue summary: Fed funds purchased rate</t>
  </si>
  <si>
    <t>Revenue summary: Short-term borrowings rate</t>
  </si>
  <si>
    <t>Revenue summary: Term borrowings rate</t>
  </si>
  <si>
    <t>Revenue summary: Savings</t>
  </si>
  <si>
    <t>Revenue summary: Total interest expense (FTE)</t>
  </si>
  <si>
    <t>Revenue summary: IB deposit cost</t>
  </si>
  <si>
    <t>Revenue summary: Total deposit cost</t>
  </si>
  <si>
    <t>Revenue summary: Net interest income (FTE)</t>
  </si>
  <si>
    <t>Revenue summary: Net interest margin (reported)</t>
  </si>
  <si>
    <t>Revenue summary: Net interest spread</t>
  </si>
  <si>
    <t>Segment - CCW: Net interest income</t>
  </si>
  <si>
    <t>S1/S3</t>
  </si>
  <si>
    <t>Segment - CCW: Noninterest income</t>
  </si>
  <si>
    <t>Segment - CCW: Total segment revenue</t>
  </si>
  <si>
    <t>Segment - CCW: Noninterest expense</t>
  </si>
  <si>
    <t>Segment - CCW: Pre-provision net revenue</t>
  </si>
  <si>
    <t>Segment - CCW: Provision for credit losses</t>
  </si>
  <si>
    <t>Segment - CCW: Income before income taxes</t>
  </si>
  <si>
    <t>Segment - CCW: Income tax expense (benefit)</t>
  </si>
  <si>
    <t>Segment - CCW: Segment net income</t>
  </si>
  <si>
    <t>Segment - CCW: Average loans and leases</t>
  </si>
  <si>
    <t>Segment - CCW: Average interest-earning assets</t>
  </si>
  <si>
    <t>Segment - CCW: Average total assets</t>
  </si>
  <si>
    <t>Segment - CCW: Average deposits</t>
  </si>
  <si>
    <t>Segment - CCW: Segment net interest margin (reported)</t>
  </si>
  <si>
    <t>Segment - Wholesale: Net interest income</t>
  </si>
  <si>
    <t>Segment - Wholesale: Noninterest income</t>
  </si>
  <si>
    <t>Segment - Wholesale: Total segment revenue</t>
  </si>
  <si>
    <t>Segment - Wholesale: Noninterest expense</t>
  </si>
  <si>
    <t>Segment - Wholesale: Pre-provision net revenue</t>
  </si>
  <si>
    <t>Segment - Wholesale: Provision for credit losses</t>
  </si>
  <si>
    <t>Segment - Wholesale: Income before income taxes</t>
  </si>
  <si>
    <t>Segment - Wholesale: Income tax expense (benefit)</t>
  </si>
  <si>
    <t>Segment - Wholesale: Segment net income</t>
  </si>
  <si>
    <t>Segment - Wholesale: Average loans and leases</t>
  </si>
  <si>
    <t>Segment - Wholesale: Average interest-earning assets</t>
  </si>
  <si>
    <t>Segment - Wholesale: Average total assets</t>
  </si>
  <si>
    <t>Segment - Wholesale: Average deposits</t>
  </si>
  <si>
    <t>Segment - Wholesale: Segment net interest margin (reported)</t>
  </si>
  <si>
    <t>Segment - Wholesale: Fixed income ADR ($000)</t>
  </si>
  <si>
    <t>Segment - Wholesale: Trading days (Shortcut count)</t>
  </si>
  <si>
    <t>Segment - Corporate: Net interest income</t>
  </si>
  <si>
    <t>Segment - Corporate: Noninterest income</t>
  </si>
  <si>
    <t>Segment - Corporate: Total segment revenue</t>
  </si>
  <si>
    <t>Segment - Corporate: Noninterest expense</t>
  </si>
  <si>
    <t>Segment - Corporate: Pre-provision net revenue</t>
  </si>
  <si>
    <t>Segment - Corporate: Provision for credit losses</t>
  </si>
  <si>
    <t>Segment - Corporate: Income before income taxes</t>
  </si>
  <si>
    <t>Segment - Corporate: Income tax expense (benefit)</t>
  </si>
  <si>
    <t>Segment - Corporate: Segment net income</t>
  </si>
  <si>
    <t>Segment - Corporate: Average interest-earning assets</t>
  </si>
  <si>
    <t>Segment - Corporate: Average total assets</t>
  </si>
  <si>
    <t>Income Statement: Less: taxable-equivalent adjustment</t>
  </si>
  <si>
    <t>Income Statement: Net interest income (GAAP)</t>
  </si>
  <si>
    <t>Income Statement: Total revenue (GAAP)</t>
  </si>
  <si>
    <t>Income Statement: Total revenue (FTE, consensus basis)</t>
  </si>
  <si>
    <t>CapIQ history I94 = 816 vs issuer FTE 815 here; basis/restatement unconfirmed; not EPS-relevant (retained)</t>
  </si>
  <si>
    <t>Income Statement: Salaries and benefits</t>
  </si>
  <si>
    <t>Income Statement: Incentives and commissions</t>
  </si>
  <si>
    <t>Income Statement: Deferred compensation expense</t>
  </si>
  <si>
    <t>Income Statement: Total personnel expense</t>
  </si>
  <si>
    <t>Income Statement: Occupancy and equipment</t>
  </si>
  <si>
    <t>Income Statement: Outside services</t>
  </si>
  <si>
    <t>Income Statement: Amortization of intangible assets</t>
  </si>
  <si>
    <t>Income Statement: Other noninterest expense (GAAP)</t>
  </si>
  <si>
    <t>Income Statement: Total noninterest expense</t>
  </si>
  <si>
    <t>Income Statement: Pre-provision net revenue (GAAP)</t>
  </si>
  <si>
    <t>Income Statement: Provision for credit losses</t>
  </si>
  <si>
    <t>Income Statement: Income before income taxes</t>
  </si>
  <si>
    <t>Income Statement: Provision for income taxes</t>
  </si>
  <si>
    <t>Income Statement: Net income</t>
  </si>
  <si>
    <t>Income Statement: Noncontrolling interest</t>
  </si>
  <si>
    <t>Income Statement: Net income to controlling interest</t>
  </si>
  <si>
    <t>Income Statement: Preferred stock dividends</t>
  </si>
  <si>
    <t>Income Statement: Net income to common (GAAP)</t>
  </si>
  <si>
    <t>Income Statement: GAAP diluted EPS</t>
  </si>
  <si>
    <t>Income Statement: Add: deferred comp adjustment</t>
  </si>
  <si>
    <t>Income Statement: Add: FDIC special assessment</t>
  </si>
  <si>
    <t>Income Statement: Add: Visa derivative / other notable</t>
  </si>
  <si>
    <t>Income Statement: Total notable items (pre-tax)</t>
  </si>
  <si>
    <t>Income Statement: Less: tax on notable items</t>
  </si>
  <si>
    <t>Income Statement: Add: deemed preferred dividend</t>
  </si>
  <si>
    <t>Income Statement: Adjusted net income to common</t>
  </si>
  <si>
    <t>Income Statement: Adjusted diluted EPS</t>
  </si>
  <si>
    <t>Balance Sheet: Commercial and industrial (C&amp;I)</t>
  </si>
  <si>
    <t>S4/S1</t>
  </si>
  <si>
    <t>Balance Sheet: of which: loans to mortgage cos. (LMC)</t>
  </si>
  <si>
    <t>Balance Sheet: Commercial real estate</t>
  </si>
  <si>
    <t>Balance Sheet: Consumer real estate</t>
  </si>
  <si>
    <t>Balance Sheet: Credit card and other</t>
  </si>
  <si>
    <t>Balance Sheet: Loans and leases</t>
  </si>
  <si>
    <t>Balance Sheet: Loans held for sale</t>
  </si>
  <si>
    <t>Balance Sheet: Investment securities</t>
  </si>
  <si>
    <t>Balance Sheet: Trading securities</t>
  </si>
  <si>
    <t>Balance Sheet: Interest-bearing deposits w/ banks</t>
  </si>
  <si>
    <t>Balance Sheet: Fed funds sold and reverse repos</t>
  </si>
  <si>
    <t>Balance Sheet: Cash and due from banks</t>
  </si>
  <si>
    <t>Balance Sheet: Goodwill and intangibles, net</t>
  </si>
  <si>
    <t>Balance Sheet: Premises and equipment, net</t>
  </si>
  <si>
    <t>Balance Sheet: Allowance for loan and lease losses</t>
  </si>
  <si>
    <t>Balance Sheet: Other assets</t>
  </si>
  <si>
    <t>Balance Sheet: Savings</t>
  </si>
  <si>
    <t>Balance Sheet: Time deposits</t>
  </si>
  <si>
    <t>Balance Sheet: Other interest-bearing deposits</t>
  </si>
  <si>
    <t>Balance Sheet: Trading liabilities</t>
  </si>
  <si>
    <t>Balance Sheet: Fed funds purchased and repos</t>
  </si>
  <si>
    <t>Balance Sheet: Short-term borrowings</t>
  </si>
  <si>
    <t>Balance Sheet: Term borrowings</t>
  </si>
  <si>
    <t>Balance Sheet: Noninterest-bearing deposits</t>
  </si>
  <si>
    <t>Balance Sheet: Other liabilities</t>
  </si>
  <si>
    <t>Balance Sheet: Total deposits (period-end)</t>
  </si>
  <si>
    <t>Balance Sheet: Total allowance for credit losses (1Q25 not retrieved)</t>
  </si>
  <si>
    <t>Balance Sheet: NCO ratio (reported; 1Q25 not retrieved)</t>
  </si>
  <si>
    <t>Balance Sheet: CET1 ratio (reported)</t>
  </si>
  <si>
    <t>Share Count: Period-end shares outstanding (1Q25 not retrieved)</t>
  </si>
  <si>
    <t>Share Count: Weighted average basic shares</t>
  </si>
  <si>
    <t>Share Count: Weighted average diluted shares</t>
  </si>
  <si>
    <t>Share Count: Dividends per share ($)</t>
  </si>
  <si>
    <t>Days in quarter (calendar)</t>
  </si>
  <si>
    <t>calendar</t>
  </si>
  <si>
    <t>E. Cash flow statement, reported year-to-date ($m)</t>
  </si>
  <si>
    <t>3M25</t>
  </si>
  <si>
    <t>6M25</t>
  </si>
  <si>
    <t>9M25</t>
  </si>
  <si>
    <t>FY25</t>
  </si>
  <si>
    <t>3M26</t>
  </si>
  <si>
    <t>6M26</t>
  </si>
  <si>
    <t>S5-S8</t>
  </si>
  <si>
    <t>Net cash from operating activities (reported)</t>
  </si>
  <si>
    <t>Net cash from investing activities (reported)</t>
  </si>
  <si>
    <t>Net cash from financing activities (reported)</t>
  </si>
  <si>
    <t>Cash and cash equivalents, beginning of period (reported)</t>
  </si>
  <si>
    <t>Cash and cash equivalents, end of period (reported)</t>
  </si>
</sst>
</file>

<file path=xl/styles.xml><?xml version="1.0" encoding="utf-8"?>
<styleSheet xmlns="http://schemas.openxmlformats.org/spreadsheetml/2006/main">
  <numFmts count="13">
    <numFmt numFmtId="164" formatCode="0"/>
    <numFmt numFmtId="165" formatCode="yyyy-mm-dd"/>
    <numFmt numFmtId="166" formatCode="@"/>
    <numFmt numFmtId="167" formatCode="0.0%_);(0.0%);&quot;–&quot;_)"/>
    <numFmt numFmtId="168" formatCode="General"/>
    <numFmt numFmtId="169" formatCode="#,##0.0_);(#,##0.0);&quot;–&quot;_)"/>
    <numFmt numFmtId="170" formatCode="$0.00"/>
    <numFmt numFmtId="171" formatCode="#,##0_);(#,##0);&quot;–&quot;_)"/>
    <numFmt numFmtId="172" formatCode="0.00"/>
    <numFmt numFmtId="173" formatCode="0.00%_);(0.00%);&quot;–&quot;_)"/>
    <numFmt numFmtId="174" formatCode="0.0%_);(0.0%);0.0%_)"/>
    <numFmt numFmtId="175" formatCode="$0.00_);($0.00)"/>
    <numFmt numFmtId="176" formatCode="$0.000_);($0.000)"/>
  </numFmts>
  <fonts count="43">
    <font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/>
      <i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 val="0"/>
      <i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 val="0"/>
      <i/>
      <strike val="0"/>
      <sz val="10"/>
      <color rgb="FF595959"/>
      <name val="Arial"/>
    </font>
    <font>
      <b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/>
      <i val="0"/>
      <strike val="0"/>
      <sz val="14"/>
      <color rgb="FF000000"/>
      <name val="Arial"/>
    </font>
    <font>
      <b/>
      <i/>
      <strike val="0"/>
      <sz val="10"/>
      <color rgb="FF595959"/>
      <name val="Arial"/>
      <family val="2"/>
      <scheme val="minor"/>
    </font>
    <font>
      <b/>
      <i val="0"/>
      <strike val="0"/>
      <sz val="10"/>
      <color rgb="FF006100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/>
      <strike val="0"/>
      <sz val="10"/>
      <color rgb="FF595959"/>
      <name val="Arial"/>
      <family val="2"/>
      <scheme val="minor"/>
    </font>
    <font>
      <b val="0"/>
      <i/>
      <strike val="0"/>
      <sz val="10"/>
      <color rgb="FF0000FF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0061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/>
      <strike val="0"/>
      <sz val="10"/>
      <color rgb="FF0000FF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595959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 val="0"/>
      <i/>
      <strike val="0"/>
      <sz val="10"/>
      <color rgb="FF595959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/>
      <strike val="0"/>
      <sz val="10"/>
      <color rgb="FF0000FF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595959"/>
      <name val="Arial"/>
      <family val="2"/>
      <scheme val="minor"/>
    </font>
    <font>
      <b val="0"/>
      <i/>
      <strike val="0"/>
      <sz val="10"/>
      <color rgb="FF006100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/>
      <strike val="0"/>
      <sz val="10"/>
      <color rgb="FF0000FF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595959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none"/>
    </fill>
    <fill>
      <patternFill patternType="solid">
        <fgColor rgb="FFEAF1FB"/>
      </patternFill>
    </fill>
  </fills>
  <borders count="4">
    <border/>
    <border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9">
    <xf numFmtId="0" fontId="0" fillId="0" borderId="0" xfId="0"/>
    <xf numFmtId="164" fontId="1" fillId="2" borderId="1" xfId="0" applyNumberFormat="1" applyFont="1" applyFill="1" applyBorder="1" applyAlignment="1" applyProtection="1">
      <alignment horizontal="right" vertical="bottom"/>
      <protection locked="1" hidden="0"/>
    </xf>
    <xf numFmtId="165" fontId="2" fillId="3" borderId="0" xfId="0" applyNumberFormat="1" applyFont="1" applyFill="1" applyAlignment="1" applyProtection="1">
      <alignment horizontal="right" vertical="top" wrapText="1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6" fontId="1" fillId="3" borderId="0" xfId="0" applyNumberFormat="1" applyFont="1" applyFill="1" applyAlignment="1" applyProtection="1">
      <alignment horizontal="general" vertical="top" wrapText="1"/>
      <protection locked="1" hidden="0"/>
    </xf>
    <xf numFmtId="0" fontId="1" fillId="3" borderId="0" xfId="0" applyFont="1" applyFill="1" applyAlignment="1" applyProtection="1">
      <alignment horizontal="general" vertical="top" wrapText="1"/>
      <protection locked="1" hidden="0"/>
    </xf>
    <xf numFmtId="0" fontId="3" fillId="2" borderId="2" xfId="0" applyFont="1" applyFill="1" applyBorder="1" applyAlignment="1" applyProtection="1">
      <alignment horizontal="right" vertical="bottom"/>
      <protection locked="1" hidden="0"/>
    </xf>
    <xf numFmtId="0" fontId="4" fillId="3" borderId="0" xfId="0" applyFont="1" applyFill="1" applyAlignment="1" applyProtection="1">
      <alignment horizontal="general" vertical="bottom"/>
      <protection locked="1" hidden="0"/>
    </xf>
    <xf numFmtId="167" fontId="5" fillId="3" borderId="0" xfId="0" applyNumberFormat="1" applyFont="1" applyFill="1" applyAlignment="1" applyProtection="1">
      <alignment horizontal="right" vertical="top" wrapText="1"/>
      <protection locked="1" hidden="0"/>
    </xf>
    <xf numFmtId="167" fontId="6" fillId="3" borderId="0" xfId="0" applyNumberFormat="1" applyFont="1" applyFill="1" applyAlignment="1" applyProtection="1">
      <alignment horizontal="right" vertical="top" wrapText="1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168" fontId="1" fillId="3" borderId="0" xfId="0" applyNumberFormat="1" applyFont="1" applyFill="1" applyAlignment="1" applyProtection="1">
      <alignment horizontal="general" vertical="top" wrapText="1"/>
      <protection locked="1" hidden="0"/>
    </xf>
    <xf numFmtId="167" fontId="7" fillId="3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6" fontId="3" fillId="3" borderId="2" xfId="0" applyNumberFormat="1" applyFont="1" applyFill="1" applyBorder="1" applyAlignment="1" applyProtection="1">
      <alignment horizontal="general" vertical="top" wrapText="1"/>
      <protection locked="1" hidden="0"/>
    </xf>
    <xf numFmtId="166" fontId="1" fillId="3" borderId="0" xfId="0" applyNumberFormat="1" applyFont="1" applyFill="1" applyAlignment="1" applyProtection="1">
      <alignment horizontal="left" vertical="bottom"/>
      <protection locked="1" hidden="0"/>
    </xf>
    <xf numFmtId="167" fontId="7" fillId="3" borderId="0" xfId="0" applyNumberFormat="1" applyFont="1" applyFill="1" applyAlignment="1" applyProtection="1">
      <alignment horizontal="right" vertical="top" wrapText="1"/>
      <protection locked="1" hidden="0"/>
    </xf>
    <xf numFmtId="167" fontId="4" fillId="3" borderId="0" xfId="0" applyNumberFormat="1" applyFont="1" applyFill="1" applyAlignment="1" applyProtection="1">
      <alignment horizontal="right" vertical="bottom"/>
      <protection locked="1" hidden="0"/>
    </xf>
    <xf numFmtId="169" fontId="1" fillId="3" borderId="0" xfId="0" applyNumberFormat="1" applyFont="1" applyFill="1" applyAlignment="1" applyProtection="1">
      <alignment horizontal="right" vertical="bottom"/>
      <protection locked="1" hidden="0"/>
    </xf>
    <xf numFmtId="169" fontId="2" fillId="3" borderId="0" xfId="0" applyNumberFormat="1" applyFont="1" applyFill="1" applyAlignment="1" applyProtection="1">
      <alignment horizontal="right" vertical="top" wrapText="1"/>
      <protection locked="1" hidden="0"/>
    </xf>
    <xf numFmtId="166" fontId="3" fillId="2" borderId="3" xfId="0" applyNumberFormat="1" applyFont="1" applyFill="1" applyBorder="1" applyAlignment="1" applyProtection="1">
      <alignment horizontal="right" vertical="bottom" wrapText="1"/>
      <protection locked="1" hidden="0"/>
    </xf>
    <xf numFmtId="168" fontId="7" fillId="3" borderId="0" xfId="0" applyNumberFormat="1" applyFont="1" applyFill="1" applyAlignment="1" applyProtection="1">
      <alignment horizontal="general" vertical="top" wrapText="1"/>
      <protection locked="1" hidden="0"/>
    </xf>
    <xf numFmtId="165" fontId="1" fillId="3" borderId="0" xfId="0" applyNumberFormat="1" applyFont="1" applyFill="1" applyAlignment="1" applyProtection="1">
      <alignment horizontal="right" vertical="top" wrapText="1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0" fontId="3" fillId="2" borderId="2" xfId="0" applyFont="1" applyFill="1" applyBorder="1" applyAlignment="1" applyProtection="1">
      <alignment horizontal="general" vertical="bottom"/>
      <protection locked="1" hidden="0"/>
    </xf>
    <xf numFmtId="169" fontId="8" fillId="3" borderId="0" xfId="0" applyNumberFormat="1" applyFont="1" applyFill="1" applyAlignment="1" applyProtection="1">
      <alignment horizontal="right" vertical="top" wrapText="1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165" fontId="2" fillId="3" borderId="0" xfId="0" applyNumberFormat="1" applyFont="1" applyFill="1" applyAlignment="1" applyProtection="1">
      <alignment horizontal="general" vertical="top" wrapText="1"/>
      <protection locked="1" hidden="0"/>
    </xf>
    <xf numFmtId="170" fontId="8" fillId="3" borderId="0" xfId="0" applyNumberFormat="1" applyFont="1" applyFill="1" applyAlignment="1" applyProtection="1">
      <alignment horizontal="right" vertical="bottom"/>
      <protection locked="1" hidden="0"/>
    </xf>
    <xf numFmtId="166" fontId="3" fillId="3" borderId="0" xfId="0" applyNumberFormat="1" applyFont="1" applyFill="1" applyAlignment="1" applyProtection="1">
      <alignment horizontal="right" vertical="bottom"/>
      <protection locked="1" hidden="0"/>
    </xf>
    <xf numFmtId="168" fontId="7" fillId="3" borderId="0" xfId="0" applyNumberFormat="1" applyFont="1" applyFill="1" applyAlignment="1" applyProtection="1">
      <alignment horizontal="right" vertical="bottom"/>
      <protection locked="1" hidden="0"/>
    </xf>
    <xf numFmtId="171" fontId="1" fillId="3" borderId="0" xfId="0" applyNumberFormat="1" applyFont="1" applyFill="1" applyAlignment="1" applyProtection="1">
      <alignment horizontal="right" vertical="bottom"/>
      <protection locked="1" hidden="0"/>
    </xf>
    <xf numFmtId="0" fontId="7" fillId="3" borderId="0" xfId="0" applyFont="1" applyFill="1" applyAlignment="1" applyProtection="1">
      <alignment horizontal="general" vertical="bottom"/>
      <protection locked="1" hidden="0"/>
    </xf>
    <xf numFmtId="167" fontId="5" fillId="3" borderId="0" xfId="0" applyNumberFormat="1" applyFont="1" applyFill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170" fontId="1" fillId="3" borderId="0" xfId="0" applyNumberFormat="1" applyFont="1" applyFill="1" applyAlignment="1" applyProtection="1">
      <alignment horizontal="right" vertical="bottom"/>
      <protection locked="1" hidden="0"/>
    </xf>
    <xf numFmtId="170" fontId="1" fillId="4" borderId="0" xfId="0" applyNumberFormat="1" applyFont="1" applyFill="1" applyAlignment="1" applyProtection="1">
      <alignment horizontal="right" vertical="bottom"/>
      <protection locked="1" hidden="0"/>
    </xf>
    <xf numFmtId="0" fontId="9" fillId="3" borderId="0" xfId="0" applyFont="1" applyFill="1" applyAlignment="1" applyProtection="1">
      <alignment horizontal="general" vertical="bottom"/>
      <protection locked="1" hidden="0"/>
    </xf>
    <xf numFmtId="0" fontId="1" fillId="3" borderId="0" xfId="0" applyFont="1" applyFill="1" applyAlignment="1" applyProtection="1">
      <alignment horizontal="general" vertical="bottom" indent="1"/>
      <protection locked="1" hidden="0"/>
    </xf>
    <xf numFmtId="0" fontId="10" fillId="3" borderId="0" xfId="0" applyFont="1" applyFill="1" applyAlignment="1" applyProtection="1">
      <alignment horizontal="general" vertical="bottom"/>
      <protection locked="1" hidden="0"/>
    </xf>
    <xf numFmtId="169" fontId="2" fillId="4" borderId="0" xfId="0" applyNumberFormat="1" applyFont="1" applyFill="1" applyAlignment="1" applyProtection="1">
      <alignment horizontal="right" vertical="bottom"/>
      <protection locked="1" hidden="0"/>
    </xf>
    <xf numFmtId="169" fontId="11" fillId="3" borderId="2" xfId="0" applyNumberFormat="1" applyFont="1" applyFill="1" applyBorder="1" applyAlignment="1" applyProtection="1">
      <alignment horizontal="right" vertical="bottom"/>
      <protection locked="1" hidden="0"/>
    </xf>
    <xf numFmtId="0" fontId="3" fillId="3" borderId="0" xfId="0" applyFont="1" applyFill="1" applyAlignment="1" applyProtection="1">
      <alignment horizontal="general" vertical="bottom" indent="1"/>
      <protection locked="1" hidden="0"/>
    </xf>
    <xf numFmtId="169" fontId="8" fillId="3" borderId="0" xfId="0" applyNumberFormat="1" applyFont="1" applyFill="1" applyAlignment="1" applyProtection="1">
      <alignment horizontal="right" vertical="bottom"/>
      <protection locked="1" hidden="0"/>
    </xf>
    <xf numFmtId="0" fontId="3" fillId="3" borderId="0" xfId="0" applyFont="1" applyFill="1" applyAlignment="1" applyProtection="1">
      <alignment horizontal="general" vertical="top" wrapText="1"/>
      <protection locked="1" hidden="0"/>
    </xf>
    <xf numFmtId="169" fontId="3" fillId="3" borderId="2" xfId="0" applyNumberFormat="1" applyFont="1" applyFill="1" applyBorder="1" applyAlignment="1" applyProtection="1">
      <alignment horizontal="right" vertical="bottom"/>
      <protection locked="1" hidden="0"/>
    </xf>
    <xf numFmtId="169" fontId="1" fillId="4" borderId="0" xfId="0" applyNumberFormat="1" applyFont="1" applyFill="1" applyAlignment="1" applyProtection="1">
      <alignment horizontal="right" vertical="bottom"/>
      <protection locked="1" hidden="0"/>
    </xf>
    <xf numFmtId="167" fontId="6" fillId="3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 indent="2"/>
      <protection locked="1" hidden="0"/>
    </xf>
    <xf numFmtId="0" fontId="2" fillId="3" borderId="0" xfId="0" applyFont="1" applyFill="1" applyAlignment="1" applyProtection="1">
      <alignment horizontal="general" vertical="top" wrapText="1"/>
      <protection locked="1" hidden="0"/>
    </xf>
    <xf numFmtId="168" fontId="1" fillId="4" borderId="0" xfId="0" applyNumberFormat="1" applyFont="1" applyFill="1" applyAlignment="1" applyProtection="1">
      <alignment horizontal="right" vertical="bottom"/>
      <protection locked="1" hidden="0"/>
    </xf>
    <xf numFmtId="166" fontId="8" fillId="3" borderId="0" xfId="0" applyNumberFormat="1" applyFont="1" applyFill="1" applyAlignment="1" applyProtection="1">
      <alignment horizontal="right" vertical="bottom"/>
      <protection locked="1" hidden="0"/>
    </xf>
    <xf numFmtId="170" fontId="2" fillId="4" borderId="0" xfId="0" applyNumberFormat="1" applyFont="1" applyFill="1" applyAlignment="1" applyProtection="1">
      <alignment horizontal="right" vertical="bottom"/>
      <protection locked="1" hidden="0"/>
    </xf>
    <xf numFmtId="0" fontId="7" fillId="3" borderId="0" xfId="0" applyFont="1" applyFill="1" applyAlignment="1" applyProtection="1">
      <alignment horizontal="general" vertical="bottom" indent="2"/>
      <protection locked="1" hidden="0"/>
    </xf>
    <xf numFmtId="169" fontId="1" fillId="3" borderId="0" xfId="0" applyNumberFormat="1" applyFont="1" applyFill="1" applyAlignment="1" applyProtection="1">
      <alignment horizontal="right" vertical="top" wrapText="1"/>
      <protection locked="1" hidden="0"/>
    </xf>
    <xf numFmtId="0" fontId="7" fillId="3" borderId="0" xfId="0" applyFont="1" applyFill="1" applyAlignment="1" applyProtection="1">
      <alignment horizontal="general" vertical="top" wrapText="1"/>
      <protection locked="1" hidden="0"/>
    </xf>
    <xf numFmtId="0" fontId="3" fillId="3" borderId="0" xfId="0" applyFont="1" applyFill="1" applyAlignment="1" applyProtection="1">
      <alignment horizontal="general" vertical="bottom"/>
      <protection locked="1" hidden="0"/>
    </xf>
    <xf numFmtId="0" fontId="1" fillId="4" borderId="0" xfId="0" applyFont="1" applyFill="1" applyAlignment="1" applyProtection="1">
      <alignment horizontal="general" vertical="bottom"/>
      <protection locked="1" hidden="0"/>
    </xf>
    <xf numFmtId="166" fontId="12" fillId="3" borderId="0" xfId="0" applyNumberFormat="1" applyFont="1" applyFill="1" applyAlignment="1" applyProtection="1">
      <alignment horizontal="right" vertical="bottom"/>
      <protection locked="1" hidden="0"/>
    </xf>
    <xf numFmtId="168" fontId="3" fillId="3" borderId="0" xfId="0" applyNumberFormat="1" applyFont="1" applyFill="1" applyAlignment="1" applyProtection="1">
      <alignment horizontal="right" vertical="bottom"/>
      <protection locked="1" hidden="0"/>
    </xf>
    <xf numFmtId="171" fontId="8" fillId="3" borderId="0" xfId="0" applyNumberFormat="1" applyFont="1" applyFill="1" applyAlignment="1" applyProtection="1">
      <alignment horizontal="right" vertical="bottom"/>
      <protection locked="1" hidden="0"/>
    </xf>
    <xf numFmtId="170" fontId="2" fillId="3" borderId="0" xfId="0" applyNumberFormat="1" applyFont="1" applyFill="1" applyAlignment="1" applyProtection="1">
      <alignment horizontal="right" vertical="bottom"/>
      <protection locked="1" hidden="0"/>
    </xf>
    <xf numFmtId="169" fontId="2" fillId="3" borderId="0" xfId="0" applyNumberFormat="1" applyFont="1" applyFill="1" applyAlignment="1" applyProtection="1">
      <alignment horizontal="right" vertical="bottom"/>
      <protection locked="1" hidden="0"/>
    </xf>
    <xf numFmtId="0" fontId="13" fillId="3" borderId="0" xfId="0" applyFont="1" applyFill="1" applyAlignment="1" applyProtection="1">
      <alignment horizontal="general" vertical="bottom"/>
      <protection locked="1" hidden="0"/>
    </xf>
    <xf numFmtId="166" fontId="7" fillId="3" borderId="0" xfId="0" applyNumberFormat="1" applyFont="1" applyFill="1" applyAlignment="1" applyProtection="1">
      <alignment horizontal="right" vertical="bottom"/>
      <protection locked="1" hidden="0"/>
    </xf>
    <xf numFmtId="169" fontId="5" fillId="3" borderId="0" xfId="0" applyNumberFormat="1" applyFont="1" applyFill="1" applyAlignment="1" applyProtection="1">
      <alignment horizontal="right" vertical="bottom"/>
      <protection locked="1" hidden="0"/>
    </xf>
    <xf numFmtId="169" fontId="7" fillId="3" borderId="0" xfId="0" applyNumberFormat="1" applyFont="1" applyFill="1" applyAlignment="1" applyProtection="1">
      <alignment horizontal="right" vertical="bottom"/>
      <protection locked="1" hidden="0"/>
    </xf>
    <xf numFmtId="167" fontId="7" fillId="4" borderId="0" xfId="0" applyNumberFormat="1" applyFont="1" applyFill="1" applyAlignment="1" applyProtection="1">
      <alignment horizontal="right" vertical="bottom"/>
      <protection locked="1" hidden="0"/>
    </xf>
    <xf numFmtId="169" fontId="3" fillId="4" borderId="2" xfId="0" applyNumberFormat="1" applyFont="1" applyFill="1" applyBorder="1" applyAlignment="1" applyProtection="1">
      <alignment horizontal="right" vertical="bottom"/>
      <protection locked="1" hidden="0"/>
    </xf>
    <xf numFmtId="0" fontId="3" fillId="3" borderId="0" xfId="0" applyFont="1" applyFill="1" applyAlignment="1" applyProtection="1">
      <alignment horizontal="general" vertical="bottom" wrapText="1"/>
      <protection locked="1" hidden="0"/>
    </xf>
    <xf numFmtId="0" fontId="10" fillId="2" borderId="1" xfId="0" applyFont="1" applyFill="1" applyBorder="1" applyAlignment="1" applyProtection="1">
      <alignment horizontal="general" vertical="bottom"/>
      <protection locked="1" hidden="0"/>
    </xf>
    <xf numFmtId="0" fontId="7" fillId="3" borderId="0" xfId="0" applyFont="1" applyFill="1" applyAlignment="1" applyProtection="1">
      <alignment horizontal="general" vertical="bottom" indent="1"/>
      <protection locked="1" hidden="0"/>
    </xf>
    <xf numFmtId="0" fontId="1" fillId="3" borderId="0" xfId="0" applyFont="1" applyFill="1" applyAlignment="1" applyProtection="1">
      <alignment horizontal="general" vertical="bottom" wrapText="1" indent="2"/>
      <protection locked="1" hidden="0"/>
    </xf>
    <xf numFmtId="169" fontId="8" fillId="4" borderId="0" xfId="0" applyNumberFormat="1" applyFont="1" applyFill="1" applyAlignment="1" applyProtection="1">
      <alignment horizontal="right" vertical="bottom"/>
      <protection locked="1" hidden="0"/>
    </xf>
    <xf numFmtId="0" fontId="3" fillId="2" borderId="3" xfId="0" applyFont="1" applyFill="1" applyBorder="1" applyAlignment="1" applyProtection="1">
      <alignment horizontal="general" vertical="bottom"/>
      <protection locked="1" hidden="0"/>
    </xf>
    <xf numFmtId="169" fontId="5" fillId="4" borderId="0" xfId="0" applyNumberFormat="1" applyFont="1" applyFill="1" applyAlignment="1" applyProtection="1">
      <alignment horizontal="right" vertical="bottom"/>
      <protection locked="1" hidden="0"/>
    </xf>
    <xf numFmtId="166" fontId="7" fillId="4" borderId="0" xfId="0" applyNumberFormat="1" applyFont="1" applyFill="1" applyAlignment="1" applyProtection="1">
      <alignment horizontal="right" vertical="bottom"/>
      <protection locked="1" hidden="0"/>
    </xf>
    <xf numFmtId="171" fontId="2" fillId="3" borderId="0" xfId="0" applyNumberFormat="1" applyFont="1" applyFill="1" applyAlignment="1" applyProtection="1">
      <alignment horizontal="right" vertical="bottom"/>
      <protection locked="1" hidden="0"/>
    </xf>
    <xf numFmtId="0" fontId="3" fillId="4" borderId="2" xfId="0" applyFont="1" applyFill="1" applyBorder="1" applyAlignment="1" applyProtection="1">
      <alignment horizontal="right" vertical="bottom"/>
      <protection locked="1" hidden="0"/>
    </xf>
    <xf numFmtId="0" fontId="10" fillId="2" borderId="0" xfId="0" applyFont="1" applyFill="1" applyAlignment="1" applyProtection="1">
      <alignment horizontal="general" vertical="bottom"/>
      <protection locked="1" hidden="0"/>
    </xf>
    <xf numFmtId="169" fontId="6" fillId="3" borderId="0" xfId="0" applyNumberFormat="1" applyFont="1" applyFill="1" applyAlignment="1" applyProtection="1">
      <alignment horizontal="right" vertical="bottom"/>
      <protection locked="1" hidden="0"/>
    </xf>
    <xf numFmtId="165" fontId="1" fillId="4" borderId="0" xfId="0" applyNumberFormat="1" applyFont="1" applyFill="1" applyAlignment="1" applyProtection="1">
      <alignment horizontal="right" vertical="bottom"/>
      <protection locked="1" hidden="0"/>
    </xf>
    <xf numFmtId="169" fontId="7" fillId="4" borderId="0" xfId="0" applyNumberFormat="1" applyFont="1" applyFill="1" applyAlignment="1" applyProtection="1">
      <alignment horizontal="right" vertical="bottom"/>
      <protection locked="1" hidden="0"/>
    </xf>
    <xf numFmtId="169" fontId="12" fillId="3" borderId="2" xfId="0" applyNumberFormat="1" applyFont="1" applyFill="1" applyBorder="1" applyAlignment="1" applyProtection="1">
      <alignment horizontal="right" vertical="bottom"/>
      <protection locked="1" hidden="0"/>
    </xf>
    <xf numFmtId="164" fontId="1" fillId="4" borderId="1" xfId="0" applyNumberFormat="1" applyFont="1" applyFill="1" applyBorder="1" applyAlignment="1" applyProtection="1">
      <alignment horizontal="right" vertical="bottom"/>
      <protection locked="1" hidden="0"/>
    </xf>
    <xf numFmtId="168" fontId="7" fillId="4" borderId="0" xfId="0" applyNumberFormat="1" applyFont="1" applyFill="1" applyAlignment="1" applyProtection="1">
      <alignment horizontal="right" vertical="bottom"/>
      <protection locked="1" hidden="0"/>
    </xf>
    <xf numFmtId="164" fontId="7" fillId="3" borderId="0" xfId="0" applyNumberFormat="1" applyFont="1" applyFill="1" applyAlignment="1" applyProtection="1">
      <alignment horizontal="right" vertical="bottom"/>
      <protection locked="1" hidden="0"/>
    </xf>
    <xf numFmtId="167" fontId="6" fillId="4" borderId="0" xfId="0" applyNumberFormat="1" applyFont="1" applyFill="1" applyAlignment="1" applyProtection="1">
      <alignment horizontal="right" vertical="bottom"/>
      <protection locked="1" hidden="0"/>
    </xf>
    <xf numFmtId="171" fontId="1" fillId="4" borderId="0" xfId="0" applyNumberFormat="1" applyFont="1" applyFill="1" applyAlignment="1" applyProtection="1">
      <alignment horizontal="right" vertical="bottom"/>
      <protection locked="1" hidden="0"/>
    </xf>
    <xf numFmtId="164" fontId="7" fillId="4" borderId="0" xfId="0" applyNumberFormat="1" applyFont="1" applyFill="1" applyAlignment="1" applyProtection="1">
      <alignment horizontal="right" vertical="bottom"/>
      <protection locked="1" hidden="0"/>
    </xf>
    <xf numFmtId="167" fontId="5" fillId="4" borderId="0" xfId="0" applyNumberFormat="1" applyFont="1" applyFill="1" applyAlignment="1" applyProtection="1">
      <alignment horizontal="right" vertical="bottom"/>
      <protection locked="1" hidden="0"/>
    </xf>
    <xf numFmtId="171" fontId="2" fillId="4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 indent="3"/>
      <protection locked="1" hidden="0"/>
    </xf>
    <xf numFmtId="170" fontId="7" fillId="3" borderId="0" xfId="0" applyNumberFormat="1" applyFont="1" applyFill="1" applyAlignment="1" applyProtection="1">
      <alignment horizontal="right" vertical="bottom"/>
      <protection locked="1" hidden="0"/>
    </xf>
    <xf numFmtId="170" fontId="3" fillId="3" borderId="2" xfId="0" applyNumberFormat="1" applyFont="1" applyFill="1" applyBorder="1" applyAlignment="1" applyProtection="1">
      <alignment horizontal="right" vertical="bottom"/>
      <protection locked="1" hidden="0"/>
    </xf>
    <xf numFmtId="170" fontId="5" fillId="3" borderId="0" xfId="0" applyNumberFormat="1" applyFont="1" applyFill="1" applyAlignment="1" applyProtection="1">
      <alignment horizontal="right" vertical="bottom"/>
      <protection locked="1" hidden="0"/>
    </xf>
    <xf numFmtId="169" fontId="12" fillId="4" borderId="2" xfId="0" applyNumberFormat="1" applyFont="1" applyFill="1" applyBorder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 indent="4"/>
      <protection locked="1" hidden="0"/>
    </xf>
    <xf numFmtId="170" fontId="3" fillId="4" borderId="2" xfId="0" applyNumberFormat="1" applyFont="1" applyFill="1" applyBorder="1" applyAlignment="1" applyProtection="1">
      <alignment horizontal="right" vertical="bottom"/>
      <protection locked="1" hidden="0"/>
    </xf>
    <xf numFmtId="170" fontId="7" fillId="4" borderId="0" xfId="0" applyNumberFormat="1" applyFont="1" applyFill="1" applyAlignment="1" applyProtection="1">
      <alignment horizontal="right" vertical="bottom"/>
      <protection locked="1" hidden="0"/>
    </xf>
    <xf numFmtId="0" fontId="7" fillId="3" borderId="0" xfId="0" applyFont="1" applyFill="1" applyAlignment="1" applyProtection="1">
      <alignment horizontal="general" vertical="bottom" indent="3"/>
      <protection locked="1" hidden="0"/>
    </xf>
    <xf numFmtId="168" fontId="1" fillId="3" borderId="0" xfId="0" applyNumberFormat="1" applyFont="1" applyFill="1" applyAlignment="1" applyProtection="1">
      <alignment horizontal="general" vertical="bottom"/>
      <protection locked="1" hidden="0"/>
    </xf>
    <xf numFmtId="166" fontId="3" fillId="3" borderId="0" xfId="0" applyNumberFormat="1" applyFont="1" applyFill="1" applyAlignment="1" applyProtection="1">
      <alignment horizontal="general" vertical="bottom"/>
      <protection locked="1" hidden="0"/>
    </xf>
    <xf numFmtId="164" fontId="2" fillId="3" borderId="0" xfId="0" applyNumberFormat="1" applyFont="1" applyFill="1" applyAlignment="1" applyProtection="1">
      <alignment horizontal="right" vertical="bottom"/>
      <protection locked="1" hidden="0"/>
    </xf>
    <xf numFmtId="166" fontId="3" fillId="3" borderId="0" xfId="0" applyNumberFormat="1" applyFont="1" applyFill="1" applyAlignment="1" applyProtection="1">
      <alignment horizontal="general" vertical="bottom" wrapText="1"/>
      <protection locked="1" hidden="0"/>
    </xf>
    <xf numFmtId="168" fontId="7" fillId="3" borderId="0" xfId="0" applyNumberFormat="1" applyFont="1" applyFill="1" applyAlignment="1" applyProtection="1">
      <alignment horizontal="general" vertical="bottom"/>
      <protection locked="1" hidden="0"/>
    </xf>
    <xf numFmtId="165" fontId="2" fillId="3" borderId="0" xfId="0" applyNumberFormat="1" applyFont="1" applyFill="1" applyAlignment="1" applyProtection="1">
      <alignment horizontal="right" vertical="bottom"/>
      <protection locked="1" hidden="0"/>
    </xf>
    <xf numFmtId="165" fontId="2" fillId="3" borderId="0" xfId="0" applyNumberFormat="1" applyFont="1" applyFill="1" applyAlignment="1" applyProtection="1">
      <alignment horizontal="general" vertical="bottom"/>
      <protection locked="1" hidden="0"/>
    </xf>
    <xf numFmtId="172" fontId="2" fillId="3" borderId="0" xfId="0" applyNumberFormat="1" applyFont="1" applyFill="1" applyAlignment="1" applyProtection="1">
      <alignment horizontal="right" vertical="bottom"/>
      <protection locked="1" hidden="0"/>
    </xf>
    <xf numFmtId="168" fontId="2" fillId="3" borderId="0" xfId="0" applyNumberFormat="1" applyFont="1" applyFill="1" applyAlignment="1" applyProtection="1">
      <alignment horizontal="general" vertical="bottom"/>
      <protection locked="1" hidden="0"/>
    </xf>
    <xf numFmtId="168" fontId="3" fillId="4" borderId="0" xfId="0" applyNumberFormat="1" applyFont="1" applyFill="1" applyAlignment="1" applyProtection="1">
      <alignment horizontal="right" vertical="bottom"/>
      <protection locked="1" hidden="0"/>
    </xf>
    <xf numFmtId="167" fontId="14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8" fontId="14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6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8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18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6" fontId="19" fillId="0" borderId="2" xfId="0" applyNumberFormat="1" applyFont="1" applyFill="1" applyBorder="1" applyAlignment="1" applyProtection="1">
      <alignment horizontal="right" vertical="top" textRotation="0" wrapText="1" indent="0" readingOrder="0"/>
      <protection locked="1" hidden="0"/>
    </xf>
    <xf numFmtId="168" fontId="20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8" fontId="19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7" fontId="1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6" fontId="21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68" fontId="16" fillId="0" borderId="0" xfId="0" applyNumberFormat="1" applyFont="1" applyFill="1" applyAlignment="1" applyProtection="1">
      <alignment horizontal="general" vertical="top" textRotation="0" indent="0" readingOrder="0"/>
      <protection locked="1" hidden="0"/>
    </xf>
    <xf numFmtId="168" fontId="21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65" fontId="21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73" fontId="22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8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9" fillId="0" borderId="0" xfId="0" applyNumberFormat="1" applyFont="1" applyFill="1" applyAlignment="1" applyProtection="1">
      <alignment horizontal="right" vertical="bottom" textRotation="0" wrapText="1" indent="0" readingOrder="0"/>
      <protection locked="1" hidden="0"/>
    </xf>
    <xf numFmtId="169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19" fillId="0" borderId="0" xfId="0" applyNumberFormat="1" applyFont="1" applyFill="1" applyAlignment="1" applyProtection="1">
      <alignment horizontal="right" vertical="bottom" textRotation="0" wrapText="1" indent="0" readingOrder="0"/>
      <protection locked="1" hidden="0"/>
    </xf>
    <xf numFmtId="173" fontId="18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23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74" fontId="24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74" fontId="25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8" fontId="26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7" fontId="2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2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28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3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31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5" fontId="3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3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32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9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31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5" fontId="3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3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35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33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35" fillId="4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8" fontId="3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37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73" fontId="38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73" fontId="39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8" fontId="36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9" fontId="4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3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3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39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3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37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38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4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42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19050</xdr:rowOff>
    </xdr:from>
    <xdr:ext cx="552450" cy="55245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52450" cy="5524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showGridLines="0" tabSelected="1" workbookViewId="0"/>
  </sheetViews>
  <sheetFormatPr defaultColWidth="8.42578125" defaultRowHeight="15"/>
  <cols>
    <col min="1" max="1" width="10" customWidth="1"/>
    <col min="2" max="2" width="34" customWidth="1"/>
    <col min="3" max="9" width="12" customWidth="1"/>
  </cols>
  <sheetData>
    <row r="1">
      <c r="A1" s="3"/>
      <c r="B1" s="37" t="s">
        <v>0</v>
      </c>
      <c r="C1" s="3"/>
      <c r="D1" s="3"/>
      <c r="E1" s="3"/>
      <c r="F1" s="3"/>
      <c r="G1" s="3"/>
      <c r="H1" s="3"/>
      <c r="I1" s="3"/>
    </row>
    <row r="2">
      <c r="A2" s="3"/>
      <c r="B2" s="56" t="s">
        <v>1</v>
      </c>
      <c r="C2" s="3"/>
      <c r="D2" s="3"/>
      <c r="E2" s="3"/>
      <c r="F2" s="3"/>
      <c r="G2" s="3"/>
      <c r="H2" s="3"/>
      <c r="I2" s="3"/>
    </row>
    <row r="3">
      <c r="A3" s="3"/>
      <c r="B3" s="32" t="s">
        <v>2</v>
      </c>
      <c r="C3" s="3"/>
      <c r="D3" s="3"/>
      <c r="E3" s="3"/>
      <c r="F3" s="3"/>
      <c r="G3" s="3"/>
      <c r="H3" s="3"/>
      <c r="I3" s="3"/>
    </row>
    <row r="4">
      <c r="A4" s="3"/>
      <c r="B4" s="24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24"/>
    </row>
    <row r="5">
      <c r="A5" s="3"/>
      <c r="B5" s="13" t="s">
        <v>10</v>
      </c>
      <c r="C5" s="34">
        <v>45930</v>
      </c>
      <c r="D5" s="34">
        <v>46022</v>
      </c>
      <c r="E5" s="34">
        <v>46022</v>
      </c>
      <c r="F5" s="34">
        <v>46112</v>
      </c>
      <c r="G5" s="34">
        <v>46203</v>
      </c>
      <c r="H5" s="34">
        <v>46295</v>
      </c>
      <c r="I5" s="13"/>
    </row>
    <row r="6">
      <c r="A6" s="3"/>
      <c r="B6" s="23" t="s">
        <v>11</v>
      </c>
      <c r="C6" s="1">
        <v>92</v>
      </c>
      <c r="D6" s="1">
        <v>92</v>
      </c>
      <c r="E6" s="1">
        <v>365</v>
      </c>
      <c r="F6" s="1">
        <v>90</v>
      </c>
      <c r="G6" s="1">
        <v>91</v>
      </c>
      <c r="H6" s="1">
        <v>92</v>
      </c>
      <c r="I6" s="23"/>
    </row>
    <row r="7">
      <c r="A7" s="3"/>
      <c r="B7" s="155" t="s">
        <v>12</v>
      </c>
      <c r="C7" s="3"/>
      <c r="D7" s="3"/>
      <c r="E7" s="3"/>
      <c r="F7" s="3"/>
      <c r="G7" s="3"/>
      <c r="H7" s="3"/>
      <c r="I7" s="3"/>
    </row>
    <row r="8">
      <c r="A8" s="3"/>
      <c r="B8" s="63" t="s">
        <v>13</v>
      </c>
      <c r="C8" s="59"/>
      <c r="D8" s="59"/>
      <c r="E8" s="59"/>
      <c r="F8" s="59"/>
      <c r="G8" s="59"/>
      <c r="H8" s="59"/>
      <c r="I8" s="59"/>
    </row>
    <row r="9">
      <c r="A9" s="3"/>
      <c r="B9" s="32" t="s">
        <v>14</v>
      </c>
      <c r="C9" s="30"/>
      <c r="D9" s="30"/>
      <c r="E9" s="30"/>
      <c r="F9" s="30"/>
      <c r="G9" s="30"/>
      <c r="H9" s="30"/>
      <c r="I9" s="30"/>
    </row>
    <row r="10">
      <c r="A10" s="3"/>
      <c r="B10" s="3"/>
      <c r="C10" s="10"/>
      <c r="D10" s="10"/>
      <c r="E10" s="10"/>
      <c r="F10" s="10"/>
      <c r="G10" s="10"/>
      <c r="H10" s="10"/>
      <c r="I10" s="10"/>
    </row>
    <row r="11">
      <c r="A11" s="3"/>
      <c r="B11" s="3" t="s">
        <v>15</v>
      </c>
      <c r="C11" s="15" t="s">
        <v>16</v>
      </c>
      <c r="D11" s="15"/>
      <c r="E11" s="15"/>
      <c r="F11" s="15"/>
      <c r="G11" s="15"/>
      <c r="H11" s="15"/>
      <c r="I11" s="15"/>
    </row>
    <row r="12">
      <c r="A12" s="3"/>
      <c r="B12" s="3" t="s">
        <v>17</v>
      </c>
      <c r="C12" s="15" t="s">
        <v>18</v>
      </c>
      <c r="D12" s="15"/>
      <c r="E12" s="15"/>
      <c r="F12" s="15"/>
      <c r="G12" s="15"/>
      <c r="H12" s="15"/>
      <c r="I12" s="15"/>
    </row>
    <row r="13">
      <c r="A13" s="3"/>
      <c r="B13" s="3" t="s">
        <v>19</v>
      </c>
      <c r="C13" s="15" t="s">
        <v>20</v>
      </c>
      <c r="D13" s="15"/>
      <c r="E13" s="15"/>
      <c r="F13" s="15"/>
      <c r="G13" s="15"/>
      <c r="H13" s="15"/>
      <c r="I13" s="15"/>
    </row>
    <row r="14">
      <c r="A14" s="3"/>
      <c r="B14" s="3" t="s">
        <v>21</v>
      </c>
      <c r="C14" s="15" t="s">
        <v>22</v>
      </c>
      <c r="D14" s="15"/>
      <c r="E14" s="15"/>
      <c r="F14" s="15"/>
      <c r="G14" s="15"/>
      <c r="H14" s="15"/>
      <c r="I14" s="15"/>
    </row>
    <row r="15">
      <c r="A15" s="3"/>
      <c r="B15" s="3" t="s">
        <v>23</v>
      </c>
      <c r="C15" s="15" t="s">
        <v>24</v>
      </c>
      <c r="D15" s="15"/>
      <c r="E15" s="15"/>
      <c r="F15" s="15"/>
      <c r="G15" s="15"/>
      <c r="H15" s="15"/>
      <c r="I15" s="15"/>
    </row>
    <row r="16">
      <c r="A16" s="3"/>
      <c r="B16" s="3" t="s">
        <v>25</v>
      </c>
      <c r="C16" s="15" t="s">
        <v>26</v>
      </c>
      <c r="D16" s="15"/>
      <c r="E16" s="15"/>
      <c r="F16" s="15"/>
      <c r="G16" s="15"/>
      <c r="H16" s="15"/>
      <c r="I16" s="15"/>
    </row>
    <row r="17">
      <c r="A17" s="3"/>
      <c r="B17" s="3" t="s">
        <v>27</v>
      </c>
      <c r="C17" s="15" t="s">
        <v>28</v>
      </c>
      <c r="D17" s="15"/>
      <c r="E17" s="15"/>
      <c r="F17" s="15"/>
      <c r="G17" s="15"/>
      <c r="H17" s="15"/>
      <c r="I17" s="15"/>
    </row>
    <row r="18">
      <c r="A18" s="3"/>
      <c r="B18" s="3" t="s">
        <v>29</v>
      </c>
      <c r="C18" s="15" t="s">
        <v>30</v>
      </c>
      <c r="D18" s="15"/>
      <c r="E18" s="15"/>
      <c r="F18" s="15"/>
      <c r="G18" s="15"/>
      <c r="H18" s="15"/>
      <c r="I18" s="15"/>
    </row>
    <row r="19">
      <c r="A19" s="3"/>
      <c r="B19" s="3" t="s">
        <v>31</v>
      </c>
      <c r="C19" s="15" t="s">
        <v>32</v>
      </c>
      <c r="D19" s="15"/>
      <c r="E19" s="15"/>
      <c r="F19" s="15"/>
      <c r="G19" s="15"/>
      <c r="H19" s="15"/>
      <c r="I19" s="15"/>
    </row>
    <row r="20">
      <c r="A20" s="3"/>
      <c r="B20" s="3"/>
      <c r="C20" s="10"/>
      <c r="D20" s="10"/>
      <c r="E20" s="10"/>
      <c r="F20" s="10"/>
      <c r="G20" s="10"/>
      <c r="H20" s="10"/>
      <c r="I20" s="10"/>
    </row>
    <row r="21" ht="33">
      <c r="A21" s="3"/>
      <c r="B21" s="74" t="s">
        <v>33</v>
      </c>
      <c r="C21" s="20" t="s">
        <v>34</v>
      </c>
      <c r="D21" s="20" t="s">
        <v>35</v>
      </c>
      <c r="E21" s="20" t="s">
        <v>36</v>
      </c>
      <c r="F21" s="20" t="s">
        <v>37</v>
      </c>
      <c r="G21" s="20" t="s">
        <v>38</v>
      </c>
      <c r="H21" s="20" t="s">
        <v>39</v>
      </c>
      <c r="I21" s="20" t="s">
        <v>40</v>
      </c>
    </row>
    <row r="22">
      <c r="A22" s="3"/>
      <c r="B22" s="3" t="s">
        <v>41</v>
      </c>
      <c r="C22" s="43">
        <f>'Income Statement'!H35</f>
        <v>888.8371309589045</v>
      </c>
      <c r="D22" s="43">
        <f>Inputs!C37</f>
        <v>889.99</v>
      </c>
      <c r="E22" s="18">
        <f>C22-D22</f>
        <v>-1.1528690410955278</v>
      </c>
      <c r="F22" s="12">
        <f>C22/D22-1</f>
        <v>-0.0012953730278941755</v>
      </c>
      <c r="G22" s="43">
        <f>Guidance!G18</f>
        <v>928</v>
      </c>
      <c r="H22" s="18">
        <f>C22-G22</f>
        <v>-39.16286904109552</v>
      </c>
      <c r="I22" s="62">
        <v>891.1</v>
      </c>
    </row>
    <row r="23">
      <c r="A23" s="3"/>
      <c r="B23" s="3" t="s">
        <v>42</v>
      </c>
      <c r="C23" s="43">
        <f>'Income Statement'!H111</f>
        <v>253.93836932054825</v>
      </c>
      <c r="D23" s="43">
        <f>Inputs!C50</f>
        <v>247.89</v>
      </c>
      <c r="E23" s="18">
        <f>C23-D23</f>
        <v>6.048369320548261</v>
      </c>
      <c r="F23" s="12">
        <f>C23/D23-1</f>
        <v>0.024399408288144908</v>
      </c>
      <c r="G23" s="18" t="s">
        <v>43</v>
      </c>
      <c r="H23" s="18" t="s">
        <v>44</v>
      </c>
      <c r="I23" s="18" t="s">
        <v>44</v>
      </c>
    </row>
    <row r="24">
      <c r="A24" s="3"/>
      <c r="B24" s="3" t="s">
        <v>45</v>
      </c>
      <c r="C24" s="43">
        <f>'Income Statement'!H85</f>
        <v>250.05086932054826</v>
      </c>
      <c r="D24" s="43">
        <f>Inputs!C51</f>
        <v>246.48</v>
      </c>
      <c r="E24" s="18">
        <f>C24-D24</f>
        <v>3.570869320548269</v>
      </c>
      <c r="F24" s="12">
        <f>C24/D24-1</f>
        <v>0.014487460729261104</v>
      </c>
      <c r="G24" s="18" t="s">
        <v>43</v>
      </c>
      <c r="H24" s="18" t="s">
        <v>44</v>
      </c>
      <c r="I24" s="18" t="s">
        <v>44</v>
      </c>
    </row>
    <row r="25">
      <c r="A25" s="3"/>
      <c r="B25" s="3" t="s">
        <v>46</v>
      </c>
      <c r="C25" s="143">
        <f>'Income Statement'!H118</f>
        <v>0.5322911598390475</v>
      </c>
      <c r="D25" s="143">
        <f>Inputs!C21</f>
        <v>0.52</v>
      </c>
      <c r="E25" s="167">
        <f>C25-D25</f>
        <v>0.012291159839047494</v>
      </c>
      <c r="F25" s="146">
        <f>C25/D25-1</f>
        <v>0.02363684584432213</v>
      </c>
      <c r="G25" s="142" t="s">
        <v>43</v>
      </c>
      <c r="H25" s="142" t="s">
        <v>44</v>
      </c>
      <c r="I25" s="145">
        <v>0.53</v>
      </c>
    </row>
    <row r="26">
      <c r="A26" s="3"/>
      <c r="B26" s="3" t="s">
        <v>47</v>
      </c>
      <c r="C26" s="143">
        <f>'Income Statement'!H119</f>
        <v>0.5241424035506183</v>
      </c>
      <c r="D26" s="143">
        <f>Inputs!C30</f>
        <v>0.52</v>
      </c>
      <c r="E26" s="167">
        <f>C26-D26</f>
        <v>0.004142403550618234</v>
      </c>
      <c r="F26" s="146">
        <f>C26/D26-1</f>
        <v>0.00796616067426581</v>
      </c>
      <c r="G26" s="142" t="s">
        <v>43</v>
      </c>
      <c r="H26" s="142" t="s">
        <v>44</v>
      </c>
      <c r="I26" s="142" t="s">
        <v>44</v>
      </c>
    </row>
    <row r="27" ht="25.5">
      <c r="A27" s="3"/>
      <c r="B27" s="138" t="s">
        <v>48</v>
      </c>
      <c r="C27" s="113" t="str">
        <f>IF(AND(SUMIF('Revenue summary'!C65:G65,"&gt;0")-SUMIF('Revenue summary'!C65:G65,"&lt;0")+0*SUM('Revenue summary'!C65:G65)&lt;0.5,AND('Balance Sheet'!C118,'Balance Sheet'!D118,'Balance Sheet'!E118,'Balance Sheet'!F118,'Balance Sheet'!G118),SUMIF('Cash Flow Statement'!C63:G63,"&gt;0")-SUMIF('Cash Flow Statement'!C63:G63,"&lt;0")+0*SUM('Cash Flow Statement'!C63:G63)&lt;0.5,SUMIF('Cash Flow Statement'!C25:G25,"&gt;0")-SUMIF('Cash Flow Statement'!C25:G25,"&lt;0")+0*SUM('Cash Flow Statement'!C25:G25)&lt;0.5,SUMIF('Cash Flow Statement'!C40:G40,"&gt;0")-SUMIF('Cash Flow Statement'!C40:G40,"&lt;0")+0*SUM('Cash Flow Statement'!C40:G40)&lt;0.5,SUMIF('Cash Flow Statement'!C57:G57,"&gt;0")-SUMIF('Cash Flow Statement'!C57:G57,"&lt;0")+0*SUM('Cash Flow Statement'!C57:G57)&lt;0.5),"PASS","FAIL")</f>
        <v>PASS</v>
      </c>
      <c r="D27" s="112" t="str">
        <f>IF(AND(ABS('Revenue summary'!H65)&lt;0.5,'Balance Sheet'!H118,ABS('Cash Flow Statement'!H63)&lt;0.5,ABS('Income Statement'!H118-'Income Statement'!H111/'Income Statement'!H91)&lt;0.000001,ABS(C22-'Income Statement'!H35)&lt;0.000001,ABS(C25-'Income Statement'!H118)&lt;0.000001,ABS(C23-'Income Statement'!H111)&lt;0.000001,ABS(C24-'Income Statement'!H85)&lt;0.000001,ABS(C26-'Income Statement'!H119)&lt;0.000001,ABS('Income Statement'!H94-'Income Statement'!H85/'Income Statement'!H91)&lt;0.000001),"Identities hold (by construction; not validation)","Identity FAIL")</f>
        <v>Identities hold (by construction; not validation)</v>
      </c>
      <c r="E27" s="29"/>
      <c r="F27" s="29"/>
      <c r="G27" s="29"/>
      <c r="H27" s="29"/>
      <c r="I27" s="29"/>
    </row>
    <row r="28">
      <c r="A28" s="3"/>
      <c r="B28" s="7" t="s">
        <v>49</v>
      </c>
      <c r="C28" s="17">
        <f>C46</f>
        <v>0.7202857142857143</v>
      </c>
      <c r="D28" s="17"/>
      <c r="E28" s="17"/>
      <c r="F28" s="17"/>
      <c r="G28" s="17"/>
      <c r="H28" s="17"/>
      <c r="I28" s="17"/>
    </row>
    <row r="29">
      <c r="A29" s="3"/>
      <c r="B29" s="56" t="s">
        <v>50</v>
      </c>
      <c r="C29" s="29" t="s">
        <v>51</v>
      </c>
      <c r="D29" s="29"/>
      <c r="E29" s="29"/>
      <c r="F29" s="29"/>
      <c r="G29" s="29"/>
      <c r="H29" s="29"/>
      <c r="I29" s="29"/>
    </row>
    <row r="30">
      <c r="A30" s="3"/>
      <c r="B30" s="3"/>
      <c r="C30" s="10"/>
      <c r="D30" s="10"/>
      <c r="E30" s="10"/>
      <c r="F30" s="10"/>
      <c r="G30" s="10"/>
      <c r="H30" s="10"/>
      <c r="I30" s="10"/>
    </row>
    <row r="31" ht="23.24853515625">
      <c r="A31" s="3"/>
      <c r="B31" s="69" t="s">
        <v>52</v>
      </c>
      <c r="C31" s="10"/>
      <c r="D31" s="10"/>
      <c r="E31" s="10"/>
      <c r="F31" s="10"/>
      <c r="G31" s="10"/>
      <c r="H31" s="10"/>
      <c r="I31" s="10"/>
    </row>
    <row r="32">
      <c r="A32" s="3"/>
      <c r="B32" s="3" t="s">
        <v>53</v>
      </c>
      <c r="C32" s="43">
        <f>'Share Count'!G47</f>
        <v>10939.92</v>
      </c>
      <c r="D32" s="144" t="s">
        <v>54</v>
      </c>
      <c r="E32" s="18"/>
      <c r="F32" s="18"/>
      <c r="G32" s="18"/>
      <c r="H32" s="18"/>
      <c r="I32" s="18"/>
    </row>
    <row r="33">
      <c r="A33" s="3"/>
      <c r="B33" s="3" t="s">
        <v>55</v>
      </c>
      <c r="C33" s="62">
        <v>10000</v>
      </c>
      <c r="D33" s="140" t="s">
        <v>56</v>
      </c>
      <c r="E33" s="18"/>
      <c r="F33" s="18"/>
      <c r="G33" s="18"/>
      <c r="H33" s="18"/>
      <c r="I33" s="18"/>
    </row>
    <row r="34">
      <c r="A34" s="3"/>
      <c r="B34" s="3" t="s">
        <v>57</v>
      </c>
      <c r="C34" s="62">
        <v>2000</v>
      </c>
      <c r="D34" s="18"/>
      <c r="E34" s="18"/>
      <c r="F34" s="18"/>
      <c r="G34" s="18"/>
      <c r="H34" s="18"/>
      <c r="I34" s="18"/>
    </row>
    <row r="35">
      <c r="A35" s="3"/>
      <c r="B35" s="3" t="s">
        <v>58</v>
      </c>
      <c r="C35" s="26" t="str">
        <f>IF(C32&gt;C33,"large",IF(C32&gt;=C34,"mid","small"))</f>
        <v>large</v>
      </c>
      <c r="D35" s="26"/>
      <c r="E35" s="26"/>
      <c r="F35" s="26"/>
      <c r="G35" s="26"/>
      <c r="H35" s="26"/>
      <c r="I35" s="26"/>
    </row>
    <row r="36">
      <c r="A36" s="3"/>
      <c r="B36" s="3" t="s">
        <v>59</v>
      </c>
      <c r="C36" s="51" t="str">
        <f>Inputs!C14</f>
        <v>N</v>
      </c>
      <c r="D36" s="26"/>
      <c r="E36" s="26"/>
      <c r="F36" s="26"/>
      <c r="G36" s="26"/>
      <c r="H36" s="26"/>
      <c r="I36" s="26"/>
    </row>
    <row r="37">
      <c r="A37" s="3"/>
      <c r="B37" s="32" t="s">
        <v>60</v>
      </c>
      <c r="C37" s="33">
        <v>0.6</v>
      </c>
      <c r="D37" s="139" t="s">
        <v>61</v>
      </c>
      <c r="E37" s="12"/>
      <c r="F37" s="12"/>
      <c r="G37" s="12"/>
      <c r="H37" s="12"/>
      <c r="I37" s="12"/>
    </row>
    <row r="38">
      <c r="A38" s="3"/>
      <c r="B38" s="32" t="s">
        <v>62</v>
      </c>
      <c r="C38" s="33">
        <v>0.7</v>
      </c>
      <c r="D38" s="12"/>
      <c r="E38" s="12"/>
      <c r="F38" s="12"/>
      <c r="G38" s="12"/>
      <c r="H38" s="12"/>
      <c r="I38" s="12"/>
    </row>
    <row r="39">
      <c r="A39" s="3"/>
      <c r="B39" s="32" t="s">
        <v>63</v>
      </c>
      <c r="C39" s="33">
        <v>0.78</v>
      </c>
      <c r="D39" s="12"/>
      <c r="E39" s="12"/>
      <c r="F39" s="12"/>
      <c r="G39" s="12"/>
      <c r="H39" s="12"/>
      <c r="I39" s="12"/>
    </row>
    <row r="40">
      <c r="A40" s="3"/>
      <c r="B40" s="32" t="s">
        <v>64</v>
      </c>
      <c r="C40" s="12">
        <f>IF(OR(C35="large",C36="Y"),C39,IF(C35="mid",C38,C37))</f>
        <v>0.78</v>
      </c>
      <c r="D40" s="12"/>
      <c r="E40" s="12"/>
      <c r="F40" s="12"/>
      <c r="G40" s="12"/>
      <c r="H40" s="12"/>
      <c r="I40" s="12"/>
    </row>
    <row r="41">
      <c r="A41" s="3"/>
      <c r="B41" s="3" t="s">
        <v>65</v>
      </c>
      <c r="C41" s="60">
        <f>SUMPRODUCT(--(Inputs!E94:E99&gt;Inputs!D94:D99))</f>
        <v>6</v>
      </c>
      <c r="D41" s="31"/>
      <c r="E41" s="31"/>
      <c r="F41" s="31"/>
      <c r="G41" s="31"/>
      <c r="H41" s="31"/>
      <c r="I41" s="31"/>
    </row>
    <row r="42">
      <c r="A42" s="3"/>
      <c r="B42" s="3" t="s">
        <v>66</v>
      </c>
      <c r="C42" s="60">
        <f>IF(AND(ISNUMBER(Inputs!E94),ISNUMBER(Inputs!D94)),1,0)+IF(AND(ISNUMBER(Inputs!E95),ISNUMBER(Inputs!D95)),1,0)+IF(AND(ISNUMBER(Inputs!E96),ISNUMBER(Inputs!D96)),1,0)+IF(AND(ISNUMBER(Inputs!E97),ISNUMBER(Inputs!D97)),1,0)+IF(AND(ISNUMBER(Inputs!E98),ISNUMBER(Inputs!D98)),1,0)+IF(AND(ISNUMBER(Inputs!E99),ISNUMBER(Inputs!D99)),1,0)</f>
        <v>6</v>
      </c>
      <c r="D42" s="31"/>
      <c r="E42" s="31"/>
      <c r="F42" s="31"/>
      <c r="G42" s="31"/>
      <c r="H42" s="31"/>
      <c r="I42" s="31"/>
    </row>
    <row r="43">
      <c r="A43" s="3"/>
      <c r="B43" s="3" t="s">
        <v>67</v>
      </c>
      <c r="C43" s="77">
        <v>8</v>
      </c>
      <c r="D43" s="31"/>
      <c r="E43" s="31"/>
      <c r="F43" s="31"/>
      <c r="G43" s="31"/>
      <c r="H43" s="31"/>
      <c r="I43" s="31"/>
    </row>
    <row r="44">
      <c r="A44" s="3"/>
      <c r="B44" s="32" t="s">
        <v>68</v>
      </c>
      <c r="C44" s="12">
        <f>(C43*C40+C41)/(C43+C42)</f>
        <v>0.8742857142857143</v>
      </c>
      <c r="D44" s="12"/>
      <c r="E44" s="12"/>
      <c r="F44" s="12"/>
      <c r="G44" s="12"/>
      <c r="H44" s="12"/>
      <c r="I44" s="12"/>
    </row>
    <row r="45">
      <c r="A45" s="3"/>
      <c r="B45" s="32" t="s">
        <v>69</v>
      </c>
      <c r="C45" s="33">
        <v>-0.154</v>
      </c>
      <c r="D45" s="120" t="s">
        <v>70</v>
      </c>
      <c r="E45" s="12"/>
      <c r="F45" s="12"/>
      <c r="G45" s="12"/>
      <c r="H45" s="12"/>
      <c r="I45" s="12"/>
    </row>
    <row r="46">
      <c r="A46" s="3"/>
      <c r="B46" s="7" t="s">
        <v>71</v>
      </c>
      <c r="C46" s="17">
        <f>C44+C45</f>
        <v>0.7202857142857143</v>
      </c>
      <c r="D46" s="111" t="str">
        <f>IF(AND(ISNUMBER(C46),C46&gt;=0,C46&lt;=1),"Within [0,1]","OUT OF RANGE: check C41:C44")</f>
        <v>Within [0,1]</v>
      </c>
      <c r="E46" s="17"/>
      <c r="F46" s="17"/>
      <c r="G46" s="17"/>
      <c r="H46" s="17"/>
      <c r="I46" s="17"/>
    </row>
    <row r="47">
      <c r="A47" s="3"/>
      <c r="B47" s="3" t="s">
        <v>72</v>
      </c>
      <c r="C47" s="143">
        <f>AVERAGE(Inputs!K94:K99)</f>
        <v>0.036666666666666674</v>
      </c>
      <c r="D47" s="142"/>
      <c r="E47" s="142"/>
      <c r="F47" s="142"/>
      <c r="G47" s="142"/>
      <c r="H47" s="142"/>
      <c r="I47" s="142"/>
    </row>
    <row r="48">
      <c r="A48" s="3"/>
      <c r="B48" s="3" t="s">
        <v>73</v>
      </c>
      <c r="C48" s="60">
        <f>Inputs!C26</f>
        <v>18</v>
      </c>
      <c r="D48" s="31"/>
      <c r="E48" s="31"/>
      <c r="F48" s="31"/>
      <c r="G48" s="31"/>
      <c r="H48" s="31"/>
      <c r="I48" s="31"/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90" customWidth="1"/>
  </cols>
  <sheetData>
    <row r="1">
      <c r="A1" s="3"/>
      <c r="B1" s="37" t="s">
        <v>0</v>
      </c>
      <c r="C1" s="3"/>
      <c r="D1" s="3"/>
      <c r="E1" s="3"/>
      <c r="F1" s="3"/>
      <c r="G1" s="3"/>
      <c r="H1" s="3"/>
      <c r="I1" s="3"/>
    </row>
    <row r="2">
      <c r="A2" s="3"/>
      <c r="B2" s="56" t="s">
        <v>74</v>
      </c>
      <c r="C2" s="3"/>
      <c r="D2" s="3"/>
      <c r="E2" s="3"/>
      <c r="F2" s="3"/>
      <c r="G2" s="3"/>
      <c r="H2" s="3"/>
      <c r="I2" s="3"/>
    </row>
    <row r="3">
      <c r="A3" s="3"/>
      <c r="B3" s="32" t="s">
        <v>2</v>
      </c>
      <c r="C3" s="3"/>
      <c r="D3" s="3"/>
      <c r="E3" s="3"/>
      <c r="F3" s="3"/>
      <c r="G3" s="3"/>
      <c r="H3" s="3"/>
      <c r="I3" s="3"/>
    </row>
    <row r="4">
      <c r="A4" s="3"/>
      <c r="B4" s="24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8" t="s">
        <v>9</v>
      </c>
      <c r="I4" s="24" t="s">
        <v>75</v>
      </c>
    </row>
    <row r="5">
      <c r="A5" s="3"/>
      <c r="B5" s="13" t="s">
        <v>10</v>
      </c>
      <c r="C5" s="34">
        <v>45930</v>
      </c>
      <c r="D5" s="34">
        <v>46022</v>
      </c>
      <c r="E5" s="34">
        <v>46022</v>
      </c>
      <c r="F5" s="34">
        <v>46112</v>
      </c>
      <c r="G5" s="34">
        <v>46203</v>
      </c>
      <c r="H5" s="81">
        <v>46295</v>
      </c>
      <c r="I5" s="79"/>
    </row>
    <row r="6">
      <c r="A6" s="3"/>
      <c r="B6" s="23" t="s">
        <v>11</v>
      </c>
      <c r="C6" s="1">
        <v>92</v>
      </c>
      <c r="D6" s="1">
        <v>92</v>
      </c>
      <c r="E6" s="1">
        <v>365</v>
      </c>
      <c r="F6" s="1">
        <v>90</v>
      </c>
      <c r="G6" s="1">
        <v>91</v>
      </c>
      <c r="H6" s="84">
        <v>92</v>
      </c>
      <c r="I6" s="70"/>
    </row>
    <row r="7">
      <c r="A7" s="3"/>
      <c r="B7" s="3"/>
      <c r="C7" s="3"/>
      <c r="D7" s="3"/>
      <c r="E7" s="3"/>
      <c r="F7" s="3"/>
      <c r="G7" s="3"/>
      <c r="H7" s="57"/>
      <c r="I7" s="39"/>
    </row>
    <row r="8">
      <c r="A8" s="3"/>
      <c r="B8" s="56" t="s">
        <v>76</v>
      </c>
      <c r="C8" s="10"/>
      <c r="D8" s="10"/>
      <c r="E8" s="10"/>
      <c r="F8" s="10"/>
      <c r="G8" s="10"/>
      <c r="H8" s="50"/>
      <c r="I8" s="39"/>
    </row>
    <row r="9">
      <c r="A9" s="3"/>
      <c r="B9" s="3" t="s">
        <v>77</v>
      </c>
      <c r="C9" s="18">
        <f>C325</f>
        <v>678</v>
      </c>
      <c r="D9" s="18">
        <f>D325</f>
        <v>679</v>
      </c>
      <c r="E9" s="18">
        <f>E325</f>
        <v>2636</v>
      </c>
      <c r="F9" s="18">
        <f>F325</f>
        <v>670</v>
      </c>
      <c r="G9" s="18">
        <f>G325</f>
        <v>679</v>
      </c>
      <c r="H9" s="46">
        <f>H325</f>
        <v>687.9031309589045</v>
      </c>
      <c r="I9" s="39" t="s">
        <v>78</v>
      </c>
    </row>
    <row r="10">
      <c r="A10" s="3"/>
      <c r="B10" s="71" t="s">
        <v>79</v>
      </c>
      <c r="C10" s="12"/>
      <c r="D10" s="12"/>
      <c r="E10" s="12"/>
      <c r="F10" s="12">
        <f>F9/Inputs!C172-1</f>
        <v>0.056782334384858135</v>
      </c>
      <c r="G10" s="12">
        <f>G9/Inputs!D172-1</f>
        <v>0.05271317829457356</v>
      </c>
      <c r="H10" s="67">
        <f>H9/C9-1</f>
        <v>0.014606387844991797</v>
      </c>
      <c r="I10" s="39"/>
    </row>
    <row r="11">
      <c r="A11" s="3"/>
      <c r="B11" s="71" t="s">
        <v>80</v>
      </c>
      <c r="C11" s="12"/>
      <c r="D11" s="12">
        <f>D9/C9-1</f>
        <v>0.001474926253687281</v>
      </c>
      <c r="E11" s="12"/>
      <c r="F11" s="12">
        <f>F9/D9-1</f>
        <v>-0.013254786450662692</v>
      </c>
      <c r="G11" s="12">
        <f>G9/F9-1</f>
        <v>0.013432835820895495</v>
      </c>
      <c r="H11" s="67">
        <f>H9/G9-1</f>
        <v>0.013112122178062569</v>
      </c>
      <c r="I11" s="39"/>
    </row>
    <row r="12">
      <c r="A12" s="3"/>
      <c r="B12" s="71" t="s">
        <v>81</v>
      </c>
      <c r="C12" s="12"/>
      <c r="D12" s="12"/>
      <c r="E12" s="12"/>
      <c r="F12" s="12">
        <f>F10</f>
        <v>0.056782334384858135</v>
      </c>
      <c r="G12" s="12">
        <f>G10</f>
        <v>0.05271317829457356</v>
      </c>
      <c r="H12" s="67">
        <f>H10</f>
        <v>0.014606387844991797</v>
      </c>
      <c r="I12" s="39"/>
    </row>
    <row r="13">
      <c r="A13" s="3"/>
      <c r="B13" s="71" t="s">
        <v>82</v>
      </c>
      <c r="C13" s="64" t="s">
        <v>83</v>
      </c>
      <c r="D13" s="64" t="s">
        <v>83</v>
      </c>
      <c r="E13" s="64" t="s">
        <v>83</v>
      </c>
      <c r="F13" s="64" t="s">
        <v>83</v>
      </c>
      <c r="G13" s="64" t="s">
        <v>83</v>
      </c>
      <c r="H13" s="76" t="s">
        <v>83</v>
      </c>
      <c r="I13" s="39" t="s">
        <v>84</v>
      </c>
    </row>
    <row r="14">
      <c r="A14" s="3"/>
      <c r="B14" s="71" t="s">
        <v>85</v>
      </c>
      <c r="C14" s="64" t="s">
        <v>83</v>
      </c>
      <c r="D14" s="64" t="s">
        <v>83</v>
      </c>
      <c r="E14" s="64" t="s">
        <v>83</v>
      </c>
      <c r="F14" s="64" t="s">
        <v>83</v>
      </c>
      <c r="G14" s="64" t="s">
        <v>83</v>
      </c>
      <c r="H14" s="76" t="s">
        <v>83</v>
      </c>
      <c r="I14" s="39" t="s">
        <v>86</v>
      </c>
    </row>
    <row r="15">
      <c r="A15" s="3"/>
      <c r="B15" s="71" t="s">
        <v>87</v>
      </c>
      <c r="C15" s="64" t="s">
        <v>83</v>
      </c>
      <c r="D15" s="64" t="s">
        <v>83</v>
      </c>
      <c r="E15" s="64" t="s">
        <v>83</v>
      </c>
      <c r="F15" s="64" t="s">
        <v>83</v>
      </c>
      <c r="G15" s="64" t="s">
        <v>83</v>
      </c>
      <c r="H15" s="76" t="s">
        <v>83</v>
      </c>
      <c r="I15" s="39" t="s">
        <v>88</v>
      </c>
    </row>
    <row r="16">
      <c r="A16" s="3"/>
      <c r="B16" s="3" t="s">
        <v>89</v>
      </c>
      <c r="C16" s="18">
        <f>C126</f>
        <v>215</v>
      </c>
      <c r="D16" s="18">
        <f>D126</f>
        <v>212</v>
      </c>
      <c r="E16" s="18">
        <f>E126</f>
        <v>797</v>
      </c>
      <c r="F16" s="18">
        <f>F126</f>
        <v>195</v>
      </c>
      <c r="G16" s="18">
        <f>G126</f>
        <v>211</v>
      </c>
      <c r="H16" s="46">
        <f>H126</f>
        <v>200.934</v>
      </c>
      <c r="I16" s="39" t="s">
        <v>90</v>
      </c>
    </row>
    <row r="17">
      <c r="A17" s="3"/>
      <c r="B17" s="71" t="s">
        <v>79</v>
      </c>
      <c r="C17" s="12"/>
      <c r="D17" s="12"/>
      <c r="E17" s="12"/>
      <c r="F17" s="12">
        <f>F16/Inputs!C111-1</f>
        <v>0.07734806629834257</v>
      </c>
      <c r="G17" s="12">
        <f>G16/Inputs!D111-1</f>
        <v>0.1164021164021165</v>
      </c>
      <c r="H17" s="67">
        <f>H16/C16-1</f>
        <v>-0.06542325581395347</v>
      </c>
      <c r="I17" s="39"/>
    </row>
    <row r="18">
      <c r="A18" s="3"/>
      <c r="B18" s="71" t="s">
        <v>80</v>
      </c>
      <c r="C18" s="12"/>
      <c r="D18" s="12">
        <f>D16/C16-1</f>
        <v>-0.013953488372092981</v>
      </c>
      <c r="E18" s="12"/>
      <c r="F18" s="12">
        <f>F16/D16-1</f>
        <v>-0.08018867924528306</v>
      </c>
      <c r="G18" s="12">
        <f>G16/F16-1</f>
        <v>0.08205128205128198</v>
      </c>
      <c r="H18" s="67">
        <f>H16/G16-1</f>
        <v>-0.04770616113744075</v>
      </c>
      <c r="I18" s="39"/>
    </row>
    <row r="19">
      <c r="A19" s="3"/>
      <c r="B19" s="71" t="s">
        <v>81</v>
      </c>
      <c r="C19" s="12"/>
      <c r="D19" s="12"/>
      <c r="E19" s="12"/>
      <c r="F19" s="12">
        <f>F17</f>
        <v>0.07734806629834257</v>
      </c>
      <c r="G19" s="12">
        <f>G17</f>
        <v>0.1164021164021165</v>
      </c>
      <c r="H19" s="67">
        <f>H17</f>
        <v>-0.06542325581395347</v>
      </c>
      <c r="I19" s="39"/>
    </row>
    <row r="20">
      <c r="A20" s="3"/>
      <c r="B20" s="71" t="s">
        <v>82</v>
      </c>
      <c r="C20" s="64" t="s">
        <v>83</v>
      </c>
      <c r="D20" s="64" t="s">
        <v>83</v>
      </c>
      <c r="E20" s="64" t="s">
        <v>83</v>
      </c>
      <c r="F20" s="64" t="s">
        <v>83</v>
      </c>
      <c r="G20" s="64" t="s">
        <v>83</v>
      </c>
      <c r="H20" s="76" t="s">
        <v>83</v>
      </c>
      <c r="I20" s="39" t="s">
        <v>84</v>
      </c>
    </row>
    <row r="21">
      <c r="A21" s="3"/>
      <c r="B21" s="71" t="s">
        <v>85</v>
      </c>
      <c r="C21" s="64" t="s">
        <v>83</v>
      </c>
      <c r="D21" s="64" t="s">
        <v>83</v>
      </c>
      <c r="E21" s="64" t="s">
        <v>83</v>
      </c>
      <c r="F21" s="64" t="s">
        <v>83</v>
      </c>
      <c r="G21" s="64" t="s">
        <v>83</v>
      </c>
      <c r="H21" s="76" t="s">
        <v>83</v>
      </c>
      <c r="I21" s="39" t="s">
        <v>86</v>
      </c>
    </row>
    <row r="22">
      <c r="A22" s="3"/>
      <c r="B22" s="71" t="s">
        <v>87</v>
      </c>
      <c r="C22" s="64" t="s">
        <v>83</v>
      </c>
      <c r="D22" s="64" t="s">
        <v>83</v>
      </c>
      <c r="E22" s="64" t="s">
        <v>83</v>
      </c>
      <c r="F22" s="64" t="s">
        <v>83</v>
      </c>
      <c r="G22" s="64" t="s">
        <v>83</v>
      </c>
      <c r="H22" s="76" t="s">
        <v>83</v>
      </c>
      <c r="I22" s="39" t="s">
        <v>88</v>
      </c>
    </row>
    <row r="23">
      <c r="A23" s="3"/>
      <c r="B23" s="56" t="s">
        <v>91</v>
      </c>
      <c r="C23" s="83">
        <f>'Income Statement'!C35</f>
        <v>893</v>
      </c>
      <c r="D23" s="83">
        <f>'Income Statement'!D35</f>
        <v>892</v>
      </c>
      <c r="E23" s="83">
        <f>'Income Statement'!E35</f>
        <v>3433</v>
      </c>
      <c r="F23" s="83">
        <f>'Income Statement'!F35</f>
        <v>865</v>
      </c>
      <c r="G23" s="83">
        <f>'Income Statement'!G35</f>
        <v>890</v>
      </c>
      <c r="H23" s="96">
        <f>'Income Statement'!H35</f>
        <v>888.8371309589045</v>
      </c>
      <c r="I23" s="39" t="s">
        <v>92</v>
      </c>
    </row>
    <row r="24">
      <c r="A24" s="3"/>
      <c r="B24" s="71" t="s">
        <v>79</v>
      </c>
      <c r="C24" s="12"/>
      <c r="D24" s="12"/>
      <c r="E24" s="12"/>
      <c r="F24" s="12">
        <f>F23/Inputs!C219-1</f>
        <v>0.06134969325153383</v>
      </c>
      <c r="G24" s="12">
        <f>G23/Inputs!D219-1</f>
        <v>0.06842737094837936</v>
      </c>
      <c r="H24" s="67">
        <f>H23/C23-1</f>
        <v>-0.004661667459233465</v>
      </c>
      <c r="I24" s="39"/>
    </row>
    <row r="25">
      <c r="A25" s="3"/>
      <c r="B25" s="71" t="s">
        <v>80</v>
      </c>
      <c r="C25" s="12"/>
      <c r="D25" s="12">
        <f>D23/C23-1</f>
        <v>-0.0011198208286674616</v>
      </c>
      <c r="E25" s="12"/>
      <c r="F25" s="12">
        <f>F23/D23-1</f>
        <v>-0.030269058295964157</v>
      </c>
      <c r="G25" s="12">
        <f>G23/F23-1</f>
        <v>0.028901734104046284</v>
      </c>
      <c r="H25" s="67">
        <f>H23/G23-1</f>
        <v>-0.0013065944281972497</v>
      </c>
      <c r="I25" s="39"/>
    </row>
    <row r="26">
      <c r="A26" s="3"/>
      <c r="B26" s="71" t="s">
        <v>81</v>
      </c>
      <c r="C26" s="12"/>
      <c r="D26" s="12"/>
      <c r="E26" s="12"/>
      <c r="F26" s="12">
        <f>F24</f>
        <v>0.06134969325153383</v>
      </c>
      <c r="G26" s="12">
        <f>G24</f>
        <v>0.06842737094837936</v>
      </c>
      <c r="H26" s="67">
        <f>H24</f>
        <v>-0.004661667459233465</v>
      </c>
      <c r="I26" s="39"/>
    </row>
    <row r="27">
      <c r="A27" s="3"/>
      <c r="B27" s="71" t="s">
        <v>82</v>
      </c>
      <c r="C27" s="64" t="s">
        <v>83</v>
      </c>
      <c r="D27" s="64" t="s">
        <v>83</v>
      </c>
      <c r="E27" s="64" t="s">
        <v>83</v>
      </c>
      <c r="F27" s="64" t="s">
        <v>83</v>
      </c>
      <c r="G27" s="64" t="s">
        <v>83</v>
      </c>
      <c r="H27" s="76" t="s">
        <v>83</v>
      </c>
      <c r="I27" s="39" t="s">
        <v>84</v>
      </c>
    </row>
    <row r="28">
      <c r="A28" s="3"/>
      <c r="B28" s="71" t="s">
        <v>85</v>
      </c>
      <c r="C28" s="64" t="s">
        <v>83</v>
      </c>
      <c r="D28" s="64" t="s">
        <v>83</v>
      </c>
      <c r="E28" s="64" t="s">
        <v>83</v>
      </c>
      <c r="F28" s="64" t="s">
        <v>83</v>
      </c>
      <c r="G28" s="64" t="s">
        <v>83</v>
      </c>
      <c r="H28" s="76" t="s">
        <v>83</v>
      </c>
      <c r="I28" s="39" t="s">
        <v>86</v>
      </c>
    </row>
    <row r="29">
      <c r="A29" s="3"/>
      <c r="B29" s="71" t="s">
        <v>87</v>
      </c>
      <c r="C29" s="64" t="s">
        <v>83</v>
      </c>
      <c r="D29" s="64" t="s">
        <v>83</v>
      </c>
      <c r="E29" s="64" t="s">
        <v>83</v>
      </c>
      <c r="F29" s="64" t="s">
        <v>83</v>
      </c>
      <c r="G29" s="64" t="s">
        <v>83</v>
      </c>
      <c r="H29" s="76" t="s">
        <v>83</v>
      </c>
      <c r="I29" s="39" t="s">
        <v>88</v>
      </c>
    </row>
    <row r="30">
      <c r="A30" s="3"/>
      <c r="B30" s="38" t="s">
        <v>93</v>
      </c>
      <c r="C30" s="43">
        <f>'Income Statement'!C12</f>
        <v>3</v>
      </c>
      <c r="D30" s="43">
        <f>'Income Statement'!D12</f>
        <v>3</v>
      </c>
      <c r="E30" s="43">
        <f>'Income Statement'!E12</f>
        <v>13</v>
      </c>
      <c r="F30" s="43">
        <f>'Income Statement'!F12</f>
        <v>3</v>
      </c>
      <c r="G30" s="43">
        <f>'Income Statement'!G12</f>
        <v>3</v>
      </c>
      <c r="H30" s="73">
        <f>'Income Statement'!H12</f>
        <v>3</v>
      </c>
      <c r="I30" s="39"/>
    </row>
    <row r="31">
      <c r="A31" s="3"/>
      <c r="B31" s="56" t="s">
        <v>94</v>
      </c>
      <c r="C31" s="83">
        <f>'Income Statement'!C31</f>
        <v>889</v>
      </c>
      <c r="D31" s="83">
        <f>'Income Statement'!D31</f>
        <v>888</v>
      </c>
      <c r="E31" s="83">
        <f>'Income Statement'!E31</f>
        <v>3419</v>
      </c>
      <c r="F31" s="83">
        <f>'Income Statement'!F31</f>
        <v>862</v>
      </c>
      <c r="G31" s="83">
        <f>'Income Statement'!G31</f>
        <v>887</v>
      </c>
      <c r="H31" s="96">
        <f>'Income Statement'!H31</f>
        <v>885.8371309589045</v>
      </c>
      <c r="I31" s="39"/>
    </row>
    <row r="32">
      <c r="A32" s="3"/>
      <c r="B32" s="71" t="s">
        <v>79</v>
      </c>
      <c r="C32" s="12"/>
      <c r="D32" s="12"/>
      <c r="E32" s="12"/>
      <c r="F32" s="12">
        <f>F31/Inputs!C218-1</f>
        <v>0.061576354679802936</v>
      </c>
      <c r="G32" s="12">
        <f>G31/Inputs!D218-1</f>
        <v>0.06867469879518073</v>
      </c>
      <c r="H32" s="67">
        <f>H31/C31-1</f>
        <v>-0.0035577829483639523</v>
      </c>
      <c r="I32" s="39"/>
    </row>
    <row r="33">
      <c r="A33" s="3"/>
      <c r="B33" s="71" t="s">
        <v>80</v>
      </c>
      <c r="C33" s="12"/>
      <c r="D33" s="12">
        <f>D31/C31-1</f>
        <v>-0.0011248593925758943</v>
      </c>
      <c r="E33" s="12"/>
      <c r="F33" s="12">
        <f>F31/D31-1</f>
        <v>-0.029279279279279313</v>
      </c>
      <c r="G33" s="12">
        <f>G31/F31-1</f>
        <v>0.029002320185614883</v>
      </c>
      <c r="H33" s="67">
        <f>H31/G31-1</f>
        <v>-0.001311013575079456</v>
      </c>
      <c r="I33" s="39"/>
    </row>
    <row r="34">
      <c r="A34" s="3"/>
      <c r="B34" s="71" t="s">
        <v>81</v>
      </c>
      <c r="C34" s="12"/>
      <c r="D34" s="12"/>
      <c r="E34" s="12"/>
      <c r="F34" s="12">
        <f>F32</f>
        <v>0.061576354679802936</v>
      </c>
      <c r="G34" s="12">
        <f>G32</f>
        <v>0.06867469879518073</v>
      </c>
      <c r="H34" s="67">
        <f>H32</f>
        <v>-0.0035577829483639523</v>
      </c>
      <c r="I34" s="39"/>
    </row>
    <row r="35">
      <c r="A35" s="3"/>
      <c r="B35" s="71" t="s">
        <v>82</v>
      </c>
      <c r="C35" s="64" t="s">
        <v>83</v>
      </c>
      <c r="D35" s="64" t="s">
        <v>83</v>
      </c>
      <c r="E35" s="64" t="s">
        <v>83</v>
      </c>
      <c r="F35" s="64" t="s">
        <v>83</v>
      </c>
      <c r="G35" s="64" t="s">
        <v>83</v>
      </c>
      <c r="H35" s="76" t="s">
        <v>83</v>
      </c>
      <c r="I35" s="39" t="s">
        <v>84</v>
      </c>
    </row>
    <row r="36">
      <c r="A36" s="3"/>
      <c r="B36" s="71" t="s">
        <v>85</v>
      </c>
      <c r="C36" s="64" t="s">
        <v>83</v>
      </c>
      <c r="D36" s="64" t="s">
        <v>83</v>
      </c>
      <c r="E36" s="64" t="s">
        <v>83</v>
      </c>
      <c r="F36" s="64" t="s">
        <v>83</v>
      </c>
      <c r="G36" s="64" t="s">
        <v>83</v>
      </c>
      <c r="H36" s="76" t="s">
        <v>83</v>
      </c>
      <c r="I36" s="39" t="s">
        <v>86</v>
      </c>
    </row>
    <row r="37">
      <c r="A37" s="3"/>
      <c r="B37" s="71" t="s">
        <v>87</v>
      </c>
      <c r="C37" s="64" t="s">
        <v>83</v>
      </c>
      <c r="D37" s="64" t="s">
        <v>83</v>
      </c>
      <c r="E37" s="64" t="s">
        <v>83</v>
      </c>
      <c r="F37" s="64" t="s">
        <v>83</v>
      </c>
      <c r="G37" s="64" t="s">
        <v>83</v>
      </c>
      <c r="H37" s="76" t="s">
        <v>83</v>
      </c>
      <c r="I37" s="39" t="s">
        <v>88</v>
      </c>
    </row>
    <row r="38">
      <c r="A38" s="3"/>
      <c r="B38" s="3"/>
      <c r="C38" s="10"/>
      <c r="D38" s="10"/>
      <c r="E38" s="10"/>
      <c r="F38" s="10"/>
      <c r="G38" s="10"/>
      <c r="H38" s="50"/>
      <c r="I38" s="39"/>
    </row>
    <row r="39">
      <c r="A39" s="3"/>
      <c r="B39" s="56" t="s">
        <v>95</v>
      </c>
      <c r="C39" s="10"/>
      <c r="D39" s="10"/>
      <c r="E39" s="10"/>
      <c r="F39" s="10"/>
      <c r="G39" s="10"/>
      <c r="H39" s="50"/>
      <c r="I39" s="39"/>
    </row>
    <row r="40">
      <c r="A40" s="3"/>
      <c r="B40" s="56" t="s">
        <v>96</v>
      </c>
      <c r="C40" s="83">
        <f>'Segment - CCW'!C24</f>
        <v>787</v>
      </c>
      <c r="D40" s="83">
        <f>'Segment - CCW'!D24</f>
        <v>786</v>
      </c>
      <c r="E40" s="83">
        <f>'Segment - CCW'!E24</f>
        <v>3073</v>
      </c>
      <c r="F40" s="83">
        <f>'Segment - CCW'!F24</f>
        <v>768</v>
      </c>
      <c r="G40" s="83">
        <f>'Segment - CCW'!G24</f>
        <v>777</v>
      </c>
      <c r="H40" s="96">
        <f>'Segment - CCW'!H24</f>
        <v>790.172602739726</v>
      </c>
      <c r="I40" s="39"/>
    </row>
    <row r="41">
      <c r="A41" s="3"/>
      <c r="B41" s="71" t="s">
        <v>79</v>
      </c>
      <c r="C41" s="12"/>
      <c r="D41" s="12"/>
      <c r="E41" s="12"/>
      <c r="F41" s="12">
        <f>F40/Inputs!C177-1</f>
        <v>0.03364737550471064</v>
      </c>
      <c r="G41" s="12">
        <f>G40/Inputs!D177-1</f>
        <v>0.026420079260237816</v>
      </c>
      <c r="H41" s="67">
        <f>H40/C40-1</f>
        <v>0.0040312614227777654</v>
      </c>
      <c r="I41" s="39"/>
    </row>
    <row r="42">
      <c r="A42" s="3"/>
      <c r="B42" s="71" t="s">
        <v>80</v>
      </c>
      <c r="C42" s="12"/>
      <c r="D42" s="12">
        <f>D40/C40-1</f>
        <v>-0.0012706480304955914</v>
      </c>
      <c r="E42" s="12"/>
      <c r="F42" s="12">
        <f>F40/D40-1</f>
        <v>-0.022900763358778664</v>
      </c>
      <c r="G42" s="12">
        <f>G40/F40-1</f>
        <v>0.01171875</v>
      </c>
      <c r="H42" s="67">
        <f>H40/G40-1</f>
        <v>0.016953156679184067</v>
      </c>
      <c r="I42" s="39"/>
    </row>
    <row r="43">
      <c r="A43" s="3"/>
      <c r="B43" s="71" t="s">
        <v>97</v>
      </c>
      <c r="C43" s="12">
        <f>C40/C31</f>
        <v>0.8852643419572553</v>
      </c>
      <c r="D43" s="12">
        <f>D40/D31</f>
        <v>0.8851351351351351</v>
      </c>
      <c r="E43" s="12">
        <f>E40/E31</f>
        <v>0.8988008189529102</v>
      </c>
      <c r="F43" s="12">
        <f>F40/F31</f>
        <v>0.8909512761020881</v>
      </c>
      <c r="G43" s="12">
        <f>G40/G31</f>
        <v>0.8759864712514093</v>
      </c>
      <c r="H43" s="67">
        <f>H40/H31</f>
        <v>0.8920066399614305</v>
      </c>
      <c r="I43" s="39"/>
    </row>
    <row r="44">
      <c r="A44" s="3"/>
      <c r="B44" s="71" t="s">
        <v>81</v>
      </c>
      <c r="C44" s="12"/>
      <c r="D44" s="12"/>
      <c r="E44" s="12"/>
      <c r="F44" s="12">
        <f>F41</f>
        <v>0.03364737550471064</v>
      </c>
      <c r="G44" s="12">
        <f>G41</f>
        <v>0.026420079260237816</v>
      </c>
      <c r="H44" s="67">
        <f>H41</f>
        <v>0.0040312614227777654</v>
      </c>
      <c r="I44" s="39"/>
    </row>
    <row r="45">
      <c r="A45" s="3"/>
      <c r="B45" s="71" t="s">
        <v>82</v>
      </c>
      <c r="C45" s="64" t="s">
        <v>83</v>
      </c>
      <c r="D45" s="64" t="s">
        <v>83</v>
      </c>
      <c r="E45" s="64" t="s">
        <v>83</v>
      </c>
      <c r="F45" s="64" t="s">
        <v>83</v>
      </c>
      <c r="G45" s="64" t="s">
        <v>83</v>
      </c>
      <c r="H45" s="76" t="s">
        <v>83</v>
      </c>
      <c r="I45" s="39" t="s">
        <v>84</v>
      </c>
    </row>
    <row r="46">
      <c r="A46" s="3"/>
      <c r="B46" s="71" t="s">
        <v>85</v>
      </c>
      <c r="C46" s="64" t="s">
        <v>83</v>
      </c>
      <c r="D46" s="64" t="s">
        <v>83</v>
      </c>
      <c r="E46" s="64" t="s">
        <v>83</v>
      </c>
      <c r="F46" s="64" t="s">
        <v>83</v>
      </c>
      <c r="G46" s="64" t="s">
        <v>83</v>
      </c>
      <c r="H46" s="76" t="s">
        <v>83</v>
      </c>
      <c r="I46" s="39" t="s">
        <v>86</v>
      </c>
    </row>
    <row r="47">
      <c r="A47" s="3"/>
      <c r="B47" s="71" t="s">
        <v>87</v>
      </c>
      <c r="C47" s="64" t="s">
        <v>83</v>
      </c>
      <c r="D47" s="64" t="s">
        <v>83</v>
      </c>
      <c r="E47" s="64" t="s">
        <v>83</v>
      </c>
      <c r="F47" s="64" t="s">
        <v>83</v>
      </c>
      <c r="G47" s="64" t="s">
        <v>83</v>
      </c>
      <c r="H47" s="76" t="s">
        <v>83</v>
      </c>
      <c r="I47" s="39" t="s">
        <v>88</v>
      </c>
    </row>
    <row r="48">
      <c r="A48" s="3"/>
      <c r="B48" s="56" t="s">
        <v>98</v>
      </c>
      <c r="C48" s="83">
        <f>'Segment - Wholesale'!C24</f>
        <v>134</v>
      </c>
      <c r="D48" s="83">
        <f>'Segment - Wholesale'!D24</f>
        <v>135</v>
      </c>
      <c r="E48" s="83">
        <f>'Segment - Wholesale'!E24</f>
        <v>489</v>
      </c>
      <c r="F48" s="83">
        <f>'Segment - Wholesale'!F24</f>
        <v>126</v>
      </c>
      <c r="G48" s="83">
        <f>'Segment - Wholesale'!G24</f>
        <v>125</v>
      </c>
      <c r="H48" s="96">
        <f>'Segment - Wholesale'!H24</f>
        <v>126.99701369863014</v>
      </c>
      <c r="I48" s="39"/>
    </row>
    <row r="49">
      <c r="A49" s="3"/>
      <c r="B49" s="71" t="s">
        <v>79</v>
      </c>
      <c r="C49" s="12"/>
      <c r="D49" s="12"/>
      <c r="E49" s="12"/>
      <c r="F49" s="12">
        <f>F48/Inputs!C191-1</f>
        <v>0.15596330275229353</v>
      </c>
      <c r="G49" s="12">
        <f>G48/Inputs!D191-1</f>
        <v>0.12612612612612617</v>
      </c>
      <c r="H49" s="67">
        <f>H48/C48-1</f>
        <v>-0.05226109180126759</v>
      </c>
      <c r="I49" s="39"/>
    </row>
    <row r="50">
      <c r="A50" s="3"/>
      <c r="B50" s="71" t="s">
        <v>80</v>
      </c>
      <c r="C50" s="12"/>
      <c r="D50" s="12">
        <f>D48/C48-1</f>
        <v>0.00746268656716409</v>
      </c>
      <c r="E50" s="12"/>
      <c r="F50" s="12">
        <f>F48/D48-1</f>
        <v>-0.06666666666666665</v>
      </c>
      <c r="G50" s="12">
        <f>G48/F48-1</f>
        <v>-0.007936507936507908</v>
      </c>
      <c r="H50" s="67">
        <f>H48/G48-1</f>
        <v>0.015976109589041165</v>
      </c>
      <c r="I50" s="39"/>
    </row>
    <row r="51">
      <c r="A51" s="3"/>
      <c r="B51" s="71" t="s">
        <v>97</v>
      </c>
      <c r="C51" s="12">
        <f>C48/C31</f>
        <v>0.15073115860517436</v>
      </c>
      <c r="D51" s="12">
        <f>D48/D31</f>
        <v>0.15202702702702703</v>
      </c>
      <c r="E51" s="12">
        <f>E48/E31</f>
        <v>0.14302427610412402</v>
      </c>
      <c r="F51" s="12">
        <f>F48/F31</f>
        <v>0.14617169373549885</v>
      </c>
      <c r="G51" s="12">
        <f>G48/G31</f>
        <v>0.14092446448703494</v>
      </c>
      <c r="H51" s="67">
        <f>H48/H31</f>
        <v>0.14336384111733713</v>
      </c>
      <c r="I51" s="39"/>
    </row>
    <row r="52">
      <c r="A52" s="3"/>
      <c r="B52" s="71" t="s">
        <v>81</v>
      </c>
      <c r="C52" s="12"/>
      <c r="D52" s="12"/>
      <c r="E52" s="12"/>
      <c r="F52" s="12">
        <f>F49</f>
        <v>0.15596330275229353</v>
      </c>
      <c r="G52" s="12">
        <f>G49</f>
        <v>0.12612612612612617</v>
      </c>
      <c r="H52" s="67">
        <f>H49</f>
        <v>-0.05226109180126759</v>
      </c>
      <c r="I52" s="39"/>
    </row>
    <row r="53">
      <c r="A53" s="3"/>
      <c r="B53" s="71" t="s">
        <v>82</v>
      </c>
      <c r="C53" s="64" t="s">
        <v>83</v>
      </c>
      <c r="D53" s="64" t="s">
        <v>83</v>
      </c>
      <c r="E53" s="64" t="s">
        <v>83</v>
      </c>
      <c r="F53" s="64" t="s">
        <v>83</v>
      </c>
      <c r="G53" s="64" t="s">
        <v>83</v>
      </c>
      <c r="H53" s="76" t="s">
        <v>83</v>
      </c>
      <c r="I53" s="39" t="s">
        <v>84</v>
      </c>
    </row>
    <row r="54">
      <c r="A54" s="3"/>
      <c r="B54" s="71" t="s">
        <v>85</v>
      </c>
      <c r="C54" s="64" t="s">
        <v>83</v>
      </c>
      <c r="D54" s="64" t="s">
        <v>83</v>
      </c>
      <c r="E54" s="64" t="s">
        <v>83</v>
      </c>
      <c r="F54" s="64" t="s">
        <v>83</v>
      </c>
      <c r="G54" s="64" t="s">
        <v>83</v>
      </c>
      <c r="H54" s="76" t="s">
        <v>83</v>
      </c>
      <c r="I54" s="39" t="s">
        <v>86</v>
      </c>
    </row>
    <row r="55">
      <c r="A55" s="3"/>
      <c r="B55" s="71" t="s">
        <v>87</v>
      </c>
      <c r="C55" s="64" t="s">
        <v>83</v>
      </c>
      <c r="D55" s="64" t="s">
        <v>83</v>
      </c>
      <c r="E55" s="64" t="s">
        <v>83</v>
      </c>
      <c r="F55" s="64" t="s">
        <v>83</v>
      </c>
      <c r="G55" s="64" t="s">
        <v>83</v>
      </c>
      <c r="H55" s="76" t="s">
        <v>83</v>
      </c>
      <c r="I55" s="39" t="s">
        <v>88</v>
      </c>
    </row>
    <row r="56">
      <c r="A56" s="3"/>
      <c r="B56" s="56" t="s">
        <v>99</v>
      </c>
      <c r="C56" s="83">
        <f>'Segment - Corporate'!C24</f>
        <v>-32</v>
      </c>
      <c r="D56" s="83">
        <f>'Segment - Corporate'!D24</f>
        <v>-33</v>
      </c>
      <c r="E56" s="83">
        <f>'Segment - Corporate'!E24</f>
        <v>-143</v>
      </c>
      <c r="F56" s="83">
        <f>'Segment - Corporate'!F24</f>
        <v>-32</v>
      </c>
      <c r="G56" s="83">
        <f>'Segment - Corporate'!G24</f>
        <v>-15</v>
      </c>
      <c r="H56" s="96">
        <f>'Segment - Corporate'!H24</f>
        <v>-31.33248547945165</v>
      </c>
      <c r="I56" s="39"/>
    </row>
    <row r="57">
      <c r="A57" s="3"/>
      <c r="B57" s="71" t="s">
        <v>79</v>
      </c>
      <c r="C57" s="12"/>
      <c r="D57" s="12"/>
      <c r="E57" s="12"/>
      <c r="F57" s="12" t="s">
        <v>100</v>
      </c>
      <c r="G57" s="12" t="s">
        <v>100</v>
      </c>
      <c r="H57" s="67" t="s">
        <v>100</v>
      </c>
      <c r="I57" s="39"/>
    </row>
    <row r="58">
      <c r="A58" s="3"/>
      <c r="B58" s="71" t="s">
        <v>80</v>
      </c>
      <c r="C58" s="12"/>
      <c r="D58" s="12" t="s">
        <v>100</v>
      </c>
      <c r="E58" s="12"/>
      <c r="F58" s="12" t="s">
        <v>100</v>
      </c>
      <c r="G58" s="12" t="s">
        <v>100</v>
      </c>
      <c r="H58" s="67" t="s">
        <v>100</v>
      </c>
      <c r="I58" s="39"/>
    </row>
    <row r="59">
      <c r="A59" s="3"/>
      <c r="B59" s="71" t="s">
        <v>97</v>
      </c>
      <c r="C59" s="12">
        <f>C56/C31</f>
        <v>-0.0359955005624297</v>
      </c>
      <c r="D59" s="12">
        <f>D56/D31</f>
        <v>-0.037162162162162164</v>
      </c>
      <c r="E59" s="12">
        <f>E56/E31</f>
        <v>-0.04182509505703422</v>
      </c>
      <c r="F59" s="12">
        <f>F56/F31</f>
        <v>-0.037122969837587005</v>
      </c>
      <c r="G59" s="12">
        <f>G56/G31</f>
        <v>-0.016910935738444193</v>
      </c>
      <c r="H59" s="67">
        <f>H56/H31</f>
        <v>-0.035370481078767536</v>
      </c>
      <c r="I59" s="39"/>
    </row>
    <row r="60">
      <c r="A60" s="3"/>
      <c r="B60" s="71" t="s">
        <v>81</v>
      </c>
      <c r="C60" s="12"/>
      <c r="D60" s="12"/>
      <c r="E60" s="12"/>
      <c r="F60" s="12" t="str">
        <f>F57</f>
        <v>n/m</v>
      </c>
      <c r="G60" s="12" t="str">
        <f>G57</f>
        <v>n/m</v>
      </c>
      <c r="H60" s="67" t="str">
        <f>H57</f>
        <v>n/m</v>
      </c>
      <c r="I60" s="39"/>
    </row>
    <row r="61">
      <c r="A61" s="3"/>
      <c r="B61" s="71" t="s">
        <v>82</v>
      </c>
      <c r="C61" s="64" t="s">
        <v>83</v>
      </c>
      <c r="D61" s="64" t="s">
        <v>83</v>
      </c>
      <c r="E61" s="64" t="s">
        <v>83</v>
      </c>
      <c r="F61" s="64" t="s">
        <v>83</v>
      </c>
      <c r="G61" s="64" t="s">
        <v>83</v>
      </c>
      <c r="H61" s="76" t="s">
        <v>83</v>
      </c>
      <c r="I61" s="39" t="s">
        <v>84</v>
      </c>
    </row>
    <row r="62">
      <c r="A62" s="3"/>
      <c r="B62" s="71" t="s">
        <v>85</v>
      </c>
      <c r="C62" s="64" t="s">
        <v>83</v>
      </c>
      <c r="D62" s="64" t="s">
        <v>83</v>
      </c>
      <c r="E62" s="64" t="s">
        <v>83</v>
      </c>
      <c r="F62" s="64" t="s">
        <v>83</v>
      </c>
      <c r="G62" s="64" t="s">
        <v>83</v>
      </c>
      <c r="H62" s="76" t="s">
        <v>83</v>
      </c>
      <c r="I62" s="39" t="s">
        <v>86</v>
      </c>
    </row>
    <row r="63">
      <c r="A63" s="3"/>
      <c r="B63" s="71" t="s">
        <v>87</v>
      </c>
      <c r="C63" s="64" t="s">
        <v>83</v>
      </c>
      <c r="D63" s="64" t="s">
        <v>83</v>
      </c>
      <c r="E63" s="64" t="s">
        <v>83</v>
      </c>
      <c r="F63" s="64" t="s">
        <v>83</v>
      </c>
      <c r="G63" s="64" t="s">
        <v>83</v>
      </c>
      <c r="H63" s="76" t="s">
        <v>83</v>
      </c>
      <c r="I63" s="39" t="s">
        <v>88</v>
      </c>
    </row>
    <row r="64">
      <c r="A64" s="3"/>
      <c r="B64" s="56" t="s">
        <v>101</v>
      </c>
      <c r="C64" s="45">
        <f>C40+C48+C56</f>
        <v>889</v>
      </c>
      <c r="D64" s="45">
        <f>D40+D48+D56</f>
        <v>888</v>
      </c>
      <c r="E64" s="45">
        <f>E40+E48+E56</f>
        <v>3419</v>
      </c>
      <c r="F64" s="45">
        <f>F40+F48+F56</f>
        <v>862</v>
      </c>
      <c r="G64" s="45">
        <f>G40+G48+G56</f>
        <v>887</v>
      </c>
      <c r="H64" s="68">
        <f>H40+H48+H56</f>
        <v>885.8371309589045</v>
      </c>
      <c r="I64" s="39"/>
    </row>
    <row r="65">
      <c r="A65" s="3"/>
      <c r="B65" s="3" t="s">
        <v>102</v>
      </c>
      <c r="C65" s="18">
        <f>C64-C31</f>
        <v>0</v>
      </c>
      <c r="D65" s="18">
        <f>D64-D31</f>
        <v>0</v>
      </c>
      <c r="E65" s="18">
        <f>E64-E31</f>
        <v>0</v>
      </c>
      <c r="F65" s="18">
        <f>F64-F31</f>
        <v>0</v>
      </c>
      <c r="G65" s="18">
        <f>G64-G31</f>
        <v>0</v>
      </c>
      <c r="H65" s="46">
        <f>H64-H31</f>
        <v>0</v>
      </c>
      <c r="I65" s="39" t="s">
        <v>103</v>
      </c>
    </row>
    <row r="66">
      <c r="A66" s="3"/>
      <c r="B66" s="32" t="s">
        <v>104</v>
      </c>
      <c r="C66" s="30"/>
      <c r="D66" s="30"/>
      <c r="E66" s="30"/>
      <c r="F66" s="30"/>
      <c r="G66" s="30"/>
      <c r="H66" s="85"/>
      <c r="I66" s="39"/>
    </row>
    <row r="67">
      <c r="A67" s="3"/>
      <c r="B67" s="3"/>
      <c r="C67" s="10"/>
      <c r="D67" s="10"/>
      <c r="E67" s="10"/>
      <c r="F67" s="10"/>
      <c r="G67" s="10"/>
      <c r="H67" s="50"/>
      <c r="I67" s="39"/>
    </row>
    <row r="68">
      <c r="A68" s="3"/>
      <c r="B68" s="56" t="s">
        <v>105</v>
      </c>
      <c r="C68" s="10"/>
      <c r="D68" s="10"/>
      <c r="E68" s="10"/>
      <c r="F68" s="10"/>
      <c r="G68" s="10"/>
      <c r="H68" s="50"/>
      <c r="I68" s="39"/>
    </row>
    <row r="69">
      <c r="A69" s="3"/>
      <c r="B69" s="38" t="s">
        <v>106</v>
      </c>
      <c r="C69" s="62">
        <v>57</v>
      </c>
      <c r="D69" s="62">
        <v>57</v>
      </c>
      <c r="E69" s="43">
        <f>C69+D69+Inputs!C103+Inputs!D103</f>
        <v>205</v>
      </c>
      <c r="F69" s="62">
        <v>53</v>
      </c>
      <c r="G69" s="62">
        <v>46</v>
      </c>
      <c r="H69" s="73">
        <f>'Segment - Wholesale'!H109</f>
        <v>46.934</v>
      </c>
      <c r="I69" s="39" t="s">
        <v>107</v>
      </c>
    </row>
    <row r="70">
      <c r="A70" s="3"/>
      <c r="B70" s="53" t="s">
        <v>79</v>
      </c>
      <c r="C70" s="12"/>
      <c r="D70" s="12"/>
      <c r="E70" s="12"/>
      <c r="F70" s="47">
        <f>F69/Inputs!C103-1</f>
        <v>0.08163265306122458</v>
      </c>
      <c r="G70" s="47">
        <f>G69/Inputs!D103-1</f>
        <v>0.09523809523809534</v>
      </c>
      <c r="H70" s="67">
        <f>H69/C69-1</f>
        <v>-0.1765964912280702</v>
      </c>
      <c r="I70" s="39"/>
    </row>
    <row r="71">
      <c r="A71" s="3"/>
      <c r="B71" s="48" t="s">
        <v>108</v>
      </c>
      <c r="C71" s="18"/>
      <c r="D71" s="18">
        <f>(D69-C69)</f>
        <v>0</v>
      </c>
      <c r="E71" s="18"/>
      <c r="F71" s="18">
        <f>(F69-D69)</f>
        <v>-4</v>
      </c>
      <c r="G71" s="18">
        <f>(G69-F69)</f>
        <v>-7</v>
      </c>
      <c r="H71" s="46">
        <f>(H69-G69)</f>
        <v>0.9339999999999975</v>
      </c>
      <c r="I71" s="39"/>
    </row>
    <row r="72">
      <c r="A72" s="3"/>
      <c r="B72" s="53" t="s">
        <v>81</v>
      </c>
      <c r="C72" s="12"/>
      <c r="D72" s="12"/>
      <c r="E72" s="12"/>
      <c r="F72" s="12">
        <f>F70</f>
        <v>0.08163265306122458</v>
      </c>
      <c r="G72" s="12">
        <f>G70</f>
        <v>0.09523809523809534</v>
      </c>
      <c r="H72" s="67">
        <f>H70</f>
        <v>-0.1765964912280702</v>
      </c>
      <c r="I72" s="39"/>
    </row>
    <row r="73">
      <c r="A73" s="3"/>
      <c r="B73" s="53" t="s">
        <v>82</v>
      </c>
      <c r="C73" s="64" t="s">
        <v>83</v>
      </c>
      <c r="D73" s="64" t="s">
        <v>83</v>
      </c>
      <c r="E73" s="64" t="s">
        <v>83</v>
      </c>
      <c r="F73" s="64" t="s">
        <v>83</v>
      </c>
      <c r="G73" s="64" t="s">
        <v>83</v>
      </c>
      <c r="H73" s="76" t="s">
        <v>83</v>
      </c>
      <c r="I73" s="39" t="s">
        <v>84</v>
      </c>
    </row>
    <row r="74">
      <c r="A74" s="3"/>
      <c r="B74" s="53" t="s">
        <v>85</v>
      </c>
      <c r="C74" s="64" t="s">
        <v>83</v>
      </c>
      <c r="D74" s="64" t="s">
        <v>83</v>
      </c>
      <c r="E74" s="64" t="s">
        <v>83</v>
      </c>
      <c r="F74" s="64" t="s">
        <v>83</v>
      </c>
      <c r="G74" s="64" t="s">
        <v>83</v>
      </c>
      <c r="H74" s="76" t="s">
        <v>83</v>
      </c>
      <c r="I74" s="39" t="s">
        <v>86</v>
      </c>
    </row>
    <row r="75">
      <c r="A75" s="3"/>
      <c r="B75" s="53" t="s">
        <v>87</v>
      </c>
      <c r="C75" s="64" t="s">
        <v>83</v>
      </c>
      <c r="D75" s="64" t="s">
        <v>83</v>
      </c>
      <c r="E75" s="64" t="s">
        <v>83</v>
      </c>
      <c r="F75" s="64" t="s">
        <v>83</v>
      </c>
      <c r="G75" s="64" t="s">
        <v>83</v>
      </c>
      <c r="H75" s="76" t="s">
        <v>83</v>
      </c>
      <c r="I75" s="39" t="s">
        <v>88</v>
      </c>
    </row>
    <row r="76">
      <c r="A76" s="3"/>
      <c r="B76" s="38" t="s">
        <v>109</v>
      </c>
      <c r="C76" s="62">
        <v>15</v>
      </c>
      <c r="D76" s="62">
        <v>10</v>
      </c>
      <c r="E76" s="43">
        <f>C76+D76+Inputs!C104+Inputs!D104</f>
        <v>43</v>
      </c>
      <c r="F76" s="62">
        <v>9</v>
      </c>
      <c r="G76" s="62">
        <v>9</v>
      </c>
      <c r="H76" s="40">
        <v>8</v>
      </c>
      <c r="I76" s="39" t="s">
        <v>110</v>
      </c>
    </row>
    <row r="77">
      <c r="A77" s="3"/>
      <c r="B77" s="53" t="s">
        <v>79</v>
      </c>
      <c r="C77" s="12"/>
      <c r="D77" s="12"/>
      <c r="E77" s="12"/>
      <c r="F77" s="47">
        <f>F76/Inputs!C104-1</f>
        <v>0.125</v>
      </c>
      <c r="G77" s="47">
        <f>G76/Inputs!D104-1</f>
        <v>-0.09999999999999998</v>
      </c>
      <c r="H77" s="67">
        <f>H76/C76-1</f>
        <v>-0.4666666666666667</v>
      </c>
      <c r="I77" s="39"/>
    </row>
    <row r="78">
      <c r="A78" s="3"/>
      <c r="B78" s="48" t="s">
        <v>108</v>
      </c>
      <c r="C78" s="18"/>
      <c r="D78" s="18">
        <f>(D76-C76)</f>
        <v>-5</v>
      </c>
      <c r="E78" s="18"/>
      <c r="F78" s="18">
        <f>(F76-D76)</f>
        <v>-1</v>
      </c>
      <c r="G78" s="18">
        <f>(G76-F76)</f>
        <v>0</v>
      </c>
      <c r="H78" s="46">
        <f>(H76-G76)</f>
        <v>-1</v>
      </c>
      <c r="I78" s="39"/>
    </row>
    <row r="79">
      <c r="A79" s="3"/>
      <c r="B79" s="53" t="s">
        <v>81</v>
      </c>
      <c r="C79" s="12"/>
      <c r="D79" s="12"/>
      <c r="E79" s="12"/>
      <c r="F79" s="12">
        <f>F77</f>
        <v>0.125</v>
      </c>
      <c r="G79" s="12">
        <f>G77</f>
        <v>-0.09999999999999998</v>
      </c>
      <c r="H79" s="67">
        <f>H77</f>
        <v>-0.4666666666666667</v>
      </c>
      <c r="I79" s="39"/>
    </row>
    <row r="80">
      <c r="A80" s="3"/>
      <c r="B80" s="53" t="s">
        <v>82</v>
      </c>
      <c r="C80" s="64" t="s">
        <v>83</v>
      </c>
      <c r="D80" s="64" t="s">
        <v>83</v>
      </c>
      <c r="E80" s="64" t="s">
        <v>83</v>
      </c>
      <c r="F80" s="64" t="s">
        <v>83</v>
      </c>
      <c r="G80" s="64" t="s">
        <v>83</v>
      </c>
      <c r="H80" s="76" t="s">
        <v>83</v>
      </c>
      <c r="I80" s="39" t="s">
        <v>84</v>
      </c>
    </row>
    <row r="81">
      <c r="A81" s="3"/>
      <c r="B81" s="53" t="s">
        <v>85</v>
      </c>
      <c r="C81" s="64" t="s">
        <v>83</v>
      </c>
      <c r="D81" s="64" t="s">
        <v>83</v>
      </c>
      <c r="E81" s="64" t="s">
        <v>83</v>
      </c>
      <c r="F81" s="64" t="s">
        <v>83</v>
      </c>
      <c r="G81" s="64" t="s">
        <v>83</v>
      </c>
      <c r="H81" s="76" t="s">
        <v>83</v>
      </c>
      <c r="I81" s="39" t="s">
        <v>86</v>
      </c>
    </row>
    <row r="82">
      <c r="A82" s="3"/>
      <c r="B82" s="53" t="s">
        <v>87</v>
      </c>
      <c r="C82" s="64" t="s">
        <v>83</v>
      </c>
      <c r="D82" s="64" t="s">
        <v>83</v>
      </c>
      <c r="E82" s="64" t="s">
        <v>83</v>
      </c>
      <c r="F82" s="64" t="s">
        <v>83</v>
      </c>
      <c r="G82" s="64" t="s">
        <v>83</v>
      </c>
      <c r="H82" s="76" t="s">
        <v>83</v>
      </c>
      <c r="I82" s="39" t="s">
        <v>88</v>
      </c>
    </row>
    <row r="83">
      <c r="A83" s="3"/>
      <c r="B83" s="38" t="s">
        <v>111</v>
      </c>
      <c r="C83" s="62">
        <v>39</v>
      </c>
      <c r="D83" s="62">
        <v>41</v>
      </c>
      <c r="E83" s="43">
        <f>C83+D83+Inputs!C105+Inputs!D105</f>
        <v>157</v>
      </c>
      <c r="F83" s="62">
        <v>43</v>
      </c>
      <c r="G83" s="62">
        <v>45</v>
      </c>
      <c r="H83" s="40">
        <v>46</v>
      </c>
      <c r="I83" s="39" t="s">
        <v>112</v>
      </c>
    </row>
    <row r="84">
      <c r="A84" s="3"/>
      <c r="B84" s="53" t="s">
        <v>79</v>
      </c>
      <c r="C84" s="12"/>
      <c r="D84" s="12"/>
      <c r="E84" s="12"/>
      <c r="F84" s="47">
        <f>F83/Inputs!C105-1</f>
        <v>0.13157894736842102</v>
      </c>
      <c r="G84" s="47">
        <f>G83/Inputs!D105-1</f>
        <v>0.15384615384615374</v>
      </c>
      <c r="H84" s="67">
        <f>H83/C83-1</f>
        <v>0.17948717948717952</v>
      </c>
      <c r="I84" s="39"/>
    </row>
    <row r="85">
      <c r="A85" s="3"/>
      <c r="B85" s="48" t="s">
        <v>108</v>
      </c>
      <c r="C85" s="18"/>
      <c r="D85" s="18">
        <f>(D83-C83)</f>
        <v>2</v>
      </c>
      <c r="E85" s="18"/>
      <c r="F85" s="18">
        <f>(F83-D83)</f>
        <v>2</v>
      </c>
      <c r="G85" s="18">
        <f>(G83-F83)</f>
        <v>2</v>
      </c>
      <c r="H85" s="46">
        <f>(H83-G83)</f>
        <v>1</v>
      </c>
      <c r="I85" s="39"/>
    </row>
    <row r="86">
      <c r="A86" s="3"/>
      <c r="B86" s="53" t="s">
        <v>81</v>
      </c>
      <c r="C86" s="12"/>
      <c r="D86" s="12"/>
      <c r="E86" s="12"/>
      <c r="F86" s="12">
        <f>F84</f>
        <v>0.13157894736842102</v>
      </c>
      <c r="G86" s="12">
        <f>G84</f>
        <v>0.15384615384615374</v>
      </c>
      <c r="H86" s="67">
        <f>H84</f>
        <v>0.17948717948717952</v>
      </c>
      <c r="I86" s="39"/>
    </row>
    <row r="87">
      <c r="A87" s="3"/>
      <c r="B87" s="53" t="s">
        <v>82</v>
      </c>
      <c r="C87" s="64" t="s">
        <v>83</v>
      </c>
      <c r="D87" s="64" t="s">
        <v>83</v>
      </c>
      <c r="E87" s="64" t="s">
        <v>83</v>
      </c>
      <c r="F87" s="64" t="s">
        <v>83</v>
      </c>
      <c r="G87" s="64" t="s">
        <v>83</v>
      </c>
      <c r="H87" s="76" t="s">
        <v>83</v>
      </c>
      <c r="I87" s="39" t="s">
        <v>84</v>
      </c>
    </row>
    <row r="88">
      <c r="A88" s="3"/>
      <c r="B88" s="53" t="s">
        <v>85</v>
      </c>
      <c r="C88" s="64" t="s">
        <v>83</v>
      </c>
      <c r="D88" s="64" t="s">
        <v>83</v>
      </c>
      <c r="E88" s="64" t="s">
        <v>83</v>
      </c>
      <c r="F88" s="64" t="s">
        <v>83</v>
      </c>
      <c r="G88" s="64" t="s">
        <v>83</v>
      </c>
      <c r="H88" s="76" t="s">
        <v>83</v>
      </c>
      <c r="I88" s="39" t="s">
        <v>86</v>
      </c>
    </row>
    <row r="89">
      <c r="A89" s="3"/>
      <c r="B89" s="53" t="s">
        <v>87</v>
      </c>
      <c r="C89" s="64" t="s">
        <v>83</v>
      </c>
      <c r="D89" s="64" t="s">
        <v>83</v>
      </c>
      <c r="E89" s="64" t="s">
        <v>83</v>
      </c>
      <c r="F89" s="64" t="s">
        <v>83</v>
      </c>
      <c r="G89" s="64" t="s">
        <v>83</v>
      </c>
      <c r="H89" s="76" t="s">
        <v>83</v>
      </c>
      <c r="I89" s="39" t="s">
        <v>88</v>
      </c>
    </row>
    <row r="90">
      <c r="A90" s="3"/>
      <c r="B90" s="38" t="s">
        <v>113</v>
      </c>
      <c r="C90" s="62">
        <v>57</v>
      </c>
      <c r="D90" s="62">
        <v>64</v>
      </c>
      <c r="E90" s="43">
        <f>C90+D90+Inputs!C106+Inputs!D106</f>
        <v>228</v>
      </c>
      <c r="F90" s="62">
        <v>58</v>
      </c>
      <c r="G90" s="62">
        <v>59</v>
      </c>
      <c r="H90" s="40">
        <v>60</v>
      </c>
      <c r="I90" s="39" t="s">
        <v>114</v>
      </c>
    </row>
    <row r="91">
      <c r="A91" s="3"/>
      <c r="B91" s="53" t="s">
        <v>79</v>
      </c>
      <c r="C91" s="12"/>
      <c r="D91" s="12"/>
      <c r="E91" s="12"/>
      <c r="F91" s="47">
        <f>F90/Inputs!C106-1</f>
        <v>0.11538461538461542</v>
      </c>
      <c r="G91" s="47">
        <f>G90/Inputs!D106-1</f>
        <v>0.07272727272727275</v>
      </c>
      <c r="H91" s="67">
        <f>H90/C90-1</f>
        <v>0.05263157894736836</v>
      </c>
      <c r="I91" s="39"/>
    </row>
    <row r="92">
      <c r="A92" s="3"/>
      <c r="B92" s="48" t="s">
        <v>108</v>
      </c>
      <c r="C92" s="18"/>
      <c r="D92" s="18">
        <f>(D90-C90)</f>
        <v>7</v>
      </c>
      <c r="E92" s="18"/>
      <c r="F92" s="18">
        <f>(F90-D90)</f>
        <v>-6</v>
      </c>
      <c r="G92" s="18">
        <f>(G90-F90)</f>
        <v>1</v>
      </c>
      <c r="H92" s="46">
        <f>(H90-G90)</f>
        <v>1</v>
      </c>
      <c r="I92" s="39"/>
    </row>
    <row r="93">
      <c r="A93" s="3"/>
      <c r="B93" s="53" t="s">
        <v>81</v>
      </c>
      <c r="C93" s="12"/>
      <c r="D93" s="12"/>
      <c r="E93" s="12"/>
      <c r="F93" s="12">
        <f>F91</f>
        <v>0.11538461538461542</v>
      </c>
      <c r="G93" s="12">
        <f>G91</f>
        <v>0.07272727272727275</v>
      </c>
      <c r="H93" s="67">
        <f>H91</f>
        <v>0.05263157894736836</v>
      </c>
      <c r="I93" s="39"/>
    </row>
    <row r="94">
      <c r="A94" s="3"/>
      <c r="B94" s="53" t="s">
        <v>82</v>
      </c>
      <c r="C94" s="64" t="s">
        <v>83</v>
      </c>
      <c r="D94" s="64" t="s">
        <v>83</v>
      </c>
      <c r="E94" s="64" t="s">
        <v>83</v>
      </c>
      <c r="F94" s="64" t="s">
        <v>83</v>
      </c>
      <c r="G94" s="64" t="s">
        <v>83</v>
      </c>
      <c r="H94" s="76" t="s">
        <v>83</v>
      </c>
      <c r="I94" s="39" t="s">
        <v>84</v>
      </c>
    </row>
    <row r="95">
      <c r="A95" s="3"/>
      <c r="B95" s="53" t="s">
        <v>85</v>
      </c>
      <c r="C95" s="64" t="s">
        <v>83</v>
      </c>
      <c r="D95" s="64" t="s">
        <v>83</v>
      </c>
      <c r="E95" s="64" t="s">
        <v>83</v>
      </c>
      <c r="F95" s="64" t="s">
        <v>83</v>
      </c>
      <c r="G95" s="64" t="s">
        <v>83</v>
      </c>
      <c r="H95" s="76" t="s">
        <v>83</v>
      </c>
      <c r="I95" s="39" t="s">
        <v>86</v>
      </c>
    </row>
    <row r="96">
      <c r="A96" s="3"/>
      <c r="B96" s="53" t="s">
        <v>87</v>
      </c>
      <c r="C96" s="64" t="s">
        <v>83</v>
      </c>
      <c r="D96" s="64" t="s">
        <v>83</v>
      </c>
      <c r="E96" s="64" t="s">
        <v>83</v>
      </c>
      <c r="F96" s="64" t="s">
        <v>83</v>
      </c>
      <c r="G96" s="64" t="s">
        <v>83</v>
      </c>
      <c r="H96" s="76" t="s">
        <v>83</v>
      </c>
      <c r="I96" s="39" t="s">
        <v>88</v>
      </c>
    </row>
    <row r="97">
      <c r="A97" s="3"/>
      <c r="B97" s="38" t="s">
        <v>115</v>
      </c>
      <c r="C97" s="62">
        <v>19</v>
      </c>
      <c r="D97" s="62">
        <v>18</v>
      </c>
      <c r="E97" s="43">
        <f>C97+D97+Inputs!C107+Inputs!D107</f>
        <v>74</v>
      </c>
      <c r="F97" s="62">
        <v>18</v>
      </c>
      <c r="G97" s="62">
        <v>18</v>
      </c>
      <c r="H97" s="40">
        <v>18</v>
      </c>
      <c r="I97" s="39" t="s">
        <v>116</v>
      </c>
    </row>
    <row r="98">
      <c r="A98" s="3"/>
      <c r="B98" s="53" t="s">
        <v>79</v>
      </c>
      <c r="C98" s="12"/>
      <c r="D98" s="12"/>
      <c r="E98" s="12"/>
      <c r="F98" s="47">
        <f>F97/Inputs!C107-1</f>
        <v>0</v>
      </c>
      <c r="G98" s="47">
        <f>G97/Inputs!D107-1</f>
        <v>-0.052631578947368474</v>
      </c>
      <c r="H98" s="67">
        <f>H97/C97-1</f>
        <v>-0.052631578947368474</v>
      </c>
      <c r="I98" s="39"/>
    </row>
    <row r="99">
      <c r="A99" s="3"/>
      <c r="B99" s="48" t="s">
        <v>108</v>
      </c>
      <c r="C99" s="18"/>
      <c r="D99" s="18">
        <f>(D97-C97)</f>
        <v>-1</v>
      </c>
      <c r="E99" s="18"/>
      <c r="F99" s="18">
        <f>(F97-D97)</f>
        <v>0</v>
      </c>
      <c r="G99" s="18">
        <f>(G97-F97)</f>
        <v>0</v>
      </c>
      <c r="H99" s="46">
        <f>(H97-G97)</f>
        <v>0</v>
      </c>
      <c r="I99" s="39"/>
    </row>
    <row r="100">
      <c r="A100" s="3"/>
      <c r="B100" s="53" t="s">
        <v>81</v>
      </c>
      <c r="C100" s="12"/>
      <c r="D100" s="12"/>
      <c r="E100" s="12"/>
      <c r="F100" s="12">
        <f>F98</f>
        <v>0</v>
      </c>
      <c r="G100" s="12">
        <f>G98</f>
        <v>-0.052631578947368474</v>
      </c>
      <c r="H100" s="67">
        <f>H98</f>
        <v>-0.052631578947368474</v>
      </c>
      <c r="I100" s="39"/>
    </row>
    <row r="101">
      <c r="A101" s="3"/>
      <c r="B101" s="53" t="s">
        <v>82</v>
      </c>
      <c r="C101" s="64" t="s">
        <v>83</v>
      </c>
      <c r="D101" s="64" t="s">
        <v>83</v>
      </c>
      <c r="E101" s="64" t="s">
        <v>83</v>
      </c>
      <c r="F101" s="64" t="s">
        <v>83</v>
      </c>
      <c r="G101" s="64" t="s">
        <v>83</v>
      </c>
      <c r="H101" s="76" t="s">
        <v>83</v>
      </c>
      <c r="I101" s="39" t="s">
        <v>84</v>
      </c>
    </row>
    <row r="102">
      <c r="A102" s="3"/>
      <c r="B102" s="53" t="s">
        <v>85</v>
      </c>
      <c r="C102" s="64" t="s">
        <v>83</v>
      </c>
      <c r="D102" s="64" t="s">
        <v>83</v>
      </c>
      <c r="E102" s="64" t="s">
        <v>83</v>
      </c>
      <c r="F102" s="64" t="s">
        <v>83</v>
      </c>
      <c r="G102" s="64" t="s">
        <v>83</v>
      </c>
      <c r="H102" s="76" t="s">
        <v>83</v>
      </c>
      <c r="I102" s="39" t="s">
        <v>86</v>
      </c>
    </row>
    <row r="103">
      <c r="A103" s="3"/>
      <c r="B103" s="53" t="s">
        <v>87</v>
      </c>
      <c r="C103" s="64" t="s">
        <v>83</v>
      </c>
      <c r="D103" s="64" t="s">
        <v>83</v>
      </c>
      <c r="E103" s="64" t="s">
        <v>83</v>
      </c>
      <c r="F103" s="64" t="s">
        <v>83</v>
      </c>
      <c r="G103" s="64" t="s">
        <v>83</v>
      </c>
      <c r="H103" s="76" t="s">
        <v>83</v>
      </c>
      <c r="I103" s="39" t="s">
        <v>88</v>
      </c>
    </row>
    <row r="104">
      <c r="A104" s="3"/>
      <c r="B104" s="38" t="s">
        <v>117</v>
      </c>
      <c r="C104" s="62">
        <v>8</v>
      </c>
      <c r="D104" s="62">
        <v>3</v>
      </c>
      <c r="E104" s="43">
        <f>C104+D104+Inputs!C108+Inputs!D108</f>
        <v>16</v>
      </c>
      <c r="F104" s="62">
        <v>-3</v>
      </c>
      <c r="G104" s="62">
        <v>15</v>
      </c>
      <c r="H104" s="40">
        <v>4</v>
      </c>
      <c r="I104" s="39" t="s">
        <v>118</v>
      </c>
    </row>
    <row r="105">
      <c r="A105" s="3"/>
      <c r="B105" s="53" t="s">
        <v>79</v>
      </c>
      <c r="C105" s="12"/>
      <c r="D105" s="12"/>
      <c r="E105" s="12"/>
      <c r="F105" s="47" t="str">
        <f>IF(Inputs!C108&lt;=0,"n/m",F104/Inputs!C108-1)</f>
        <v>n/m</v>
      </c>
      <c r="G105" s="47">
        <f>G104/Inputs!D108-1</f>
        <v>0.875</v>
      </c>
      <c r="H105" s="67">
        <f>H104/C104-1</f>
        <v>-0.5</v>
      </c>
      <c r="I105" s="39"/>
    </row>
    <row r="106">
      <c r="A106" s="3"/>
      <c r="B106" s="48" t="s">
        <v>108</v>
      </c>
      <c r="C106" s="18"/>
      <c r="D106" s="18">
        <f>(D104-C104)</f>
        <v>-5</v>
      </c>
      <c r="E106" s="18"/>
      <c r="F106" s="18">
        <f>(F104-D104)</f>
        <v>-6</v>
      </c>
      <c r="G106" s="18">
        <f>(G104-F104)</f>
        <v>18</v>
      </c>
      <c r="H106" s="46">
        <f>(H104-G104)</f>
        <v>-11</v>
      </c>
      <c r="I106" s="39"/>
    </row>
    <row r="107">
      <c r="A107" s="3"/>
      <c r="B107" s="53" t="s">
        <v>81</v>
      </c>
      <c r="C107" s="12"/>
      <c r="D107" s="12"/>
      <c r="E107" s="12"/>
      <c r="F107" s="12" t="str">
        <f>F105</f>
        <v>n/m</v>
      </c>
      <c r="G107" s="12">
        <f>G105</f>
        <v>0.875</v>
      </c>
      <c r="H107" s="67">
        <f>H105</f>
        <v>-0.5</v>
      </c>
      <c r="I107" s="39"/>
    </row>
    <row r="108">
      <c r="A108" s="3"/>
      <c r="B108" s="53" t="s">
        <v>82</v>
      </c>
      <c r="C108" s="64" t="s">
        <v>83</v>
      </c>
      <c r="D108" s="64" t="s">
        <v>83</v>
      </c>
      <c r="E108" s="64" t="s">
        <v>83</v>
      </c>
      <c r="F108" s="64" t="s">
        <v>83</v>
      </c>
      <c r="G108" s="64" t="s">
        <v>83</v>
      </c>
      <c r="H108" s="76" t="s">
        <v>83</v>
      </c>
      <c r="I108" s="39" t="s">
        <v>84</v>
      </c>
    </row>
    <row r="109">
      <c r="A109" s="3"/>
      <c r="B109" s="53" t="s">
        <v>85</v>
      </c>
      <c r="C109" s="64" t="s">
        <v>83</v>
      </c>
      <c r="D109" s="64" t="s">
        <v>83</v>
      </c>
      <c r="E109" s="64" t="s">
        <v>83</v>
      </c>
      <c r="F109" s="64" t="s">
        <v>83</v>
      </c>
      <c r="G109" s="64" t="s">
        <v>83</v>
      </c>
      <c r="H109" s="76" t="s">
        <v>83</v>
      </c>
      <c r="I109" s="39" t="s">
        <v>86</v>
      </c>
    </row>
    <row r="110">
      <c r="A110" s="3"/>
      <c r="B110" s="53" t="s">
        <v>87</v>
      </c>
      <c r="C110" s="64" t="s">
        <v>83</v>
      </c>
      <c r="D110" s="64" t="s">
        <v>83</v>
      </c>
      <c r="E110" s="64" t="s">
        <v>83</v>
      </c>
      <c r="F110" s="64" t="s">
        <v>83</v>
      </c>
      <c r="G110" s="64" t="s">
        <v>83</v>
      </c>
      <c r="H110" s="76" t="s">
        <v>83</v>
      </c>
      <c r="I110" s="39" t="s">
        <v>88</v>
      </c>
    </row>
    <row r="111">
      <c r="A111" s="3"/>
      <c r="B111" s="38" t="s">
        <v>119</v>
      </c>
      <c r="C111" s="62">
        <v>0</v>
      </c>
      <c r="D111" s="62">
        <v>0</v>
      </c>
      <c r="E111" s="43">
        <f>C111+D111+Inputs!C109+Inputs!D109</f>
        <v>0</v>
      </c>
      <c r="F111" s="62">
        <v>-1</v>
      </c>
      <c r="G111" s="62">
        <v>0</v>
      </c>
      <c r="H111" s="40">
        <v>0</v>
      </c>
      <c r="I111" s="39" t="s">
        <v>120</v>
      </c>
    </row>
    <row r="112">
      <c r="A112" s="3"/>
      <c r="B112" s="53" t="s">
        <v>79</v>
      </c>
      <c r="C112" s="12"/>
      <c r="D112" s="12"/>
      <c r="E112" s="12"/>
      <c r="F112" s="12" t="s">
        <v>100</v>
      </c>
      <c r="G112" s="12" t="s">
        <v>100</v>
      </c>
      <c r="H112" s="67" t="s">
        <v>100</v>
      </c>
      <c r="I112" s="39"/>
    </row>
    <row r="113">
      <c r="A113" s="3"/>
      <c r="B113" s="48" t="s">
        <v>108</v>
      </c>
      <c r="C113" s="18"/>
      <c r="D113" s="18">
        <f>(D111-C111)</f>
        <v>0</v>
      </c>
      <c r="E113" s="18"/>
      <c r="F113" s="18">
        <f>(F111-D111)</f>
        <v>-1</v>
      </c>
      <c r="G113" s="18">
        <f>(G111-F111)</f>
        <v>1</v>
      </c>
      <c r="H113" s="46">
        <f>(H111-G111)</f>
        <v>0</v>
      </c>
      <c r="I113" s="39"/>
    </row>
    <row r="114">
      <c r="A114" s="3"/>
      <c r="B114" s="53" t="s">
        <v>81</v>
      </c>
      <c r="C114" s="12"/>
      <c r="D114" s="12"/>
      <c r="E114" s="12"/>
      <c r="F114" s="12" t="str">
        <f>F112</f>
        <v>n/m</v>
      </c>
      <c r="G114" s="12" t="str">
        <f>G112</f>
        <v>n/m</v>
      </c>
      <c r="H114" s="67" t="str">
        <f>H112</f>
        <v>n/m</v>
      </c>
      <c r="I114" s="39"/>
    </row>
    <row r="115">
      <c r="A115" s="3"/>
      <c r="B115" s="53" t="s">
        <v>82</v>
      </c>
      <c r="C115" s="64" t="s">
        <v>83</v>
      </c>
      <c r="D115" s="64" t="s">
        <v>83</v>
      </c>
      <c r="E115" s="64" t="s">
        <v>83</v>
      </c>
      <c r="F115" s="64" t="s">
        <v>83</v>
      </c>
      <c r="G115" s="64" t="s">
        <v>83</v>
      </c>
      <c r="H115" s="76" t="s">
        <v>83</v>
      </c>
      <c r="I115" s="39" t="s">
        <v>84</v>
      </c>
    </row>
    <row r="116">
      <c r="A116" s="3"/>
      <c r="B116" s="53" t="s">
        <v>85</v>
      </c>
      <c r="C116" s="64" t="s">
        <v>83</v>
      </c>
      <c r="D116" s="64" t="s">
        <v>83</v>
      </c>
      <c r="E116" s="64" t="s">
        <v>83</v>
      </c>
      <c r="F116" s="64" t="s">
        <v>83</v>
      </c>
      <c r="G116" s="64" t="s">
        <v>83</v>
      </c>
      <c r="H116" s="76" t="s">
        <v>83</v>
      </c>
      <c r="I116" s="39" t="s">
        <v>86</v>
      </c>
    </row>
    <row r="117">
      <c r="A117" s="3"/>
      <c r="B117" s="53" t="s">
        <v>87</v>
      </c>
      <c r="C117" s="64" t="s">
        <v>83</v>
      </c>
      <c r="D117" s="64" t="s">
        <v>83</v>
      </c>
      <c r="E117" s="64" t="s">
        <v>83</v>
      </c>
      <c r="F117" s="64" t="s">
        <v>83</v>
      </c>
      <c r="G117" s="64" t="s">
        <v>83</v>
      </c>
      <c r="H117" s="76" t="s">
        <v>83</v>
      </c>
      <c r="I117" s="39" t="s">
        <v>88</v>
      </c>
    </row>
    <row r="118">
      <c r="A118" s="3"/>
      <c r="B118" s="38" t="s">
        <v>121</v>
      </c>
      <c r="C118" s="62">
        <v>19</v>
      </c>
      <c r="D118" s="62">
        <v>18</v>
      </c>
      <c r="E118" s="43">
        <f>C118+D118+Inputs!C110+Inputs!D110</f>
        <v>71</v>
      </c>
      <c r="F118" s="62">
        <v>16</v>
      </c>
      <c r="G118" s="62">
        <v>18</v>
      </c>
      <c r="H118" s="40">
        <v>18</v>
      </c>
      <c r="I118" s="39" t="s">
        <v>116</v>
      </c>
    </row>
    <row r="119">
      <c r="A119" s="3"/>
      <c r="B119" s="53" t="s">
        <v>79</v>
      </c>
      <c r="C119" s="12"/>
      <c r="D119" s="12"/>
      <c r="E119" s="12"/>
      <c r="F119" s="47">
        <f>F118/Inputs!C110-1</f>
        <v>-0.11111111111111116</v>
      </c>
      <c r="G119" s="47">
        <f>G118/Inputs!D110-1</f>
        <v>0.125</v>
      </c>
      <c r="H119" s="67">
        <f>H118/C118-1</f>
        <v>-0.052631578947368474</v>
      </c>
      <c r="I119" s="39"/>
    </row>
    <row r="120">
      <c r="A120" s="3"/>
      <c r="B120" s="48" t="s">
        <v>108</v>
      </c>
      <c r="C120" s="18"/>
      <c r="D120" s="18">
        <f>(D118-C118)</f>
        <v>-1</v>
      </c>
      <c r="E120" s="18"/>
      <c r="F120" s="18">
        <f>(F118-D118)</f>
        <v>-2</v>
      </c>
      <c r="G120" s="18">
        <f>(G118-F118)</f>
        <v>2</v>
      </c>
      <c r="H120" s="46">
        <f>(H118-G118)</f>
        <v>0</v>
      </c>
      <c r="I120" s="39"/>
    </row>
    <row r="121">
      <c r="A121" s="3"/>
      <c r="B121" s="53" t="s">
        <v>81</v>
      </c>
      <c r="C121" s="12"/>
      <c r="D121" s="12"/>
      <c r="E121" s="12"/>
      <c r="F121" s="12">
        <f>F119</f>
        <v>-0.11111111111111116</v>
      </c>
      <c r="G121" s="12">
        <f>G119</f>
        <v>0.125</v>
      </c>
      <c r="H121" s="67">
        <f>H119</f>
        <v>-0.052631578947368474</v>
      </c>
      <c r="I121" s="39"/>
    </row>
    <row r="122">
      <c r="A122" s="3"/>
      <c r="B122" s="53" t="s">
        <v>82</v>
      </c>
      <c r="C122" s="64" t="s">
        <v>83</v>
      </c>
      <c r="D122" s="64" t="s">
        <v>83</v>
      </c>
      <c r="E122" s="64" t="s">
        <v>83</v>
      </c>
      <c r="F122" s="64" t="s">
        <v>83</v>
      </c>
      <c r="G122" s="64" t="s">
        <v>83</v>
      </c>
      <c r="H122" s="76" t="s">
        <v>83</v>
      </c>
      <c r="I122" s="39" t="s">
        <v>84</v>
      </c>
    </row>
    <row r="123">
      <c r="A123" s="3"/>
      <c r="B123" s="53" t="s">
        <v>85</v>
      </c>
      <c r="C123" s="64" t="s">
        <v>83</v>
      </c>
      <c r="D123" s="64" t="s">
        <v>83</v>
      </c>
      <c r="E123" s="64" t="s">
        <v>83</v>
      </c>
      <c r="F123" s="64" t="s">
        <v>83</v>
      </c>
      <c r="G123" s="64" t="s">
        <v>83</v>
      </c>
      <c r="H123" s="76" t="s">
        <v>83</v>
      </c>
      <c r="I123" s="39" t="s">
        <v>86</v>
      </c>
    </row>
    <row r="124">
      <c r="A124" s="3"/>
      <c r="B124" s="53" t="s">
        <v>87</v>
      </c>
      <c r="C124" s="64" t="s">
        <v>83</v>
      </c>
      <c r="D124" s="64" t="s">
        <v>83</v>
      </c>
      <c r="E124" s="64" t="s">
        <v>83</v>
      </c>
      <c r="F124" s="64" t="s">
        <v>83</v>
      </c>
      <c r="G124" s="64" t="s">
        <v>83</v>
      </c>
      <c r="H124" s="76" t="s">
        <v>83</v>
      </c>
      <c r="I124" s="39" t="s">
        <v>88</v>
      </c>
    </row>
    <row r="125">
      <c r="A125" s="3"/>
      <c r="B125" s="71" t="s">
        <v>122</v>
      </c>
      <c r="C125" s="66">
        <f>C338-(C69+C76+C83+C90+C97+C104+C111+C118)</f>
        <v>1</v>
      </c>
      <c r="D125" s="66">
        <f>D338-(D69+D76+D83+D90+D97+D104+D111+D118)</f>
        <v>1</v>
      </c>
      <c r="E125" s="66">
        <f>E126-(E69+E76+E83+E90+E97+E104+E111+E118)</f>
        <v>3</v>
      </c>
      <c r="F125" s="66">
        <f>F338-(F69+F76+F83+F90+F97+F104+F111+F118)</f>
        <v>2</v>
      </c>
      <c r="G125" s="66">
        <f>G338-(G69+G76+G83+G90+G97+G104+G111+G118)</f>
        <v>1</v>
      </c>
      <c r="H125" s="75">
        <v>0</v>
      </c>
      <c r="I125" s="39" t="s">
        <v>123</v>
      </c>
    </row>
    <row r="126">
      <c r="A126" s="3"/>
      <c r="B126" s="56" t="s">
        <v>124</v>
      </c>
      <c r="C126" s="45">
        <f>C69+C76+C83+C90+C97+C104+C111+C118+C125</f>
        <v>215</v>
      </c>
      <c r="D126" s="45">
        <f>D69+D76+D83+D90+D97+D104+D111+D118+D125</f>
        <v>212</v>
      </c>
      <c r="E126" s="83">
        <f>C126+D126+Inputs!C111+Inputs!D111</f>
        <v>797</v>
      </c>
      <c r="F126" s="45">
        <f>F69+F76+F83+F90+F97+F104+F111+F118+F125</f>
        <v>195</v>
      </c>
      <c r="G126" s="45">
        <f>G69+G76+G83+G90+G97+G104+G111+G118+G125</f>
        <v>211</v>
      </c>
      <c r="H126" s="68">
        <f>H69+H76+H83+H90+H97+H104+H111+H118+H125</f>
        <v>200.934</v>
      </c>
      <c r="I126" s="39"/>
    </row>
    <row r="127">
      <c r="A127" s="3"/>
      <c r="B127" s="38" t="s">
        <v>125</v>
      </c>
      <c r="C127" s="18">
        <f>C126-C104</f>
        <v>207</v>
      </c>
      <c r="D127" s="18">
        <f>D126-D104</f>
        <v>209</v>
      </c>
      <c r="E127" s="18">
        <f>E126-E104</f>
        <v>781</v>
      </c>
      <c r="F127" s="18">
        <f>F126-F104</f>
        <v>198</v>
      </c>
      <c r="G127" s="18">
        <f>G126-G104</f>
        <v>196</v>
      </c>
      <c r="H127" s="46">
        <f>H126-H104</f>
        <v>196.934</v>
      </c>
      <c r="I127" s="39"/>
    </row>
    <row r="128">
      <c r="A128" s="3"/>
      <c r="B128" s="38" t="s">
        <v>126</v>
      </c>
      <c r="C128" s="18">
        <f>C23-C104</f>
        <v>885</v>
      </c>
      <c r="D128" s="18">
        <f>D23-D104</f>
        <v>889</v>
      </c>
      <c r="E128" s="18">
        <f>E23-E104</f>
        <v>3417</v>
      </c>
      <c r="F128" s="18">
        <f>F23-F104</f>
        <v>868</v>
      </c>
      <c r="G128" s="18">
        <f>G23-G104</f>
        <v>875</v>
      </c>
      <c r="H128" s="46">
        <f>H23-H104</f>
        <v>884.8371309589045</v>
      </c>
      <c r="I128" s="39"/>
    </row>
    <row r="129">
      <c r="A129" s="3"/>
      <c r="B129" s="53" t="s">
        <v>79</v>
      </c>
      <c r="C129" s="12"/>
      <c r="D129" s="12"/>
      <c r="E129" s="12"/>
      <c r="F129" s="47">
        <f>F128/(Inputs!C219-Inputs!C108)-1</f>
        <v>0.06112469437652801</v>
      </c>
      <c r="G129" s="47">
        <f>G128/(Inputs!D219-Inputs!D108)-1</f>
        <v>0.06060606060606055</v>
      </c>
      <c r="H129" s="67">
        <f>H128/C128-1</f>
        <v>-0.00018403281479717482</v>
      </c>
      <c r="I129" s="39"/>
    </row>
    <row r="130">
      <c r="A130" s="3"/>
      <c r="B130" s="3"/>
      <c r="C130" s="10"/>
      <c r="D130" s="10"/>
      <c r="E130" s="10"/>
      <c r="F130" s="10"/>
      <c r="G130" s="10"/>
      <c r="H130" s="50"/>
      <c r="I130" s="39"/>
    </row>
    <row r="131">
      <c r="A131" s="3"/>
      <c r="B131" s="56" t="s">
        <v>127</v>
      </c>
      <c r="C131" s="10"/>
      <c r="D131" s="10"/>
      <c r="E131" s="10"/>
      <c r="F131" s="10"/>
      <c r="G131" s="10"/>
      <c r="H131" s="50"/>
      <c r="I131" s="39"/>
    </row>
    <row r="132">
      <c r="A132" s="3"/>
      <c r="B132" s="56" t="s">
        <v>128</v>
      </c>
      <c r="C132" s="59"/>
      <c r="D132" s="59"/>
      <c r="E132" s="59"/>
      <c r="F132" s="59"/>
      <c r="G132" s="59"/>
      <c r="H132" s="110"/>
      <c r="I132" s="39"/>
    </row>
    <row r="133">
      <c r="A133" s="3"/>
      <c r="B133" s="38" t="s">
        <v>129</v>
      </c>
      <c r="C133" s="62">
        <v>34011</v>
      </c>
      <c r="D133" s="62">
        <v>35005</v>
      </c>
      <c r="E133" s="62">
        <v>33831</v>
      </c>
      <c r="F133" s="62">
        <v>35208</v>
      </c>
      <c r="G133" s="62">
        <v>36745</v>
      </c>
      <c r="H133" s="40">
        <v>37300</v>
      </c>
      <c r="I133" s="39" t="s">
        <v>130</v>
      </c>
    </row>
    <row r="134">
      <c r="A134" s="3"/>
      <c r="B134" s="48" t="s">
        <v>131</v>
      </c>
      <c r="C134" s="18"/>
      <c r="D134" s="18"/>
      <c r="E134" s="18"/>
      <c r="F134" s="43">
        <f>(F133-Inputs!C112)</f>
        <v>2576</v>
      </c>
      <c r="G134" s="43">
        <f>(G133-Inputs!D112)</f>
        <v>3111</v>
      </c>
      <c r="H134" s="46">
        <f>(H133-C133)</f>
        <v>3289</v>
      </c>
      <c r="I134" s="39"/>
    </row>
    <row r="135">
      <c r="A135" s="3"/>
      <c r="B135" s="48" t="s">
        <v>108</v>
      </c>
      <c r="C135" s="18"/>
      <c r="D135" s="18">
        <f>(D133-C133)</f>
        <v>994</v>
      </c>
      <c r="E135" s="18"/>
      <c r="F135" s="18">
        <f>(F133-D133)</f>
        <v>203</v>
      </c>
      <c r="G135" s="18">
        <f>(G133-F133)</f>
        <v>1537</v>
      </c>
      <c r="H135" s="46">
        <f>(H133-G133)</f>
        <v>555</v>
      </c>
      <c r="I135" s="39"/>
    </row>
    <row r="136">
      <c r="A136" s="3"/>
      <c r="B136" s="48" t="s">
        <v>132</v>
      </c>
      <c r="C136" s="62">
        <v>3628</v>
      </c>
      <c r="D136" s="62">
        <v>4160</v>
      </c>
      <c r="E136" s="62">
        <v>3539</v>
      </c>
      <c r="F136" s="62">
        <v>3884</v>
      </c>
      <c r="G136" s="62">
        <v>4284</v>
      </c>
      <c r="H136" s="40">
        <v>4500</v>
      </c>
      <c r="I136" s="39" t="s">
        <v>133</v>
      </c>
    </row>
    <row r="137">
      <c r="A137" s="3"/>
      <c r="B137" s="92" t="s">
        <v>131</v>
      </c>
      <c r="C137" s="18"/>
      <c r="D137" s="18"/>
      <c r="E137" s="18"/>
      <c r="F137" s="43">
        <f>(F136-Inputs!C113)</f>
        <v>1065</v>
      </c>
      <c r="G137" s="43">
        <f>(G136-Inputs!D113)</f>
        <v>751</v>
      </c>
      <c r="H137" s="46">
        <f>(H136-C136)</f>
        <v>872</v>
      </c>
      <c r="I137" s="39"/>
    </row>
    <row r="138">
      <c r="A138" s="3"/>
      <c r="B138" s="92" t="s">
        <v>108</v>
      </c>
      <c r="C138" s="18"/>
      <c r="D138" s="18">
        <f>(D136-C136)</f>
        <v>532</v>
      </c>
      <c r="E138" s="18"/>
      <c r="F138" s="18">
        <f>(F136-D136)</f>
        <v>-276</v>
      </c>
      <c r="G138" s="18">
        <f>(G136-F136)</f>
        <v>400</v>
      </c>
      <c r="H138" s="46">
        <f>(H136-G136)</f>
        <v>216</v>
      </c>
      <c r="I138" s="39"/>
    </row>
    <row r="139">
      <c r="A139" s="3"/>
      <c r="B139" s="48" t="s">
        <v>134</v>
      </c>
      <c r="C139" s="18">
        <f>C133-C136</f>
        <v>30383</v>
      </c>
      <c r="D139" s="18">
        <f>D133-D136</f>
        <v>30845</v>
      </c>
      <c r="E139" s="18">
        <f>E133-E136</f>
        <v>30292</v>
      </c>
      <c r="F139" s="18">
        <f>F133-F136</f>
        <v>31324</v>
      </c>
      <c r="G139" s="18">
        <f>G133-G136</f>
        <v>32461</v>
      </c>
      <c r="H139" s="46">
        <f>H133-H136</f>
        <v>32800</v>
      </c>
      <c r="I139" s="39"/>
    </row>
    <row r="140">
      <c r="A140" s="3"/>
      <c r="B140" s="92" t="s">
        <v>131</v>
      </c>
      <c r="C140" s="18"/>
      <c r="D140" s="18"/>
      <c r="E140" s="18"/>
      <c r="F140" s="43">
        <f>(F139-Inputs!C114)</f>
        <v>1511</v>
      </c>
      <c r="G140" s="43">
        <f>(G139-Inputs!D114)</f>
        <v>2360</v>
      </c>
      <c r="H140" s="46">
        <f>(H139-C139)</f>
        <v>2417</v>
      </c>
      <c r="I140" s="39"/>
    </row>
    <row r="141">
      <c r="A141" s="3"/>
      <c r="B141" s="92" t="s">
        <v>108</v>
      </c>
      <c r="C141" s="18"/>
      <c r="D141" s="18">
        <f>(D139-C139)</f>
        <v>462</v>
      </c>
      <c r="E141" s="18"/>
      <c r="F141" s="18">
        <f>(F139-D139)</f>
        <v>479</v>
      </c>
      <c r="G141" s="18">
        <f>(G139-F139)</f>
        <v>1137</v>
      </c>
      <c r="H141" s="46">
        <f>(H139-G139)</f>
        <v>339</v>
      </c>
      <c r="I141" s="39"/>
    </row>
    <row r="142">
      <c r="A142" s="3"/>
      <c r="B142" s="38" t="s">
        <v>135</v>
      </c>
      <c r="C142" s="62">
        <v>13772</v>
      </c>
      <c r="D142" s="62">
        <v>13587</v>
      </c>
      <c r="E142" s="62">
        <v>13931</v>
      </c>
      <c r="F142" s="62">
        <v>13417</v>
      </c>
      <c r="G142" s="62">
        <v>13510</v>
      </c>
      <c r="H142" s="40">
        <v>13690</v>
      </c>
      <c r="I142" s="39" t="s">
        <v>136</v>
      </c>
    </row>
    <row r="143">
      <c r="A143" s="3"/>
      <c r="B143" s="48" t="s">
        <v>131</v>
      </c>
      <c r="C143" s="18"/>
      <c r="D143" s="18"/>
      <c r="E143" s="18"/>
      <c r="F143" s="43">
        <f>(F142-Inputs!C115)</f>
        <v>-901</v>
      </c>
      <c r="G143" s="43">
        <f>(G142-Inputs!D115)</f>
        <v>-560</v>
      </c>
      <c r="H143" s="46">
        <f>(H142-C142)</f>
        <v>-82</v>
      </c>
      <c r="I143" s="39"/>
    </row>
    <row r="144">
      <c r="A144" s="3"/>
      <c r="B144" s="48" t="s">
        <v>108</v>
      </c>
      <c r="C144" s="18"/>
      <c r="D144" s="18">
        <f>(D142-C142)</f>
        <v>-185</v>
      </c>
      <c r="E144" s="18"/>
      <c r="F144" s="18">
        <f>(F142-D142)</f>
        <v>-170</v>
      </c>
      <c r="G144" s="18">
        <f>(G142-F142)</f>
        <v>93</v>
      </c>
      <c r="H144" s="46">
        <f>(H142-G142)</f>
        <v>180</v>
      </c>
      <c r="I144" s="39"/>
    </row>
    <row r="145">
      <c r="A145" s="3"/>
      <c r="B145" s="53" t="s">
        <v>122</v>
      </c>
      <c r="C145" s="66">
        <f>C339-(C133+C142)</f>
        <v>1</v>
      </c>
      <c r="D145" s="66">
        <f>D339-(D133+D142)</f>
        <v>-1</v>
      </c>
      <c r="E145" s="66">
        <f>E339-(E133+E142)</f>
        <v>0</v>
      </c>
      <c r="F145" s="66">
        <f>F339-(F133+F142)</f>
        <v>0</v>
      </c>
      <c r="G145" s="66">
        <f>G339-(G133+G142)</f>
        <v>1</v>
      </c>
      <c r="H145" s="75">
        <v>0</v>
      </c>
      <c r="I145" s="39" t="s">
        <v>123</v>
      </c>
    </row>
    <row r="146">
      <c r="A146" s="3"/>
      <c r="B146" s="42" t="s">
        <v>137</v>
      </c>
      <c r="C146" s="45">
        <f>C133+C142+C145</f>
        <v>47784</v>
      </c>
      <c r="D146" s="45">
        <f>D133+D142+D145</f>
        <v>48591</v>
      </c>
      <c r="E146" s="45">
        <f>E133+E142+E145</f>
        <v>47762</v>
      </c>
      <c r="F146" s="45">
        <f>F133+F142+F145</f>
        <v>48625</v>
      </c>
      <c r="G146" s="45">
        <f>G133+G142+G145</f>
        <v>50256</v>
      </c>
      <c r="H146" s="68">
        <f>H133+H142+H145</f>
        <v>50990</v>
      </c>
      <c r="I146" s="39"/>
    </row>
    <row r="147">
      <c r="A147" s="3"/>
      <c r="B147" s="38" t="s">
        <v>138</v>
      </c>
      <c r="C147" s="62">
        <v>14409</v>
      </c>
      <c r="D147" s="62">
        <v>14255</v>
      </c>
      <c r="E147" s="62">
        <v>14235</v>
      </c>
      <c r="F147" s="62">
        <v>13998</v>
      </c>
      <c r="G147" s="62">
        <v>13873</v>
      </c>
      <c r="H147" s="40">
        <v>13840</v>
      </c>
      <c r="I147" s="39" t="s">
        <v>139</v>
      </c>
    </row>
    <row r="148">
      <c r="A148" s="3"/>
      <c r="B148" s="48" t="s">
        <v>131</v>
      </c>
      <c r="C148" s="18"/>
      <c r="D148" s="18"/>
      <c r="E148" s="18"/>
      <c r="F148" s="43">
        <f>(F147-Inputs!C117)</f>
        <v>-48</v>
      </c>
      <c r="G148" s="43">
        <f>(G147-Inputs!D117)</f>
        <v>-351</v>
      </c>
      <c r="H148" s="46">
        <f>(H147-C147)</f>
        <v>-569</v>
      </c>
      <c r="I148" s="39"/>
    </row>
    <row r="149">
      <c r="A149" s="3"/>
      <c r="B149" s="48" t="s">
        <v>108</v>
      </c>
      <c r="C149" s="18"/>
      <c r="D149" s="18">
        <f>(D147-C147)</f>
        <v>-154</v>
      </c>
      <c r="E149" s="18"/>
      <c r="F149" s="18">
        <f>(F147-D147)</f>
        <v>-257</v>
      </c>
      <c r="G149" s="18">
        <f>(G147-F147)</f>
        <v>-125</v>
      </c>
      <c r="H149" s="46">
        <f>(H147-G147)</f>
        <v>-33</v>
      </c>
      <c r="I149" s="39"/>
    </row>
    <row r="150">
      <c r="A150" s="3"/>
      <c r="B150" s="38" t="s">
        <v>140</v>
      </c>
      <c r="C150" s="62">
        <v>594</v>
      </c>
      <c r="D150" s="62">
        <v>586</v>
      </c>
      <c r="E150" s="62">
        <v>613</v>
      </c>
      <c r="F150" s="62">
        <v>569</v>
      </c>
      <c r="G150" s="62">
        <v>566</v>
      </c>
      <c r="H150" s="40">
        <v>568</v>
      </c>
      <c r="I150" s="39"/>
    </row>
    <row r="151">
      <c r="A151" s="3"/>
      <c r="B151" s="48" t="s">
        <v>131</v>
      </c>
      <c r="C151" s="18"/>
      <c r="D151" s="18"/>
      <c r="E151" s="18"/>
      <c r="F151" s="43">
        <f>(F150-Inputs!C118)</f>
        <v>-80</v>
      </c>
      <c r="G151" s="43">
        <f>(G150-Inputs!D118)</f>
        <v>-57</v>
      </c>
      <c r="H151" s="46">
        <f>(H150-C150)</f>
        <v>-26</v>
      </c>
      <c r="I151" s="39"/>
    </row>
    <row r="152">
      <c r="A152" s="3"/>
      <c r="B152" s="48" t="s">
        <v>108</v>
      </c>
      <c r="C152" s="18"/>
      <c r="D152" s="18">
        <f>(D150-C150)</f>
        <v>-8</v>
      </c>
      <c r="E152" s="18"/>
      <c r="F152" s="18">
        <f>(F150-D150)</f>
        <v>-17</v>
      </c>
      <c r="G152" s="18">
        <f>(G150-F150)</f>
        <v>-3</v>
      </c>
      <c r="H152" s="46">
        <f>(H150-G150)</f>
        <v>2</v>
      </c>
      <c r="I152" s="39"/>
    </row>
    <row r="153">
      <c r="A153" s="3"/>
      <c r="B153" s="53" t="s">
        <v>122</v>
      </c>
      <c r="C153" s="66">
        <f>C340-(C147+C150)</f>
        <v>1</v>
      </c>
      <c r="D153" s="66">
        <f>D340-(D147+D150)</f>
        <v>0</v>
      </c>
      <c r="E153" s="66">
        <f>E340-(E147+E150)</f>
        <v>-1</v>
      </c>
      <c r="F153" s="66">
        <f>F340-(F147+F150)</f>
        <v>0</v>
      </c>
      <c r="G153" s="66">
        <f>G340-(G147+G150)</f>
        <v>0</v>
      </c>
      <c r="H153" s="75">
        <v>0</v>
      </c>
      <c r="I153" s="39" t="s">
        <v>123</v>
      </c>
    </row>
    <row r="154">
      <c r="A154" s="3"/>
      <c r="B154" s="42" t="s">
        <v>141</v>
      </c>
      <c r="C154" s="45">
        <f>C147+C150+C153</f>
        <v>15004</v>
      </c>
      <c r="D154" s="45">
        <f>D147+D150+D153</f>
        <v>14841</v>
      </c>
      <c r="E154" s="45">
        <f>E147+E150+E153</f>
        <v>14847</v>
      </c>
      <c r="F154" s="45">
        <f>F147+F150+F153</f>
        <v>14567</v>
      </c>
      <c r="G154" s="45">
        <f>G147+G150+G153</f>
        <v>14439</v>
      </c>
      <c r="H154" s="68">
        <f>H147+H150+H153</f>
        <v>14408</v>
      </c>
      <c r="I154" s="39"/>
    </row>
    <row r="155">
      <c r="A155" s="3"/>
      <c r="B155" s="53" t="s">
        <v>122</v>
      </c>
      <c r="C155" s="66">
        <f>C341-(C146+C154)</f>
        <v>-1</v>
      </c>
      <c r="D155" s="66">
        <f>D341-(D146+D154)</f>
        <v>0</v>
      </c>
      <c r="E155" s="66">
        <f>E341-(E146+E154)</f>
        <v>1</v>
      </c>
      <c r="F155" s="66">
        <f>F341-(F146+F154)</f>
        <v>0</v>
      </c>
      <c r="G155" s="66">
        <f>G341-(G146+G154)</f>
        <v>0</v>
      </c>
      <c r="H155" s="75">
        <v>0</v>
      </c>
      <c r="I155" s="39" t="s">
        <v>123</v>
      </c>
    </row>
    <row r="156">
      <c r="A156" s="3"/>
      <c r="B156" s="42" t="s">
        <v>142</v>
      </c>
      <c r="C156" s="45">
        <f>C146+C154+C155</f>
        <v>62787</v>
      </c>
      <c r="D156" s="45">
        <f>D146+D154+D155</f>
        <v>63432</v>
      </c>
      <c r="E156" s="45">
        <f>E146+E154+E155</f>
        <v>62610</v>
      </c>
      <c r="F156" s="45">
        <f>F146+F154+F155</f>
        <v>63192</v>
      </c>
      <c r="G156" s="45">
        <f>G146+G154+G155</f>
        <v>64695</v>
      </c>
      <c r="H156" s="68">
        <f>H146+H154+H155</f>
        <v>65398</v>
      </c>
      <c r="I156" s="39"/>
    </row>
    <row r="157">
      <c r="A157" s="3"/>
      <c r="B157" s="48" t="s">
        <v>131</v>
      </c>
      <c r="C157" s="18"/>
      <c r="D157" s="18"/>
      <c r="E157" s="18"/>
      <c r="F157" s="43">
        <f>(F156-Inputs!C120)</f>
        <v>1547</v>
      </c>
      <c r="G157" s="43">
        <f>(G156-Inputs!D120)</f>
        <v>2144</v>
      </c>
      <c r="H157" s="46">
        <f>(H156-C156)</f>
        <v>2611</v>
      </c>
      <c r="I157" s="39"/>
    </row>
    <row r="158">
      <c r="A158" s="3"/>
      <c r="B158" s="48" t="s">
        <v>108</v>
      </c>
      <c r="C158" s="18"/>
      <c r="D158" s="18">
        <f>(D156-C156)</f>
        <v>645</v>
      </c>
      <c r="E158" s="18"/>
      <c r="F158" s="18">
        <f>(F156-D156)</f>
        <v>-240</v>
      </c>
      <c r="G158" s="18">
        <f>(G156-F156)</f>
        <v>1503</v>
      </c>
      <c r="H158" s="46">
        <f>(H156-G156)</f>
        <v>703</v>
      </c>
      <c r="I158" s="39"/>
    </row>
    <row r="159">
      <c r="A159" s="3"/>
      <c r="B159" s="38" t="s">
        <v>143</v>
      </c>
      <c r="C159" s="62">
        <v>454</v>
      </c>
      <c r="D159" s="62">
        <v>515</v>
      </c>
      <c r="E159" s="62">
        <v>497</v>
      </c>
      <c r="F159" s="62">
        <v>479</v>
      </c>
      <c r="G159" s="62">
        <v>532</v>
      </c>
      <c r="H159" s="40">
        <v>500</v>
      </c>
      <c r="I159" s="39"/>
    </row>
    <row r="160">
      <c r="A160" s="3"/>
      <c r="B160" s="48" t="s">
        <v>131</v>
      </c>
      <c r="C160" s="18"/>
      <c r="D160" s="18"/>
      <c r="E160" s="18"/>
      <c r="F160" s="43">
        <f>(F159-Inputs!C121)</f>
        <v>-40</v>
      </c>
      <c r="G160" s="43">
        <f>(G159-Inputs!D121)</f>
        <v>31</v>
      </c>
      <c r="H160" s="46">
        <f>(H159-C159)</f>
        <v>46</v>
      </c>
      <c r="I160" s="39"/>
    </row>
    <row r="161">
      <c r="A161" s="3"/>
      <c r="B161" s="48" t="s">
        <v>108</v>
      </c>
      <c r="C161" s="18"/>
      <c r="D161" s="18">
        <f>(D159-C159)</f>
        <v>61</v>
      </c>
      <c r="E161" s="18"/>
      <c r="F161" s="18">
        <f>(F159-D159)</f>
        <v>-36</v>
      </c>
      <c r="G161" s="18">
        <f>(G159-F159)</f>
        <v>53</v>
      </c>
      <c r="H161" s="46">
        <f>(H159-G159)</f>
        <v>-32</v>
      </c>
      <c r="I161" s="39"/>
    </row>
    <row r="162">
      <c r="A162" s="3"/>
      <c r="B162" s="38" t="s">
        <v>144</v>
      </c>
      <c r="C162" s="62">
        <v>9321</v>
      </c>
      <c r="D162" s="62">
        <v>9321</v>
      </c>
      <c r="E162" s="62">
        <v>9295</v>
      </c>
      <c r="F162" s="62">
        <v>9454</v>
      </c>
      <c r="G162" s="62">
        <v>9218</v>
      </c>
      <c r="H162" s="40">
        <v>9100</v>
      </c>
      <c r="I162" s="39"/>
    </row>
    <row r="163">
      <c r="A163" s="3"/>
      <c r="B163" s="48" t="s">
        <v>131</v>
      </c>
      <c r="C163" s="18"/>
      <c r="D163" s="18"/>
      <c r="E163" s="18"/>
      <c r="F163" s="43">
        <f>(F162-Inputs!C122)</f>
        <v>245</v>
      </c>
      <c r="G163" s="43">
        <f>(G162-Inputs!D122)</f>
        <v>-112</v>
      </c>
      <c r="H163" s="46">
        <f>(H162-C162)</f>
        <v>-221</v>
      </c>
      <c r="I163" s="39"/>
    </row>
    <row r="164">
      <c r="A164" s="3"/>
      <c r="B164" s="48" t="s">
        <v>108</v>
      </c>
      <c r="C164" s="18"/>
      <c r="D164" s="18">
        <f>(D162-C162)</f>
        <v>0</v>
      </c>
      <c r="E164" s="18"/>
      <c r="F164" s="18">
        <f>(F162-D162)</f>
        <v>133</v>
      </c>
      <c r="G164" s="18">
        <f>(G162-F162)</f>
        <v>-236</v>
      </c>
      <c r="H164" s="46">
        <f>(H162-G162)</f>
        <v>-118</v>
      </c>
      <c r="I164" s="39"/>
    </row>
    <row r="165">
      <c r="A165" s="3"/>
      <c r="B165" s="38" t="s">
        <v>145</v>
      </c>
      <c r="C165" s="62">
        <v>1625</v>
      </c>
      <c r="D165" s="62">
        <v>1798</v>
      </c>
      <c r="E165" s="62">
        <v>1619</v>
      </c>
      <c r="F165" s="62">
        <v>1796</v>
      </c>
      <c r="G165" s="62">
        <v>1677</v>
      </c>
      <c r="H165" s="40">
        <v>1600</v>
      </c>
      <c r="I165" s="39"/>
    </row>
    <row r="166">
      <c r="A166" s="3"/>
      <c r="B166" s="48" t="s">
        <v>131</v>
      </c>
      <c r="C166" s="18"/>
      <c r="D166" s="18"/>
      <c r="E166" s="18"/>
      <c r="F166" s="43">
        <f>(F165-Inputs!C123)</f>
        <v>354</v>
      </c>
      <c r="G166" s="43">
        <f>(G165-Inputs!D123)</f>
        <v>68</v>
      </c>
      <c r="H166" s="46">
        <f>(H165-C165)</f>
        <v>-25</v>
      </c>
      <c r="I166" s="39"/>
    </row>
    <row r="167">
      <c r="A167" s="3"/>
      <c r="B167" s="48" t="s">
        <v>108</v>
      </c>
      <c r="C167" s="18"/>
      <c r="D167" s="18">
        <f>(D165-C165)</f>
        <v>173</v>
      </c>
      <c r="E167" s="18"/>
      <c r="F167" s="18">
        <f>(F165-D165)</f>
        <v>-2</v>
      </c>
      <c r="G167" s="18">
        <f>(G165-F165)</f>
        <v>-119</v>
      </c>
      <c r="H167" s="46">
        <f>(H165-G165)</f>
        <v>-77</v>
      </c>
      <c r="I167" s="39"/>
    </row>
    <row r="168">
      <c r="A168" s="3"/>
      <c r="B168" s="38" t="s">
        <v>146</v>
      </c>
      <c r="C168" s="62">
        <v>1272</v>
      </c>
      <c r="D168" s="62">
        <v>1218</v>
      </c>
      <c r="E168" s="62">
        <v>1254</v>
      </c>
      <c r="F168" s="62">
        <v>1233</v>
      </c>
      <c r="G168" s="62">
        <v>1168</v>
      </c>
      <c r="H168" s="40">
        <v>1150</v>
      </c>
      <c r="I168" s="39"/>
    </row>
    <row r="169">
      <c r="A169" s="3"/>
      <c r="B169" s="48" t="s">
        <v>131</v>
      </c>
      <c r="C169" s="18"/>
      <c r="D169" s="18"/>
      <c r="E169" s="18"/>
      <c r="F169" s="43">
        <f>(F168-Inputs!C124)</f>
        <v>-32</v>
      </c>
      <c r="G169" s="43">
        <f>(G168-Inputs!D124)</f>
        <v>-91</v>
      </c>
      <c r="H169" s="46">
        <f>(H168-C168)</f>
        <v>-122</v>
      </c>
      <c r="I169" s="39"/>
    </row>
    <row r="170">
      <c r="A170" s="3"/>
      <c r="B170" s="48" t="s">
        <v>108</v>
      </c>
      <c r="C170" s="18"/>
      <c r="D170" s="18">
        <f>(D168-C168)</f>
        <v>-54</v>
      </c>
      <c r="E170" s="18"/>
      <c r="F170" s="18">
        <f>(F168-D168)</f>
        <v>15</v>
      </c>
      <c r="G170" s="18">
        <f>(G168-F168)</f>
        <v>-65</v>
      </c>
      <c r="H170" s="46">
        <f>(H168-G168)</f>
        <v>-18</v>
      </c>
      <c r="I170" s="39"/>
    </row>
    <row r="171">
      <c r="A171" s="3"/>
      <c r="B171" s="38" t="s">
        <v>147</v>
      </c>
      <c r="C171" s="62">
        <v>573</v>
      </c>
      <c r="D171" s="62">
        <v>743</v>
      </c>
      <c r="E171" s="62">
        <v>666</v>
      </c>
      <c r="F171" s="62">
        <v>756</v>
      </c>
      <c r="G171" s="62">
        <v>669</v>
      </c>
      <c r="H171" s="40">
        <v>650</v>
      </c>
      <c r="I171" s="39"/>
    </row>
    <row r="172">
      <c r="A172" s="3"/>
      <c r="B172" s="48" t="s">
        <v>131</v>
      </c>
      <c r="C172" s="18"/>
      <c r="D172" s="18"/>
      <c r="E172" s="18"/>
      <c r="F172" s="43">
        <f>(F171-Inputs!C125)</f>
        <v>43</v>
      </c>
      <c r="G172" s="43">
        <f>(G171-Inputs!D125)</f>
        <v>33</v>
      </c>
      <c r="H172" s="46">
        <f>(H171-C171)</f>
        <v>77</v>
      </c>
      <c r="I172" s="39"/>
    </row>
    <row r="173">
      <c r="A173" s="3"/>
      <c r="B173" s="48" t="s">
        <v>108</v>
      </c>
      <c r="C173" s="18"/>
      <c r="D173" s="18">
        <f>(D171-C171)</f>
        <v>170</v>
      </c>
      <c r="E173" s="18"/>
      <c r="F173" s="18">
        <f>(F171-D171)</f>
        <v>13</v>
      </c>
      <c r="G173" s="18">
        <f>(G171-F171)</f>
        <v>-87</v>
      </c>
      <c r="H173" s="46">
        <f>(H171-G171)</f>
        <v>-19</v>
      </c>
      <c r="I173" s="39"/>
    </row>
    <row r="174">
      <c r="A174" s="3"/>
      <c r="B174" s="71" t="s">
        <v>122</v>
      </c>
      <c r="C174" s="66">
        <f>C342-(C156+C159+C162+C165+C168+C171)</f>
        <v>0</v>
      </c>
      <c r="D174" s="66">
        <f>D342-(D156+D159+D162+D165+D168+D171)</f>
        <v>0</v>
      </c>
      <c r="E174" s="66">
        <f>E342-(E156+E159+E162+E165+E168+E171)</f>
        <v>0</v>
      </c>
      <c r="F174" s="66">
        <f>F342-(F156+F159+F162+F165+F168+F171)</f>
        <v>0</v>
      </c>
      <c r="G174" s="66">
        <f>G342-(G156+G159+G162+G165+G168+G171)</f>
        <v>1</v>
      </c>
      <c r="H174" s="75">
        <v>0</v>
      </c>
      <c r="I174" s="39" t="s">
        <v>123</v>
      </c>
    </row>
    <row r="175" ht="37.875">
      <c r="A175" s="3"/>
      <c r="B175" s="56" t="s">
        <v>148</v>
      </c>
      <c r="C175" s="45">
        <f>C156+C159+C162+C165+C168+C171+C174</f>
        <v>76032</v>
      </c>
      <c r="D175" s="45">
        <f>D156+D159+D162+D165+D168+D171+D174</f>
        <v>77027</v>
      </c>
      <c r="E175" s="45">
        <f>E156+E159+E162+E165+E168+E171+E174</f>
        <v>75941</v>
      </c>
      <c r="F175" s="45">
        <f>F156+F159+F162+F165+F168+F171+F174</f>
        <v>76910</v>
      </c>
      <c r="G175" s="45">
        <f>G156+G159+G162+G165+G168+G171+G174</f>
        <v>77960</v>
      </c>
      <c r="H175" s="68">
        <f>H156+H159+H162+H165+H168+H171+H174</f>
        <v>78398</v>
      </c>
      <c r="I175" s="149" t="s">
        <v>149</v>
      </c>
    </row>
    <row r="176">
      <c r="A176" s="3"/>
      <c r="B176" s="38" t="s">
        <v>131</v>
      </c>
      <c r="C176" s="18"/>
      <c r="D176" s="18"/>
      <c r="E176" s="18"/>
      <c r="F176" s="43">
        <f>(F175-Inputs!C126)</f>
        <v>2117</v>
      </c>
      <c r="G176" s="43">
        <f>(G175-Inputs!D126)</f>
        <v>2073</v>
      </c>
      <c r="H176" s="46">
        <f>(H175-C175)</f>
        <v>2366</v>
      </c>
      <c r="I176" s="39"/>
    </row>
    <row r="177">
      <c r="A177" s="3"/>
      <c r="B177" s="38" t="s">
        <v>108</v>
      </c>
      <c r="C177" s="18"/>
      <c r="D177" s="18">
        <f>(D175-C175)</f>
        <v>995</v>
      </c>
      <c r="E177" s="18"/>
      <c r="F177" s="18">
        <f>(F175-D175)</f>
        <v>-117</v>
      </c>
      <c r="G177" s="18">
        <f>(G175-F175)</f>
        <v>1050</v>
      </c>
      <c r="H177" s="46">
        <f>(H175-G175)</f>
        <v>438</v>
      </c>
      <c r="I177" s="39"/>
    </row>
    <row r="178">
      <c r="A178" s="3"/>
      <c r="B178" s="56" t="s">
        <v>150</v>
      </c>
      <c r="C178" s="59"/>
      <c r="D178" s="59"/>
      <c r="E178" s="59"/>
      <c r="F178" s="59"/>
      <c r="G178" s="59"/>
      <c r="H178" s="110"/>
      <c r="I178" s="39"/>
    </row>
    <row r="179">
      <c r="A179" s="3"/>
      <c r="B179" s="71" t="s">
        <v>151</v>
      </c>
      <c r="C179" s="161">
        <v>0.0637</v>
      </c>
      <c r="D179" s="161">
        <v>0.0607</v>
      </c>
      <c r="E179" s="161">
        <v>0.0621</v>
      </c>
      <c r="F179" s="161">
        <v>0.0589</v>
      </c>
      <c r="G179" s="161">
        <v>0.0587</v>
      </c>
      <c r="H179" s="163">
        <v>0.0589</v>
      </c>
      <c r="I179" s="39" t="s">
        <v>152</v>
      </c>
    </row>
    <row r="180">
      <c r="A180" s="3"/>
      <c r="B180" s="48" t="s">
        <v>153</v>
      </c>
      <c r="C180" s="31"/>
      <c r="D180" s="31"/>
      <c r="E180" s="31"/>
      <c r="F180" s="60">
        <f>(F179-Inputs!C127)*10000</f>
        <v>-28.999999999999996</v>
      </c>
      <c r="G180" s="60">
        <f>(G179-Inputs!D127)*10000</f>
        <v>-34</v>
      </c>
      <c r="H180" s="88">
        <f>(H179-C179)*10000</f>
        <v>-48.00000000000006</v>
      </c>
      <c r="I180" s="39"/>
    </row>
    <row r="181">
      <c r="A181" s="3"/>
      <c r="B181" s="48" t="s">
        <v>154</v>
      </c>
      <c r="C181" s="31"/>
      <c r="D181" s="31">
        <f>(D179-C179)*10000</f>
        <v>-30.000000000000096</v>
      </c>
      <c r="E181" s="31"/>
      <c r="F181" s="31">
        <f>(F179-D179)*10000</f>
        <v>-17.99999999999996</v>
      </c>
      <c r="G181" s="31">
        <f>(G179-F179)*10000</f>
        <v>-1.999999999999988</v>
      </c>
      <c r="H181" s="88">
        <f>(H179-G179)*10000</f>
        <v>1.999999999999988</v>
      </c>
      <c r="I181" s="39"/>
    </row>
    <row r="182">
      <c r="A182" s="3"/>
      <c r="B182" s="71" t="s">
        <v>155</v>
      </c>
      <c r="C182" s="161">
        <v>0.0507</v>
      </c>
      <c r="D182" s="161">
        <v>0.0502</v>
      </c>
      <c r="E182" s="161">
        <v>0.0501</v>
      </c>
      <c r="F182" s="161">
        <v>0.0499</v>
      </c>
      <c r="G182" s="161">
        <v>0.0497</v>
      </c>
      <c r="H182" s="163">
        <v>0.0498</v>
      </c>
      <c r="I182" s="39"/>
    </row>
    <row r="183">
      <c r="A183" s="3"/>
      <c r="B183" s="48" t="s">
        <v>153</v>
      </c>
      <c r="C183" s="31"/>
      <c r="D183" s="31"/>
      <c r="E183" s="31"/>
      <c r="F183" s="60">
        <f>(F182-Inputs!C128)*10000</f>
        <v>3.0000000000000164</v>
      </c>
      <c r="G183" s="60">
        <f>(G182-Inputs!D128)*10000</f>
        <v>-1.999999999999988</v>
      </c>
      <c r="H183" s="88">
        <f>(H182-C182)*10000</f>
        <v>-9.00000000000005</v>
      </c>
      <c r="I183" s="39"/>
    </row>
    <row r="184">
      <c r="A184" s="3"/>
      <c r="B184" s="48" t="s">
        <v>154</v>
      </c>
      <c r="C184" s="31"/>
      <c r="D184" s="31">
        <f>(D182-C182)*10000</f>
        <v>-5.000000000000004</v>
      </c>
      <c r="E184" s="31"/>
      <c r="F184" s="31">
        <f>(F182-D182)*10000</f>
        <v>-3.0000000000000164</v>
      </c>
      <c r="G184" s="31">
        <f>(G182-F182)*10000</f>
        <v>-1.999999999999988</v>
      </c>
      <c r="H184" s="88">
        <f>(H182-G182)*10000</f>
        <v>0.9999999999999593</v>
      </c>
      <c r="I184" s="39"/>
    </row>
    <row r="185">
      <c r="A185" s="3"/>
      <c r="B185" s="71" t="s">
        <v>156</v>
      </c>
      <c r="C185" s="161">
        <v>0.0686</v>
      </c>
      <c r="D185" s="161">
        <v>0.0645</v>
      </c>
      <c r="E185" s="161">
        <v>0.0679</v>
      </c>
      <c r="F185" s="161">
        <v>0.0626</v>
      </c>
      <c r="G185" s="161">
        <v>0.0618</v>
      </c>
      <c r="H185" s="163">
        <v>0.062</v>
      </c>
      <c r="I185" s="39"/>
    </row>
    <row r="186">
      <c r="A186" s="3"/>
      <c r="B186" s="48" t="s">
        <v>153</v>
      </c>
      <c r="C186" s="31"/>
      <c r="D186" s="31"/>
      <c r="E186" s="31"/>
      <c r="F186" s="60">
        <f>(F185-Inputs!C129)*10000</f>
        <v>-83.00000000000001</v>
      </c>
      <c r="G186" s="60">
        <f>(G185-Inputs!D129)*10000</f>
        <v>-57.99999999999993</v>
      </c>
      <c r="H186" s="88">
        <f>(H185-C185)*10000</f>
        <v>-65.99999999999994</v>
      </c>
      <c r="I186" s="39"/>
    </row>
    <row r="187">
      <c r="A187" s="3"/>
      <c r="B187" s="48" t="s">
        <v>154</v>
      </c>
      <c r="C187" s="31"/>
      <c r="D187" s="31">
        <f>(D185-C185)*10000</f>
        <v>-40.99999999999993</v>
      </c>
      <c r="E187" s="31"/>
      <c r="F187" s="31">
        <f>(F185-D185)*10000</f>
        <v>-18.99999999999999</v>
      </c>
      <c r="G187" s="31">
        <f>(G185-F185)*10000</f>
        <v>-8.000000000000021</v>
      </c>
      <c r="H187" s="88">
        <f>(H185-G185)*10000</f>
        <v>1.999999999999988</v>
      </c>
      <c r="I187" s="39"/>
    </row>
    <row r="188">
      <c r="A188" s="3"/>
      <c r="B188" s="71" t="s">
        <v>157</v>
      </c>
      <c r="C188" s="161">
        <v>0.0309</v>
      </c>
      <c r="D188" s="161">
        <v>0.0306</v>
      </c>
      <c r="E188" s="161">
        <v>0.0306</v>
      </c>
      <c r="F188" s="161">
        <v>0.0302</v>
      </c>
      <c r="G188" s="161">
        <v>0.0305</v>
      </c>
      <c r="H188" s="163">
        <v>0.031</v>
      </c>
      <c r="I188" s="39" t="s">
        <v>158</v>
      </c>
    </row>
    <row r="189">
      <c r="A189" s="3"/>
      <c r="B189" s="48" t="s">
        <v>153</v>
      </c>
      <c r="C189" s="31"/>
      <c r="D189" s="31"/>
      <c r="E189" s="31"/>
      <c r="F189" s="60">
        <f>(F188-Inputs!C130)*10000</f>
        <v>0</v>
      </c>
      <c r="G189" s="60">
        <f>(G188-Inputs!D130)*10000</f>
        <v>-0.999999999999994</v>
      </c>
      <c r="H189" s="88">
        <f>(H188-C188)*10000</f>
        <v>0.999999999999994</v>
      </c>
      <c r="I189" s="39"/>
    </row>
    <row r="190">
      <c r="A190" s="3"/>
      <c r="B190" s="48" t="s">
        <v>154</v>
      </c>
      <c r="C190" s="31"/>
      <c r="D190" s="31">
        <f>(D188-C188)*10000</f>
        <v>-3.0000000000000164</v>
      </c>
      <c r="E190" s="31"/>
      <c r="F190" s="31">
        <f>(F188-D188)*10000</f>
        <v>-3.999999999999976</v>
      </c>
      <c r="G190" s="31">
        <f>(G188-F188)*10000</f>
        <v>2.999999999999982</v>
      </c>
      <c r="H190" s="88">
        <f>(H188-G188)*10000</f>
        <v>5.000000000000004</v>
      </c>
      <c r="I190" s="39"/>
    </row>
    <row r="191">
      <c r="A191" s="3"/>
      <c r="B191" s="71" t="s">
        <v>159</v>
      </c>
      <c r="C191" s="161">
        <v>0.0581</v>
      </c>
      <c r="D191" s="161">
        <v>0.0557</v>
      </c>
      <c r="E191" s="161">
        <v>0.0566</v>
      </c>
      <c r="F191" s="161">
        <v>0.0525</v>
      </c>
      <c r="G191" s="161">
        <v>0.0555</v>
      </c>
      <c r="H191" s="163">
        <v>0.055</v>
      </c>
      <c r="I191" s="39"/>
    </row>
    <row r="192">
      <c r="A192" s="3"/>
      <c r="B192" s="48" t="s">
        <v>153</v>
      </c>
      <c r="C192" s="31"/>
      <c r="D192" s="31"/>
      <c r="E192" s="31"/>
      <c r="F192" s="60">
        <f>(F191-Inputs!C131)*10000</f>
        <v>-32.000000000000014</v>
      </c>
      <c r="G192" s="60">
        <f>(G191-Inputs!D131)*10000</f>
        <v>-17</v>
      </c>
      <c r="H192" s="88">
        <f>(H191-C191)*10000</f>
        <v>-30.999999999999986</v>
      </c>
      <c r="I192" s="39"/>
    </row>
    <row r="193">
      <c r="A193" s="3"/>
      <c r="B193" s="48" t="s">
        <v>154</v>
      </c>
      <c r="C193" s="31"/>
      <c r="D193" s="31">
        <f>(D191-C191)*10000</f>
        <v>-23.999999999999993</v>
      </c>
      <c r="E193" s="31"/>
      <c r="F193" s="31">
        <f>(F191-D191)*10000</f>
        <v>-32.000000000000014</v>
      </c>
      <c r="G193" s="31">
        <f>(G191-F191)*10000</f>
        <v>30.00000000000003</v>
      </c>
      <c r="H193" s="88">
        <f>(H191-G191)*10000</f>
        <v>-5.000000000000004</v>
      </c>
      <c r="I193" s="39"/>
    </row>
    <row r="194">
      <c r="A194" s="3"/>
      <c r="B194" s="71" t="s">
        <v>160</v>
      </c>
      <c r="C194" s="161">
        <v>0.0441</v>
      </c>
      <c r="D194" s="161">
        <v>0.0397</v>
      </c>
      <c r="E194" s="161">
        <v>0.0432</v>
      </c>
      <c r="F194" s="161">
        <v>0.0369</v>
      </c>
      <c r="G194" s="161">
        <v>0.0369</v>
      </c>
      <c r="H194" s="163">
        <v>0.0375</v>
      </c>
      <c r="I194" s="39"/>
    </row>
    <row r="195">
      <c r="A195" s="3"/>
      <c r="B195" s="48" t="s">
        <v>153</v>
      </c>
      <c r="C195" s="31"/>
      <c r="D195" s="31"/>
      <c r="E195" s="31"/>
      <c r="F195" s="60">
        <f>(F194-Inputs!C132)*10000</f>
        <v>-75</v>
      </c>
      <c r="G195" s="60">
        <f>(G194-Inputs!D132)*10000</f>
        <v>-75.99999999999996</v>
      </c>
      <c r="H195" s="88">
        <f>(H194-C194)*10000</f>
        <v>-66.00000000000001</v>
      </c>
      <c r="I195" s="39"/>
    </row>
    <row r="196">
      <c r="A196" s="3"/>
      <c r="B196" s="48" t="s">
        <v>154</v>
      </c>
      <c r="C196" s="31"/>
      <c r="D196" s="31">
        <f>(D194-C194)*10000</f>
        <v>-44.000000000000014</v>
      </c>
      <c r="E196" s="31"/>
      <c r="F196" s="31">
        <f>(F194-D194)*10000</f>
        <v>-27.999999999999968</v>
      </c>
      <c r="G196" s="31">
        <f>(G194-F194)*10000</f>
        <v>0</v>
      </c>
      <c r="H196" s="88">
        <f>(H194-G194)*10000</f>
        <v>5.999999999999964</v>
      </c>
      <c r="I196" s="39"/>
    </row>
    <row r="197">
      <c r="A197" s="3"/>
      <c r="B197" s="71" t="s">
        <v>161</v>
      </c>
      <c r="C197" s="161">
        <v>0.042</v>
      </c>
      <c r="D197" s="161">
        <v>0.0386</v>
      </c>
      <c r="E197" s="161">
        <v>0.0413</v>
      </c>
      <c r="F197" s="161">
        <v>0.0355</v>
      </c>
      <c r="G197" s="161">
        <v>0.0356</v>
      </c>
      <c r="H197" s="163">
        <v>0.0362</v>
      </c>
      <c r="I197" s="39"/>
    </row>
    <row r="198">
      <c r="A198" s="3"/>
      <c r="B198" s="48" t="s">
        <v>153</v>
      </c>
      <c r="C198" s="31"/>
      <c r="D198" s="31"/>
      <c r="E198" s="31"/>
      <c r="F198" s="60">
        <f>(F197-Inputs!C133)*10000</f>
        <v>-69.00000000000003</v>
      </c>
      <c r="G198" s="60">
        <f>(G197-Inputs!D133)*10000</f>
        <v>-68</v>
      </c>
      <c r="H198" s="88">
        <f>(H197-C197)*10000</f>
        <v>-57.99999999999999</v>
      </c>
      <c r="I198" s="39"/>
    </row>
    <row r="199">
      <c r="A199" s="3"/>
      <c r="B199" s="48" t="s">
        <v>154</v>
      </c>
      <c r="C199" s="31"/>
      <c r="D199" s="31">
        <f>(D197-C197)*10000</f>
        <v>-34</v>
      </c>
      <c r="E199" s="31"/>
      <c r="F199" s="31">
        <f>(F197-D197)*10000</f>
        <v>-31.000000000000057</v>
      </c>
      <c r="G199" s="31">
        <f>(G197-F197)*10000</f>
        <v>1.0000000000000286</v>
      </c>
      <c r="H199" s="88">
        <f>(H197-G197)*10000</f>
        <v>6.000000000000033</v>
      </c>
      <c r="I199" s="39"/>
    </row>
    <row r="200">
      <c r="A200" s="3"/>
      <c r="B200" s="56" t="s">
        <v>162</v>
      </c>
      <c r="C200" s="59"/>
      <c r="D200" s="59"/>
      <c r="E200" s="59"/>
      <c r="F200" s="59"/>
      <c r="G200" s="59"/>
      <c r="H200" s="110"/>
      <c r="I200" s="39"/>
    </row>
    <row r="201">
      <c r="A201" s="3"/>
      <c r="B201" s="38" t="s">
        <v>163</v>
      </c>
      <c r="C201" s="62">
        <v>767</v>
      </c>
      <c r="D201" s="62">
        <v>743</v>
      </c>
      <c r="E201" s="43">
        <f>C201+D201+Inputs!C134+Inputs!D134</f>
        <v>2963</v>
      </c>
      <c r="F201" s="62">
        <v>707</v>
      </c>
      <c r="G201" s="62">
        <v>735</v>
      </c>
      <c r="H201" s="46">
        <f>H146*H179*H335/365</f>
        <v>756.9989369863015</v>
      </c>
      <c r="I201" s="39"/>
    </row>
    <row r="202">
      <c r="A202" s="3"/>
      <c r="B202" s="53" t="s">
        <v>79</v>
      </c>
      <c r="C202" s="12"/>
      <c r="D202" s="12"/>
      <c r="E202" s="12"/>
      <c r="F202" s="47">
        <f>F201/Inputs!C134-1</f>
        <v>-0.01118881118881121</v>
      </c>
      <c r="G202" s="47">
        <f>G201/Inputs!D134-1</f>
        <v>-0.004065040650406471</v>
      </c>
      <c r="H202" s="67">
        <f>H201/C201-1</f>
        <v>-0.013039195585004548</v>
      </c>
      <c r="I202" s="39"/>
    </row>
    <row r="203">
      <c r="A203" s="3"/>
      <c r="B203" s="53" t="s">
        <v>81</v>
      </c>
      <c r="C203" s="12"/>
      <c r="D203" s="12"/>
      <c r="E203" s="12"/>
      <c r="F203" s="12">
        <f>F202</f>
        <v>-0.01118881118881121</v>
      </c>
      <c r="G203" s="12">
        <f>G202</f>
        <v>-0.004065040650406471</v>
      </c>
      <c r="H203" s="67">
        <f>H202</f>
        <v>-0.013039195585004548</v>
      </c>
      <c r="I203" s="39"/>
    </row>
    <row r="204">
      <c r="A204" s="3"/>
      <c r="B204" s="53" t="s">
        <v>82</v>
      </c>
      <c r="C204" s="64" t="s">
        <v>83</v>
      </c>
      <c r="D204" s="64" t="s">
        <v>83</v>
      </c>
      <c r="E204" s="64" t="s">
        <v>83</v>
      </c>
      <c r="F204" s="64" t="s">
        <v>83</v>
      </c>
      <c r="G204" s="64" t="s">
        <v>83</v>
      </c>
      <c r="H204" s="76" t="s">
        <v>83</v>
      </c>
      <c r="I204" s="39" t="s">
        <v>84</v>
      </c>
    </row>
    <row r="205">
      <c r="A205" s="3"/>
      <c r="B205" s="53" t="s">
        <v>85</v>
      </c>
      <c r="C205" s="64" t="s">
        <v>83</v>
      </c>
      <c r="D205" s="64" t="s">
        <v>83</v>
      </c>
      <c r="E205" s="64" t="s">
        <v>83</v>
      </c>
      <c r="F205" s="64" t="s">
        <v>83</v>
      </c>
      <c r="G205" s="64" t="s">
        <v>83</v>
      </c>
      <c r="H205" s="76" t="s">
        <v>83</v>
      </c>
      <c r="I205" s="39" t="s">
        <v>86</v>
      </c>
    </row>
    <row r="206">
      <c r="A206" s="3"/>
      <c r="B206" s="53" t="s">
        <v>87</v>
      </c>
      <c r="C206" s="64" t="s">
        <v>83</v>
      </c>
      <c r="D206" s="64" t="s">
        <v>83</v>
      </c>
      <c r="E206" s="64" t="s">
        <v>83</v>
      </c>
      <c r="F206" s="64" t="s">
        <v>83</v>
      </c>
      <c r="G206" s="64" t="s">
        <v>83</v>
      </c>
      <c r="H206" s="76" t="s">
        <v>83</v>
      </c>
      <c r="I206" s="39" t="s">
        <v>88</v>
      </c>
    </row>
    <row r="207">
      <c r="A207" s="3"/>
      <c r="B207" s="38" t="s">
        <v>164</v>
      </c>
      <c r="C207" s="62">
        <v>191</v>
      </c>
      <c r="D207" s="62">
        <v>187</v>
      </c>
      <c r="E207" s="43">
        <f>C207+D207+Inputs!C135+Inputs!D135</f>
        <v>746</v>
      </c>
      <c r="F207" s="62">
        <v>181</v>
      </c>
      <c r="G207" s="62">
        <v>180</v>
      </c>
      <c r="H207" s="46">
        <f>H154*H182*H335/365</f>
        <v>180.8539528767123</v>
      </c>
      <c r="I207" s="39"/>
    </row>
    <row r="208">
      <c r="A208" s="3"/>
      <c r="B208" s="53" t="s">
        <v>79</v>
      </c>
      <c r="C208" s="12"/>
      <c r="D208" s="12"/>
      <c r="E208" s="12"/>
      <c r="F208" s="47">
        <f>F207/Inputs!C135-1</f>
        <v>-0.005494505494505475</v>
      </c>
      <c r="G208" s="47">
        <f>G207/Inputs!D135-1</f>
        <v>-0.032258064516129004</v>
      </c>
      <c r="H208" s="67">
        <f>H207/C207-1</f>
        <v>-0.053120665566951275</v>
      </c>
      <c r="I208" s="39"/>
    </row>
    <row r="209">
      <c r="A209" s="3"/>
      <c r="B209" s="53" t="s">
        <v>81</v>
      </c>
      <c r="C209" s="12"/>
      <c r="D209" s="12"/>
      <c r="E209" s="12"/>
      <c r="F209" s="12">
        <f>F208</f>
        <v>-0.005494505494505475</v>
      </c>
      <c r="G209" s="12">
        <f>G208</f>
        <v>-0.032258064516129004</v>
      </c>
      <c r="H209" s="67">
        <f>H208</f>
        <v>-0.053120665566951275</v>
      </c>
      <c r="I209" s="39"/>
    </row>
    <row r="210">
      <c r="A210" s="3"/>
      <c r="B210" s="53" t="s">
        <v>82</v>
      </c>
      <c r="C210" s="64" t="s">
        <v>83</v>
      </c>
      <c r="D210" s="64" t="s">
        <v>83</v>
      </c>
      <c r="E210" s="64" t="s">
        <v>83</v>
      </c>
      <c r="F210" s="64" t="s">
        <v>83</v>
      </c>
      <c r="G210" s="64" t="s">
        <v>83</v>
      </c>
      <c r="H210" s="76" t="s">
        <v>83</v>
      </c>
      <c r="I210" s="39" t="s">
        <v>84</v>
      </c>
    </row>
    <row r="211">
      <c r="A211" s="3"/>
      <c r="B211" s="53" t="s">
        <v>85</v>
      </c>
      <c r="C211" s="64" t="s">
        <v>83</v>
      </c>
      <c r="D211" s="64" t="s">
        <v>83</v>
      </c>
      <c r="E211" s="64" t="s">
        <v>83</v>
      </c>
      <c r="F211" s="64" t="s">
        <v>83</v>
      </c>
      <c r="G211" s="64" t="s">
        <v>83</v>
      </c>
      <c r="H211" s="76" t="s">
        <v>83</v>
      </c>
      <c r="I211" s="39" t="s">
        <v>86</v>
      </c>
    </row>
    <row r="212">
      <c r="A212" s="3"/>
      <c r="B212" s="53" t="s">
        <v>87</v>
      </c>
      <c r="C212" s="64" t="s">
        <v>83</v>
      </c>
      <c r="D212" s="64" t="s">
        <v>83</v>
      </c>
      <c r="E212" s="64" t="s">
        <v>83</v>
      </c>
      <c r="F212" s="64" t="s">
        <v>83</v>
      </c>
      <c r="G212" s="64" t="s">
        <v>83</v>
      </c>
      <c r="H212" s="76" t="s">
        <v>83</v>
      </c>
      <c r="I212" s="39" t="s">
        <v>88</v>
      </c>
    </row>
    <row r="213">
      <c r="A213" s="3"/>
      <c r="B213" s="38" t="s">
        <v>143</v>
      </c>
      <c r="C213" s="62">
        <v>8</v>
      </c>
      <c r="D213" s="62">
        <v>8</v>
      </c>
      <c r="E213" s="43">
        <f>C213+D213+Inputs!C136+Inputs!D136</f>
        <v>33</v>
      </c>
      <c r="F213" s="62">
        <v>7</v>
      </c>
      <c r="G213" s="62">
        <v>8</v>
      </c>
      <c r="H213" s="46">
        <f>H159*H185*H335/365</f>
        <v>7.813698630136987</v>
      </c>
      <c r="I213" s="39"/>
    </row>
    <row r="214">
      <c r="A214" s="3"/>
      <c r="B214" s="53" t="s">
        <v>79</v>
      </c>
      <c r="C214" s="12"/>
      <c r="D214" s="12"/>
      <c r="E214" s="12"/>
      <c r="F214" s="47">
        <f>F213/Inputs!C136-1</f>
        <v>-0.2222222222222222</v>
      </c>
      <c r="G214" s="47">
        <f>G213/Inputs!D136-1</f>
        <v>0</v>
      </c>
      <c r="H214" s="67">
        <f>H213/C213-1</f>
        <v>-0.023287671232876672</v>
      </c>
      <c r="I214" s="39"/>
    </row>
    <row r="215">
      <c r="A215" s="3"/>
      <c r="B215" s="53" t="s">
        <v>81</v>
      </c>
      <c r="C215" s="12"/>
      <c r="D215" s="12"/>
      <c r="E215" s="12"/>
      <c r="F215" s="12">
        <f>F214</f>
        <v>-0.2222222222222222</v>
      </c>
      <c r="G215" s="12">
        <f>G214</f>
        <v>0</v>
      </c>
      <c r="H215" s="67">
        <f>H214</f>
        <v>-0.023287671232876672</v>
      </c>
      <c r="I215" s="39"/>
    </row>
    <row r="216">
      <c r="A216" s="3"/>
      <c r="B216" s="53" t="s">
        <v>82</v>
      </c>
      <c r="C216" s="64" t="s">
        <v>83</v>
      </c>
      <c r="D216" s="64" t="s">
        <v>83</v>
      </c>
      <c r="E216" s="64" t="s">
        <v>83</v>
      </c>
      <c r="F216" s="64" t="s">
        <v>83</v>
      </c>
      <c r="G216" s="64" t="s">
        <v>83</v>
      </c>
      <c r="H216" s="76" t="s">
        <v>83</v>
      </c>
      <c r="I216" s="39" t="s">
        <v>84</v>
      </c>
    </row>
    <row r="217">
      <c r="A217" s="3"/>
      <c r="B217" s="53" t="s">
        <v>85</v>
      </c>
      <c r="C217" s="64" t="s">
        <v>83</v>
      </c>
      <c r="D217" s="64" t="s">
        <v>83</v>
      </c>
      <c r="E217" s="64" t="s">
        <v>83</v>
      </c>
      <c r="F217" s="64" t="s">
        <v>83</v>
      </c>
      <c r="G217" s="64" t="s">
        <v>83</v>
      </c>
      <c r="H217" s="76" t="s">
        <v>83</v>
      </c>
      <c r="I217" s="39" t="s">
        <v>86</v>
      </c>
    </row>
    <row r="218">
      <c r="A218" s="3"/>
      <c r="B218" s="53" t="s">
        <v>87</v>
      </c>
      <c r="C218" s="64" t="s">
        <v>83</v>
      </c>
      <c r="D218" s="64" t="s">
        <v>83</v>
      </c>
      <c r="E218" s="64" t="s">
        <v>83</v>
      </c>
      <c r="F218" s="64" t="s">
        <v>83</v>
      </c>
      <c r="G218" s="64" t="s">
        <v>83</v>
      </c>
      <c r="H218" s="76" t="s">
        <v>83</v>
      </c>
      <c r="I218" s="39" t="s">
        <v>88</v>
      </c>
    </row>
    <row r="219">
      <c r="A219" s="3"/>
      <c r="B219" s="38" t="s">
        <v>144</v>
      </c>
      <c r="C219" s="62">
        <v>72</v>
      </c>
      <c r="D219" s="62">
        <v>71</v>
      </c>
      <c r="E219" s="43">
        <f>C219+D219+Inputs!C137+Inputs!D137</f>
        <v>283</v>
      </c>
      <c r="F219" s="62">
        <v>71</v>
      </c>
      <c r="G219" s="62">
        <v>70</v>
      </c>
      <c r="H219" s="46">
        <f>H162*H188*H335/365</f>
        <v>71.10465753424658</v>
      </c>
      <c r="I219" s="39"/>
    </row>
    <row r="220">
      <c r="A220" s="3"/>
      <c r="B220" s="53" t="s">
        <v>79</v>
      </c>
      <c r="C220" s="12"/>
      <c r="D220" s="12"/>
      <c r="E220" s="12"/>
      <c r="F220" s="47">
        <f>F219/Inputs!C137-1</f>
        <v>0.02898550724637672</v>
      </c>
      <c r="G220" s="47">
        <f>G219/Inputs!D137-1</f>
        <v>-0.014084507042253502</v>
      </c>
      <c r="H220" s="67">
        <f>H219/C219-1</f>
        <v>-0.012435312024352996</v>
      </c>
      <c r="I220" s="39"/>
    </row>
    <row r="221">
      <c r="A221" s="3"/>
      <c r="B221" s="53" t="s">
        <v>81</v>
      </c>
      <c r="C221" s="12"/>
      <c r="D221" s="12"/>
      <c r="E221" s="12"/>
      <c r="F221" s="12">
        <f>F220</f>
        <v>0.02898550724637672</v>
      </c>
      <c r="G221" s="12">
        <f>G220</f>
        <v>-0.014084507042253502</v>
      </c>
      <c r="H221" s="67">
        <f>H220</f>
        <v>-0.012435312024352996</v>
      </c>
      <c r="I221" s="39"/>
    </row>
    <row r="222">
      <c r="A222" s="3"/>
      <c r="B222" s="53" t="s">
        <v>82</v>
      </c>
      <c r="C222" s="64" t="s">
        <v>83</v>
      </c>
      <c r="D222" s="64" t="s">
        <v>83</v>
      </c>
      <c r="E222" s="64" t="s">
        <v>83</v>
      </c>
      <c r="F222" s="64" t="s">
        <v>83</v>
      </c>
      <c r="G222" s="64" t="s">
        <v>83</v>
      </c>
      <c r="H222" s="76" t="s">
        <v>83</v>
      </c>
      <c r="I222" s="39" t="s">
        <v>84</v>
      </c>
    </row>
    <row r="223">
      <c r="A223" s="3"/>
      <c r="B223" s="53" t="s">
        <v>85</v>
      </c>
      <c r="C223" s="64" t="s">
        <v>83</v>
      </c>
      <c r="D223" s="64" t="s">
        <v>83</v>
      </c>
      <c r="E223" s="64" t="s">
        <v>83</v>
      </c>
      <c r="F223" s="64" t="s">
        <v>83</v>
      </c>
      <c r="G223" s="64" t="s">
        <v>83</v>
      </c>
      <c r="H223" s="76" t="s">
        <v>83</v>
      </c>
      <c r="I223" s="39" t="s">
        <v>86</v>
      </c>
    </row>
    <row r="224">
      <c r="A224" s="3"/>
      <c r="B224" s="53" t="s">
        <v>87</v>
      </c>
      <c r="C224" s="64" t="s">
        <v>83</v>
      </c>
      <c r="D224" s="64" t="s">
        <v>83</v>
      </c>
      <c r="E224" s="64" t="s">
        <v>83</v>
      </c>
      <c r="F224" s="64" t="s">
        <v>83</v>
      </c>
      <c r="G224" s="64" t="s">
        <v>83</v>
      </c>
      <c r="H224" s="76" t="s">
        <v>83</v>
      </c>
      <c r="I224" s="39" t="s">
        <v>88</v>
      </c>
    </row>
    <row r="225">
      <c r="A225" s="3"/>
      <c r="B225" s="38" t="s">
        <v>145</v>
      </c>
      <c r="C225" s="62">
        <v>24</v>
      </c>
      <c r="D225" s="62">
        <v>25</v>
      </c>
      <c r="E225" s="43">
        <f>C225+D225+Inputs!C138+Inputs!D138</f>
        <v>92</v>
      </c>
      <c r="F225" s="62">
        <v>24</v>
      </c>
      <c r="G225" s="62">
        <v>23</v>
      </c>
      <c r="H225" s="46">
        <f>H165*H191*H335/365</f>
        <v>22.18082191780822</v>
      </c>
      <c r="I225" s="39"/>
    </row>
    <row r="226">
      <c r="A226" s="3"/>
      <c r="B226" s="53" t="s">
        <v>79</v>
      </c>
      <c r="C226" s="12"/>
      <c r="D226" s="12"/>
      <c r="E226" s="12"/>
      <c r="F226" s="47">
        <f>F225/Inputs!C138-1</f>
        <v>0.19999999999999996</v>
      </c>
      <c r="G226" s="47">
        <f>G225/Inputs!D138-1</f>
        <v>0</v>
      </c>
      <c r="H226" s="67">
        <f>H225/C225-1</f>
        <v>-0.07579908675799085</v>
      </c>
      <c r="I226" s="39"/>
    </row>
    <row r="227">
      <c r="A227" s="3"/>
      <c r="B227" s="53" t="s">
        <v>81</v>
      </c>
      <c r="C227" s="12"/>
      <c r="D227" s="12"/>
      <c r="E227" s="12"/>
      <c r="F227" s="12">
        <f>F226</f>
        <v>0.19999999999999996</v>
      </c>
      <c r="G227" s="12">
        <f>G226</f>
        <v>0</v>
      </c>
      <c r="H227" s="67">
        <f>H226</f>
        <v>-0.07579908675799085</v>
      </c>
      <c r="I227" s="39"/>
    </row>
    <row r="228">
      <c r="A228" s="3"/>
      <c r="B228" s="53" t="s">
        <v>82</v>
      </c>
      <c r="C228" s="64" t="s">
        <v>83</v>
      </c>
      <c r="D228" s="64" t="s">
        <v>83</v>
      </c>
      <c r="E228" s="64" t="s">
        <v>83</v>
      </c>
      <c r="F228" s="64" t="s">
        <v>83</v>
      </c>
      <c r="G228" s="64" t="s">
        <v>83</v>
      </c>
      <c r="H228" s="76" t="s">
        <v>83</v>
      </c>
      <c r="I228" s="39" t="s">
        <v>84</v>
      </c>
    </row>
    <row r="229">
      <c r="A229" s="3"/>
      <c r="B229" s="53" t="s">
        <v>85</v>
      </c>
      <c r="C229" s="64" t="s">
        <v>83</v>
      </c>
      <c r="D229" s="64" t="s">
        <v>83</v>
      </c>
      <c r="E229" s="64" t="s">
        <v>83</v>
      </c>
      <c r="F229" s="64" t="s">
        <v>83</v>
      </c>
      <c r="G229" s="64" t="s">
        <v>83</v>
      </c>
      <c r="H229" s="76" t="s">
        <v>83</v>
      </c>
      <c r="I229" s="39" t="s">
        <v>86</v>
      </c>
    </row>
    <row r="230">
      <c r="A230" s="3"/>
      <c r="B230" s="53" t="s">
        <v>87</v>
      </c>
      <c r="C230" s="64" t="s">
        <v>83</v>
      </c>
      <c r="D230" s="64" t="s">
        <v>83</v>
      </c>
      <c r="E230" s="64" t="s">
        <v>83</v>
      </c>
      <c r="F230" s="64" t="s">
        <v>83</v>
      </c>
      <c r="G230" s="64" t="s">
        <v>83</v>
      </c>
      <c r="H230" s="76" t="s">
        <v>83</v>
      </c>
      <c r="I230" s="39" t="s">
        <v>88</v>
      </c>
    </row>
    <row r="231">
      <c r="A231" s="3"/>
      <c r="B231" s="38" t="s">
        <v>146</v>
      </c>
      <c r="C231" s="62">
        <v>14</v>
      </c>
      <c r="D231" s="62">
        <v>12</v>
      </c>
      <c r="E231" s="43">
        <f>C231+D231+Inputs!C139+Inputs!D139</f>
        <v>54</v>
      </c>
      <c r="F231" s="62">
        <v>11</v>
      </c>
      <c r="G231" s="62">
        <v>11</v>
      </c>
      <c r="H231" s="46">
        <f>H168*H194*H335/365</f>
        <v>10.86986301369863</v>
      </c>
      <c r="I231" s="39"/>
    </row>
    <row r="232">
      <c r="A232" s="3"/>
      <c r="B232" s="53" t="s">
        <v>79</v>
      </c>
      <c r="C232" s="12"/>
      <c r="D232" s="12"/>
      <c r="E232" s="12"/>
      <c r="F232" s="47">
        <f>F231/Inputs!C139-1</f>
        <v>-0.2142857142857143</v>
      </c>
      <c r="G232" s="47">
        <f>G231/Inputs!D139-1</f>
        <v>-0.2142857142857143</v>
      </c>
      <c r="H232" s="67">
        <f>H231/C231-1</f>
        <v>-0.22358121330724068</v>
      </c>
      <c r="I232" s="39"/>
    </row>
    <row r="233">
      <c r="A233" s="3"/>
      <c r="B233" s="53" t="s">
        <v>81</v>
      </c>
      <c r="C233" s="12"/>
      <c r="D233" s="12"/>
      <c r="E233" s="12"/>
      <c r="F233" s="12">
        <f>F232</f>
        <v>-0.2142857142857143</v>
      </c>
      <c r="G233" s="12">
        <f>G232</f>
        <v>-0.2142857142857143</v>
      </c>
      <c r="H233" s="67">
        <f>H232</f>
        <v>-0.22358121330724068</v>
      </c>
      <c r="I233" s="39"/>
    </row>
    <row r="234">
      <c r="A234" s="3"/>
      <c r="B234" s="53" t="s">
        <v>82</v>
      </c>
      <c r="C234" s="64" t="s">
        <v>83</v>
      </c>
      <c r="D234" s="64" t="s">
        <v>83</v>
      </c>
      <c r="E234" s="64" t="s">
        <v>83</v>
      </c>
      <c r="F234" s="64" t="s">
        <v>83</v>
      </c>
      <c r="G234" s="64" t="s">
        <v>83</v>
      </c>
      <c r="H234" s="76" t="s">
        <v>83</v>
      </c>
      <c r="I234" s="39" t="s">
        <v>84</v>
      </c>
    </row>
    <row r="235">
      <c r="A235" s="3"/>
      <c r="B235" s="53" t="s">
        <v>85</v>
      </c>
      <c r="C235" s="64" t="s">
        <v>83</v>
      </c>
      <c r="D235" s="64" t="s">
        <v>83</v>
      </c>
      <c r="E235" s="64" t="s">
        <v>83</v>
      </c>
      <c r="F235" s="64" t="s">
        <v>83</v>
      </c>
      <c r="G235" s="64" t="s">
        <v>83</v>
      </c>
      <c r="H235" s="76" t="s">
        <v>83</v>
      </c>
      <c r="I235" s="39" t="s">
        <v>86</v>
      </c>
    </row>
    <row r="236">
      <c r="A236" s="3"/>
      <c r="B236" s="53" t="s">
        <v>87</v>
      </c>
      <c r="C236" s="64" t="s">
        <v>83</v>
      </c>
      <c r="D236" s="64" t="s">
        <v>83</v>
      </c>
      <c r="E236" s="64" t="s">
        <v>83</v>
      </c>
      <c r="F236" s="64" t="s">
        <v>83</v>
      </c>
      <c r="G236" s="64" t="s">
        <v>83</v>
      </c>
      <c r="H236" s="76" t="s">
        <v>83</v>
      </c>
      <c r="I236" s="39" t="s">
        <v>88</v>
      </c>
    </row>
    <row r="237">
      <c r="A237" s="3"/>
      <c r="B237" s="38" t="s">
        <v>147</v>
      </c>
      <c r="C237" s="62">
        <v>6</v>
      </c>
      <c r="D237" s="62">
        <v>7</v>
      </c>
      <c r="E237" s="43">
        <f>C237+D237+Inputs!C140+Inputs!D140</f>
        <v>27</v>
      </c>
      <c r="F237" s="62">
        <v>7</v>
      </c>
      <c r="G237" s="62">
        <v>6</v>
      </c>
      <c r="H237" s="46">
        <f>H171*H197*H335/365</f>
        <v>5.930849315068493</v>
      </c>
      <c r="I237" s="39"/>
    </row>
    <row r="238">
      <c r="A238" s="3"/>
      <c r="B238" s="53" t="s">
        <v>79</v>
      </c>
      <c r="C238" s="12"/>
      <c r="D238" s="12"/>
      <c r="E238" s="12"/>
      <c r="F238" s="47">
        <f>F237/Inputs!C140-1</f>
        <v>0</v>
      </c>
      <c r="G238" s="47">
        <f>G237/Inputs!D140-1</f>
        <v>-0.1428571428571429</v>
      </c>
      <c r="H238" s="67">
        <f>H237/C237-1</f>
        <v>-0.011525114155251148</v>
      </c>
      <c r="I238" s="39"/>
    </row>
    <row r="239">
      <c r="A239" s="3"/>
      <c r="B239" s="53" t="s">
        <v>81</v>
      </c>
      <c r="C239" s="12"/>
      <c r="D239" s="12"/>
      <c r="E239" s="12"/>
      <c r="F239" s="12">
        <f>F238</f>
        <v>0</v>
      </c>
      <c r="G239" s="12">
        <f>G238</f>
        <v>-0.1428571428571429</v>
      </c>
      <c r="H239" s="67">
        <f>H238</f>
        <v>-0.011525114155251148</v>
      </c>
      <c r="I239" s="39"/>
    </row>
    <row r="240">
      <c r="A240" s="3"/>
      <c r="B240" s="53" t="s">
        <v>82</v>
      </c>
      <c r="C240" s="64" t="s">
        <v>83</v>
      </c>
      <c r="D240" s="64" t="s">
        <v>83</v>
      </c>
      <c r="E240" s="64" t="s">
        <v>83</v>
      </c>
      <c r="F240" s="64" t="s">
        <v>83</v>
      </c>
      <c r="G240" s="64" t="s">
        <v>83</v>
      </c>
      <c r="H240" s="76" t="s">
        <v>83</v>
      </c>
      <c r="I240" s="39" t="s">
        <v>84</v>
      </c>
    </row>
    <row r="241">
      <c r="A241" s="3"/>
      <c r="B241" s="53" t="s">
        <v>85</v>
      </c>
      <c r="C241" s="64" t="s">
        <v>83</v>
      </c>
      <c r="D241" s="64" t="s">
        <v>83</v>
      </c>
      <c r="E241" s="64" t="s">
        <v>83</v>
      </c>
      <c r="F241" s="64" t="s">
        <v>83</v>
      </c>
      <c r="G241" s="64" t="s">
        <v>83</v>
      </c>
      <c r="H241" s="76" t="s">
        <v>83</v>
      </c>
      <c r="I241" s="39" t="s">
        <v>86</v>
      </c>
    </row>
    <row r="242">
      <c r="A242" s="3"/>
      <c r="B242" s="53" t="s">
        <v>87</v>
      </c>
      <c r="C242" s="64" t="s">
        <v>83</v>
      </c>
      <c r="D242" s="64" t="s">
        <v>83</v>
      </c>
      <c r="E242" s="64" t="s">
        <v>83</v>
      </c>
      <c r="F242" s="64" t="s">
        <v>83</v>
      </c>
      <c r="G242" s="64" t="s">
        <v>83</v>
      </c>
      <c r="H242" s="76" t="s">
        <v>83</v>
      </c>
      <c r="I242" s="39" t="s">
        <v>88</v>
      </c>
    </row>
    <row r="243">
      <c r="A243" s="3"/>
      <c r="B243" s="71" t="s">
        <v>122</v>
      </c>
      <c r="C243" s="66">
        <f>C343-(C201+C207+C213+C219+C225+C231+C237)</f>
        <v>-1</v>
      </c>
      <c r="D243" s="66">
        <f>D343-(D201+D207+D213+D219+D225+D231+D237)</f>
        <v>1</v>
      </c>
      <c r="E243" s="66">
        <f>E244-(E201+E207+E213+E219+E225+E231+E237)</f>
        <v>1</v>
      </c>
      <c r="F243" s="66">
        <f>F343-(F201+F207+F213+F219+F225+F231+F237)</f>
        <v>0</v>
      </c>
      <c r="G243" s="66">
        <f>G343-(G201+G207+G213+G219+G225+G231+G237)</f>
        <v>0</v>
      </c>
      <c r="H243" s="75">
        <v>0</v>
      </c>
      <c r="I243" s="39" t="s">
        <v>123</v>
      </c>
    </row>
    <row r="244">
      <c r="A244" s="3"/>
      <c r="B244" s="56" t="s">
        <v>165</v>
      </c>
      <c r="C244" s="45">
        <f>C201+C207+C213+C219+C225+C231+C237+C243</f>
        <v>1081</v>
      </c>
      <c r="D244" s="45">
        <f>D201+D207+D213+D219+D225+D231+D237+D243</f>
        <v>1054</v>
      </c>
      <c r="E244" s="83">
        <f>C244+D244+Inputs!C141+Inputs!D141</f>
        <v>4199</v>
      </c>
      <c r="F244" s="45">
        <f>F201+F207+F213+F219+F225+F231+F237+F243</f>
        <v>1008</v>
      </c>
      <c r="G244" s="45">
        <f>G201+G207+G213+G219+G225+G231+G237+G243</f>
        <v>1033</v>
      </c>
      <c r="H244" s="68">
        <f>H201+H207+H213+H219+H225+H231+H237+H243</f>
        <v>1055.752780273973</v>
      </c>
      <c r="I244" s="39"/>
    </row>
    <row r="245">
      <c r="A245" s="3"/>
      <c r="B245" s="71" t="s">
        <v>166</v>
      </c>
      <c r="C245" s="162">
        <f>C244/C175*365/C335</f>
        <v>0.05640717066498317</v>
      </c>
      <c r="D245" s="162">
        <f>D244/D175*365/D335</f>
        <v>0.05428785276309098</v>
      </c>
      <c r="E245" s="162">
        <f>E244/E175*365/E335</f>
        <v>0.05529292477054556</v>
      </c>
      <c r="F245" s="162">
        <f>F244/F175*365/F335</f>
        <v>0.05315303601612274</v>
      </c>
      <c r="G245" s="162">
        <f>G244/G175*365/G335</f>
        <v>0.05314714787521355</v>
      </c>
      <c r="H245" s="166">
        <f>H244/H175*365/H335</f>
        <v>0.05342718436694816</v>
      </c>
      <c r="I245" s="39"/>
    </row>
    <row r="246">
      <c r="A246" s="3"/>
      <c r="B246" s="48" t="s">
        <v>153</v>
      </c>
      <c r="C246" s="31"/>
      <c r="D246" s="31"/>
      <c r="E246" s="31"/>
      <c r="F246" s="60">
        <f>(F245-Inputs!C141/Inputs!C126*365/Inputs!C280)*10000</f>
        <v>-19.924989938380836</v>
      </c>
      <c r="G246" s="60">
        <f>(G245-Inputs!D141/Inputs!D126*365/Inputs!D280)*10000</f>
        <v>-21.917836216896607</v>
      </c>
      <c r="H246" s="88">
        <f>(H245-C245)*10000</f>
        <v>-29.799862980350103</v>
      </c>
      <c r="I246" s="39"/>
    </row>
    <row r="247">
      <c r="A247" s="3"/>
      <c r="B247" s="48" t="s">
        <v>154</v>
      </c>
      <c r="C247" s="31"/>
      <c r="D247" s="31">
        <f>(D245-C245)*10000</f>
        <v>-21.193179018921953</v>
      </c>
      <c r="E247" s="31"/>
      <c r="F247" s="31">
        <f>(F245-D245)*10000</f>
        <v>-11.348167469682341</v>
      </c>
      <c r="G247" s="31">
        <f>(G245-F245)*10000</f>
        <v>-0.058881409091895986</v>
      </c>
      <c r="H247" s="88">
        <f>(H245-G245)*10000</f>
        <v>2.8003649173460876</v>
      </c>
      <c r="I247" s="39"/>
    </row>
    <row r="248">
      <c r="A248" s="3"/>
      <c r="B248" s="71" t="s">
        <v>167</v>
      </c>
      <c r="C248" s="162">
        <f>(C201+C207)/C156*365/C335</f>
        <v>0.06053420086268204</v>
      </c>
      <c r="D248" s="162">
        <f>(D201+D207)/D156*365/D335</f>
        <v>0.0581673904818306</v>
      </c>
      <c r="E248" s="162">
        <f>(E201+E207)/E156*365/E335</f>
        <v>0.05923973806101261</v>
      </c>
      <c r="F248" s="162">
        <f>(F201+F207)/F156*365/F335</f>
        <v>0.056990336329493185</v>
      </c>
      <c r="G248" s="162">
        <f>(G201+G207)/G156*365/G335</f>
        <v>0.056728571683359534</v>
      </c>
      <c r="H248" s="166">
        <f>(H201+H207)/H156*365/H335</f>
        <v>0.056895155815162544</v>
      </c>
      <c r="I248" s="39"/>
    </row>
    <row r="249">
      <c r="A249" s="3"/>
      <c r="B249" s="48" t="s">
        <v>153</v>
      </c>
      <c r="C249" s="31"/>
      <c r="D249" s="31"/>
      <c r="E249" s="31"/>
      <c r="F249" s="60">
        <f>(F248-(Inputs!C134+Inputs!C135)/Inputs!C120*365/Inputs!C280)*10000</f>
        <v>-20.22289728310908</v>
      </c>
      <c r="G249" s="60">
        <f>(G248-(Inputs!D134+Inputs!D135)/Inputs!D120*365/Inputs!D280)*10000</f>
        <v>-25.21541762530159</v>
      </c>
      <c r="H249" s="88">
        <f>(H248-C248)*10000</f>
        <v>-36.39045047519496</v>
      </c>
      <c r="I249" s="39"/>
    </row>
    <row r="250">
      <c r="A250" s="3"/>
      <c r="B250" s="48" t="s">
        <v>154</v>
      </c>
      <c r="C250" s="31"/>
      <c r="D250" s="31">
        <f>(D248-C248)*10000</f>
        <v>-23.668103808514378</v>
      </c>
      <c r="E250" s="31"/>
      <c r="F250" s="31">
        <f>(F248-D248)*10000</f>
        <v>-11.770541523374172</v>
      </c>
      <c r="G250" s="31">
        <f>(G248-F248)*10000</f>
        <v>-2.617646461336512</v>
      </c>
      <c r="H250" s="88">
        <f>(H248-G248)*10000</f>
        <v>1.6658413180301035</v>
      </c>
      <c r="I250" s="39"/>
    </row>
    <row r="251">
      <c r="A251" s="3"/>
      <c r="B251" s="3"/>
      <c r="C251" s="10"/>
      <c r="D251" s="10"/>
      <c r="E251" s="10"/>
      <c r="F251" s="10"/>
      <c r="G251" s="10"/>
      <c r="H251" s="50"/>
      <c r="I251" s="39"/>
    </row>
    <row r="252" ht="26.25">
      <c r="A252" s="3"/>
      <c r="B252" s="56" t="s">
        <v>168</v>
      </c>
      <c r="C252" s="59"/>
      <c r="D252" s="59"/>
      <c r="E252" s="59"/>
      <c r="F252" s="59"/>
      <c r="G252" s="59"/>
      <c r="H252" s="110"/>
      <c r="I252" s="149" t="s">
        <v>169</v>
      </c>
    </row>
    <row r="253">
      <c r="A253" s="3"/>
      <c r="B253" s="38" t="s">
        <v>170</v>
      </c>
      <c r="C253" s="62">
        <v>26326</v>
      </c>
      <c r="D253" s="62">
        <v>26693</v>
      </c>
      <c r="E253" s="62">
        <v>26366</v>
      </c>
      <c r="F253" s="62">
        <v>26148</v>
      </c>
      <c r="G253" s="62">
        <v>25618</v>
      </c>
      <c r="H253" s="40">
        <v>25500</v>
      </c>
      <c r="I253" s="39"/>
    </row>
    <row r="254">
      <c r="A254" s="3"/>
      <c r="B254" s="48" t="s">
        <v>131</v>
      </c>
      <c r="C254" s="18"/>
      <c r="D254" s="18"/>
      <c r="E254" s="18"/>
      <c r="F254" s="43">
        <f>(F253-Inputs!C144)</f>
        <v>-396</v>
      </c>
      <c r="G254" s="43">
        <f>(G253-Inputs!D144)</f>
        <v>-281</v>
      </c>
      <c r="H254" s="46">
        <f>(H253-C253)</f>
        <v>-826</v>
      </c>
      <c r="I254" s="39"/>
    </row>
    <row r="255">
      <c r="A255" s="3"/>
      <c r="B255" s="48" t="s">
        <v>108</v>
      </c>
      <c r="C255" s="18"/>
      <c r="D255" s="18">
        <f>(D253-C253)</f>
        <v>367</v>
      </c>
      <c r="E255" s="18"/>
      <c r="F255" s="18">
        <f>(F253-D253)</f>
        <v>-545</v>
      </c>
      <c r="G255" s="18">
        <f>(G253-F253)</f>
        <v>-530</v>
      </c>
      <c r="H255" s="46">
        <f>(H253-G253)</f>
        <v>-118</v>
      </c>
      <c r="I255" s="39"/>
    </row>
    <row r="256">
      <c r="A256" s="3"/>
      <c r="B256" s="38" t="s">
        <v>171</v>
      </c>
      <c r="C256" s="62">
        <v>6871</v>
      </c>
      <c r="D256" s="62">
        <v>6205</v>
      </c>
      <c r="E256" s="62">
        <v>6509</v>
      </c>
      <c r="F256" s="62">
        <v>6755</v>
      </c>
      <c r="G256" s="62">
        <v>8501</v>
      </c>
      <c r="H256" s="40">
        <v>9500</v>
      </c>
      <c r="I256" s="39" t="s">
        <v>172</v>
      </c>
    </row>
    <row r="257">
      <c r="A257" s="3"/>
      <c r="B257" s="48" t="s">
        <v>131</v>
      </c>
      <c r="C257" s="18"/>
      <c r="D257" s="18"/>
      <c r="E257" s="18"/>
      <c r="F257" s="43">
        <f>(F256-Inputs!C145)</f>
        <v>426</v>
      </c>
      <c r="G257" s="43">
        <f>(G256-Inputs!D145)</f>
        <v>1871</v>
      </c>
      <c r="H257" s="46">
        <f>(H256-C256)</f>
        <v>2629</v>
      </c>
      <c r="I257" s="39"/>
    </row>
    <row r="258">
      <c r="A258" s="3"/>
      <c r="B258" s="48" t="s">
        <v>108</v>
      </c>
      <c r="C258" s="18"/>
      <c r="D258" s="18">
        <f>(D256-C256)</f>
        <v>-666</v>
      </c>
      <c r="E258" s="18"/>
      <c r="F258" s="18">
        <f>(F256-D256)</f>
        <v>550</v>
      </c>
      <c r="G258" s="18">
        <f>(G256-F256)</f>
        <v>1746</v>
      </c>
      <c r="H258" s="46">
        <f>(H256-G256)</f>
        <v>999</v>
      </c>
      <c r="I258" s="39"/>
    </row>
    <row r="259">
      <c r="A259" s="3"/>
      <c r="B259" s="38" t="s">
        <v>173</v>
      </c>
      <c r="C259" s="62">
        <v>16866</v>
      </c>
      <c r="D259" s="62">
        <v>17573</v>
      </c>
      <c r="E259" s="62">
        <v>16729</v>
      </c>
      <c r="F259" s="62">
        <v>17679</v>
      </c>
      <c r="G259" s="62">
        <v>16914</v>
      </c>
      <c r="H259" s="40">
        <v>16700</v>
      </c>
      <c r="I259" s="39"/>
    </row>
    <row r="260">
      <c r="A260" s="3"/>
      <c r="B260" s="48" t="s">
        <v>131</v>
      </c>
      <c r="C260" s="18"/>
      <c r="D260" s="18"/>
      <c r="E260" s="18"/>
      <c r="F260" s="43">
        <f>(F259-Inputs!C146)</f>
        <v>1583</v>
      </c>
      <c r="G260" s="43">
        <f>(G259-Inputs!D146)</f>
        <v>552</v>
      </c>
      <c r="H260" s="46">
        <f>(H259-C259)</f>
        <v>-166</v>
      </c>
      <c r="I260" s="39"/>
    </row>
    <row r="261">
      <c r="A261" s="3"/>
      <c r="B261" s="48" t="s">
        <v>108</v>
      </c>
      <c r="C261" s="18"/>
      <c r="D261" s="18">
        <f>(D259-C259)</f>
        <v>707</v>
      </c>
      <c r="E261" s="18"/>
      <c r="F261" s="18">
        <f>(F259-D259)</f>
        <v>106</v>
      </c>
      <c r="G261" s="18">
        <f>(G259-F259)</f>
        <v>-765</v>
      </c>
      <c r="H261" s="46">
        <f>(H259-G259)</f>
        <v>-214</v>
      </c>
      <c r="I261" s="39"/>
    </row>
    <row r="262">
      <c r="A262" s="3"/>
      <c r="B262" s="53" t="s">
        <v>122</v>
      </c>
      <c r="C262" s="66">
        <f>C344-(C253+C256+C259)</f>
        <v>0</v>
      </c>
      <c r="D262" s="66">
        <f>D344-(D253+D256+D259)</f>
        <v>-1</v>
      </c>
      <c r="E262" s="66">
        <f>E344-(E253+E256+E259)</f>
        <v>0</v>
      </c>
      <c r="F262" s="66">
        <f>F344-(F253+F256+F259)</f>
        <v>0</v>
      </c>
      <c r="G262" s="66">
        <f>G344-(G253+G256+G259)</f>
        <v>0</v>
      </c>
      <c r="H262" s="75">
        <v>0</v>
      </c>
      <c r="I262" s="39" t="s">
        <v>123</v>
      </c>
    </row>
    <row r="263">
      <c r="A263" s="3"/>
      <c r="B263" s="42" t="s">
        <v>174</v>
      </c>
      <c r="C263" s="45">
        <f>C253+C256+C259+C262</f>
        <v>50063</v>
      </c>
      <c r="D263" s="45">
        <f>D253+D256+D259+D262</f>
        <v>50470</v>
      </c>
      <c r="E263" s="45">
        <f>E253+E256+E259+E262</f>
        <v>49604</v>
      </c>
      <c r="F263" s="45">
        <f>F253+F256+F259+F262</f>
        <v>50582</v>
      </c>
      <c r="G263" s="45">
        <f>G253+G256+G259+G262</f>
        <v>51033</v>
      </c>
      <c r="H263" s="68">
        <f>H253+H256+H259+H262</f>
        <v>51700</v>
      </c>
      <c r="I263" s="39"/>
    </row>
    <row r="264">
      <c r="A264" s="3"/>
      <c r="B264" s="38" t="s">
        <v>175</v>
      </c>
      <c r="C264" s="62">
        <v>15862</v>
      </c>
      <c r="D264" s="62">
        <v>16072</v>
      </c>
      <c r="E264" s="62">
        <v>15831</v>
      </c>
      <c r="F264" s="62">
        <v>15628</v>
      </c>
      <c r="G264" s="62">
        <v>15749</v>
      </c>
      <c r="H264" s="40">
        <v>15900</v>
      </c>
      <c r="I264" s="39" t="s">
        <v>176</v>
      </c>
    </row>
    <row r="265">
      <c r="A265" s="3"/>
      <c r="B265" s="48" t="s">
        <v>131</v>
      </c>
      <c r="C265" s="18"/>
      <c r="D265" s="18"/>
      <c r="E265" s="18"/>
      <c r="F265" s="43">
        <f>(F264-Inputs!C148)</f>
        <v>93</v>
      </c>
      <c r="G265" s="43">
        <f>(G264-Inputs!D148)</f>
        <v>-102</v>
      </c>
      <c r="H265" s="46">
        <f>(H264-C264)</f>
        <v>38</v>
      </c>
      <c r="I265" s="39"/>
    </row>
    <row r="266">
      <c r="A266" s="3"/>
      <c r="B266" s="48" t="s">
        <v>108</v>
      </c>
      <c r="C266" s="18"/>
      <c r="D266" s="18">
        <f>(D264-C264)</f>
        <v>210</v>
      </c>
      <c r="E266" s="18"/>
      <c r="F266" s="18">
        <f>(F264-D264)</f>
        <v>-444</v>
      </c>
      <c r="G266" s="18">
        <f>(G264-F264)</f>
        <v>121</v>
      </c>
      <c r="H266" s="46">
        <f>(H264-G264)</f>
        <v>151</v>
      </c>
      <c r="I266" s="39"/>
    </row>
    <row r="267">
      <c r="A267" s="3"/>
      <c r="B267" s="53" t="s">
        <v>122</v>
      </c>
      <c r="C267" s="66">
        <f>C345-(C263+C264)</f>
        <v>-1</v>
      </c>
      <c r="D267" s="66">
        <f>D345-(D263+D264)</f>
        <v>0</v>
      </c>
      <c r="E267" s="66">
        <f>E345-(E263+E264)</f>
        <v>0</v>
      </c>
      <c r="F267" s="66">
        <f>F345-(F263+F264)</f>
        <v>0</v>
      </c>
      <c r="G267" s="66">
        <f>G345-(G263+G264)</f>
        <v>0</v>
      </c>
      <c r="H267" s="75">
        <v>0</v>
      </c>
      <c r="I267" s="39" t="s">
        <v>123</v>
      </c>
    </row>
    <row r="268">
      <c r="A268" s="3"/>
      <c r="B268" s="42" t="s">
        <v>177</v>
      </c>
      <c r="C268" s="45">
        <f>C263+C264+C267</f>
        <v>65924</v>
      </c>
      <c r="D268" s="45">
        <f>D263+D264+D267</f>
        <v>66542</v>
      </c>
      <c r="E268" s="45">
        <f>E263+E264+E267</f>
        <v>65435</v>
      </c>
      <c r="F268" s="45">
        <f>F263+F264+F267</f>
        <v>66210</v>
      </c>
      <c r="G268" s="45">
        <f>G263+G264+G267</f>
        <v>66782</v>
      </c>
      <c r="H268" s="68">
        <f>H263+H264+H267</f>
        <v>67600</v>
      </c>
      <c r="I268" s="39"/>
    </row>
    <row r="269">
      <c r="A269" s="3"/>
      <c r="B269" s="48" t="s">
        <v>131</v>
      </c>
      <c r="C269" s="18"/>
      <c r="D269" s="18"/>
      <c r="E269" s="18"/>
      <c r="F269" s="43">
        <f>(F268-Inputs!C149)</f>
        <v>1706</v>
      </c>
      <c r="G269" s="43">
        <f>(G268-Inputs!D149)</f>
        <v>2040</v>
      </c>
      <c r="H269" s="46">
        <f>(H268-C268)</f>
        <v>1676</v>
      </c>
      <c r="I269" s="39"/>
    </row>
    <row r="270">
      <c r="A270" s="3"/>
      <c r="B270" s="48" t="s">
        <v>108</v>
      </c>
      <c r="C270" s="18"/>
      <c r="D270" s="18">
        <f>(D268-C268)</f>
        <v>618</v>
      </c>
      <c r="E270" s="18"/>
      <c r="F270" s="18">
        <f>(F268-D268)</f>
        <v>-332</v>
      </c>
      <c r="G270" s="18">
        <f>(G268-F268)</f>
        <v>572</v>
      </c>
      <c r="H270" s="46">
        <f>(H268-G268)</f>
        <v>818</v>
      </c>
      <c r="I270" s="39"/>
    </row>
    <row r="271">
      <c r="A271" s="3"/>
      <c r="B271" s="38" t="s">
        <v>178</v>
      </c>
      <c r="C271" s="62">
        <v>549</v>
      </c>
      <c r="D271" s="62">
        <v>722</v>
      </c>
      <c r="E271" s="62">
        <v>644</v>
      </c>
      <c r="F271" s="62">
        <v>729</v>
      </c>
      <c r="G271" s="62">
        <v>645</v>
      </c>
      <c r="H271" s="40">
        <v>600</v>
      </c>
      <c r="I271" s="39"/>
    </row>
    <row r="272">
      <c r="A272" s="3"/>
      <c r="B272" s="48" t="s">
        <v>131</v>
      </c>
      <c r="C272" s="18"/>
      <c r="D272" s="18"/>
      <c r="E272" s="18"/>
      <c r="F272" s="43">
        <f>(F271-Inputs!C150)</f>
        <v>37</v>
      </c>
      <c r="G272" s="43">
        <f>(G271-Inputs!D150)</f>
        <v>32</v>
      </c>
      <c r="H272" s="46">
        <f>(H271-C271)</f>
        <v>51</v>
      </c>
      <c r="I272" s="39"/>
    </row>
    <row r="273">
      <c r="A273" s="3"/>
      <c r="B273" s="48" t="s">
        <v>108</v>
      </c>
      <c r="C273" s="18"/>
      <c r="D273" s="18">
        <f>(D271-C271)</f>
        <v>173</v>
      </c>
      <c r="E273" s="18"/>
      <c r="F273" s="18">
        <f>(F271-D271)</f>
        <v>7</v>
      </c>
      <c r="G273" s="18">
        <f>(G271-F271)</f>
        <v>-84</v>
      </c>
      <c r="H273" s="46">
        <f>(H271-G271)</f>
        <v>-45</v>
      </c>
      <c r="I273" s="39"/>
    </row>
    <row r="274">
      <c r="A274" s="3"/>
      <c r="B274" s="38" t="s">
        <v>179</v>
      </c>
      <c r="C274" s="62">
        <v>2631</v>
      </c>
      <c r="D274" s="62">
        <v>2807</v>
      </c>
      <c r="E274" s="62">
        <v>2653</v>
      </c>
      <c r="F274" s="62">
        <v>2649</v>
      </c>
      <c r="G274" s="62">
        <v>2518</v>
      </c>
      <c r="H274" s="40">
        <v>2300</v>
      </c>
      <c r="I274" s="39"/>
    </row>
    <row r="275">
      <c r="A275" s="3"/>
      <c r="B275" s="48" t="s">
        <v>131</v>
      </c>
      <c r="C275" s="18"/>
      <c r="D275" s="18"/>
      <c r="E275" s="18"/>
      <c r="F275" s="43">
        <f>(F274-Inputs!C151)</f>
        <v>170</v>
      </c>
      <c r="G275" s="43">
        <f>(G274-Inputs!D151)</f>
        <v>-174</v>
      </c>
      <c r="H275" s="46">
        <f>(H274-C274)</f>
        <v>-331</v>
      </c>
      <c r="I275" s="39"/>
    </row>
    <row r="276">
      <c r="A276" s="3"/>
      <c r="B276" s="48" t="s">
        <v>108</v>
      </c>
      <c r="C276" s="18"/>
      <c r="D276" s="18">
        <f>(D274-C274)</f>
        <v>176</v>
      </c>
      <c r="E276" s="18"/>
      <c r="F276" s="18">
        <f>(F274-D274)</f>
        <v>-158</v>
      </c>
      <c r="G276" s="18">
        <f>(G274-F274)</f>
        <v>-131</v>
      </c>
      <c r="H276" s="46">
        <f>(H274-G274)</f>
        <v>-218</v>
      </c>
      <c r="I276" s="39"/>
    </row>
    <row r="277">
      <c r="A277" s="3"/>
      <c r="B277" s="38" t="s">
        <v>180</v>
      </c>
      <c r="C277" s="62">
        <v>387</v>
      </c>
      <c r="D277" s="62">
        <v>470</v>
      </c>
      <c r="E277" s="62">
        <v>685</v>
      </c>
      <c r="F277" s="62">
        <v>894</v>
      </c>
      <c r="G277" s="62">
        <v>1400</v>
      </c>
      <c r="H277" s="40">
        <v>1000</v>
      </c>
      <c r="I277" s="39"/>
    </row>
    <row r="278">
      <c r="A278" s="3"/>
      <c r="B278" s="48" t="s">
        <v>131</v>
      </c>
      <c r="C278" s="18"/>
      <c r="D278" s="18"/>
      <c r="E278" s="18"/>
      <c r="F278" s="43">
        <f>(F277-Inputs!C152)</f>
        <v>213</v>
      </c>
      <c r="G278" s="43">
        <f>(G277-Inputs!D152)</f>
        <v>192</v>
      </c>
      <c r="H278" s="46">
        <f>(H277-C277)</f>
        <v>613</v>
      </c>
      <c r="I278" s="39"/>
    </row>
    <row r="279">
      <c r="A279" s="3"/>
      <c r="B279" s="48" t="s">
        <v>108</v>
      </c>
      <c r="C279" s="18"/>
      <c r="D279" s="18">
        <f>(D277-C277)</f>
        <v>83</v>
      </c>
      <c r="E279" s="18"/>
      <c r="F279" s="18">
        <f>(F277-D277)</f>
        <v>424</v>
      </c>
      <c r="G279" s="18">
        <f>(G277-F277)</f>
        <v>506</v>
      </c>
      <c r="H279" s="46">
        <f>(H277-G277)</f>
        <v>-400</v>
      </c>
      <c r="I279" s="39"/>
    </row>
    <row r="280">
      <c r="A280" s="3"/>
      <c r="B280" s="38" t="s">
        <v>181</v>
      </c>
      <c r="C280" s="62">
        <v>1335</v>
      </c>
      <c r="D280" s="62">
        <v>1323</v>
      </c>
      <c r="E280" s="62">
        <v>1386</v>
      </c>
      <c r="F280" s="62">
        <v>1319</v>
      </c>
      <c r="G280" s="62">
        <v>1319</v>
      </c>
      <c r="H280" s="40">
        <v>1319</v>
      </c>
      <c r="I280" s="39"/>
    </row>
    <row r="281">
      <c r="A281" s="3"/>
      <c r="B281" s="48" t="s">
        <v>131</v>
      </c>
      <c r="C281" s="18"/>
      <c r="D281" s="18"/>
      <c r="E281" s="18"/>
      <c r="F281" s="43">
        <f>(F280-Inputs!C153)</f>
        <v>-13</v>
      </c>
      <c r="G281" s="43">
        <f>(G280-Inputs!D153)</f>
        <v>-237</v>
      </c>
      <c r="H281" s="46">
        <f>(H280-C280)</f>
        <v>-16</v>
      </c>
      <c r="I281" s="39"/>
    </row>
    <row r="282">
      <c r="A282" s="3"/>
      <c r="B282" s="48" t="s">
        <v>108</v>
      </c>
      <c r="C282" s="18"/>
      <c r="D282" s="18">
        <f>(D280-C280)</f>
        <v>-12</v>
      </c>
      <c r="E282" s="18"/>
      <c r="F282" s="18">
        <f>(F280-D280)</f>
        <v>-4</v>
      </c>
      <c r="G282" s="18">
        <f>(G280-F280)</f>
        <v>0</v>
      </c>
      <c r="H282" s="46">
        <f>(H280-G280)</f>
        <v>0</v>
      </c>
      <c r="I282" s="39"/>
    </row>
    <row r="283">
      <c r="A283" s="3"/>
      <c r="B283" s="71" t="s">
        <v>122</v>
      </c>
      <c r="C283" s="66">
        <f>C346-(C263+C271+C274+C277+C280)</f>
        <v>0</v>
      </c>
      <c r="D283" s="66">
        <f>D346-(D263+D271+D274+D277+D280)</f>
        <v>0</v>
      </c>
      <c r="E283" s="66">
        <f>E346-(E263+E271+E274+E277+E280)</f>
        <v>0</v>
      </c>
      <c r="F283" s="66">
        <f>F346-(F263+F271+F274+F277+F280)</f>
        <v>0</v>
      </c>
      <c r="G283" s="66">
        <f>G346-(G263+G271+G274+G277+G280)</f>
        <v>1</v>
      </c>
      <c r="H283" s="75">
        <v>0</v>
      </c>
      <c r="I283" s="39" t="s">
        <v>123</v>
      </c>
    </row>
    <row r="284">
      <c r="A284" s="3"/>
      <c r="B284" s="56" t="s">
        <v>182</v>
      </c>
      <c r="C284" s="45">
        <f>C263+C271+C274+C277+C280+C283</f>
        <v>54965</v>
      </c>
      <c r="D284" s="45">
        <f>D263+D271+D274+D277+D280+D283</f>
        <v>55792</v>
      </c>
      <c r="E284" s="45">
        <f>E263+E271+E274+E277+E280+E283</f>
        <v>54972</v>
      </c>
      <c r="F284" s="45">
        <f>F263+F271+F274+F277+F280+F283</f>
        <v>56173</v>
      </c>
      <c r="G284" s="45">
        <f>G263+G271+G274+G277+G280+G283</f>
        <v>56916</v>
      </c>
      <c r="H284" s="68">
        <f>H263+H271+H274+H277+H280+H283</f>
        <v>56919</v>
      </c>
      <c r="I284" s="39"/>
    </row>
    <row r="285">
      <c r="A285" s="3"/>
      <c r="B285" s="56" t="s">
        <v>183</v>
      </c>
      <c r="C285" s="59"/>
      <c r="D285" s="59"/>
      <c r="E285" s="59"/>
      <c r="F285" s="59"/>
      <c r="G285" s="59"/>
      <c r="H285" s="110"/>
      <c r="I285" s="39"/>
    </row>
    <row r="286">
      <c r="A286" s="3"/>
      <c r="B286" s="71" t="s">
        <v>184</v>
      </c>
      <c r="C286" s="161">
        <v>0.0278</v>
      </c>
      <c r="D286" s="161">
        <v>0.0251</v>
      </c>
      <c r="E286" s="161">
        <v>0.0267</v>
      </c>
      <c r="F286" s="161">
        <v>0.0214</v>
      </c>
      <c r="G286" s="161">
        <v>0.0217</v>
      </c>
      <c r="H286" s="163">
        <v>0.0223</v>
      </c>
      <c r="I286" s="39" t="s">
        <v>185</v>
      </c>
    </row>
    <row r="287">
      <c r="A287" s="3"/>
      <c r="B287" s="48" t="s">
        <v>153</v>
      </c>
      <c r="C287" s="31"/>
      <c r="D287" s="31"/>
      <c r="E287" s="31"/>
      <c r="F287" s="60">
        <f>(F286-Inputs!C155)*10000</f>
        <v>-53.00000000000003</v>
      </c>
      <c r="G287" s="60">
        <f>(G286-Inputs!D155)*10000</f>
        <v>-56.00000000000001</v>
      </c>
      <c r="H287" s="88">
        <f>(H286-C286)*10000</f>
        <v>-54.99999999999998</v>
      </c>
      <c r="I287" s="39"/>
    </row>
    <row r="288">
      <c r="A288" s="3"/>
      <c r="B288" s="48" t="s">
        <v>154</v>
      </c>
      <c r="C288" s="31"/>
      <c r="D288" s="31">
        <f>(D286-C286)*10000</f>
        <v>-26.999999999999975</v>
      </c>
      <c r="E288" s="31"/>
      <c r="F288" s="31">
        <f>(F286-D286)*10000</f>
        <v>-37.00000000000002</v>
      </c>
      <c r="G288" s="31">
        <f>(G286-F286)*10000</f>
        <v>3.0000000000000164</v>
      </c>
      <c r="H288" s="88">
        <f>(H286-G286)*10000</f>
        <v>5.999999999999998</v>
      </c>
      <c r="I288" s="39"/>
    </row>
    <row r="289">
      <c r="A289" s="3"/>
      <c r="B289" s="71" t="s">
        <v>186</v>
      </c>
      <c r="C289" s="161">
        <v>0.0371</v>
      </c>
      <c r="D289" s="161">
        <v>0.0349</v>
      </c>
      <c r="E289" s="161">
        <v>0.0377</v>
      </c>
      <c r="F289" s="161">
        <v>0.0339</v>
      </c>
      <c r="G289" s="161">
        <v>0.0348</v>
      </c>
      <c r="H289" s="163">
        <v>0.0358</v>
      </c>
      <c r="I289" s="39"/>
    </row>
    <row r="290">
      <c r="A290" s="3"/>
      <c r="B290" s="48" t="s">
        <v>153</v>
      </c>
      <c r="C290" s="31"/>
      <c r="D290" s="31"/>
      <c r="E290" s="31"/>
      <c r="F290" s="60">
        <f>(F289-Inputs!C156)*10000</f>
        <v>-61.000000000000014</v>
      </c>
      <c r="G290" s="60">
        <f>(G289-Inputs!D156)*10000</f>
        <v>-40.000000000000036</v>
      </c>
      <c r="H290" s="88">
        <f>(H289-C289)*10000</f>
        <v>-13.000000000000025</v>
      </c>
      <c r="I290" s="39"/>
    </row>
    <row r="291">
      <c r="A291" s="3"/>
      <c r="B291" s="48" t="s">
        <v>154</v>
      </c>
      <c r="C291" s="31"/>
      <c r="D291" s="31">
        <f>(D289-C289)*10000</f>
        <v>-22.000000000000007</v>
      </c>
      <c r="E291" s="31"/>
      <c r="F291" s="31">
        <f>(F289-D289)*10000</f>
        <v>-10.000000000000009</v>
      </c>
      <c r="G291" s="31">
        <f>(G289-F289)*10000</f>
        <v>8.99999999999998</v>
      </c>
      <c r="H291" s="88">
        <f>(H289-G289)*10000</f>
        <v>10.000000000000009</v>
      </c>
      <c r="I291" s="39"/>
    </row>
    <row r="292">
      <c r="A292" s="3"/>
      <c r="B292" s="71" t="s">
        <v>187</v>
      </c>
      <c r="C292" s="161">
        <v>0.0241</v>
      </c>
      <c r="D292" s="161">
        <v>0.0222</v>
      </c>
      <c r="E292" s="161">
        <v>0.0232</v>
      </c>
      <c r="F292" s="161">
        <v>0.0204</v>
      </c>
      <c r="G292" s="161">
        <v>0.0199</v>
      </c>
      <c r="H292" s="163">
        <v>0.0204</v>
      </c>
      <c r="I292" s="39"/>
    </row>
    <row r="293">
      <c r="A293" s="3"/>
      <c r="B293" s="48" t="s">
        <v>153</v>
      </c>
      <c r="C293" s="31"/>
      <c r="D293" s="31"/>
      <c r="E293" s="31"/>
      <c r="F293" s="60">
        <f>(F292-Inputs!C157)*10000</f>
        <v>-26.999999999999975</v>
      </c>
      <c r="G293" s="60">
        <f>(G292-Inputs!D157)*10000</f>
        <v>-36.999999999999986</v>
      </c>
      <c r="H293" s="88">
        <f>(H292-C292)*10000</f>
        <v>-36.999999999999986</v>
      </c>
      <c r="I293" s="39"/>
    </row>
    <row r="294">
      <c r="A294" s="3"/>
      <c r="B294" s="48" t="s">
        <v>154</v>
      </c>
      <c r="C294" s="31"/>
      <c r="D294" s="31">
        <f>(D292-C292)*10000</f>
        <v>-18.99999999999999</v>
      </c>
      <c r="E294" s="31"/>
      <c r="F294" s="31">
        <f>(F292-D292)*10000</f>
        <v>-17.999999999999996</v>
      </c>
      <c r="G294" s="31">
        <f>(G292-F292)*10000</f>
        <v>-5.000000000000004</v>
      </c>
      <c r="H294" s="88">
        <f>(H292-G292)*10000</f>
        <v>5.000000000000004</v>
      </c>
      <c r="I294" s="39"/>
    </row>
    <row r="295">
      <c r="A295" s="3"/>
      <c r="B295" s="71" t="s">
        <v>188</v>
      </c>
      <c r="C295" s="161">
        <v>0.0393</v>
      </c>
      <c r="D295" s="161">
        <v>0.0376</v>
      </c>
      <c r="E295" s="161">
        <v>0.0401</v>
      </c>
      <c r="F295" s="161">
        <v>0.0381</v>
      </c>
      <c r="G295" s="161">
        <v>0.04</v>
      </c>
      <c r="H295" s="163">
        <v>0.04</v>
      </c>
      <c r="I295" s="39"/>
    </row>
    <row r="296">
      <c r="A296" s="3"/>
      <c r="B296" s="48" t="s">
        <v>153</v>
      </c>
      <c r="C296" s="31"/>
      <c r="D296" s="31"/>
      <c r="E296" s="31"/>
      <c r="F296" s="60">
        <f>(F295-Inputs!C158)*10000</f>
        <v>-47.999999999999986</v>
      </c>
      <c r="G296" s="60">
        <f>(G295-Inputs!D158)*10000</f>
        <v>-6.999999999999992</v>
      </c>
      <c r="H296" s="88">
        <f>(H295-C295)*10000</f>
        <v>6.999999999999992</v>
      </c>
      <c r="I296" s="39"/>
    </row>
    <row r="297">
      <c r="A297" s="3"/>
      <c r="B297" s="48" t="s">
        <v>154</v>
      </c>
      <c r="C297" s="31"/>
      <c r="D297" s="31">
        <f>(D295-C295)*10000</f>
        <v>-17</v>
      </c>
      <c r="E297" s="31"/>
      <c r="F297" s="31">
        <f>(F295-D295)*10000</f>
        <v>5.000000000000004</v>
      </c>
      <c r="G297" s="31">
        <f>(G295-F295)*10000</f>
        <v>18.99999999999999</v>
      </c>
      <c r="H297" s="88">
        <f>(H295-G295)*10000</f>
        <v>0</v>
      </c>
      <c r="I297" s="39"/>
    </row>
    <row r="298">
      <c r="A298" s="3"/>
      <c r="B298" s="71" t="s">
        <v>189</v>
      </c>
      <c r="C298" s="161">
        <v>0.0352</v>
      </c>
      <c r="D298" s="161">
        <v>0.0321</v>
      </c>
      <c r="E298" s="161">
        <v>0.0345</v>
      </c>
      <c r="F298" s="161">
        <v>0.0298</v>
      </c>
      <c r="G298" s="161">
        <v>0.0309</v>
      </c>
      <c r="H298" s="163">
        <v>0.0315</v>
      </c>
      <c r="I298" s="39"/>
    </row>
    <row r="299">
      <c r="A299" s="3"/>
      <c r="B299" s="48" t="s">
        <v>153</v>
      </c>
      <c r="C299" s="31"/>
      <c r="D299" s="31"/>
      <c r="E299" s="31"/>
      <c r="F299" s="60">
        <f>(F298-Inputs!C159)*10000</f>
        <v>-49.000000000000014</v>
      </c>
      <c r="G299" s="60">
        <f>(G298-Inputs!D159)*10000</f>
        <v>-52</v>
      </c>
      <c r="H299" s="88">
        <f>(H298-C298)*10000</f>
        <v>-37.00000000000002</v>
      </c>
      <c r="I299" s="39"/>
    </row>
    <row r="300">
      <c r="A300" s="3"/>
      <c r="B300" s="48" t="s">
        <v>154</v>
      </c>
      <c r="C300" s="31"/>
      <c r="D300" s="31">
        <f>(D298-C298)*10000</f>
        <v>-31.000000000000057</v>
      </c>
      <c r="E300" s="31"/>
      <c r="F300" s="31">
        <f>(F298-D298)*10000</f>
        <v>-22.999999999999964</v>
      </c>
      <c r="G300" s="31">
        <f>(G298-F298)*10000</f>
        <v>11.000000000000004</v>
      </c>
      <c r="H300" s="88">
        <f>(H298-G298)*10000</f>
        <v>5.999999999999998</v>
      </c>
      <c r="I300" s="39"/>
    </row>
    <row r="301">
      <c r="A301" s="3"/>
      <c r="B301" s="71" t="s">
        <v>190</v>
      </c>
      <c r="C301" s="161">
        <v>0.0439</v>
      </c>
      <c r="D301" s="161">
        <v>0.0408</v>
      </c>
      <c r="E301" s="161">
        <v>0.0437</v>
      </c>
      <c r="F301" s="161">
        <v>0.0378</v>
      </c>
      <c r="G301" s="161">
        <v>0.0383</v>
      </c>
      <c r="H301" s="163">
        <v>0.039</v>
      </c>
      <c r="I301" s="39"/>
    </row>
    <row r="302">
      <c r="A302" s="3"/>
      <c r="B302" s="48" t="s">
        <v>153</v>
      </c>
      <c r="C302" s="31"/>
      <c r="D302" s="31"/>
      <c r="E302" s="31"/>
      <c r="F302" s="60">
        <f>(F301-Inputs!C160)*10000</f>
        <v>-61.99999999999997</v>
      </c>
      <c r="G302" s="60">
        <f>(G301-Inputs!D160)*10000</f>
        <v>-63.99999999999996</v>
      </c>
      <c r="H302" s="88">
        <f>(H301-C301)*10000</f>
        <v>-49.000000000000014</v>
      </c>
      <c r="I302" s="39"/>
    </row>
    <row r="303">
      <c r="A303" s="3"/>
      <c r="B303" s="48" t="s">
        <v>154</v>
      </c>
      <c r="C303" s="31"/>
      <c r="D303" s="31">
        <f>(D301-C301)*10000</f>
        <v>-30.999999999999986</v>
      </c>
      <c r="E303" s="31"/>
      <c r="F303" s="31">
        <f>(F301-D301)*10000</f>
        <v>-30.00000000000003</v>
      </c>
      <c r="G303" s="31">
        <f>(G301-F301)*10000</f>
        <v>5.000000000000004</v>
      </c>
      <c r="H303" s="88">
        <f>(H301-G301)*10000</f>
        <v>6.999999999999992</v>
      </c>
      <c r="I303" s="39"/>
    </row>
    <row r="304">
      <c r="A304" s="3"/>
      <c r="B304" s="71" t="s">
        <v>191</v>
      </c>
      <c r="C304" s="161">
        <v>0.0582</v>
      </c>
      <c r="D304" s="161">
        <v>0.0576</v>
      </c>
      <c r="E304" s="161">
        <v>0.0565</v>
      </c>
      <c r="F304" s="161">
        <v>0.0565</v>
      </c>
      <c r="G304" s="161">
        <v>0.0565</v>
      </c>
      <c r="H304" s="163">
        <v>0.0565</v>
      </c>
      <c r="I304" s="39"/>
    </row>
    <row r="305">
      <c r="A305" s="3"/>
      <c r="B305" s="48" t="s">
        <v>153</v>
      </c>
      <c r="C305" s="31"/>
      <c r="D305" s="31"/>
      <c r="E305" s="31"/>
      <c r="F305" s="60">
        <f>(F304-Inputs!C161)*10000</f>
        <v>23.999999999999993</v>
      </c>
      <c r="G305" s="60">
        <f>(G304-Inputs!D161)*10000</f>
        <v>5.000000000000004</v>
      </c>
      <c r="H305" s="88">
        <f>(H304-C304)*10000</f>
        <v>-17</v>
      </c>
      <c r="I305" s="39"/>
    </row>
    <row r="306">
      <c r="A306" s="3"/>
      <c r="B306" s="48" t="s">
        <v>154</v>
      </c>
      <c r="C306" s="31"/>
      <c r="D306" s="31">
        <f>(D304-C304)*10000</f>
        <v>-6.000000000000033</v>
      </c>
      <c r="E306" s="31"/>
      <c r="F306" s="31">
        <f>(F304-D304)*10000</f>
        <v>-10.999999999999968</v>
      </c>
      <c r="G306" s="31">
        <f>(G304-F304)*10000</f>
        <v>0</v>
      </c>
      <c r="H306" s="88">
        <f>(H304-G304)*10000</f>
        <v>0</v>
      </c>
      <c r="I306" s="39"/>
    </row>
    <row r="307">
      <c r="A307" s="3"/>
      <c r="B307" s="56" t="s">
        <v>192</v>
      </c>
      <c r="C307" s="59"/>
      <c r="D307" s="59"/>
      <c r="E307" s="59"/>
      <c r="F307" s="59"/>
      <c r="G307" s="59"/>
      <c r="H307" s="110"/>
      <c r="I307" s="39"/>
    </row>
    <row r="308">
      <c r="A308" s="3"/>
      <c r="B308" s="38" t="s">
        <v>193</v>
      </c>
      <c r="C308" s="62">
        <v>184</v>
      </c>
      <c r="D308" s="62">
        <v>169</v>
      </c>
      <c r="E308" s="43">
        <f>C308+D308+Inputs!C162+Inputs!D162</f>
        <v>705</v>
      </c>
      <c r="F308" s="62">
        <v>138</v>
      </c>
      <c r="G308" s="62">
        <v>138</v>
      </c>
      <c r="H308" s="46">
        <f>H253*H286*H335/365</f>
        <v>143.33095890410956</v>
      </c>
      <c r="I308" s="39"/>
    </row>
    <row r="309">
      <c r="A309" s="3"/>
      <c r="B309" s="38" t="s">
        <v>171</v>
      </c>
      <c r="C309" s="62">
        <v>64</v>
      </c>
      <c r="D309" s="62">
        <v>55</v>
      </c>
      <c r="E309" s="43">
        <f>C309+D309+Inputs!C163+Inputs!D163</f>
        <v>245</v>
      </c>
      <c r="F309" s="62">
        <v>56</v>
      </c>
      <c r="G309" s="62">
        <v>74</v>
      </c>
      <c r="H309" s="46">
        <f>H256*H289*H335/365</f>
        <v>85.72383561643835</v>
      </c>
      <c r="I309" s="39"/>
    </row>
    <row r="310">
      <c r="A310" s="3"/>
      <c r="B310" s="38" t="s">
        <v>173</v>
      </c>
      <c r="C310" s="62">
        <v>102</v>
      </c>
      <c r="D310" s="62">
        <v>98</v>
      </c>
      <c r="E310" s="43">
        <f>C310+D310+Inputs!C164+Inputs!D164</f>
        <v>388</v>
      </c>
      <c r="F310" s="62">
        <v>89</v>
      </c>
      <c r="G310" s="62">
        <v>84</v>
      </c>
      <c r="H310" s="46">
        <f>H259*H292*H335/365</f>
        <v>85.87002739726027</v>
      </c>
      <c r="I310" s="39"/>
    </row>
    <row r="311">
      <c r="A311" s="3"/>
      <c r="B311" s="38" t="s">
        <v>178</v>
      </c>
      <c r="C311" s="62">
        <v>5</v>
      </c>
      <c r="D311" s="62">
        <v>7</v>
      </c>
      <c r="E311" s="43">
        <f>C311+D311+Inputs!C165+Inputs!D165</f>
        <v>25</v>
      </c>
      <c r="F311" s="62">
        <v>7</v>
      </c>
      <c r="G311" s="62">
        <v>6</v>
      </c>
      <c r="H311" s="46">
        <f>H271*H295*H335/365</f>
        <v>6.049315068493151</v>
      </c>
      <c r="I311" s="39"/>
    </row>
    <row r="312">
      <c r="A312" s="3"/>
      <c r="B312" s="38" t="s">
        <v>179</v>
      </c>
      <c r="C312" s="62">
        <v>23</v>
      </c>
      <c r="D312" s="62">
        <v>23</v>
      </c>
      <c r="E312" s="43">
        <f>C312+D312+Inputs!C166+Inputs!D166</f>
        <v>91</v>
      </c>
      <c r="F312" s="62">
        <v>20</v>
      </c>
      <c r="G312" s="62">
        <v>19</v>
      </c>
      <c r="H312" s="46">
        <f>H274*H298*H335/365</f>
        <v>18.2613698630137</v>
      </c>
      <c r="I312" s="39"/>
    </row>
    <row r="313">
      <c r="A313" s="3"/>
      <c r="B313" s="38" t="s">
        <v>180</v>
      </c>
      <c r="C313" s="62">
        <v>4</v>
      </c>
      <c r="D313" s="62">
        <v>5</v>
      </c>
      <c r="E313" s="43">
        <f>C313+D313+Inputs!C167+Inputs!D167</f>
        <v>29</v>
      </c>
      <c r="F313" s="62">
        <v>8</v>
      </c>
      <c r="G313" s="62">
        <v>13</v>
      </c>
      <c r="H313" s="46">
        <f>H277*H301*H335/365</f>
        <v>9.830136986301369</v>
      </c>
      <c r="I313" s="39"/>
    </row>
    <row r="314">
      <c r="A314" s="3"/>
      <c r="B314" s="38" t="s">
        <v>181</v>
      </c>
      <c r="C314" s="62">
        <v>19</v>
      </c>
      <c r="D314" s="62">
        <v>19</v>
      </c>
      <c r="E314" s="43">
        <f>C314+D314+Inputs!C168+Inputs!D168</f>
        <v>78</v>
      </c>
      <c r="F314" s="62">
        <v>19</v>
      </c>
      <c r="G314" s="62">
        <v>19</v>
      </c>
      <c r="H314" s="46">
        <f>H280*H304*H335/365</f>
        <v>18.784005479452055</v>
      </c>
      <c r="I314" s="39"/>
    </row>
    <row r="315">
      <c r="A315" s="3"/>
      <c r="B315" s="71" t="s">
        <v>122</v>
      </c>
      <c r="C315" s="66">
        <f>C347-(C308+C309+C310+C311+C312+C313+C314)</f>
        <v>2</v>
      </c>
      <c r="D315" s="66">
        <f>D347-(D308+D309+D310+D311+D312+D313+D314)</f>
        <v>-1</v>
      </c>
      <c r="E315" s="66">
        <f>E316-(E308+E309+E310+E311+E312+E313+E314)</f>
        <v>3</v>
      </c>
      <c r="F315" s="66">
        <f>F347-(F308+F309+F310+F311+F312+F313+F314)</f>
        <v>0</v>
      </c>
      <c r="G315" s="66">
        <f>G347-(G308+G309+G310+G311+G312+G313+G314)</f>
        <v>1</v>
      </c>
      <c r="H315" s="75">
        <v>0</v>
      </c>
      <c r="I315" s="39" t="s">
        <v>123</v>
      </c>
    </row>
    <row r="316">
      <c r="A316" s="3"/>
      <c r="B316" s="56" t="s">
        <v>194</v>
      </c>
      <c r="C316" s="45">
        <f>C308+C309+C310+C311+C312+C313+C314+C315</f>
        <v>403</v>
      </c>
      <c r="D316" s="45">
        <f>D308+D309+D310+D311+D312+D313+D314+D315</f>
        <v>375</v>
      </c>
      <c r="E316" s="83">
        <f>C316+D316+Inputs!C169+Inputs!D169</f>
        <v>1564</v>
      </c>
      <c r="F316" s="45">
        <f>F308+F309+F310+F311+F312+F313+F314+F315</f>
        <v>337</v>
      </c>
      <c r="G316" s="45">
        <f>G308+G309+G310+G311+G312+G313+G314+G315</f>
        <v>354</v>
      </c>
      <c r="H316" s="68">
        <f>H308+H309+H310+H311+H312+H313+H314+H315</f>
        <v>367.8496493150685</v>
      </c>
      <c r="I316" s="39"/>
    </row>
    <row r="317">
      <c r="A317" s="3"/>
      <c r="B317" s="71" t="s">
        <v>195</v>
      </c>
      <c r="C317" s="162">
        <f>(C308+C309+C310)/C263*365/C335</f>
        <v>0.027736790774059467</v>
      </c>
      <c r="D317" s="162">
        <f>(D308+D309+D310)/D263*365/D335</f>
        <v>0.0253120665742025</v>
      </c>
      <c r="E317" s="162">
        <f>(E308+E309+E310)/E263*365/E335</f>
        <v>0.026973631158777513</v>
      </c>
      <c r="F317" s="162">
        <f>(F308+F309+F310)/F263*365/F335</f>
        <v>0.022690329014713184</v>
      </c>
      <c r="G317" s="162">
        <f>(G308+G309+G310)/G263*365/G335</f>
        <v>0.023264412189225547</v>
      </c>
      <c r="H317" s="166">
        <f>(H308+H309+H310)/H263*365/H335</f>
        <v>0.024166924564796903</v>
      </c>
      <c r="I317" s="39"/>
    </row>
    <row r="318">
      <c r="A318" s="3"/>
      <c r="B318" s="48" t="s">
        <v>153</v>
      </c>
      <c r="C318" s="31"/>
      <c r="D318" s="31"/>
      <c r="E318" s="31"/>
      <c r="F318" s="60">
        <f>(F317-(Inputs!C162+Inputs!C163+Inputs!C164)/Inputs!C147*365/Inputs!C280)*10000</f>
        <v>-45.56511454508333</v>
      </c>
      <c r="G318" s="60">
        <f>(G317-(Inputs!D162+Inputs!D163+Inputs!D164)/Inputs!D147*365/Inputs!D280)*10000</f>
        <v>-43.82870474317777</v>
      </c>
      <c r="H318" s="88">
        <f>(H317-C317)*10000</f>
        <v>-35.69866209262563</v>
      </c>
      <c r="I318" s="39"/>
    </row>
    <row r="319">
      <c r="A319" s="3"/>
      <c r="B319" s="48" t="s">
        <v>154</v>
      </c>
      <c r="C319" s="31"/>
      <c r="D319" s="31">
        <f>(D317-C317)*10000</f>
        <v>-24.247241998569674</v>
      </c>
      <c r="E319" s="31"/>
      <c r="F319" s="31">
        <f>(F317-D317)*10000</f>
        <v>-26.21737559489315</v>
      </c>
      <c r="G319" s="31">
        <f>(G317-F317)*10000</f>
        <v>5.740831745123624</v>
      </c>
      <c r="H319" s="88">
        <f>(H317-G317)*10000</f>
        <v>9.025123755713564</v>
      </c>
      <c r="I319" s="39"/>
    </row>
    <row r="320">
      <c r="A320" s="3"/>
      <c r="B320" s="71" t="s">
        <v>196</v>
      </c>
      <c r="C320" s="162">
        <f>(C308+C309+C310)/C268*365/C335</f>
        <v>0.02106345119412868</v>
      </c>
      <c r="D320" s="162">
        <f>(D308+D309+D310)/D268*365/D335</f>
        <v>0.01919840100988849</v>
      </c>
      <c r="E320" s="162">
        <f>(E308+E309+E310)/E268*365/E335</f>
        <v>0.02044777259876213</v>
      </c>
      <c r="F320" s="162">
        <f>(F308+F309+F310)/F268*365/F335</f>
        <v>0.017334575173270233</v>
      </c>
      <c r="G320" s="162">
        <f>(G308+G309+G310)/G268*365/G335</f>
        <v>0.017778035207881574</v>
      </c>
      <c r="H320" s="166">
        <f>(H308+H309+H310)/H268*365/H335</f>
        <v>0.018482692307692304</v>
      </c>
      <c r="I320" s="39"/>
    </row>
    <row r="321">
      <c r="A321" s="3"/>
      <c r="B321" s="48" t="s">
        <v>153</v>
      </c>
      <c r="C321" s="31"/>
      <c r="D321" s="31"/>
      <c r="E321" s="31"/>
      <c r="F321" s="60">
        <f>(F320-(Inputs!C162+Inputs!C163+Inputs!C164)/Inputs!C149*365/Inputs!C280)*10000</f>
        <v>-33.5061919882728</v>
      </c>
      <c r="G321" s="60">
        <f>(G320-(Inputs!D162+Inputs!D163+Inputs!D164)/Inputs!D149*365/Inputs!D280)*10000</f>
        <v>-31.0027094119162</v>
      </c>
      <c r="H321" s="88">
        <f>(H320-C320)*10000</f>
        <v>-25.807588864363748</v>
      </c>
      <c r="I321" s="39"/>
    </row>
    <row r="322">
      <c r="A322" s="3"/>
      <c r="B322" s="48" t="s">
        <v>154</v>
      </c>
      <c r="C322" s="31"/>
      <c r="D322" s="31">
        <f>(D320-C320)*10000</f>
        <v>-18.65050184240189</v>
      </c>
      <c r="E322" s="31"/>
      <c r="F322" s="31">
        <f>(F320-D320)*10000</f>
        <v>-18.63825836618257</v>
      </c>
      <c r="G322" s="31">
        <f>(G320-F320)*10000</f>
        <v>4.434600346113412</v>
      </c>
      <c r="H322" s="88">
        <f>(H320-G320)*10000</f>
        <v>7.0465709981073</v>
      </c>
      <c r="I322" s="39"/>
    </row>
    <row r="323">
      <c r="A323" s="3"/>
      <c r="B323" s="3"/>
      <c r="C323" s="10"/>
      <c r="D323" s="10"/>
      <c r="E323" s="10"/>
      <c r="F323" s="10"/>
      <c r="G323" s="10"/>
      <c r="H323" s="50"/>
      <c r="I323" s="39"/>
    </row>
    <row r="324">
      <c r="A324" s="3"/>
      <c r="B324" s="71" t="s">
        <v>122</v>
      </c>
      <c r="C324" s="66">
        <f>C348-(C244-C316)</f>
        <v>0</v>
      </c>
      <c r="D324" s="66">
        <f>D348-(D244-D316)</f>
        <v>0</v>
      </c>
      <c r="E324" s="66">
        <f>E325-(E244-E316)</f>
        <v>1</v>
      </c>
      <c r="F324" s="66">
        <f>F348-(F244-F316)</f>
        <v>-1</v>
      </c>
      <c r="G324" s="66">
        <f>G348-(G244-G316)</f>
        <v>0</v>
      </c>
      <c r="H324" s="75">
        <v>0</v>
      </c>
      <c r="I324" s="39" t="s">
        <v>123</v>
      </c>
    </row>
    <row r="325">
      <c r="A325" s="3"/>
      <c r="B325" s="56" t="s">
        <v>77</v>
      </c>
      <c r="C325" s="45">
        <f>C244-C316+C324</f>
        <v>678</v>
      </c>
      <c r="D325" s="45">
        <f>D244-D316+D324</f>
        <v>679</v>
      </c>
      <c r="E325" s="83">
        <f>C325+D325+Inputs!C172+Inputs!D172</f>
        <v>2636</v>
      </c>
      <c r="F325" s="45">
        <f>F244-F316+F324</f>
        <v>670</v>
      </c>
      <c r="G325" s="45">
        <f>G244-G316+G324</f>
        <v>679</v>
      </c>
      <c r="H325" s="68">
        <f>H244-H316+H324</f>
        <v>687.9031309589045</v>
      </c>
      <c r="I325" s="39"/>
    </row>
    <row r="326">
      <c r="A326" s="3"/>
      <c r="B326" s="71" t="s">
        <v>197</v>
      </c>
      <c r="C326" s="162">
        <f>C325/C175*365/C335</f>
        <v>0.035378410463328944</v>
      </c>
      <c r="D326" s="162">
        <f>D325/D175*365/D335</f>
        <v>0.034972914635805284</v>
      </c>
      <c r="E326" s="162">
        <f>E325/E175*365/E335</f>
        <v>0.03471115734583426</v>
      </c>
      <c r="F326" s="162">
        <f>F325/F175*365/F335</f>
        <v>0.03532989497103397</v>
      </c>
      <c r="G326" s="162">
        <f>G325/G175*365/G335</f>
        <v>0.03493408848719264</v>
      </c>
      <c r="H326" s="166">
        <f>H325/H175*365/H335</f>
        <v>0.0348118689252277</v>
      </c>
      <c r="I326" s="39"/>
    </row>
    <row r="327">
      <c r="A327" s="3"/>
      <c r="B327" s="48" t="s">
        <v>153</v>
      </c>
      <c r="C327" s="31"/>
      <c r="D327" s="31"/>
      <c r="E327" s="31"/>
      <c r="F327" s="31">
        <f>(F326-Inputs!C172/Inputs!C126*365/Inputs!C280)*10000</f>
        <v>9.520491536149297</v>
      </c>
      <c r="G327" s="31">
        <f>(G326-Inputs!D172/Inputs!D126*365/Inputs!D280)*10000</f>
        <v>8.427696567221837</v>
      </c>
      <c r="H327" s="88">
        <f>(H326-C326)*10000</f>
        <v>-5.6654153810124095</v>
      </c>
      <c r="I327" s="39"/>
    </row>
    <row r="328">
      <c r="A328" s="3"/>
      <c r="B328" s="48" t="s">
        <v>154</v>
      </c>
      <c r="C328" s="31"/>
      <c r="D328" s="31">
        <f>(D326-C326)*10000</f>
        <v>-4.0549582752365945</v>
      </c>
      <c r="E328" s="31"/>
      <c r="F328" s="31">
        <f>(F326-D326)*10000</f>
        <v>3.569803352286849</v>
      </c>
      <c r="G328" s="31">
        <f>(G326-F326)*10000</f>
        <v>-3.9580648384132666</v>
      </c>
      <c r="H328" s="88">
        <f>(H326-G326)*10000</f>
        <v>-1.2221956196493966</v>
      </c>
      <c r="I328" s="39"/>
    </row>
    <row r="329" ht="26.25">
      <c r="A329" s="3"/>
      <c r="B329" s="71" t="s">
        <v>198</v>
      </c>
      <c r="C329" s="161">
        <v>0.0355</v>
      </c>
      <c r="D329" s="161">
        <v>0.0351</v>
      </c>
      <c r="E329" s="161">
        <v>0.0347</v>
      </c>
      <c r="F329" s="161">
        <v>0.0352</v>
      </c>
      <c r="G329" s="161">
        <v>0.0349</v>
      </c>
      <c r="H329" s="166">
        <f>H326</f>
        <v>0.0348118689252277</v>
      </c>
      <c r="I329" s="149" t="s">
        <v>199</v>
      </c>
    </row>
    <row r="330">
      <c r="A330" s="3"/>
      <c r="B330" s="48" t="s">
        <v>153</v>
      </c>
      <c r="C330" s="31"/>
      <c r="D330" s="31"/>
      <c r="E330" s="31"/>
      <c r="F330" s="60">
        <f>(F329-Inputs!C173)*10000</f>
        <v>10.000000000000009</v>
      </c>
      <c r="G330" s="60">
        <f>(G329-Inputs!D173)*10000</f>
        <v>8.99999999999998</v>
      </c>
      <c r="H330" s="88">
        <f>(H329-C329)*10000</f>
        <v>-6.8813107477229405</v>
      </c>
      <c r="I330" s="39" t="s">
        <v>200</v>
      </c>
    </row>
    <row r="331">
      <c r="A331" s="3"/>
      <c r="B331" s="48" t="s">
        <v>154</v>
      </c>
      <c r="C331" s="31"/>
      <c r="D331" s="31">
        <f>(D329-C329)*10000</f>
        <v>-3.999999999999976</v>
      </c>
      <c r="E331" s="31"/>
      <c r="F331" s="31">
        <f>(F329-D329)*10000</f>
        <v>1.0000000000000286</v>
      </c>
      <c r="G331" s="31">
        <f>(G329-F329)*10000</f>
        <v>-3.0000000000000164</v>
      </c>
      <c r="H331" s="88">
        <f>(H329-G329)*10000</f>
        <v>-0.881310747722977</v>
      </c>
      <c r="I331" s="39"/>
    </row>
    <row r="332">
      <c r="A332" s="3"/>
      <c r="B332" s="71" t="s">
        <v>201</v>
      </c>
      <c r="C332" s="162">
        <f>C244/C175*365/C335-C316/C284*365/C335</f>
        <v>0.027318501590987466</v>
      </c>
      <c r="D332" s="162">
        <f>D244/D175*365/D335-D316/D284*365/D335</f>
        <v>0.02762145365335419</v>
      </c>
      <c r="E332" s="162">
        <f>E244/E175*365/E335-E316/E284*365/E335</f>
        <v>0.02684207706625974</v>
      </c>
      <c r="F332" s="162">
        <f>F244/F175*365/F335-F316/F284*365/F335</f>
        <v>0.028822446191434332</v>
      </c>
      <c r="G332" s="162">
        <f>G244/G175*365/G335-G316/G284*365/G335</f>
        <v>0.028200030897736043</v>
      </c>
      <c r="H332" s="166">
        <f>H244/H175*365/H335-H316/H284*365/H335</f>
        <v>0.027787178393547364</v>
      </c>
      <c r="I332" s="39" t="s">
        <v>202</v>
      </c>
    </row>
    <row r="333">
      <c r="A333" s="3"/>
      <c r="B333" s="48" t="s">
        <v>153</v>
      </c>
      <c r="C333" s="31"/>
      <c r="D333" s="31"/>
      <c r="E333" s="31"/>
      <c r="F333" s="60">
        <f>(F332-(Inputs!C141/Inputs!C126*365/Inputs!C280-Inputs!C169/Inputs!C154*365/Inputs!C280))*10000</f>
        <v>23.595159341746502</v>
      </c>
      <c r="G333" s="60">
        <f>(G332-(Inputs!D141/Inputs!D126*365/Inputs!D280-Inputs!D169/Inputs!D154*365/Inputs!D280))*10000</f>
        <v>22.72099608776265</v>
      </c>
      <c r="H333" s="88">
        <f>(H332-C332)*10000</f>
        <v>4.686768025598982</v>
      </c>
      <c r="I333" s="39"/>
    </row>
    <row r="334">
      <c r="A334" s="3"/>
      <c r="B334" s="48" t="s">
        <v>154</v>
      </c>
      <c r="C334" s="31"/>
      <c r="D334" s="31">
        <f>(D332-C332)*10000</f>
        <v>3.0295206236672505</v>
      </c>
      <c r="E334" s="31"/>
      <c r="F334" s="31">
        <f>(F332-D332)*10000</f>
        <v>12.009925380801409</v>
      </c>
      <c r="G334" s="31">
        <f>(G332-F332)*10000</f>
        <v>-6.2241529369828905</v>
      </c>
      <c r="H334" s="88">
        <f>(H332-G332)*10000</f>
        <v>-4.128525041886786</v>
      </c>
      <c r="I334" s="39"/>
    </row>
    <row r="335">
      <c r="A335" s="3"/>
      <c r="B335" s="32" t="s">
        <v>203</v>
      </c>
      <c r="C335" s="86">
        <f>C6</f>
        <v>92</v>
      </c>
      <c r="D335" s="86">
        <f>D6</f>
        <v>92</v>
      </c>
      <c r="E335" s="86">
        <f>E6</f>
        <v>365</v>
      </c>
      <c r="F335" s="86">
        <f>F6</f>
        <v>90</v>
      </c>
      <c r="G335" s="86">
        <f>G6</f>
        <v>91</v>
      </c>
      <c r="H335" s="89">
        <f>H6</f>
        <v>92</v>
      </c>
      <c r="I335" s="39"/>
    </row>
    <row r="336">
      <c r="A336" s="3"/>
      <c r="B336" s="3"/>
      <c r="C336" s="10"/>
      <c r="D336" s="10"/>
      <c r="E336" s="10"/>
      <c r="F336" s="10"/>
      <c r="G336" s="10"/>
      <c r="H336" s="50"/>
      <c r="I336" s="39"/>
    </row>
    <row r="337">
      <c r="A337" s="3"/>
      <c r="B337" s="56" t="s">
        <v>204</v>
      </c>
      <c r="C337" s="10"/>
      <c r="D337" s="10"/>
      <c r="E337" s="10"/>
      <c r="F337" s="10"/>
      <c r="G337" s="10"/>
      <c r="H337" s="50"/>
      <c r="I337" s="39"/>
    </row>
    <row r="338">
      <c r="A338" s="3"/>
      <c r="B338" s="71" t="s">
        <v>205</v>
      </c>
      <c r="C338" s="65">
        <v>215</v>
      </c>
      <c r="D338" s="65">
        <v>212</v>
      </c>
      <c r="E338" s="66"/>
      <c r="F338" s="65">
        <v>195</v>
      </c>
      <c r="G338" s="65">
        <v>211</v>
      </c>
      <c r="H338" s="82"/>
      <c r="I338" s="39" t="s">
        <v>206</v>
      </c>
    </row>
    <row r="339">
      <c r="A339" s="3"/>
      <c r="B339" s="71" t="s">
        <v>207</v>
      </c>
      <c r="C339" s="65">
        <v>47784</v>
      </c>
      <c r="D339" s="65">
        <v>48591</v>
      </c>
      <c r="E339" s="65">
        <v>47762</v>
      </c>
      <c r="F339" s="65">
        <v>48625</v>
      </c>
      <c r="G339" s="65">
        <v>50256</v>
      </c>
      <c r="H339" s="82"/>
      <c r="I339" s="39" t="s">
        <v>206</v>
      </c>
    </row>
    <row r="340">
      <c r="A340" s="3"/>
      <c r="B340" s="71" t="s">
        <v>208</v>
      </c>
      <c r="C340" s="65">
        <v>15004</v>
      </c>
      <c r="D340" s="65">
        <v>14841</v>
      </c>
      <c r="E340" s="65">
        <v>14847</v>
      </c>
      <c r="F340" s="65">
        <v>14567</v>
      </c>
      <c r="G340" s="65">
        <v>14439</v>
      </c>
      <c r="H340" s="82"/>
      <c r="I340" s="39" t="s">
        <v>206</v>
      </c>
    </row>
    <row r="341">
      <c r="A341" s="3"/>
      <c r="B341" s="71" t="s">
        <v>209</v>
      </c>
      <c r="C341" s="65">
        <v>62787</v>
      </c>
      <c r="D341" s="65">
        <v>63432</v>
      </c>
      <c r="E341" s="65">
        <v>62610</v>
      </c>
      <c r="F341" s="65">
        <v>63192</v>
      </c>
      <c r="G341" s="65">
        <v>64695</v>
      </c>
      <c r="H341" s="82"/>
      <c r="I341" s="39" t="s">
        <v>206</v>
      </c>
    </row>
    <row r="342">
      <c r="A342" s="3"/>
      <c r="B342" s="71" t="s">
        <v>210</v>
      </c>
      <c r="C342" s="65">
        <v>76032</v>
      </c>
      <c r="D342" s="65">
        <v>77027</v>
      </c>
      <c r="E342" s="65">
        <v>75941</v>
      </c>
      <c r="F342" s="65">
        <v>76910</v>
      </c>
      <c r="G342" s="65">
        <v>77960</v>
      </c>
      <c r="H342" s="82"/>
      <c r="I342" s="39" t="s">
        <v>206</v>
      </c>
    </row>
    <row r="343">
      <c r="A343" s="3"/>
      <c r="B343" s="71" t="s">
        <v>211</v>
      </c>
      <c r="C343" s="65">
        <v>1081</v>
      </c>
      <c r="D343" s="65">
        <v>1054</v>
      </c>
      <c r="E343" s="66"/>
      <c r="F343" s="65">
        <v>1008</v>
      </c>
      <c r="G343" s="65">
        <v>1033</v>
      </c>
      <c r="H343" s="82"/>
      <c r="I343" s="39" t="s">
        <v>206</v>
      </c>
    </row>
    <row r="344">
      <c r="A344" s="3"/>
      <c r="B344" s="71" t="s">
        <v>212</v>
      </c>
      <c r="C344" s="65">
        <v>50063</v>
      </c>
      <c r="D344" s="65">
        <v>50470</v>
      </c>
      <c r="E344" s="65">
        <v>49604</v>
      </c>
      <c r="F344" s="65">
        <v>50582</v>
      </c>
      <c r="G344" s="65">
        <v>51033</v>
      </c>
      <c r="H344" s="82"/>
      <c r="I344" s="39" t="s">
        <v>206</v>
      </c>
    </row>
    <row r="345">
      <c r="A345" s="3"/>
      <c r="B345" s="71" t="s">
        <v>213</v>
      </c>
      <c r="C345" s="65">
        <v>65924</v>
      </c>
      <c r="D345" s="65">
        <v>66542</v>
      </c>
      <c r="E345" s="65">
        <v>65435</v>
      </c>
      <c r="F345" s="65">
        <v>66210</v>
      </c>
      <c r="G345" s="65">
        <v>66782</v>
      </c>
      <c r="H345" s="82"/>
      <c r="I345" s="39" t="s">
        <v>206</v>
      </c>
    </row>
    <row r="346">
      <c r="A346" s="3"/>
      <c r="B346" s="71" t="s">
        <v>214</v>
      </c>
      <c r="C346" s="65">
        <v>54965</v>
      </c>
      <c r="D346" s="65">
        <v>55792</v>
      </c>
      <c r="E346" s="65">
        <v>54972</v>
      </c>
      <c r="F346" s="65">
        <v>56173</v>
      </c>
      <c r="G346" s="65">
        <v>56916</v>
      </c>
      <c r="H346" s="82"/>
      <c r="I346" s="39" t="s">
        <v>206</v>
      </c>
    </row>
    <row r="347">
      <c r="A347" s="3"/>
      <c r="B347" s="71" t="s">
        <v>215</v>
      </c>
      <c r="C347" s="65">
        <v>403</v>
      </c>
      <c r="D347" s="65">
        <v>375</v>
      </c>
      <c r="E347" s="66"/>
      <c r="F347" s="65">
        <v>337</v>
      </c>
      <c r="G347" s="65">
        <v>354</v>
      </c>
      <c r="H347" s="82"/>
      <c r="I347" s="39" t="s">
        <v>206</v>
      </c>
    </row>
    <row r="348">
      <c r="A348" s="3"/>
      <c r="B348" s="71" t="s">
        <v>216</v>
      </c>
      <c r="C348" s="65">
        <v>678</v>
      </c>
      <c r="D348" s="65">
        <v>679</v>
      </c>
      <c r="E348" s="66"/>
      <c r="F348" s="65">
        <v>670</v>
      </c>
      <c r="G348" s="65">
        <v>679</v>
      </c>
      <c r="H348" s="82"/>
      <c r="I348" s="39" t="s">
        <v>206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I11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90" customWidth="1"/>
  </cols>
  <sheetData>
    <row r="1">
      <c r="A1" s="3"/>
      <c r="B1" s="37" t="s">
        <v>0</v>
      </c>
      <c r="C1" s="3"/>
      <c r="D1" s="3"/>
      <c r="E1" s="3"/>
      <c r="F1" s="3"/>
      <c r="G1" s="3"/>
      <c r="H1" s="3"/>
      <c r="I1" s="3"/>
    </row>
    <row r="2">
      <c r="A2" s="3"/>
      <c r="B2" s="56" t="s">
        <v>217</v>
      </c>
      <c r="C2" s="3"/>
      <c r="D2" s="3"/>
      <c r="E2" s="3"/>
      <c r="F2" s="3"/>
      <c r="G2" s="3"/>
      <c r="H2" s="3"/>
      <c r="I2" s="3"/>
    </row>
    <row r="3">
      <c r="A3" s="3"/>
      <c r="B3" s="32" t="s">
        <v>2</v>
      </c>
      <c r="C3" s="3"/>
      <c r="D3" s="3"/>
      <c r="E3" s="3"/>
      <c r="F3" s="3"/>
      <c r="G3" s="3"/>
      <c r="H3" s="3"/>
      <c r="I3" s="3"/>
    </row>
    <row r="4">
      <c r="A4" s="3"/>
      <c r="B4" s="24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8" t="s">
        <v>9</v>
      </c>
      <c r="I4" s="24" t="s">
        <v>75</v>
      </c>
    </row>
    <row r="5">
      <c r="A5" s="3"/>
      <c r="B5" s="13" t="s">
        <v>10</v>
      </c>
      <c r="C5" s="34">
        <v>45930</v>
      </c>
      <c r="D5" s="34">
        <v>46022</v>
      </c>
      <c r="E5" s="34">
        <v>46022</v>
      </c>
      <c r="F5" s="34">
        <v>46112</v>
      </c>
      <c r="G5" s="34">
        <v>46203</v>
      </c>
      <c r="H5" s="81">
        <v>46295</v>
      </c>
      <c r="I5" s="79"/>
    </row>
    <row r="6">
      <c r="A6" s="3"/>
      <c r="B6" s="23" t="s">
        <v>11</v>
      </c>
      <c r="C6" s="1">
        <v>92</v>
      </c>
      <c r="D6" s="1">
        <v>92</v>
      </c>
      <c r="E6" s="1">
        <v>365</v>
      </c>
      <c r="F6" s="1">
        <v>90</v>
      </c>
      <c r="G6" s="1">
        <v>91</v>
      </c>
      <c r="H6" s="84">
        <v>92</v>
      </c>
      <c r="I6" s="70"/>
    </row>
    <row r="7">
      <c r="A7" s="3"/>
      <c r="B7" s="3"/>
      <c r="C7" s="3"/>
      <c r="D7" s="3"/>
      <c r="E7" s="3"/>
      <c r="F7" s="3"/>
      <c r="G7" s="3"/>
      <c r="H7" s="57"/>
      <c r="I7" s="39"/>
    </row>
    <row r="8">
      <c r="A8" s="3"/>
      <c r="B8" s="56" t="s">
        <v>218</v>
      </c>
      <c r="C8" s="10"/>
      <c r="D8" s="10"/>
      <c r="E8" s="10"/>
      <c r="F8" s="10"/>
      <c r="G8" s="10"/>
      <c r="H8" s="50"/>
      <c r="I8" s="39"/>
    </row>
    <row r="9" ht="26.25">
      <c r="A9" s="3"/>
      <c r="B9" s="38" t="s">
        <v>219</v>
      </c>
      <c r="C9" s="62">
        <v>671</v>
      </c>
      <c r="D9" s="62">
        <v>662</v>
      </c>
      <c r="E9" s="43">
        <f>C9+D9+Inputs!C175+Inputs!D175</f>
        <v>2609</v>
      </c>
      <c r="F9" s="62">
        <v>649</v>
      </c>
      <c r="G9" s="62">
        <v>654</v>
      </c>
      <c r="H9" s="46">
        <f>H76</f>
        <v>665.172602739726</v>
      </c>
      <c r="I9" s="149" t="s">
        <v>220</v>
      </c>
    </row>
    <row r="10">
      <c r="A10" s="3"/>
      <c r="B10" s="53" t="s">
        <v>79</v>
      </c>
      <c r="C10" s="12"/>
      <c r="D10" s="12"/>
      <c r="E10" s="12"/>
      <c r="F10" s="47">
        <f>F9/Inputs!C175-1</f>
        <v>0.025276461295418606</v>
      </c>
      <c r="G10" s="47">
        <f>G9/Inputs!D175-1</f>
        <v>0.01710730948678063</v>
      </c>
      <c r="H10" s="67">
        <f>H9/C9-1</f>
        <v>-0.00868464569340388</v>
      </c>
      <c r="I10" s="39"/>
    </row>
    <row r="11">
      <c r="A11" s="3"/>
      <c r="B11" s="53" t="s">
        <v>80</v>
      </c>
      <c r="C11" s="12"/>
      <c r="D11" s="12">
        <f>D9/C9-1</f>
        <v>-0.01341281669150518</v>
      </c>
      <c r="E11" s="12"/>
      <c r="F11" s="12">
        <f>F9/D9-1</f>
        <v>-0.01963746223564955</v>
      </c>
      <c r="G11" s="12">
        <f>G9/F9-1</f>
        <v>0.007704160246533087</v>
      </c>
      <c r="H11" s="67">
        <f>H9/G9-1</f>
        <v>0.01708349042771573</v>
      </c>
      <c r="I11" s="39"/>
    </row>
    <row r="12">
      <c r="A12" s="3"/>
      <c r="B12" s="53" t="s">
        <v>81</v>
      </c>
      <c r="C12" s="12"/>
      <c r="D12" s="12"/>
      <c r="E12" s="12"/>
      <c r="F12" s="12">
        <f>F10</f>
        <v>0.025276461295418606</v>
      </c>
      <c r="G12" s="12">
        <f>G10</f>
        <v>0.01710730948678063</v>
      </c>
      <c r="H12" s="67">
        <f>H10</f>
        <v>-0.00868464569340388</v>
      </c>
      <c r="I12" s="39"/>
    </row>
    <row r="13">
      <c r="A13" s="3"/>
      <c r="B13" s="53" t="s">
        <v>82</v>
      </c>
      <c r="C13" s="64" t="s">
        <v>83</v>
      </c>
      <c r="D13" s="64" t="s">
        <v>83</v>
      </c>
      <c r="E13" s="64" t="s">
        <v>83</v>
      </c>
      <c r="F13" s="64" t="s">
        <v>83</v>
      </c>
      <c r="G13" s="64" t="s">
        <v>83</v>
      </c>
      <c r="H13" s="76" t="s">
        <v>83</v>
      </c>
      <c r="I13" s="39" t="s">
        <v>84</v>
      </c>
    </row>
    <row r="14">
      <c r="A14" s="3"/>
      <c r="B14" s="53" t="s">
        <v>85</v>
      </c>
      <c r="C14" s="64" t="s">
        <v>83</v>
      </c>
      <c r="D14" s="64" t="s">
        <v>83</v>
      </c>
      <c r="E14" s="64" t="s">
        <v>83</v>
      </c>
      <c r="F14" s="64" t="s">
        <v>83</v>
      </c>
      <c r="G14" s="64" t="s">
        <v>83</v>
      </c>
      <c r="H14" s="76" t="s">
        <v>83</v>
      </c>
      <c r="I14" s="39" t="s">
        <v>86</v>
      </c>
    </row>
    <row r="15">
      <c r="A15" s="3"/>
      <c r="B15" s="53" t="s">
        <v>87</v>
      </c>
      <c r="C15" s="64" t="s">
        <v>83</v>
      </c>
      <c r="D15" s="64" t="s">
        <v>83</v>
      </c>
      <c r="E15" s="64" t="s">
        <v>83</v>
      </c>
      <c r="F15" s="64" t="s">
        <v>83</v>
      </c>
      <c r="G15" s="64" t="s">
        <v>83</v>
      </c>
      <c r="H15" s="76" t="s">
        <v>83</v>
      </c>
      <c r="I15" s="39" t="s">
        <v>88</v>
      </c>
    </row>
    <row r="16">
      <c r="A16" s="3"/>
      <c r="B16" s="38" t="s">
        <v>89</v>
      </c>
      <c r="C16" s="62">
        <v>117</v>
      </c>
      <c r="D16" s="62">
        <v>124</v>
      </c>
      <c r="E16" s="43">
        <f>C16+D16+Inputs!C176+Inputs!D176</f>
        <v>464</v>
      </c>
      <c r="F16" s="62">
        <v>119</v>
      </c>
      <c r="G16" s="62">
        <v>123</v>
      </c>
      <c r="H16" s="73">
        <f>G16+('Revenue summary'!H83-'Revenue summary'!G83)+('Revenue summary'!H90-'Revenue summary'!G90)+('Revenue summary'!H97-'Revenue summary'!G97)</f>
        <v>125</v>
      </c>
      <c r="I16" s="39"/>
    </row>
    <row r="17">
      <c r="A17" s="3"/>
      <c r="B17" s="53" t="s">
        <v>79</v>
      </c>
      <c r="C17" s="12"/>
      <c r="D17" s="12"/>
      <c r="E17" s="12"/>
      <c r="F17" s="47">
        <f>F16/Inputs!C176-1</f>
        <v>0.08181818181818179</v>
      </c>
      <c r="G17" s="47">
        <f>G16/Inputs!D176-1</f>
        <v>0.08849557522123885</v>
      </c>
      <c r="H17" s="67">
        <f>H16/C16-1</f>
        <v>0.06837606837606836</v>
      </c>
      <c r="I17" s="39"/>
    </row>
    <row r="18">
      <c r="A18" s="3"/>
      <c r="B18" s="53" t="s">
        <v>80</v>
      </c>
      <c r="C18" s="12"/>
      <c r="D18" s="12">
        <f>D16/C16-1</f>
        <v>0.05982905982905984</v>
      </c>
      <c r="E18" s="12"/>
      <c r="F18" s="12">
        <f>F16/D16-1</f>
        <v>-0.040322580645161255</v>
      </c>
      <c r="G18" s="12">
        <f>G16/F16-1</f>
        <v>0.03361344537815136</v>
      </c>
      <c r="H18" s="67">
        <f>H16/G16-1</f>
        <v>0.016260162601626105</v>
      </c>
      <c r="I18" s="39"/>
    </row>
    <row r="19">
      <c r="A19" s="3"/>
      <c r="B19" s="53" t="s">
        <v>81</v>
      </c>
      <c r="C19" s="12"/>
      <c r="D19" s="12"/>
      <c r="E19" s="12"/>
      <c r="F19" s="12">
        <f>F17</f>
        <v>0.08181818181818179</v>
      </c>
      <c r="G19" s="12">
        <f>G17</f>
        <v>0.08849557522123885</v>
      </c>
      <c r="H19" s="67">
        <f>H17</f>
        <v>0.06837606837606836</v>
      </c>
      <c r="I19" s="39"/>
    </row>
    <row r="20">
      <c r="A20" s="3"/>
      <c r="B20" s="53" t="s">
        <v>82</v>
      </c>
      <c r="C20" s="64" t="s">
        <v>83</v>
      </c>
      <c r="D20" s="64" t="s">
        <v>83</v>
      </c>
      <c r="E20" s="64" t="s">
        <v>83</v>
      </c>
      <c r="F20" s="64" t="s">
        <v>83</v>
      </c>
      <c r="G20" s="64" t="s">
        <v>83</v>
      </c>
      <c r="H20" s="76" t="s">
        <v>83</v>
      </c>
      <c r="I20" s="39" t="s">
        <v>84</v>
      </c>
    </row>
    <row r="21">
      <c r="A21" s="3"/>
      <c r="B21" s="53" t="s">
        <v>85</v>
      </c>
      <c r="C21" s="64" t="s">
        <v>83</v>
      </c>
      <c r="D21" s="64" t="s">
        <v>83</v>
      </c>
      <c r="E21" s="64" t="s">
        <v>83</v>
      </c>
      <c r="F21" s="64" t="s">
        <v>83</v>
      </c>
      <c r="G21" s="64" t="s">
        <v>83</v>
      </c>
      <c r="H21" s="76" t="s">
        <v>83</v>
      </c>
      <c r="I21" s="39" t="s">
        <v>86</v>
      </c>
    </row>
    <row r="22">
      <c r="A22" s="3"/>
      <c r="B22" s="53" t="s">
        <v>87</v>
      </c>
      <c r="C22" s="64" t="s">
        <v>83</v>
      </c>
      <c r="D22" s="64" t="s">
        <v>83</v>
      </c>
      <c r="E22" s="64" t="s">
        <v>83</v>
      </c>
      <c r="F22" s="64" t="s">
        <v>83</v>
      </c>
      <c r="G22" s="64" t="s">
        <v>83</v>
      </c>
      <c r="H22" s="76" t="s">
        <v>83</v>
      </c>
      <c r="I22" s="39" t="s">
        <v>88</v>
      </c>
    </row>
    <row r="23">
      <c r="A23" s="3"/>
      <c r="B23" s="71" t="s">
        <v>122</v>
      </c>
      <c r="C23" s="66">
        <f>C111-(C9+C16)</f>
        <v>-1</v>
      </c>
      <c r="D23" s="66">
        <f>D111-(D9+D16)</f>
        <v>0</v>
      </c>
      <c r="E23" s="66">
        <f>E24-(E9+E16)</f>
        <v>0</v>
      </c>
      <c r="F23" s="66">
        <f>F111-(F9+F16)</f>
        <v>0</v>
      </c>
      <c r="G23" s="66">
        <f>G111-(G9+G16)</f>
        <v>0</v>
      </c>
      <c r="H23" s="75">
        <v>0</v>
      </c>
      <c r="I23" s="39" t="s">
        <v>123</v>
      </c>
    </row>
    <row r="24">
      <c r="A24" s="3"/>
      <c r="B24" s="56" t="s">
        <v>221</v>
      </c>
      <c r="C24" s="45">
        <f>C9+C16+C23</f>
        <v>787</v>
      </c>
      <c r="D24" s="45">
        <f>D9+D16+D23</f>
        <v>786</v>
      </c>
      <c r="E24" s="83">
        <f>C24+D24+Inputs!C177+Inputs!D177</f>
        <v>3073</v>
      </c>
      <c r="F24" s="45">
        <f>F9+F16+F23</f>
        <v>768</v>
      </c>
      <c r="G24" s="45">
        <f>G9+G16+G23</f>
        <v>777</v>
      </c>
      <c r="H24" s="68">
        <f>H9+H16+H23</f>
        <v>790.172602739726</v>
      </c>
      <c r="I24" s="39"/>
    </row>
    <row r="25">
      <c r="A25" s="3"/>
      <c r="B25" s="71" t="s">
        <v>79</v>
      </c>
      <c r="C25" s="12"/>
      <c r="D25" s="12"/>
      <c r="E25" s="12"/>
      <c r="F25" s="47">
        <f>F24/Inputs!C177-1</f>
        <v>0.03364737550471064</v>
      </c>
      <c r="G25" s="47">
        <f>G24/Inputs!D177-1</f>
        <v>0.026420079260237816</v>
      </c>
      <c r="H25" s="67">
        <f>H24/C24-1</f>
        <v>0.0040312614227777654</v>
      </c>
      <c r="I25" s="39"/>
    </row>
    <row r="26">
      <c r="A26" s="3"/>
      <c r="B26" s="71" t="s">
        <v>80</v>
      </c>
      <c r="C26" s="12"/>
      <c r="D26" s="12">
        <f>D24/C24-1</f>
        <v>-0.0012706480304955914</v>
      </c>
      <c r="E26" s="12"/>
      <c r="F26" s="12">
        <f>F24/D24-1</f>
        <v>-0.022900763358778664</v>
      </c>
      <c r="G26" s="12">
        <f>G24/F24-1</f>
        <v>0.01171875</v>
      </c>
      <c r="H26" s="67">
        <f>H24/G24-1</f>
        <v>0.016953156679184067</v>
      </c>
      <c r="I26" s="39"/>
    </row>
    <row r="27">
      <c r="A27" s="3"/>
      <c r="B27" s="71" t="s">
        <v>222</v>
      </c>
      <c r="C27" s="47">
        <f>C24/'Revenue summary'!C31</f>
        <v>0.8852643419572553</v>
      </c>
      <c r="D27" s="47">
        <f>D24/'Revenue summary'!D31</f>
        <v>0.8851351351351351</v>
      </c>
      <c r="E27" s="47">
        <f>E24/'Revenue summary'!E31</f>
        <v>0.8988008189529102</v>
      </c>
      <c r="F27" s="47">
        <f>F24/'Revenue summary'!F31</f>
        <v>0.8909512761020881</v>
      </c>
      <c r="G27" s="47">
        <f>G24/'Revenue summary'!G31</f>
        <v>0.8759864712514093</v>
      </c>
      <c r="H27" s="87">
        <f>H24/'Revenue summary'!H31</f>
        <v>0.8920066399614305</v>
      </c>
      <c r="I27" s="39"/>
    </row>
    <row r="28">
      <c r="A28" s="3"/>
      <c r="B28" s="71" t="s">
        <v>81</v>
      </c>
      <c r="C28" s="12"/>
      <c r="D28" s="12"/>
      <c r="E28" s="12"/>
      <c r="F28" s="12">
        <f>F25</f>
        <v>0.03364737550471064</v>
      </c>
      <c r="G28" s="12">
        <f>G25</f>
        <v>0.026420079260237816</v>
      </c>
      <c r="H28" s="67">
        <f>H25</f>
        <v>0.0040312614227777654</v>
      </c>
      <c r="I28" s="39"/>
    </row>
    <row r="29">
      <c r="A29" s="3"/>
      <c r="B29" s="71" t="s">
        <v>82</v>
      </c>
      <c r="C29" s="64" t="s">
        <v>83</v>
      </c>
      <c r="D29" s="64" t="s">
        <v>83</v>
      </c>
      <c r="E29" s="64" t="s">
        <v>83</v>
      </c>
      <c r="F29" s="64" t="s">
        <v>83</v>
      </c>
      <c r="G29" s="64" t="s">
        <v>83</v>
      </c>
      <c r="H29" s="76" t="s">
        <v>83</v>
      </c>
      <c r="I29" s="39" t="s">
        <v>84</v>
      </c>
    </row>
    <row r="30">
      <c r="A30" s="3"/>
      <c r="B30" s="71" t="s">
        <v>85</v>
      </c>
      <c r="C30" s="64" t="s">
        <v>83</v>
      </c>
      <c r="D30" s="64" t="s">
        <v>83</v>
      </c>
      <c r="E30" s="64" t="s">
        <v>83</v>
      </c>
      <c r="F30" s="64" t="s">
        <v>83</v>
      </c>
      <c r="G30" s="64" t="s">
        <v>83</v>
      </c>
      <c r="H30" s="76" t="s">
        <v>83</v>
      </c>
      <c r="I30" s="39" t="s">
        <v>86</v>
      </c>
    </row>
    <row r="31">
      <c r="A31" s="3"/>
      <c r="B31" s="71" t="s">
        <v>87</v>
      </c>
      <c r="C31" s="64" t="s">
        <v>83</v>
      </c>
      <c r="D31" s="64" t="s">
        <v>83</v>
      </c>
      <c r="E31" s="64" t="s">
        <v>83</v>
      </c>
      <c r="F31" s="64" t="s">
        <v>83</v>
      </c>
      <c r="G31" s="64" t="s">
        <v>83</v>
      </c>
      <c r="H31" s="76" t="s">
        <v>83</v>
      </c>
      <c r="I31" s="39" t="s">
        <v>88</v>
      </c>
    </row>
    <row r="32">
      <c r="A32" s="3"/>
      <c r="B32" s="38" t="s">
        <v>223</v>
      </c>
      <c r="C32" s="62">
        <v>366</v>
      </c>
      <c r="D32" s="62">
        <v>380</v>
      </c>
      <c r="E32" s="43">
        <f>C32+D32+Inputs!C178+Inputs!D178</f>
        <v>1445</v>
      </c>
      <c r="F32" s="62">
        <v>368</v>
      </c>
      <c r="G32" s="62">
        <v>376</v>
      </c>
      <c r="H32" s="40">
        <v>378</v>
      </c>
      <c r="I32" s="39"/>
    </row>
    <row r="33">
      <c r="A33" s="3"/>
      <c r="B33" s="53" t="s">
        <v>79</v>
      </c>
      <c r="C33" s="12"/>
      <c r="D33" s="12"/>
      <c r="E33" s="12"/>
      <c r="F33" s="47">
        <f>F32/Inputs!C178-1</f>
        <v>0.06976744186046502</v>
      </c>
      <c r="G33" s="47">
        <f>G32/Inputs!D178-1</f>
        <v>0.05915492957746471</v>
      </c>
      <c r="H33" s="67">
        <f>H32/C32-1</f>
        <v>0.032786885245901676</v>
      </c>
      <c r="I33" s="39"/>
    </row>
    <row r="34">
      <c r="A34" s="3"/>
      <c r="B34" s="53" t="s">
        <v>80</v>
      </c>
      <c r="C34" s="12"/>
      <c r="D34" s="12">
        <f>D32/C32-1</f>
        <v>0.03825136612021862</v>
      </c>
      <c r="E34" s="12"/>
      <c r="F34" s="12">
        <f>F32/D32-1</f>
        <v>-0.03157894736842104</v>
      </c>
      <c r="G34" s="12">
        <f>G32/F32-1</f>
        <v>0.021739130434782705</v>
      </c>
      <c r="H34" s="67">
        <f>H32/G32-1</f>
        <v>0.005319148936170137</v>
      </c>
      <c r="I34" s="39"/>
    </row>
    <row r="35">
      <c r="A35" s="3"/>
      <c r="B35" s="71" t="s">
        <v>122</v>
      </c>
      <c r="C35" s="66">
        <f>C112-(C24-C32)</f>
        <v>0</v>
      </c>
      <c r="D35" s="66">
        <f>D112-(D24-D32)</f>
        <v>1</v>
      </c>
      <c r="E35" s="66">
        <f>E36-(E24-E32)</f>
        <v>0</v>
      </c>
      <c r="F35" s="66">
        <f>F112-(F24-F32)</f>
        <v>0</v>
      </c>
      <c r="G35" s="66">
        <f>G112-(G24-G32)</f>
        <v>0</v>
      </c>
      <c r="H35" s="75">
        <v>0</v>
      </c>
      <c r="I35" s="39" t="s">
        <v>123</v>
      </c>
    </row>
    <row r="36">
      <c r="A36" s="3"/>
      <c r="B36" s="56" t="s">
        <v>224</v>
      </c>
      <c r="C36" s="45">
        <f>C24-C32+C35</f>
        <v>421</v>
      </c>
      <c r="D36" s="45">
        <f>D24-D32+D35</f>
        <v>407</v>
      </c>
      <c r="E36" s="83">
        <f>C36+D36+Inputs!C179+Inputs!D179</f>
        <v>1628</v>
      </c>
      <c r="F36" s="45">
        <f>F24-F32+F35</f>
        <v>400</v>
      </c>
      <c r="G36" s="45">
        <f>G24-G32+G35</f>
        <v>401</v>
      </c>
      <c r="H36" s="68">
        <f>H24-H32+H35</f>
        <v>412.172602739726</v>
      </c>
      <c r="I36" s="39"/>
    </row>
    <row r="37">
      <c r="A37" s="3"/>
      <c r="B37" s="38" t="s">
        <v>225</v>
      </c>
      <c r="C37" s="62">
        <v>2</v>
      </c>
      <c r="D37" s="62">
        <v>-2</v>
      </c>
      <c r="E37" s="43">
        <f>C37+D37+Inputs!C180+Inputs!D180</f>
        <v>51</v>
      </c>
      <c r="F37" s="62">
        <v>8</v>
      </c>
      <c r="G37" s="62">
        <v>1</v>
      </c>
      <c r="H37" s="40">
        <v>10</v>
      </c>
      <c r="I37" s="39"/>
    </row>
    <row r="38">
      <c r="A38" s="3"/>
      <c r="B38" s="48" t="s">
        <v>131</v>
      </c>
      <c r="C38" s="18"/>
      <c r="D38" s="18"/>
      <c r="E38" s="18"/>
      <c r="F38" s="43">
        <f>(F37-Inputs!C180)</f>
        <v>-30</v>
      </c>
      <c r="G38" s="43">
        <f>(G37-Inputs!D180)</f>
        <v>-12</v>
      </c>
      <c r="H38" s="46">
        <f>(H37-C37)</f>
        <v>8</v>
      </c>
      <c r="I38" s="39"/>
    </row>
    <row r="39">
      <c r="A39" s="3"/>
      <c r="B39" s="48" t="s">
        <v>108</v>
      </c>
      <c r="C39" s="18"/>
      <c r="D39" s="18">
        <f>(D37-C37)</f>
        <v>-4</v>
      </c>
      <c r="E39" s="18"/>
      <c r="F39" s="18">
        <f>(F37-D37)</f>
        <v>10</v>
      </c>
      <c r="G39" s="18">
        <f>(G37-F37)</f>
        <v>-7</v>
      </c>
      <c r="H39" s="46">
        <f>(H37-G37)</f>
        <v>9</v>
      </c>
      <c r="I39" s="39"/>
    </row>
    <row r="40">
      <c r="A40" s="3"/>
      <c r="B40" s="71" t="s">
        <v>122</v>
      </c>
      <c r="C40" s="66">
        <f>C113-(C36-C37)</f>
        <v>1</v>
      </c>
      <c r="D40" s="66">
        <f>D113-(D36-D37)</f>
        <v>0</v>
      </c>
      <c r="E40" s="66">
        <f>E41-(E36-E37)</f>
        <v>1</v>
      </c>
      <c r="F40" s="66">
        <f>F113-(F36-F37)</f>
        <v>1</v>
      </c>
      <c r="G40" s="66">
        <f>G113-(G36-G37)</f>
        <v>0</v>
      </c>
      <c r="H40" s="75">
        <v>0</v>
      </c>
      <c r="I40" s="39" t="s">
        <v>123</v>
      </c>
    </row>
    <row r="41">
      <c r="A41" s="3"/>
      <c r="B41" s="56" t="s">
        <v>226</v>
      </c>
      <c r="C41" s="45">
        <f>C36-C37+C40</f>
        <v>420</v>
      </c>
      <c r="D41" s="45">
        <f>D36-D37+D40</f>
        <v>409</v>
      </c>
      <c r="E41" s="83">
        <f>C41+D41+Inputs!C181+Inputs!D181</f>
        <v>1578</v>
      </c>
      <c r="F41" s="45">
        <f>F36-F37+F40</f>
        <v>393</v>
      </c>
      <c r="G41" s="45">
        <f>G36-G37+G40</f>
        <v>400</v>
      </c>
      <c r="H41" s="68">
        <f>H36-H37+H40</f>
        <v>402.172602739726</v>
      </c>
      <c r="I41" s="39"/>
    </row>
    <row r="42">
      <c r="A42" s="3"/>
      <c r="B42" s="38" t="s">
        <v>227</v>
      </c>
      <c r="C42" s="62">
        <v>100</v>
      </c>
      <c r="D42" s="62">
        <v>98</v>
      </c>
      <c r="E42" s="43">
        <f>C42+D42+Inputs!C182+Inputs!D182</f>
        <v>376</v>
      </c>
      <c r="F42" s="62">
        <v>94</v>
      </c>
      <c r="G42" s="62">
        <v>96</v>
      </c>
      <c r="H42" s="46">
        <f>H41*H55</f>
        <v>96.52142465753424</v>
      </c>
      <c r="I42" s="39"/>
    </row>
    <row r="43">
      <c r="A43" s="3"/>
      <c r="B43" s="71" t="s">
        <v>122</v>
      </c>
      <c r="C43" s="66">
        <f>C114-(C41-C42)</f>
        <v>-1</v>
      </c>
      <c r="D43" s="66">
        <f>D114-(D41-D42)</f>
        <v>0</v>
      </c>
      <c r="E43" s="66">
        <f>E44-(E41-E42)</f>
        <v>-1</v>
      </c>
      <c r="F43" s="66">
        <f>F114-(F41-F42)</f>
        <v>0</v>
      </c>
      <c r="G43" s="66">
        <f>G114-(G41-G42)</f>
        <v>0</v>
      </c>
      <c r="H43" s="75">
        <v>0</v>
      </c>
      <c r="I43" s="39" t="s">
        <v>123</v>
      </c>
    </row>
    <row r="44">
      <c r="A44" s="3"/>
      <c r="B44" s="56" t="s">
        <v>228</v>
      </c>
      <c r="C44" s="45">
        <f>C41-C42+C43</f>
        <v>319</v>
      </c>
      <c r="D44" s="45">
        <f>D41-D42+D43</f>
        <v>311</v>
      </c>
      <c r="E44" s="83">
        <f>C44+D44+Inputs!C183+Inputs!D183</f>
        <v>1201</v>
      </c>
      <c r="F44" s="45">
        <f>F41-F42+F43</f>
        <v>299</v>
      </c>
      <c r="G44" s="45">
        <f>G41-G42+G43</f>
        <v>304</v>
      </c>
      <c r="H44" s="68">
        <f>H41-H42+H43</f>
        <v>305.6511780821918</v>
      </c>
      <c r="I44" s="39"/>
    </row>
    <row r="45">
      <c r="A45" s="3"/>
      <c r="B45" s="71" t="s">
        <v>79</v>
      </c>
      <c r="C45" s="12"/>
      <c r="D45" s="12"/>
      <c r="E45" s="12"/>
      <c r="F45" s="47">
        <f>F44/Inputs!C183-1</f>
        <v>0.08727272727272717</v>
      </c>
      <c r="G45" s="47">
        <f>G44/Inputs!D183-1</f>
        <v>0.027027027027026973</v>
      </c>
      <c r="H45" s="67">
        <f>H44/C44-1</f>
        <v>-0.041845836732941066</v>
      </c>
      <c r="I45" s="39"/>
    </row>
    <row r="46">
      <c r="A46" s="3"/>
      <c r="B46" s="71" t="s">
        <v>80</v>
      </c>
      <c r="C46" s="12"/>
      <c r="D46" s="12">
        <f>D44/C44-1</f>
        <v>-0.025078369905956133</v>
      </c>
      <c r="E46" s="12"/>
      <c r="F46" s="12">
        <f>F44/D44-1</f>
        <v>-0.03858520900321538</v>
      </c>
      <c r="G46" s="12">
        <f>G44/F44-1</f>
        <v>0.01672240802675584</v>
      </c>
      <c r="H46" s="67">
        <f>H44/G44-1</f>
        <v>0.005431506849315149</v>
      </c>
      <c r="I46" s="39"/>
    </row>
    <row r="47">
      <c r="A47" s="3"/>
      <c r="B47" s="3"/>
      <c r="C47" s="10"/>
      <c r="D47" s="10"/>
      <c r="E47" s="10"/>
      <c r="F47" s="10"/>
      <c r="G47" s="10"/>
      <c r="H47" s="50"/>
      <c r="I47" s="39"/>
    </row>
    <row r="48">
      <c r="A48" s="3"/>
      <c r="B48" s="56" t="s">
        <v>229</v>
      </c>
      <c r="C48" s="10"/>
      <c r="D48" s="10"/>
      <c r="E48" s="10"/>
      <c r="F48" s="10"/>
      <c r="G48" s="10"/>
      <c r="H48" s="50"/>
      <c r="I48" s="39"/>
    </row>
    <row r="49">
      <c r="A49" s="3"/>
      <c r="B49" s="71" t="s">
        <v>230</v>
      </c>
      <c r="C49" s="12">
        <f>C32/C24</f>
        <v>0.4650571791613723</v>
      </c>
      <c r="D49" s="12">
        <f>D32/D24</f>
        <v>0.48346055979643765</v>
      </c>
      <c r="E49" s="12">
        <f>E32/E24</f>
        <v>0.4702245362837618</v>
      </c>
      <c r="F49" s="12">
        <f>F32/F24</f>
        <v>0.4791666666666667</v>
      </c>
      <c r="G49" s="12">
        <f>G32/G24</f>
        <v>0.4839124839124839</v>
      </c>
      <c r="H49" s="67">
        <f>H32/H24</f>
        <v>0.4783764948181948</v>
      </c>
      <c r="I49" s="39"/>
    </row>
    <row r="50">
      <c r="A50" s="3"/>
      <c r="B50" s="48" t="s">
        <v>154</v>
      </c>
      <c r="C50" s="31"/>
      <c r="D50" s="31">
        <f>(D49-C49)*10000</f>
        <v>184.03380635065358</v>
      </c>
      <c r="E50" s="31"/>
      <c r="F50" s="31">
        <f>(F49-D49)*10000</f>
        <v>-42.93893129770965</v>
      </c>
      <c r="G50" s="31">
        <f>(G49-F49)*10000</f>
        <v>47.45817245817241</v>
      </c>
      <c r="H50" s="88">
        <f>(H49-G49)*10000</f>
        <v>-55.35989094289151</v>
      </c>
      <c r="I50" s="39"/>
    </row>
    <row r="51">
      <c r="A51" s="3"/>
      <c r="B51" s="48" t="s">
        <v>153</v>
      </c>
      <c r="C51" s="31"/>
      <c r="D51" s="31"/>
      <c r="E51" s="31"/>
      <c r="F51" s="60">
        <f>(F49-(Inputs!C178/Inputs!C177))*10000</f>
        <v>161.78779721848392</v>
      </c>
      <c r="G51" s="60">
        <f>(G49-(Inputs!D178/Inputs!D177))*10000</f>
        <v>149.56077043263295</v>
      </c>
      <c r="H51" s="88">
        <f>(H49-C49)*10000</f>
        <v>133.19315656822482</v>
      </c>
      <c r="I51" s="39"/>
    </row>
    <row r="52">
      <c r="A52" s="3"/>
      <c r="B52" s="71" t="s">
        <v>231</v>
      </c>
      <c r="C52" s="12">
        <f>C41/C24</f>
        <v>0.5336721728081322</v>
      </c>
      <c r="D52" s="12">
        <f>D41/D24</f>
        <v>0.5203562340966921</v>
      </c>
      <c r="E52" s="12">
        <f>E41/E24</f>
        <v>0.513504718516108</v>
      </c>
      <c r="F52" s="12">
        <f>F41/F24</f>
        <v>0.51171875</v>
      </c>
      <c r="G52" s="12">
        <f>G41/G24</f>
        <v>0.5148005148005148</v>
      </c>
      <c r="H52" s="67">
        <f>H41/H24</f>
        <v>0.5089680423559271</v>
      </c>
      <c r="I52" s="39"/>
    </row>
    <row r="53">
      <c r="A53" s="3"/>
      <c r="B53" s="48" t="s">
        <v>154</v>
      </c>
      <c r="C53" s="31"/>
      <c r="D53" s="31">
        <f>(D52-C52)*10000</f>
        <v>-133.159387114401</v>
      </c>
      <c r="E53" s="31"/>
      <c r="F53" s="31">
        <f>(F52-D52)*10000</f>
        <v>-86.37484096692071</v>
      </c>
      <c r="G53" s="31">
        <f>(G52-F52)*10000</f>
        <v>30.81764800514808</v>
      </c>
      <c r="H53" s="88">
        <f>(H52-G52)*10000</f>
        <v>-58.32472444587733</v>
      </c>
      <c r="I53" s="39"/>
    </row>
    <row r="54">
      <c r="A54" s="3"/>
      <c r="B54" s="48" t="s">
        <v>153</v>
      </c>
      <c r="C54" s="31"/>
      <c r="D54" s="31"/>
      <c r="E54" s="31"/>
      <c r="F54" s="60">
        <f>(F52-(Inputs!C181/Inputs!C177))*10000</f>
        <v>271.96542732166876</v>
      </c>
      <c r="G54" s="60">
        <f>(G52-(Inputs!D181/Inputs!D177))*10000</f>
        <v>9.299731888899876</v>
      </c>
      <c r="H54" s="88">
        <f>(H52-C52)*10000</f>
        <v>-247.04130452205098</v>
      </c>
      <c r="I54" s="39"/>
    </row>
    <row r="55">
      <c r="A55" s="3"/>
      <c r="B55" s="71" t="s">
        <v>232</v>
      </c>
      <c r="C55" s="12">
        <f>C42/C41</f>
        <v>0.23809523809523808</v>
      </c>
      <c r="D55" s="12">
        <f>D42/D41</f>
        <v>0.2396088019559902</v>
      </c>
      <c r="E55" s="12">
        <f>E42/E41</f>
        <v>0.23827629911280102</v>
      </c>
      <c r="F55" s="12">
        <f>F42/F41</f>
        <v>0.23918575063613232</v>
      </c>
      <c r="G55" s="12">
        <f>G42/G41</f>
        <v>0.24</v>
      </c>
      <c r="H55" s="90">
        <v>0.24</v>
      </c>
      <c r="I55" s="39" t="s">
        <v>233</v>
      </c>
    </row>
    <row r="56">
      <c r="A56" s="3"/>
      <c r="B56" s="48" t="s">
        <v>154</v>
      </c>
      <c r="C56" s="31"/>
      <c r="D56" s="31">
        <f>(D55-C55)*10000</f>
        <v>15.135638607521319</v>
      </c>
      <c r="E56" s="31"/>
      <c r="F56" s="31">
        <f>(F55-D55)*10000</f>
        <v>-4.2305131985789775</v>
      </c>
      <c r="G56" s="31">
        <f>(G55-F55)*10000</f>
        <v>8.14249363867675</v>
      </c>
      <c r="H56" s="88">
        <f>(H55-G55)*10000</f>
        <v>0</v>
      </c>
      <c r="I56" s="39"/>
    </row>
    <row r="57">
      <c r="A57" s="3"/>
      <c r="B57" s="48" t="s">
        <v>153</v>
      </c>
      <c r="C57" s="31"/>
      <c r="D57" s="31"/>
      <c r="E57" s="31"/>
      <c r="F57" s="60">
        <f>(F55-(Inputs!C182/Inputs!C181))*10000</f>
        <v>2.968617472434154</v>
      </c>
      <c r="G57" s="60">
        <f>(G55-(Inputs!D182/Inputs!D181))*10000</f>
        <v>34.961439588688805</v>
      </c>
      <c r="H57" s="88">
        <f>(H55-C55)*10000</f>
        <v>19.04761904761909</v>
      </c>
      <c r="I57" s="39"/>
    </row>
    <row r="58">
      <c r="A58" s="3"/>
      <c r="B58" s="3"/>
      <c r="C58" s="10"/>
      <c r="D58" s="10"/>
      <c r="E58" s="10"/>
      <c r="F58" s="10"/>
      <c r="G58" s="10"/>
      <c r="H58" s="50"/>
      <c r="I58" s="39"/>
    </row>
    <row r="59">
      <c r="A59" s="3"/>
      <c r="B59" s="56" t="s">
        <v>234</v>
      </c>
      <c r="C59" s="10"/>
      <c r="D59" s="10"/>
      <c r="E59" s="10"/>
      <c r="F59" s="10"/>
      <c r="G59" s="10"/>
      <c r="H59" s="50"/>
      <c r="I59" s="39"/>
    </row>
    <row r="60">
      <c r="A60" s="3"/>
      <c r="B60" s="38" t="s">
        <v>235</v>
      </c>
      <c r="C60" s="62">
        <v>56.4</v>
      </c>
      <c r="D60" s="62">
        <v>56.5</v>
      </c>
      <c r="E60" s="18" t="s">
        <v>236</v>
      </c>
      <c r="F60" s="62">
        <v>56.5</v>
      </c>
      <c r="G60" s="62">
        <v>57.5</v>
      </c>
      <c r="H60" s="40">
        <v>58</v>
      </c>
      <c r="I60" s="39" t="s">
        <v>237</v>
      </c>
    </row>
    <row r="61">
      <c r="A61" s="3"/>
      <c r="B61" s="48" t="s">
        <v>238</v>
      </c>
      <c r="C61" s="18"/>
      <c r="D61" s="18"/>
      <c r="E61" s="18"/>
      <c r="F61" s="43">
        <f>(F60-Inputs!C184)</f>
        <v>0.29999999999999716</v>
      </c>
      <c r="G61" s="43">
        <f>(G60-Inputs!D184)</f>
        <v>1.2000000000000028</v>
      </c>
      <c r="H61" s="46">
        <f>(H60-C60)</f>
        <v>1.6000000000000014</v>
      </c>
      <c r="I61" s="39"/>
    </row>
    <row r="62">
      <c r="A62" s="3"/>
      <c r="B62" s="48" t="s">
        <v>239</v>
      </c>
      <c r="C62" s="18"/>
      <c r="D62" s="18">
        <f>(D60-C60)</f>
        <v>0.10000000000000142</v>
      </c>
      <c r="E62" s="18"/>
      <c r="F62" s="18">
        <f>(F60-D60)</f>
        <v>0</v>
      </c>
      <c r="G62" s="18">
        <f>(G60-F60)</f>
        <v>1</v>
      </c>
      <c r="H62" s="46">
        <f>(H60-G60)</f>
        <v>0.5</v>
      </c>
      <c r="I62" s="39"/>
    </row>
    <row r="63">
      <c r="A63" s="3"/>
      <c r="B63" s="38" t="s">
        <v>240</v>
      </c>
      <c r="C63" s="62">
        <v>56.4</v>
      </c>
      <c r="D63" s="62">
        <v>56.5</v>
      </c>
      <c r="E63" s="18" t="s">
        <v>236</v>
      </c>
      <c r="F63" s="62">
        <v>56.5</v>
      </c>
      <c r="G63" s="62">
        <v>57.5</v>
      </c>
      <c r="H63" s="40">
        <v>58</v>
      </c>
      <c r="I63" s="39"/>
    </row>
    <row r="64">
      <c r="A64" s="3"/>
      <c r="B64" s="48" t="s">
        <v>238</v>
      </c>
      <c r="C64" s="18"/>
      <c r="D64" s="18"/>
      <c r="E64" s="18"/>
      <c r="F64" s="43">
        <f>(F63-Inputs!C185)</f>
        <v>0.29999999999999716</v>
      </c>
      <c r="G64" s="43">
        <f>(G63-Inputs!D185)</f>
        <v>1.2000000000000028</v>
      </c>
      <c r="H64" s="46">
        <f>(H63-C63)</f>
        <v>1.6000000000000014</v>
      </c>
      <c r="I64" s="39"/>
    </row>
    <row r="65">
      <c r="A65" s="3"/>
      <c r="B65" s="48" t="s">
        <v>239</v>
      </c>
      <c r="C65" s="18"/>
      <c r="D65" s="18">
        <f>(D63-C63)</f>
        <v>0.10000000000000142</v>
      </c>
      <c r="E65" s="18"/>
      <c r="F65" s="18">
        <f>(F63-D63)</f>
        <v>0</v>
      </c>
      <c r="G65" s="18">
        <f>(G63-F63)</f>
        <v>1</v>
      </c>
      <c r="H65" s="46">
        <f>(H63-G63)</f>
        <v>0.5</v>
      </c>
      <c r="I65" s="39"/>
    </row>
    <row r="66">
      <c r="A66" s="3"/>
      <c r="B66" s="38" t="s">
        <v>241</v>
      </c>
      <c r="C66" s="62">
        <v>58.8</v>
      </c>
      <c r="D66" s="62">
        <v>59</v>
      </c>
      <c r="E66" s="18" t="s">
        <v>236</v>
      </c>
      <c r="F66" s="62">
        <v>59</v>
      </c>
      <c r="G66" s="62">
        <v>60</v>
      </c>
      <c r="H66" s="40">
        <v>60.5</v>
      </c>
      <c r="I66" s="39"/>
    </row>
    <row r="67">
      <c r="A67" s="3"/>
      <c r="B67" s="48" t="s">
        <v>238</v>
      </c>
      <c r="C67" s="18"/>
      <c r="D67" s="18"/>
      <c r="E67" s="18"/>
      <c r="F67" s="43">
        <f>(F66-Inputs!C186)</f>
        <v>0.29999999999999716</v>
      </c>
      <c r="G67" s="43">
        <f>(G66-Inputs!D186)</f>
        <v>1.2999999999999972</v>
      </c>
      <c r="H67" s="46">
        <f>(H66-C66)</f>
        <v>1.7000000000000028</v>
      </c>
      <c r="I67" s="39"/>
    </row>
    <row r="68">
      <c r="A68" s="3"/>
      <c r="B68" s="48" t="s">
        <v>239</v>
      </c>
      <c r="C68" s="18"/>
      <c r="D68" s="18">
        <f>(D66-C66)</f>
        <v>0.20000000000000284</v>
      </c>
      <c r="E68" s="18"/>
      <c r="F68" s="18">
        <f>(F66-D66)</f>
        <v>0</v>
      </c>
      <c r="G68" s="18">
        <f>(G66-F66)</f>
        <v>1</v>
      </c>
      <c r="H68" s="46">
        <f>(H66-G66)</f>
        <v>0.5</v>
      </c>
      <c r="I68" s="39"/>
    </row>
    <row r="69">
      <c r="A69" s="3"/>
      <c r="B69" s="38" t="s">
        <v>242</v>
      </c>
      <c r="C69" s="62">
        <v>59.1</v>
      </c>
      <c r="D69" s="62">
        <v>59.4</v>
      </c>
      <c r="E69" s="18" t="s">
        <v>236</v>
      </c>
      <c r="F69" s="62">
        <v>58.7</v>
      </c>
      <c r="G69" s="62">
        <v>58.1</v>
      </c>
      <c r="H69" s="40">
        <v>58.6</v>
      </c>
      <c r="I69" s="39"/>
    </row>
    <row r="70">
      <c r="A70" s="3"/>
      <c r="B70" s="48" t="s">
        <v>238</v>
      </c>
      <c r="C70" s="18"/>
      <c r="D70" s="18"/>
      <c r="E70" s="18"/>
      <c r="F70" s="43">
        <f>(F69-Inputs!C187)</f>
        <v>-0.3999999999999986</v>
      </c>
      <c r="G70" s="43">
        <f>(G69-Inputs!D187)</f>
        <v>-0.7999999999999972</v>
      </c>
      <c r="H70" s="46">
        <f>(H69-C69)</f>
        <v>-0.5</v>
      </c>
      <c r="I70" s="39"/>
    </row>
    <row r="71">
      <c r="A71" s="3"/>
      <c r="B71" s="48" t="s">
        <v>239</v>
      </c>
      <c r="C71" s="18"/>
      <c r="D71" s="18">
        <f>(D69-C69)</f>
        <v>0.29999999999999716</v>
      </c>
      <c r="E71" s="18"/>
      <c r="F71" s="18">
        <f>(F69-D69)</f>
        <v>-0.6999999999999957</v>
      </c>
      <c r="G71" s="18">
        <f>(G69-F69)</f>
        <v>-0.6000000000000014</v>
      </c>
      <c r="H71" s="46">
        <f>(H69-G69)</f>
        <v>0.5</v>
      </c>
      <c r="I71" s="39"/>
    </row>
    <row r="72">
      <c r="A72" s="3"/>
      <c r="B72" s="71" t="s">
        <v>243</v>
      </c>
      <c r="C72" s="161">
        <v>0.0474</v>
      </c>
      <c r="D72" s="161">
        <v>0.0467</v>
      </c>
      <c r="E72" s="162" t="s">
        <v>236</v>
      </c>
      <c r="F72" s="161">
        <v>0.0468</v>
      </c>
      <c r="G72" s="161">
        <v>0.0458</v>
      </c>
      <c r="H72" s="163">
        <v>0.0455</v>
      </c>
      <c r="I72" s="39"/>
    </row>
    <row r="73">
      <c r="A73" s="3"/>
      <c r="B73" s="48" t="s">
        <v>153</v>
      </c>
      <c r="C73" s="31"/>
      <c r="D73" s="31"/>
      <c r="E73" s="31"/>
      <c r="F73" s="60">
        <f>(F72-Inputs!C188)*10000</f>
        <v>10.000000000000009</v>
      </c>
      <c r="G73" s="60">
        <f>(G72-Inputs!D188)*10000</f>
        <v>-1.999999999999988</v>
      </c>
      <c r="H73" s="88">
        <f>(H72-C72)*10000</f>
        <v>-18.99999999999999</v>
      </c>
      <c r="I73" s="39"/>
    </row>
    <row r="74">
      <c r="A74" s="3"/>
      <c r="B74" s="48" t="s">
        <v>154</v>
      </c>
      <c r="C74" s="31"/>
      <c r="D74" s="31">
        <f>(D72-C72)*10000</f>
        <v>-6.999999999999992</v>
      </c>
      <c r="E74" s="31"/>
      <c r="F74" s="31">
        <f>(F72-D72)*10000</f>
        <v>1.0000000000000286</v>
      </c>
      <c r="G74" s="31">
        <f>(G72-F72)*10000</f>
        <v>-10.000000000000009</v>
      </c>
      <c r="H74" s="88">
        <f>(H72-G72)*10000</f>
        <v>-3.0000000000000164</v>
      </c>
      <c r="I74" s="39"/>
    </row>
    <row r="75">
      <c r="A75" s="3"/>
      <c r="B75" s="71" t="s">
        <v>203</v>
      </c>
      <c r="C75" s="86">
        <f>C6</f>
        <v>92</v>
      </c>
      <c r="D75" s="86">
        <f>D6</f>
        <v>92</v>
      </c>
      <c r="E75" s="86">
        <f>E6</f>
        <v>365</v>
      </c>
      <c r="F75" s="86">
        <f>F6</f>
        <v>90</v>
      </c>
      <c r="G75" s="86">
        <f>G6</f>
        <v>91</v>
      </c>
      <c r="H75" s="89">
        <f>H6</f>
        <v>92</v>
      </c>
      <c r="I75" s="39"/>
    </row>
    <row r="76">
      <c r="A76" s="3"/>
      <c r="B76" s="38" t="s">
        <v>244</v>
      </c>
      <c r="C76" s="18">
        <f>C63*1000*C72*C75/365</f>
        <v>673.833205479452</v>
      </c>
      <c r="D76" s="18">
        <f>D63*1000*D72*D75/365</f>
        <v>665.0591780821917</v>
      </c>
      <c r="E76" s="18" t="s">
        <v>236</v>
      </c>
      <c r="F76" s="18">
        <f>F63*1000*F72*F75/365</f>
        <v>651.9945205479453</v>
      </c>
      <c r="G76" s="18">
        <f>G63*1000*G72*G75/365</f>
        <v>656.5712328767123</v>
      </c>
      <c r="H76" s="46">
        <f>H63*1000*H72*H75/365</f>
        <v>665.172602739726</v>
      </c>
      <c r="I76" s="39" t="s">
        <v>245</v>
      </c>
    </row>
    <row r="77">
      <c r="A77" s="3"/>
      <c r="B77" s="53" t="s">
        <v>246</v>
      </c>
      <c r="C77" s="66">
        <f>C9-C76</f>
        <v>-2.8332054794519763</v>
      </c>
      <c r="D77" s="66">
        <f>D9-D76</f>
        <v>-3.0591780821916927</v>
      </c>
      <c r="E77" s="66"/>
      <c r="F77" s="66">
        <f>F9-F76</f>
        <v>-2.994520547945285</v>
      </c>
      <c r="G77" s="66">
        <f>G9-G76</f>
        <v>-2.5712328767123154</v>
      </c>
      <c r="H77" s="82"/>
      <c r="I77" s="39"/>
    </row>
    <row r="78">
      <c r="A78" s="3"/>
      <c r="B78" s="71" t="s">
        <v>247</v>
      </c>
      <c r="C78" s="12">
        <f>C60/C69</f>
        <v>0.9543147208121827</v>
      </c>
      <c r="D78" s="12">
        <f>D60/D69</f>
        <v>0.9511784511784512</v>
      </c>
      <c r="E78" s="12" t="s">
        <v>236</v>
      </c>
      <c r="F78" s="12">
        <f>F60/F69</f>
        <v>0.9625212947189097</v>
      </c>
      <c r="G78" s="12">
        <f>G60/G69</f>
        <v>0.9896729776247848</v>
      </c>
      <c r="H78" s="67">
        <f>H60/H69</f>
        <v>0.9897610921501706</v>
      </c>
      <c r="I78" s="39"/>
    </row>
    <row r="79">
      <c r="A79" s="3"/>
      <c r="B79" s="48" t="s">
        <v>154</v>
      </c>
      <c r="C79" s="31"/>
      <c r="D79" s="31">
        <f>(D78-C78)*10000</f>
        <v>-31.36269633731481</v>
      </c>
      <c r="E79" s="31"/>
      <c r="F79" s="31">
        <f>(F78-D78)*10000</f>
        <v>113.42843540458448</v>
      </c>
      <c r="G79" s="31">
        <f>(G78-F78)*10000</f>
        <v>271.51682905875106</v>
      </c>
      <c r="H79" s="88">
        <f>(H78-G78)*10000</f>
        <v>0.8811452538581843</v>
      </c>
      <c r="I79" s="39"/>
    </row>
    <row r="80">
      <c r="A80" s="3"/>
      <c r="B80" s="48" t="s">
        <v>153</v>
      </c>
      <c r="C80" s="31"/>
      <c r="D80" s="31"/>
      <c r="E80" s="31"/>
      <c r="F80" s="60">
        <f>(F78-(Inputs!C184/Inputs!C187))*10000</f>
        <v>115.90668661380033</v>
      </c>
      <c r="G80" s="60">
        <f>(G78-(Inputs!D184/Inputs!D187))*10000</f>
        <v>338.15592225803437</v>
      </c>
      <c r="H80" s="88">
        <f>(H78-C78)*10000</f>
        <v>354.4637133798789</v>
      </c>
      <c r="I80" s="39"/>
    </row>
    <row r="81">
      <c r="A81" s="3"/>
      <c r="B81" s="71" t="s">
        <v>248</v>
      </c>
      <c r="C81" s="12">
        <f>C44/(C66*1000)*365/C75</f>
        <v>0.02152377255249926</v>
      </c>
      <c r="D81" s="12">
        <f>D44/(D66*1000)*365/D75</f>
        <v>0.02091285924834193</v>
      </c>
      <c r="E81" s="12" t="s">
        <v>236</v>
      </c>
      <c r="F81" s="12">
        <f>F44/(F66*1000)*365/F75</f>
        <v>0.020552730696798496</v>
      </c>
      <c r="G81" s="12">
        <f>G44/(G66*1000)*365/G75</f>
        <v>0.02032234432234432</v>
      </c>
      <c r="H81" s="67">
        <f>H44/(H66*1000)*365/H75</f>
        <v>0.020043600431189367</v>
      </c>
      <c r="I81" s="39"/>
    </row>
    <row r="82">
      <c r="A82" s="3"/>
      <c r="B82" s="48" t="s">
        <v>154</v>
      </c>
      <c r="C82" s="31"/>
      <c r="D82" s="31">
        <f>(D81-C81)*10000</f>
        <v>-6.109133041573324</v>
      </c>
      <c r="E82" s="31"/>
      <c r="F82" s="31">
        <f>(F81-D81)*10000</f>
        <v>-3.601285515434337</v>
      </c>
      <c r="G82" s="31">
        <f>(G81-F81)*10000</f>
        <v>-2.3038637445417507</v>
      </c>
      <c r="H82" s="88">
        <f>(H81-G81)*10000</f>
        <v>-2.7874389115495335</v>
      </c>
      <c r="I82" s="39"/>
    </row>
    <row r="83">
      <c r="A83" s="3"/>
      <c r="B83" s="48" t="s">
        <v>153</v>
      </c>
      <c r="C83" s="31"/>
      <c r="D83" s="31"/>
      <c r="E83" s="31"/>
      <c r="F83" s="60">
        <f>(F81-(Inputs!C183/(Inputs!C186*1000)*365/Inputs!C280))*10000</f>
        <v>15.531092695791095</v>
      </c>
      <c r="G83" s="60">
        <f>(G81-(Inputs!D183/(Inputs!D186*1000)*365/Inputs!D280))*10000</f>
        <v>0.9657350032137024</v>
      </c>
      <c r="H83" s="88">
        <f>(H81-C81)*10000</f>
        <v>-14.801721213098945</v>
      </c>
      <c r="I83" s="39"/>
    </row>
    <row r="84">
      <c r="A84" s="3"/>
      <c r="B84" s="3"/>
      <c r="C84" s="10"/>
      <c r="D84" s="10"/>
      <c r="E84" s="10"/>
      <c r="F84" s="10"/>
      <c r="G84" s="10"/>
      <c r="H84" s="50"/>
      <c r="I84" s="39"/>
    </row>
    <row r="85">
      <c r="A85" s="3"/>
      <c r="B85" s="56" t="s">
        <v>249</v>
      </c>
      <c r="C85" s="10"/>
      <c r="D85" s="10"/>
      <c r="E85" s="10"/>
      <c r="F85" s="10"/>
      <c r="G85" s="10"/>
      <c r="H85" s="50"/>
      <c r="I85" s="39"/>
    </row>
    <row r="86">
      <c r="A86" s="3"/>
      <c r="B86" s="38" t="s">
        <v>250</v>
      </c>
      <c r="C86" s="160">
        <f>Inputs!D184</f>
        <v>56.3</v>
      </c>
      <c r="D86" s="18">
        <f>C60</f>
        <v>56.4</v>
      </c>
      <c r="E86" s="18" t="s">
        <v>236</v>
      </c>
      <c r="F86" s="18">
        <f>D60</f>
        <v>56.5</v>
      </c>
      <c r="G86" s="18">
        <f>F60</f>
        <v>56.5</v>
      </c>
      <c r="H86" s="46">
        <f>G60</f>
        <v>57.5</v>
      </c>
      <c r="I86" s="39" t="s">
        <v>251</v>
      </c>
    </row>
    <row r="87">
      <c r="A87" s="3"/>
      <c r="B87" s="71" t="s">
        <v>252</v>
      </c>
      <c r="C87" s="64" t="s">
        <v>83</v>
      </c>
      <c r="D87" s="64" t="s">
        <v>83</v>
      </c>
      <c r="E87" s="64" t="s">
        <v>83</v>
      </c>
      <c r="F87" s="64" t="s">
        <v>83</v>
      </c>
      <c r="G87" s="64" t="s">
        <v>83</v>
      </c>
      <c r="H87" s="76" t="s">
        <v>83</v>
      </c>
      <c r="I87" s="39" t="s">
        <v>253</v>
      </c>
    </row>
    <row r="88">
      <c r="A88" s="3"/>
      <c r="B88" s="71" t="s">
        <v>254</v>
      </c>
      <c r="C88" s="64" t="s">
        <v>83</v>
      </c>
      <c r="D88" s="64" t="s">
        <v>83</v>
      </c>
      <c r="E88" s="64" t="s">
        <v>83</v>
      </c>
      <c r="F88" s="64" t="s">
        <v>83</v>
      </c>
      <c r="G88" s="64" t="s">
        <v>83</v>
      </c>
      <c r="H88" s="76" t="s">
        <v>83</v>
      </c>
      <c r="I88" s="39" t="s">
        <v>253</v>
      </c>
    </row>
    <row r="89">
      <c r="A89" s="3"/>
      <c r="B89" s="38" t="s">
        <v>255</v>
      </c>
      <c r="C89" s="18">
        <f>C90-C86</f>
        <v>0.10000000000000142</v>
      </c>
      <c r="D89" s="18">
        <f>D90-D86</f>
        <v>0.10000000000000142</v>
      </c>
      <c r="E89" s="18" t="s">
        <v>236</v>
      </c>
      <c r="F89" s="18">
        <f>F90-F86</f>
        <v>0</v>
      </c>
      <c r="G89" s="18">
        <f>G90-G86</f>
        <v>1</v>
      </c>
      <c r="H89" s="46">
        <f>H90-H86</f>
        <v>0.5</v>
      </c>
      <c r="I89" s="39"/>
    </row>
    <row r="90">
      <c r="A90" s="3"/>
      <c r="B90" s="42" t="s">
        <v>256</v>
      </c>
      <c r="C90" s="45">
        <f>C60</f>
        <v>56.4</v>
      </c>
      <c r="D90" s="45">
        <f>D60</f>
        <v>56.5</v>
      </c>
      <c r="E90" s="45" t="s">
        <v>236</v>
      </c>
      <c r="F90" s="45">
        <f>F60</f>
        <v>56.5</v>
      </c>
      <c r="G90" s="45">
        <f>G60</f>
        <v>57.5</v>
      </c>
      <c r="H90" s="68">
        <f>H60</f>
        <v>58</v>
      </c>
      <c r="I90" s="39"/>
    </row>
    <row r="91">
      <c r="A91" s="3"/>
      <c r="B91" s="71" t="s">
        <v>257</v>
      </c>
      <c r="C91" s="12">
        <f>C89/C86</f>
        <v>0.0017761989342806649</v>
      </c>
      <c r="D91" s="12">
        <f>D89/D86</f>
        <v>0.0017730496453900962</v>
      </c>
      <c r="E91" s="12" t="s">
        <v>236</v>
      </c>
      <c r="F91" s="12">
        <f>F89/F86</f>
        <v>0</v>
      </c>
      <c r="G91" s="12">
        <f>G89/G86</f>
        <v>0.017699115044247787</v>
      </c>
      <c r="H91" s="67">
        <f>H89/H86</f>
        <v>0.008695652173913044</v>
      </c>
      <c r="I91" s="39"/>
    </row>
    <row r="92">
      <c r="A92" s="3"/>
      <c r="B92" s="3"/>
      <c r="C92" s="10"/>
      <c r="D92" s="10"/>
      <c r="E92" s="10"/>
      <c r="F92" s="10"/>
      <c r="G92" s="10"/>
      <c r="H92" s="50"/>
      <c r="I92" s="39"/>
    </row>
    <row r="93">
      <c r="A93" s="3"/>
      <c r="B93" s="56" t="s">
        <v>258</v>
      </c>
      <c r="C93" s="10"/>
      <c r="D93" s="10"/>
      <c r="E93" s="10"/>
      <c r="F93" s="10"/>
      <c r="G93" s="10"/>
      <c r="H93" s="50"/>
      <c r="I93" s="39"/>
    </row>
    <row r="94">
      <c r="A94" s="3"/>
      <c r="B94" s="38" t="s">
        <v>259</v>
      </c>
      <c r="C94" s="160">
        <f>Inputs!D187</f>
        <v>58.9</v>
      </c>
      <c r="D94" s="18">
        <f>C69</f>
        <v>59.1</v>
      </c>
      <c r="E94" s="18" t="s">
        <v>236</v>
      </c>
      <c r="F94" s="18">
        <f>D69</f>
        <v>59.4</v>
      </c>
      <c r="G94" s="18">
        <f>F69</f>
        <v>58.7</v>
      </c>
      <c r="H94" s="46">
        <f>G69</f>
        <v>58.1</v>
      </c>
      <c r="I94" s="39" t="s">
        <v>251</v>
      </c>
    </row>
    <row r="95">
      <c r="A95" s="3"/>
      <c r="B95" s="71" t="s">
        <v>252</v>
      </c>
      <c r="C95" s="64" t="s">
        <v>83</v>
      </c>
      <c r="D95" s="64" t="s">
        <v>83</v>
      </c>
      <c r="E95" s="64" t="s">
        <v>83</v>
      </c>
      <c r="F95" s="64" t="s">
        <v>83</v>
      </c>
      <c r="G95" s="64" t="s">
        <v>83</v>
      </c>
      <c r="H95" s="76" t="s">
        <v>83</v>
      </c>
      <c r="I95" s="39" t="s">
        <v>253</v>
      </c>
    </row>
    <row r="96">
      <c r="A96" s="3"/>
      <c r="B96" s="71" t="s">
        <v>254</v>
      </c>
      <c r="C96" s="64" t="s">
        <v>83</v>
      </c>
      <c r="D96" s="64" t="s">
        <v>83</v>
      </c>
      <c r="E96" s="64" t="s">
        <v>83</v>
      </c>
      <c r="F96" s="64" t="s">
        <v>83</v>
      </c>
      <c r="G96" s="64" t="s">
        <v>83</v>
      </c>
      <c r="H96" s="76" t="s">
        <v>83</v>
      </c>
      <c r="I96" s="39" t="s">
        <v>253</v>
      </c>
    </row>
    <row r="97">
      <c r="A97" s="3"/>
      <c r="B97" s="38" t="s">
        <v>255</v>
      </c>
      <c r="C97" s="18">
        <f>C98-C94</f>
        <v>0.20000000000000284</v>
      </c>
      <c r="D97" s="18">
        <f>D98-D94</f>
        <v>0.29999999999999716</v>
      </c>
      <c r="E97" s="18" t="s">
        <v>236</v>
      </c>
      <c r="F97" s="18">
        <f>F98-F94</f>
        <v>-0.6999999999999957</v>
      </c>
      <c r="G97" s="18">
        <f>G98-G94</f>
        <v>-0.6000000000000014</v>
      </c>
      <c r="H97" s="46">
        <f>H98-H94</f>
        <v>0.5</v>
      </c>
      <c r="I97" s="39"/>
    </row>
    <row r="98">
      <c r="A98" s="3"/>
      <c r="B98" s="42" t="s">
        <v>260</v>
      </c>
      <c r="C98" s="45">
        <f>C69</f>
        <v>59.1</v>
      </c>
      <c r="D98" s="45">
        <f>D69</f>
        <v>59.4</v>
      </c>
      <c r="E98" s="45" t="s">
        <v>236</v>
      </c>
      <c r="F98" s="45">
        <f>F69</f>
        <v>58.7</v>
      </c>
      <c r="G98" s="45">
        <f>G69</f>
        <v>58.1</v>
      </c>
      <c r="H98" s="68">
        <f>H69</f>
        <v>58.6</v>
      </c>
      <c r="I98" s="39"/>
    </row>
    <row r="99">
      <c r="A99" s="3"/>
      <c r="B99" s="71" t="s">
        <v>257</v>
      </c>
      <c r="C99" s="12">
        <f>C97/C94</f>
        <v>0.0033955857385399467</v>
      </c>
      <c r="D99" s="12">
        <f>D97/D94</f>
        <v>0.005076142131979647</v>
      </c>
      <c r="E99" s="12" t="s">
        <v>236</v>
      </c>
      <c r="F99" s="12">
        <f>F97/F94</f>
        <v>-0.011784511784511714</v>
      </c>
      <c r="G99" s="12">
        <f>G97/G94</f>
        <v>-0.010221465076661012</v>
      </c>
      <c r="H99" s="67">
        <f>H97/H94</f>
        <v>0.008605851979345954</v>
      </c>
      <c r="I99" s="39"/>
    </row>
    <row r="100">
      <c r="A100" s="3"/>
      <c r="B100" s="3"/>
      <c r="C100" s="10"/>
      <c r="D100" s="10"/>
      <c r="E100" s="10"/>
      <c r="F100" s="10"/>
      <c r="G100" s="10"/>
      <c r="H100" s="50"/>
      <c r="I100" s="39"/>
    </row>
    <row r="101">
      <c r="A101" s="3"/>
      <c r="B101" s="56" t="s">
        <v>261</v>
      </c>
      <c r="C101" s="10"/>
      <c r="D101" s="10"/>
      <c r="E101" s="10"/>
      <c r="F101" s="10"/>
      <c r="G101" s="10"/>
      <c r="H101" s="50"/>
      <c r="I101" s="39"/>
    </row>
    <row r="102">
      <c r="A102" s="3"/>
      <c r="B102" s="38" t="s">
        <v>111</v>
      </c>
      <c r="C102" s="43">
        <f>'Revenue summary'!C83</f>
        <v>39</v>
      </c>
      <c r="D102" s="43">
        <f>'Revenue summary'!D83</f>
        <v>41</v>
      </c>
      <c r="E102" s="43">
        <f>'Revenue summary'!E83</f>
        <v>157</v>
      </c>
      <c r="F102" s="43">
        <f>'Revenue summary'!F83</f>
        <v>43</v>
      </c>
      <c r="G102" s="43">
        <f>'Revenue summary'!G83</f>
        <v>45</v>
      </c>
      <c r="H102" s="73">
        <f>'Revenue summary'!H83</f>
        <v>46</v>
      </c>
      <c r="I102" s="39"/>
    </row>
    <row r="103">
      <c r="A103" s="3"/>
      <c r="B103" s="48" t="s">
        <v>108</v>
      </c>
      <c r="C103" s="18"/>
      <c r="D103" s="18">
        <f>(D102-C102)</f>
        <v>2</v>
      </c>
      <c r="E103" s="18"/>
      <c r="F103" s="18">
        <f>(F102-D102)</f>
        <v>2</v>
      </c>
      <c r="G103" s="18">
        <f>(G102-F102)</f>
        <v>2</v>
      </c>
      <c r="H103" s="46">
        <f>(H102-G102)</f>
        <v>1</v>
      </c>
      <c r="I103" s="39"/>
    </row>
    <row r="104">
      <c r="A104" s="3"/>
      <c r="B104" s="38" t="s">
        <v>113</v>
      </c>
      <c r="C104" s="43">
        <f>'Revenue summary'!C90</f>
        <v>57</v>
      </c>
      <c r="D104" s="43">
        <f>'Revenue summary'!D90</f>
        <v>64</v>
      </c>
      <c r="E104" s="43">
        <f>'Revenue summary'!E90</f>
        <v>228</v>
      </c>
      <c r="F104" s="43">
        <f>'Revenue summary'!F90</f>
        <v>58</v>
      </c>
      <c r="G104" s="43">
        <f>'Revenue summary'!G90</f>
        <v>59</v>
      </c>
      <c r="H104" s="73">
        <f>'Revenue summary'!H90</f>
        <v>60</v>
      </c>
      <c r="I104" s="39"/>
    </row>
    <row r="105">
      <c r="A105" s="3"/>
      <c r="B105" s="48" t="s">
        <v>108</v>
      </c>
      <c r="C105" s="18"/>
      <c r="D105" s="18">
        <f>(D104-C104)</f>
        <v>7</v>
      </c>
      <c r="E105" s="18"/>
      <c r="F105" s="18">
        <f>(F104-D104)</f>
        <v>-6</v>
      </c>
      <c r="G105" s="18">
        <f>(G104-F104)</f>
        <v>1</v>
      </c>
      <c r="H105" s="46">
        <f>(H104-G104)</f>
        <v>1</v>
      </c>
      <c r="I105" s="39"/>
    </row>
    <row r="106">
      <c r="A106" s="3"/>
      <c r="B106" s="38" t="s">
        <v>115</v>
      </c>
      <c r="C106" s="43">
        <f>'Revenue summary'!C97</f>
        <v>19</v>
      </c>
      <c r="D106" s="43">
        <f>'Revenue summary'!D97</f>
        <v>18</v>
      </c>
      <c r="E106" s="43">
        <f>'Revenue summary'!E97</f>
        <v>74</v>
      </c>
      <c r="F106" s="43">
        <f>'Revenue summary'!F97</f>
        <v>18</v>
      </c>
      <c r="G106" s="43">
        <f>'Revenue summary'!G97</f>
        <v>18</v>
      </c>
      <c r="H106" s="73">
        <f>'Revenue summary'!H97</f>
        <v>18</v>
      </c>
      <c r="I106" s="39"/>
    </row>
    <row r="107">
      <c r="A107" s="3"/>
      <c r="B107" s="48" t="s">
        <v>108</v>
      </c>
      <c r="C107" s="18"/>
      <c r="D107" s="18">
        <f>(D106-C106)</f>
        <v>-1</v>
      </c>
      <c r="E107" s="18"/>
      <c r="F107" s="18">
        <f>(F106-D106)</f>
        <v>0</v>
      </c>
      <c r="G107" s="18">
        <f>(G106-F106)</f>
        <v>0</v>
      </c>
      <c r="H107" s="46">
        <f>(H106-G106)</f>
        <v>0</v>
      </c>
      <c r="I107" s="39"/>
    </row>
    <row r="108">
      <c r="A108" s="3"/>
      <c r="B108" s="32" t="s">
        <v>262</v>
      </c>
      <c r="C108" s="30"/>
      <c r="D108" s="30"/>
      <c r="E108" s="30"/>
      <c r="F108" s="30"/>
      <c r="G108" s="30"/>
      <c r="H108" s="85"/>
      <c r="I108" s="39"/>
    </row>
    <row r="109">
      <c r="A109" s="3"/>
      <c r="B109" s="3"/>
      <c r="C109" s="10"/>
      <c r="D109" s="10"/>
      <c r="E109" s="10"/>
      <c r="F109" s="10"/>
      <c r="G109" s="10"/>
      <c r="H109" s="50"/>
      <c r="I109" s="39"/>
    </row>
    <row r="110">
      <c r="A110" s="3"/>
      <c r="B110" s="56" t="s">
        <v>204</v>
      </c>
      <c r="C110" s="10"/>
      <c r="D110" s="10"/>
      <c r="E110" s="10"/>
      <c r="F110" s="10"/>
      <c r="G110" s="10"/>
      <c r="H110" s="50"/>
      <c r="I110" s="39"/>
    </row>
    <row r="111">
      <c r="A111" s="3"/>
      <c r="B111" s="71" t="s">
        <v>263</v>
      </c>
      <c r="C111" s="65">
        <v>787</v>
      </c>
      <c r="D111" s="65">
        <v>786</v>
      </c>
      <c r="E111" s="66"/>
      <c r="F111" s="65">
        <v>768</v>
      </c>
      <c r="G111" s="65">
        <v>777</v>
      </c>
      <c r="H111" s="82"/>
      <c r="I111" s="39" t="s">
        <v>206</v>
      </c>
    </row>
    <row r="112">
      <c r="A112" s="3"/>
      <c r="B112" s="71" t="s">
        <v>264</v>
      </c>
      <c r="C112" s="65">
        <v>421</v>
      </c>
      <c r="D112" s="65">
        <v>407</v>
      </c>
      <c r="E112" s="66"/>
      <c r="F112" s="65">
        <v>400</v>
      </c>
      <c r="G112" s="65">
        <v>401</v>
      </c>
      <c r="H112" s="82"/>
      <c r="I112" s="39" t="s">
        <v>206</v>
      </c>
    </row>
    <row r="113">
      <c r="A113" s="3"/>
      <c r="B113" s="71" t="s">
        <v>265</v>
      </c>
      <c r="C113" s="65">
        <v>420</v>
      </c>
      <c r="D113" s="65">
        <v>409</v>
      </c>
      <c r="E113" s="66"/>
      <c r="F113" s="65">
        <v>393</v>
      </c>
      <c r="G113" s="65">
        <v>400</v>
      </c>
      <c r="H113" s="82"/>
      <c r="I113" s="39" t="s">
        <v>206</v>
      </c>
    </row>
    <row r="114">
      <c r="A114" s="3"/>
      <c r="B114" s="71" t="s">
        <v>266</v>
      </c>
      <c r="C114" s="65">
        <v>319</v>
      </c>
      <c r="D114" s="65">
        <v>311</v>
      </c>
      <c r="E114" s="66"/>
      <c r="F114" s="65">
        <v>299</v>
      </c>
      <c r="G114" s="65">
        <v>304</v>
      </c>
      <c r="H114" s="82"/>
      <c r="I114" s="39" t="s">
        <v>206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I12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90" customWidth="1"/>
  </cols>
  <sheetData>
    <row r="1">
      <c r="A1" s="3"/>
      <c r="B1" s="37" t="s">
        <v>0</v>
      </c>
      <c r="C1" s="3"/>
      <c r="D1" s="3"/>
      <c r="E1" s="3"/>
      <c r="F1" s="3"/>
      <c r="G1" s="3"/>
      <c r="H1" s="3"/>
      <c r="I1" s="3"/>
    </row>
    <row r="2">
      <c r="A2" s="3"/>
      <c r="B2" s="56" t="s">
        <v>267</v>
      </c>
      <c r="C2" s="3"/>
      <c r="D2" s="3"/>
      <c r="E2" s="3"/>
      <c r="F2" s="3"/>
      <c r="G2" s="3"/>
      <c r="H2" s="3"/>
      <c r="I2" s="3"/>
    </row>
    <row r="3">
      <c r="A3" s="3"/>
      <c r="B3" s="32" t="s">
        <v>2</v>
      </c>
      <c r="C3" s="3"/>
      <c r="D3" s="3"/>
      <c r="E3" s="3"/>
      <c r="F3" s="3"/>
      <c r="G3" s="3"/>
      <c r="H3" s="3"/>
      <c r="I3" s="3"/>
    </row>
    <row r="4">
      <c r="A4" s="3"/>
      <c r="B4" s="24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8" t="s">
        <v>9</v>
      </c>
      <c r="I4" s="24" t="s">
        <v>75</v>
      </c>
    </row>
    <row r="5">
      <c r="A5" s="3"/>
      <c r="B5" s="13" t="s">
        <v>10</v>
      </c>
      <c r="C5" s="34">
        <v>45930</v>
      </c>
      <c r="D5" s="34">
        <v>46022</v>
      </c>
      <c r="E5" s="34">
        <v>46022</v>
      </c>
      <c r="F5" s="34">
        <v>46112</v>
      </c>
      <c r="G5" s="34">
        <v>46203</v>
      </c>
      <c r="H5" s="81">
        <v>46295</v>
      </c>
      <c r="I5" s="79"/>
    </row>
    <row r="6">
      <c r="A6" s="3"/>
      <c r="B6" s="23" t="s">
        <v>11</v>
      </c>
      <c r="C6" s="1">
        <v>92</v>
      </c>
      <c r="D6" s="1">
        <v>92</v>
      </c>
      <c r="E6" s="1">
        <v>365</v>
      </c>
      <c r="F6" s="1">
        <v>90</v>
      </c>
      <c r="G6" s="1">
        <v>91</v>
      </c>
      <c r="H6" s="84">
        <v>92</v>
      </c>
      <c r="I6" s="70"/>
    </row>
    <row r="7">
      <c r="A7" s="3"/>
      <c r="B7" s="3"/>
      <c r="C7" s="3"/>
      <c r="D7" s="3"/>
      <c r="E7" s="3"/>
      <c r="F7" s="3"/>
      <c r="G7" s="3"/>
      <c r="H7" s="57"/>
      <c r="I7" s="39"/>
    </row>
    <row r="8">
      <c r="A8" s="3"/>
      <c r="B8" s="56" t="s">
        <v>218</v>
      </c>
      <c r="C8" s="10"/>
      <c r="D8" s="10"/>
      <c r="E8" s="10"/>
      <c r="F8" s="10"/>
      <c r="G8" s="10"/>
      <c r="H8" s="50"/>
      <c r="I8" s="39"/>
    </row>
    <row r="9">
      <c r="A9" s="3"/>
      <c r="B9" s="38" t="s">
        <v>219</v>
      </c>
      <c r="C9" s="62">
        <v>60</v>
      </c>
      <c r="D9" s="62">
        <v>66</v>
      </c>
      <c r="E9" s="43">
        <f>C9+D9+Inputs!C189+Inputs!D189</f>
        <v>233</v>
      </c>
      <c r="F9" s="62">
        <v>62</v>
      </c>
      <c r="G9" s="62">
        <v>67</v>
      </c>
      <c r="H9" s="46">
        <f>H76</f>
        <v>69.06301369863014</v>
      </c>
      <c r="I9" s="39"/>
    </row>
    <row r="10">
      <c r="A10" s="3"/>
      <c r="B10" s="53" t="s">
        <v>79</v>
      </c>
      <c r="C10" s="12"/>
      <c r="D10" s="12"/>
      <c r="E10" s="12"/>
      <c r="F10" s="47">
        <f>F9/Inputs!C189-1</f>
        <v>0.24</v>
      </c>
      <c r="G10" s="47">
        <f>G9/Inputs!D189-1</f>
        <v>0.17543859649122817</v>
      </c>
      <c r="H10" s="67">
        <f>H9/C9-1</f>
        <v>0.1510502283105024</v>
      </c>
      <c r="I10" s="39"/>
    </row>
    <row r="11">
      <c r="A11" s="3"/>
      <c r="B11" s="53" t="s">
        <v>80</v>
      </c>
      <c r="C11" s="12"/>
      <c r="D11" s="12">
        <f>D9/C9-1</f>
        <v>0.10000000000000009</v>
      </c>
      <c r="E11" s="12"/>
      <c r="F11" s="12">
        <f>F9/D9-1</f>
        <v>-0.06060606060606055</v>
      </c>
      <c r="G11" s="12">
        <f>G9/F9-1</f>
        <v>0.08064516129032251</v>
      </c>
      <c r="H11" s="67">
        <f>H9/G9-1</f>
        <v>0.0307912492332858</v>
      </c>
      <c r="I11" s="39"/>
    </row>
    <row r="12">
      <c r="A12" s="3"/>
      <c r="B12" s="53" t="s">
        <v>81</v>
      </c>
      <c r="C12" s="12"/>
      <c r="D12" s="12"/>
      <c r="E12" s="12"/>
      <c r="F12" s="12">
        <f>F10</f>
        <v>0.24</v>
      </c>
      <c r="G12" s="12">
        <f>G10</f>
        <v>0.17543859649122817</v>
      </c>
      <c r="H12" s="67">
        <f>H10</f>
        <v>0.1510502283105024</v>
      </c>
      <c r="I12" s="39"/>
    </row>
    <row r="13">
      <c r="A13" s="3"/>
      <c r="B13" s="53" t="s">
        <v>82</v>
      </c>
      <c r="C13" s="64" t="s">
        <v>83</v>
      </c>
      <c r="D13" s="64" t="s">
        <v>83</v>
      </c>
      <c r="E13" s="64" t="s">
        <v>83</v>
      </c>
      <c r="F13" s="64" t="s">
        <v>83</v>
      </c>
      <c r="G13" s="64" t="s">
        <v>83</v>
      </c>
      <c r="H13" s="76" t="s">
        <v>83</v>
      </c>
      <c r="I13" s="39" t="s">
        <v>84</v>
      </c>
    </row>
    <row r="14">
      <c r="A14" s="3"/>
      <c r="B14" s="53" t="s">
        <v>85</v>
      </c>
      <c r="C14" s="64" t="s">
        <v>83</v>
      </c>
      <c r="D14" s="64" t="s">
        <v>83</v>
      </c>
      <c r="E14" s="64" t="s">
        <v>83</v>
      </c>
      <c r="F14" s="64" t="s">
        <v>83</v>
      </c>
      <c r="G14" s="64" t="s">
        <v>83</v>
      </c>
      <c r="H14" s="76" t="s">
        <v>83</v>
      </c>
      <c r="I14" s="39" t="s">
        <v>86</v>
      </c>
    </row>
    <row r="15">
      <c r="A15" s="3"/>
      <c r="B15" s="53" t="s">
        <v>87</v>
      </c>
      <c r="C15" s="64" t="s">
        <v>83</v>
      </c>
      <c r="D15" s="64" t="s">
        <v>83</v>
      </c>
      <c r="E15" s="64" t="s">
        <v>83</v>
      </c>
      <c r="F15" s="64" t="s">
        <v>83</v>
      </c>
      <c r="G15" s="64" t="s">
        <v>83</v>
      </c>
      <c r="H15" s="76" t="s">
        <v>83</v>
      </c>
      <c r="I15" s="39" t="s">
        <v>88</v>
      </c>
    </row>
    <row r="16">
      <c r="A16" s="3"/>
      <c r="B16" s="38" t="s">
        <v>89</v>
      </c>
      <c r="C16" s="62">
        <v>74</v>
      </c>
      <c r="D16" s="62">
        <v>69</v>
      </c>
      <c r="E16" s="43">
        <f>C16+D16+Inputs!C190+Inputs!D190</f>
        <v>255</v>
      </c>
      <c r="F16" s="62">
        <v>64</v>
      </c>
      <c r="G16" s="62">
        <v>58</v>
      </c>
      <c r="H16" s="73">
        <f>G16+('Revenue summary'!H69-'Revenue summary'!G69)+('Revenue summary'!H76-'Revenue summary'!G76)</f>
        <v>57.934</v>
      </c>
      <c r="I16" s="39"/>
    </row>
    <row r="17">
      <c r="A17" s="3"/>
      <c r="B17" s="53" t="s">
        <v>79</v>
      </c>
      <c r="C17" s="12"/>
      <c r="D17" s="12"/>
      <c r="E17" s="12"/>
      <c r="F17" s="47">
        <f>F16/Inputs!C190-1</f>
        <v>0.0847457627118644</v>
      </c>
      <c r="G17" s="47">
        <f>G16/Inputs!D190-1</f>
        <v>0.09433962264150941</v>
      </c>
      <c r="H17" s="67">
        <f>H16/C16-1</f>
        <v>-0.2171081081081081</v>
      </c>
      <c r="I17" s="39"/>
    </row>
    <row r="18">
      <c r="A18" s="3"/>
      <c r="B18" s="53" t="s">
        <v>80</v>
      </c>
      <c r="C18" s="12"/>
      <c r="D18" s="12">
        <f>D16/C16-1</f>
        <v>-0.06756756756756754</v>
      </c>
      <c r="E18" s="12"/>
      <c r="F18" s="12">
        <f>F16/D16-1</f>
        <v>-0.07246376811594202</v>
      </c>
      <c r="G18" s="12">
        <f>G16/F16-1</f>
        <v>-0.09375</v>
      </c>
      <c r="H18" s="67">
        <f>H16/G16-1</f>
        <v>-0.0011379310344827864</v>
      </c>
      <c r="I18" s="39"/>
    </row>
    <row r="19">
      <c r="A19" s="3"/>
      <c r="B19" s="53" t="s">
        <v>81</v>
      </c>
      <c r="C19" s="12"/>
      <c r="D19" s="12"/>
      <c r="E19" s="12"/>
      <c r="F19" s="12">
        <f>F17</f>
        <v>0.0847457627118644</v>
      </c>
      <c r="G19" s="12">
        <f>G17</f>
        <v>0.09433962264150941</v>
      </c>
      <c r="H19" s="67">
        <f>H17</f>
        <v>-0.2171081081081081</v>
      </c>
      <c r="I19" s="39"/>
    </row>
    <row r="20">
      <c r="A20" s="3"/>
      <c r="B20" s="53" t="s">
        <v>82</v>
      </c>
      <c r="C20" s="64" t="s">
        <v>83</v>
      </c>
      <c r="D20" s="64" t="s">
        <v>83</v>
      </c>
      <c r="E20" s="64" t="s">
        <v>83</v>
      </c>
      <c r="F20" s="64" t="s">
        <v>83</v>
      </c>
      <c r="G20" s="64" t="s">
        <v>83</v>
      </c>
      <c r="H20" s="76" t="s">
        <v>83</v>
      </c>
      <c r="I20" s="39" t="s">
        <v>84</v>
      </c>
    </row>
    <row r="21">
      <c r="A21" s="3"/>
      <c r="B21" s="53" t="s">
        <v>85</v>
      </c>
      <c r="C21" s="64" t="s">
        <v>83</v>
      </c>
      <c r="D21" s="64" t="s">
        <v>83</v>
      </c>
      <c r="E21" s="64" t="s">
        <v>83</v>
      </c>
      <c r="F21" s="64" t="s">
        <v>83</v>
      </c>
      <c r="G21" s="64" t="s">
        <v>83</v>
      </c>
      <c r="H21" s="76" t="s">
        <v>83</v>
      </c>
      <c r="I21" s="39" t="s">
        <v>86</v>
      </c>
    </row>
    <row r="22">
      <c r="A22" s="3"/>
      <c r="B22" s="53" t="s">
        <v>87</v>
      </c>
      <c r="C22" s="64" t="s">
        <v>83</v>
      </c>
      <c r="D22" s="64" t="s">
        <v>83</v>
      </c>
      <c r="E22" s="64" t="s">
        <v>83</v>
      </c>
      <c r="F22" s="64" t="s">
        <v>83</v>
      </c>
      <c r="G22" s="64" t="s">
        <v>83</v>
      </c>
      <c r="H22" s="76" t="s">
        <v>83</v>
      </c>
      <c r="I22" s="39" t="s">
        <v>88</v>
      </c>
    </row>
    <row r="23">
      <c r="A23" s="3"/>
      <c r="B23" s="71" t="s">
        <v>122</v>
      </c>
      <c r="C23" s="66">
        <f>C123-(C9+C16)</f>
        <v>0</v>
      </c>
      <c r="D23" s="66">
        <f>D123-(D9+D16)</f>
        <v>0</v>
      </c>
      <c r="E23" s="66">
        <f>E24-(E9+E16)</f>
        <v>1</v>
      </c>
      <c r="F23" s="66">
        <f>F123-(F9+F16)</f>
        <v>0</v>
      </c>
      <c r="G23" s="66">
        <f>G123-(G9+G16)</f>
        <v>0</v>
      </c>
      <c r="H23" s="75">
        <v>0</v>
      </c>
      <c r="I23" s="39" t="s">
        <v>123</v>
      </c>
    </row>
    <row r="24">
      <c r="A24" s="3"/>
      <c r="B24" s="56" t="s">
        <v>221</v>
      </c>
      <c r="C24" s="45">
        <f>C9+C16+C23</f>
        <v>134</v>
      </c>
      <c r="D24" s="45">
        <f>D9+D16+D23</f>
        <v>135</v>
      </c>
      <c r="E24" s="83">
        <f>C24+D24+Inputs!C191+Inputs!D191</f>
        <v>489</v>
      </c>
      <c r="F24" s="45">
        <f>F9+F16+F23</f>
        <v>126</v>
      </c>
      <c r="G24" s="45">
        <f>G9+G16+G23</f>
        <v>125</v>
      </c>
      <c r="H24" s="68">
        <f>H9+H16+H23</f>
        <v>126.99701369863014</v>
      </c>
      <c r="I24" s="39"/>
    </row>
    <row r="25">
      <c r="A25" s="3"/>
      <c r="B25" s="71" t="s">
        <v>79</v>
      </c>
      <c r="C25" s="12"/>
      <c r="D25" s="12"/>
      <c r="E25" s="12"/>
      <c r="F25" s="47">
        <f>F24/Inputs!C191-1</f>
        <v>0.15596330275229353</v>
      </c>
      <c r="G25" s="47">
        <f>G24/Inputs!D191-1</f>
        <v>0.12612612612612617</v>
      </c>
      <c r="H25" s="67">
        <f>H24/C24-1</f>
        <v>-0.05226109180126759</v>
      </c>
      <c r="I25" s="39"/>
    </row>
    <row r="26">
      <c r="A26" s="3"/>
      <c r="B26" s="71" t="s">
        <v>80</v>
      </c>
      <c r="C26" s="12"/>
      <c r="D26" s="12">
        <f>D24/C24-1</f>
        <v>0.00746268656716409</v>
      </c>
      <c r="E26" s="12"/>
      <c r="F26" s="12">
        <f>F24/D24-1</f>
        <v>-0.06666666666666665</v>
      </c>
      <c r="G26" s="12">
        <f>G24/F24-1</f>
        <v>-0.007936507936507908</v>
      </c>
      <c r="H26" s="67">
        <f>H24/G24-1</f>
        <v>0.015976109589041165</v>
      </c>
      <c r="I26" s="39"/>
    </row>
    <row r="27">
      <c r="A27" s="3"/>
      <c r="B27" s="71" t="s">
        <v>222</v>
      </c>
      <c r="C27" s="47">
        <f>C24/'Revenue summary'!C31</f>
        <v>0.15073115860517436</v>
      </c>
      <c r="D27" s="47">
        <f>D24/'Revenue summary'!D31</f>
        <v>0.15202702702702703</v>
      </c>
      <c r="E27" s="47">
        <f>E24/'Revenue summary'!E31</f>
        <v>0.14302427610412402</v>
      </c>
      <c r="F27" s="47">
        <f>F24/'Revenue summary'!F31</f>
        <v>0.14617169373549885</v>
      </c>
      <c r="G27" s="47">
        <f>G24/'Revenue summary'!G31</f>
        <v>0.14092446448703494</v>
      </c>
      <c r="H27" s="87">
        <f>H24/'Revenue summary'!H31</f>
        <v>0.14336384111733713</v>
      </c>
      <c r="I27" s="39"/>
    </row>
    <row r="28">
      <c r="A28" s="3"/>
      <c r="B28" s="71" t="s">
        <v>81</v>
      </c>
      <c r="C28" s="12"/>
      <c r="D28" s="12"/>
      <c r="E28" s="12"/>
      <c r="F28" s="12">
        <f>F25</f>
        <v>0.15596330275229353</v>
      </c>
      <c r="G28" s="12">
        <f>G25</f>
        <v>0.12612612612612617</v>
      </c>
      <c r="H28" s="67">
        <f>H25</f>
        <v>-0.05226109180126759</v>
      </c>
      <c r="I28" s="39"/>
    </row>
    <row r="29">
      <c r="A29" s="3"/>
      <c r="B29" s="71" t="s">
        <v>82</v>
      </c>
      <c r="C29" s="64" t="s">
        <v>83</v>
      </c>
      <c r="D29" s="64" t="s">
        <v>83</v>
      </c>
      <c r="E29" s="64" t="s">
        <v>83</v>
      </c>
      <c r="F29" s="64" t="s">
        <v>83</v>
      </c>
      <c r="G29" s="64" t="s">
        <v>83</v>
      </c>
      <c r="H29" s="76" t="s">
        <v>83</v>
      </c>
      <c r="I29" s="39" t="s">
        <v>84</v>
      </c>
    </row>
    <row r="30">
      <c r="A30" s="3"/>
      <c r="B30" s="71" t="s">
        <v>85</v>
      </c>
      <c r="C30" s="64" t="s">
        <v>83</v>
      </c>
      <c r="D30" s="64" t="s">
        <v>83</v>
      </c>
      <c r="E30" s="64" t="s">
        <v>83</v>
      </c>
      <c r="F30" s="64" t="s">
        <v>83</v>
      </c>
      <c r="G30" s="64" t="s">
        <v>83</v>
      </c>
      <c r="H30" s="76" t="s">
        <v>83</v>
      </c>
      <c r="I30" s="39" t="s">
        <v>86</v>
      </c>
    </row>
    <row r="31">
      <c r="A31" s="3"/>
      <c r="B31" s="71" t="s">
        <v>87</v>
      </c>
      <c r="C31" s="64" t="s">
        <v>83</v>
      </c>
      <c r="D31" s="64" t="s">
        <v>83</v>
      </c>
      <c r="E31" s="64" t="s">
        <v>83</v>
      </c>
      <c r="F31" s="64" t="s">
        <v>83</v>
      </c>
      <c r="G31" s="64" t="s">
        <v>83</v>
      </c>
      <c r="H31" s="76" t="s">
        <v>83</v>
      </c>
      <c r="I31" s="39" t="s">
        <v>88</v>
      </c>
    </row>
    <row r="32" ht="26.25">
      <c r="A32" s="3"/>
      <c r="B32" s="38" t="s">
        <v>223</v>
      </c>
      <c r="C32" s="62">
        <v>83</v>
      </c>
      <c r="D32" s="62">
        <v>85</v>
      </c>
      <c r="E32" s="43">
        <f>C32+D32+Inputs!C192+Inputs!D192</f>
        <v>318</v>
      </c>
      <c r="F32" s="62">
        <v>83</v>
      </c>
      <c r="G32" s="62">
        <v>79</v>
      </c>
      <c r="H32" s="73">
        <f>G32+H112*('Revenue summary'!H69-'Revenue summary'!G69)</f>
        <v>79.5604</v>
      </c>
      <c r="I32" s="149" t="s">
        <v>268</v>
      </c>
    </row>
    <row r="33">
      <c r="A33" s="3"/>
      <c r="B33" s="53" t="s">
        <v>79</v>
      </c>
      <c r="C33" s="12"/>
      <c r="D33" s="12"/>
      <c r="E33" s="12"/>
      <c r="F33" s="47">
        <f>F32/Inputs!C192-1</f>
        <v>0.10666666666666669</v>
      </c>
      <c r="G33" s="47">
        <f>G32/Inputs!D192-1</f>
        <v>0.05333333333333323</v>
      </c>
      <c r="H33" s="67">
        <f>H32/C32-1</f>
        <v>-0.04144096385542162</v>
      </c>
      <c r="I33" s="39"/>
    </row>
    <row r="34">
      <c r="A34" s="3"/>
      <c r="B34" s="53" t="s">
        <v>80</v>
      </c>
      <c r="C34" s="12"/>
      <c r="D34" s="12">
        <f>D32/C32-1</f>
        <v>0.024096385542168752</v>
      </c>
      <c r="E34" s="12"/>
      <c r="F34" s="12">
        <f>F32/D32-1</f>
        <v>-0.02352941176470591</v>
      </c>
      <c r="G34" s="12">
        <f>G32/F32-1</f>
        <v>-0.048192771084337394</v>
      </c>
      <c r="H34" s="67">
        <f>H32/G32-1</f>
        <v>0.007093670886076042</v>
      </c>
      <c r="I34" s="39"/>
    </row>
    <row r="35">
      <c r="A35" s="3"/>
      <c r="B35" s="71" t="s">
        <v>122</v>
      </c>
      <c r="C35" s="66">
        <f>C124-(C24-C32)</f>
        <v>1</v>
      </c>
      <c r="D35" s="66">
        <f>D124-(D24-D32)</f>
        <v>0</v>
      </c>
      <c r="E35" s="66">
        <f>E36-(E24-E32)</f>
        <v>1</v>
      </c>
      <c r="F35" s="66">
        <f>F124-(F24-F32)</f>
        <v>0</v>
      </c>
      <c r="G35" s="66">
        <f>G124-(G24-G32)</f>
        <v>0</v>
      </c>
      <c r="H35" s="75">
        <v>0</v>
      </c>
      <c r="I35" s="39" t="s">
        <v>123</v>
      </c>
    </row>
    <row r="36">
      <c r="A36" s="3"/>
      <c r="B36" s="56" t="s">
        <v>224</v>
      </c>
      <c r="C36" s="45">
        <f>C24-C32+C35</f>
        <v>52</v>
      </c>
      <c r="D36" s="45">
        <f>D24-D32+D35</f>
        <v>50</v>
      </c>
      <c r="E36" s="83">
        <f>C36+D36+Inputs!C193+Inputs!D193</f>
        <v>172</v>
      </c>
      <c r="F36" s="45">
        <f>F24-F32+F35</f>
        <v>43</v>
      </c>
      <c r="G36" s="45">
        <f>G24-G32+G35</f>
        <v>46</v>
      </c>
      <c r="H36" s="68">
        <f>H24-H32+H35</f>
        <v>47.43661369863014</v>
      </c>
      <c r="I36" s="39"/>
    </row>
    <row r="37">
      <c r="A37" s="3"/>
      <c r="B37" s="38" t="s">
        <v>225</v>
      </c>
      <c r="C37" s="62">
        <v>-1</v>
      </c>
      <c r="D37" s="62">
        <v>3</v>
      </c>
      <c r="E37" s="43">
        <f>C37+D37+Inputs!C194+Inputs!D194</f>
        <v>11</v>
      </c>
      <c r="F37" s="62">
        <v>9</v>
      </c>
      <c r="G37" s="62">
        <v>23</v>
      </c>
      <c r="H37" s="40">
        <v>8</v>
      </c>
      <c r="I37" s="39"/>
    </row>
    <row r="38">
      <c r="A38" s="3"/>
      <c r="B38" s="48" t="s">
        <v>131</v>
      </c>
      <c r="C38" s="18"/>
      <c r="D38" s="18"/>
      <c r="E38" s="18"/>
      <c r="F38" s="43">
        <f>(F37-Inputs!C194)</f>
        <v>6</v>
      </c>
      <c r="G38" s="43">
        <f>(G37-Inputs!D194)</f>
        <v>17</v>
      </c>
      <c r="H38" s="46">
        <f>(H37-C37)</f>
        <v>9</v>
      </c>
      <c r="I38" s="39"/>
    </row>
    <row r="39">
      <c r="A39" s="3"/>
      <c r="B39" s="48" t="s">
        <v>108</v>
      </c>
      <c r="C39" s="18"/>
      <c r="D39" s="18">
        <f>(D37-C37)</f>
        <v>4</v>
      </c>
      <c r="E39" s="18"/>
      <c r="F39" s="18">
        <f>(F37-D37)</f>
        <v>6</v>
      </c>
      <c r="G39" s="18">
        <f>(G37-F37)</f>
        <v>14</v>
      </c>
      <c r="H39" s="46">
        <f>(H37-G37)</f>
        <v>-15</v>
      </c>
      <c r="I39" s="39"/>
    </row>
    <row r="40">
      <c r="A40" s="3"/>
      <c r="B40" s="71" t="s">
        <v>122</v>
      </c>
      <c r="C40" s="66">
        <f>C125-(C36-C37)</f>
        <v>-1</v>
      </c>
      <c r="D40" s="66">
        <f>D125-(D36-D37)</f>
        <v>0</v>
      </c>
      <c r="E40" s="66">
        <f>E41-(E36-E37)</f>
        <v>-1</v>
      </c>
      <c r="F40" s="66">
        <f>F125-(F36-F37)</f>
        <v>0</v>
      </c>
      <c r="G40" s="66">
        <f>G125-(G36-G37)</f>
        <v>0</v>
      </c>
      <c r="H40" s="75">
        <v>0</v>
      </c>
      <c r="I40" s="39" t="s">
        <v>123</v>
      </c>
    </row>
    <row r="41">
      <c r="A41" s="3"/>
      <c r="B41" s="56" t="s">
        <v>226</v>
      </c>
      <c r="C41" s="45">
        <f>C36-C37+C40</f>
        <v>52</v>
      </c>
      <c r="D41" s="45">
        <f>D36-D37+D40</f>
        <v>47</v>
      </c>
      <c r="E41" s="83">
        <f>C41+D41+Inputs!C195+Inputs!D195</f>
        <v>160</v>
      </c>
      <c r="F41" s="45">
        <f>F36-F37+F40</f>
        <v>34</v>
      </c>
      <c r="G41" s="45">
        <f>G36-G37+G40</f>
        <v>23</v>
      </c>
      <c r="H41" s="68">
        <f>H36-H37+H40</f>
        <v>39.43661369863014</v>
      </c>
      <c r="I41" s="39"/>
    </row>
    <row r="42">
      <c r="A42" s="3"/>
      <c r="B42" s="38" t="s">
        <v>227</v>
      </c>
      <c r="C42" s="62">
        <v>13</v>
      </c>
      <c r="D42" s="62">
        <v>11</v>
      </c>
      <c r="E42" s="43">
        <f>C42+D42+Inputs!C196+Inputs!D196</f>
        <v>38</v>
      </c>
      <c r="F42" s="62">
        <v>8</v>
      </c>
      <c r="G42" s="62">
        <v>6</v>
      </c>
      <c r="H42" s="46">
        <f>H41*H55</f>
        <v>9.464787287671234</v>
      </c>
      <c r="I42" s="39"/>
    </row>
    <row r="43">
      <c r="A43" s="3"/>
      <c r="B43" s="71" t="s">
        <v>122</v>
      </c>
      <c r="C43" s="66">
        <f>C126-(C41-C42)</f>
        <v>1</v>
      </c>
      <c r="D43" s="66">
        <f>D126-(D41-D42)</f>
        <v>0</v>
      </c>
      <c r="E43" s="66">
        <f>E44-(E41-E42)</f>
        <v>0</v>
      </c>
      <c r="F43" s="66">
        <f>F126-(F41-F42)</f>
        <v>0</v>
      </c>
      <c r="G43" s="66">
        <f>G126-(G41-G42)</f>
        <v>1</v>
      </c>
      <c r="H43" s="75">
        <v>0</v>
      </c>
      <c r="I43" s="39" t="s">
        <v>123</v>
      </c>
    </row>
    <row r="44">
      <c r="A44" s="3"/>
      <c r="B44" s="56" t="s">
        <v>228</v>
      </c>
      <c r="C44" s="45">
        <f>C41-C42+C43</f>
        <v>40</v>
      </c>
      <c r="D44" s="45">
        <f>D41-D42+D43</f>
        <v>36</v>
      </c>
      <c r="E44" s="83">
        <f>C44+D44+Inputs!C197+Inputs!D197</f>
        <v>122</v>
      </c>
      <c r="F44" s="45">
        <f>F41-F42+F43</f>
        <v>26</v>
      </c>
      <c r="G44" s="45">
        <f>G41-G42+G43</f>
        <v>18</v>
      </c>
      <c r="H44" s="68">
        <f>H41-H42+H43</f>
        <v>29.971826410958904</v>
      </c>
      <c r="I44" s="39"/>
    </row>
    <row r="45">
      <c r="A45" s="3"/>
      <c r="B45" s="71" t="s">
        <v>79</v>
      </c>
      <c r="C45" s="12"/>
      <c r="D45" s="12"/>
      <c r="E45" s="12"/>
      <c r="F45" s="47">
        <f>F44/Inputs!C197-1</f>
        <v>0.13043478260869557</v>
      </c>
      <c r="G45" s="47">
        <f>G44/Inputs!D197-1</f>
        <v>-0.21739130434782605</v>
      </c>
      <c r="H45" s="67">
        <f>H44/C44-1</f>
        <v>-0.25070433972602735</v>
      </c>
      <c r="I45" s="39"/>
    </row>
    <row r="46">
      <c r="A46" s="3"/>
      <c r="B46" s="71" t="s">
        <v>80</v>
      </c>
      <c r="C46" s="12"/>
      <c r="D46" s="12">
        <f>D44/C44-1</f>
        <v>-0.09999999999999998</v>
      </c>
      <c r="E46" s="12"/>
      <c r="F46" s="12">
        <f>F44/D44-1</f>
        <v>-0.2777777777777778</v>
      </c>
      <c r="G46" s="12">
        <f>G44/F44-1</f>
        <v>-0.3076923076923077</v>
      </c>
      <c r="H46" s="67">
        <f>H44/G44-1</f>
        <v>0.6651014672754947</v>
      </c>
      <c r="I46" s="39"/>
    </row>
    <row r="47">
      <c r="A47" s="3"/>
      <c r="B47" s="3"/>
      <c r="C47" s="10"/>
      <c r="D47" s="10"/>
      <c r="E47" s="10"/>
      <c r="F47" s="10"/>
      <c r="G47" s="10"/>
      <c r="H47" s="50"/>
      <c r="I47" s="39"/>
    </row>
    <row r="48">
      <c r="A48" s="3"/>
      <c r="B48" s="56" t="s">
        <v>229</v>
      </c>
      <c r="C48" s="10"/>
      <c r="D48" s="10"/>
      <c r="E48" s="10"/>
      <c r="F48" s="10"/>
      <c r="G48" s="10"/>
      <c r="H48" s="50"/>
      <c r="I48" s="39"/>
    </row>
    <row r="49">
      <c r="A49" s="3"/>
      <c r="B49" s="71" t="s">
        <v>230</v>
      </c>
      <c r="C49" s="12">
        <f>C32/C24</f>
        <v>0.6194029850746269</v>
      </c>
      <c r="D49" s="12">
        <f>D32/D24</f>
        <v>0.6296296296296297</v>
      </c>
      <c r="E49" s="12">
        <f>E32/E24</f>
        <v>0.6503067484662577</v>
      </c>
      <c r="F49" s="12">
        <f>F32/F24</f>
        <v>0.6587301587301587</v>
      </c>
      <c r="G49" s="12">
        <f>G32/G24</f>
        <v>0.632</v>
      </c>
      <c r="H49" s="67">
        <f>H32/H24</f>
        <v>0.6264745735580882</v>
      </c>
      <c r="I49" s="39"/>
    </row>
    <row r="50">
      <c r="A50" s="3"/>
      <c r="B50" s="48" t="s">
        <v>154</v>
      </c>
      <c r="C50" s="31"/>
      <c r="D50" s="31">
        <f>(D49-C49)*10000</f>
        <v>102.26644555002773</v>
      </c>
      <c r="E50" s="31"/>
      <c r="F50" s="31">
        <f>(F49-D49)*10000</f>
        <v>291.0052910052907</v>
      </c>
      <c r="G50" s="31">
        <f>(G49-F49)*10000</f>
        <v>-267.3015873015872</v>
      </c>
      <c r="H50" s="88">
        <f>(H49-G49)*10000</f>
        <v>-55.254264419117845</v>
      </c>
      <c r="I50" s="39"/>
    </row>
    <row r="51">
      <c r="A51" s="3"/>
      <c r="B51" s="48" t="s">
        <v>153</v>
      </c>
      <c r="C51" s="31"/>
      <c r="D51" s="31"/>
      <c r="E51" s="31"/>
      <c r="F51" s="60">
        <f>(F49-(Inputs!C192/Inputs!C191))*10000</f>
        <v>-293.43235765254104</v>
      </c>
      <c r="G51" s="60">
        <f>(G49-(Inputs!D192/Inputs!D191))*10000</f>
        <v>-436.7567567567565</v>
      </c>
      <c r="H51" s="88">
        <f>(H49-C49)*10000</f>
        <v>70.71588483461343</v>
      </c>
      <c r="I51" s="39"/>
    </row>
    <row r="52">
      <c r="A52" s="3"/>
      <c r="B52" s="71" t="s">
        <v>231</v>
      </c>
      <c r="C52" s="12">
        <f>C41/C24</f>
        <v>0.3880597014925373</v>
      </c>
      <c r="D52" s="12">
        <f>D41/D24</f>
        <v>0.34814814814814815</v>
      </c>
      <c r="E52" s="12">
        <f>E41/E24</f>
        <v>0.32719836400818</v>
      </c>
      <c r="F52" s="12">
        <f>F41/F24</f>
        <v>0.2698412698412698</v>
      </c>
      <c r="G52" s="12">
        <f>G41/G24</f>
        <v>0.184</v>
      </c>
      <c r="H52" s="67">
        <f>H41/H24</f>
        <v>0.31053181921438777</v>
      </c>
      <c r="I52" s="39"/>
    </row>
    <row r="53">
      <c r="A53" s="3"/>
      <c r="B53" s="48" t="s">
        <v>154</v>
      </c>
      <c r="C53" s="31"/>
      <c r="D53" s="31">
        <f>(D52-C52)*10000</f>
        <v>-399.1155334438917</v>
      </c>
      <c r="E53" s="31"/>
      <c r="F53" s="31">
        <f>(F52-D52)*10000</f>
        <v>-783.0687830687832</v>
      </c>
      <c r="G53" s="31">
        <f>(G52-F52)*10000</f>
        <v>-858.4126984126983</v>
      </c>
      <c r="H53" s="88">
        <f>(H52-G52)*10000</f>
        <v>1265.3181921438777</v>
      </c>
      <c r="I53" s="39"/>
    </row>
    <row r="54">
      <c r="A54" s="3"/>
      <c r="B54" s="48" t="s">
        <v>153</v>
      </c>
      <c r="C54" s="31"/>
      <c r="D54" s="31"/>
      <c r="E54" s="31"/>
      <c r="F54" s="60">
        <f>(F52-(Inputs!C195/Inputs!C191))*10000</f>
        <v>-145.6239988350083</v>
      </c>
      <c r="G54" s="60">
        <f>(G52-(Inputs!D195/Inputs!D191))*10000</f>
        <v>-862.7027027027029</v>
      </c>
      <c r="H54" s="88">
        <f>(H52-C52)*10000</f>
        <v>-775.2788227814955</v>
      </c>
      <c r="I54" s="39"/>
    </row>
    <row r="55">
      <c r="A55" s="3"/>
      <c r="B55" s="71" t="s">
        <v>232</v>
      </c>
      <c r="C55" s="12">
        <f>C42/C41</f>
        <v>0.25</v>
      </c>
      <c r="D55" s="12">
        <f>D42/D41</f>
        <v>0.23404255319148937</v>
      </c>
      <c r="E55" s="12">
        <f>E42/E41</f>
        <v>0.2375</v>
      </c>
      <c r="F55" s="12">
        <f>F42/F41</f>
        <v>0.23529411764705882</v>
      </c>
      <c r="G55" s="12">
        <f>G42/G41</f>
        <v>0.2608695652173913</v>
      </c>
      <c r="H55" s="90">
        <v>0.24</v>
      </c>
      <c r="I55" s="39" t="s">
        <v>233</v>
      </c>
    </row>
    <row r="56">
      <c r="A56" s="3"/>
      <c r="B56" s="48" t="s">
        <v>154</v>
      </c>
      <c r="C56" s="31"/>
      <c r="D56" s="31">
        <f>(D55-C55)*10000</f>
        <v>-159.57446808510633</v>
      </c>
      <c r="E56" s="31"/>
      <c r="F56" s="31">
        <f>(F55-D55)*10000</f>
        <v>12.51564455569454</v>
      </c>
      <c r="G56" s="31">
        <f>(G55-F55)*10000</f>
        <v>255.75447570332477</v>
      </c>
      <c r="H56" s="88">
        <f>(H55-G55)*10000</f>
        <v>-208.69565217391306</v>
      </c>
      <c r="I56" s="39"/>
    </row>
    <row r="57">
      <c r="A57" s="3"/>
      <c r="B57" s="48" t="s">
        <v>153</v>
      </c>
      <c r="C57" s="31"/>
      <c r="D57" s="31"/>
      <c r="E57" s="31"/>
      <c r="F57" s="60">
        <f>(F55-(Inputs!C196/Inputs!C195))*10000</f>
        <v>94.876660341556</v>
      </c>
      <c r="G57" s="60">
        <f>(G55-(Inputs!D196/Inputs!D195))*10000</f>
        <v>275.3623188405796</v>
      </c>
      <c r="H57" s="88">
        <f>(H55-C55)*10000</f>
        <v>-100.00000000000009</v>
      </c>
      <c r="I57" s="39"/>
    </row>
    <row r="58">
      <c r="A58" s="3"/>
      <c r="B58" s="3"/>
      <c r="C58" s="10"/>
      <c r="D58" s="10"/>
      <c r="E58" s="10"/>
      <c r="F58" s="10"/>
      <c r="G58" s="10"/>
      <c r="H58" s="50"/>
      <c r="I58" s="39"/>
    </row>
    <row r="59">
      <c r="A59" s="3"/>
      <c r="B59" s="56" t="s">
        <v>234</v>
      </c>
      <c r="C59" s="10"/>
      <c r="D59" s="10"/>
      <c r="E59" s="10"/>
      <c r="F59" s="10"/>
      <c r="G59" s="10"/>
      <c r="H59" s="50"/>
      <c r="I59" s="39"/>
    </row>
    <row r="60">
      <c r="A60" s="3"/>
      <c r="B60" s="38" t="s">
        <v>235</v>
      </c>
      <c r="C60" s="62">
        <v>6</v>
      </c>
      <c r="D60" s="62">
        <v>6.5</v>
      </c>
      <c r="E60" s="18" t="s">
        <v>236</v>
      </c>
      <c r="F60" s="62">
        <v>6.3</v>
      </c>
      <c r="G60" s="62">
        <v>7</v>
      </c>
      <c r="H60" s="40">
        <v>7.2</v>
      </c>
      <c r="I60" s="39" t="s">
        <v>237</v>
      </c>
    </row>
    <row r="61">
      <c r="A61" s="3"/>
      <c r="B61" s="48" t="s">
        <v>238</v>
      </c>
      <c r="C61" s="18"/>
      <c r="D61" s="18"/>
      <c r="E61" s="18"/>
      <c r="F61" s="43">
        <f>(F60-Inputs!C198)</f>
        <v>1.2999999999999998</v>
      </c>
      <c r="G61" s="43">
        <f>(G60-Inputs!D198)</f>
        <v>1.2000000000000002</v>
      </c>
      <c r="H61" s="46">
        <f>(H60-C60)</f>
        <v>1.2000000000000002</v>
      </c>
      <c r="I61" s="39"/>
    </row>
    <row r="62">
      <c r="A62" s="3"/>
      <c r="B62" s="48" t="s">
        <v>239</v>
      </c>
      <c r="C62" s="18"/>
      <c r="D62" s="18">
        <f>(D60-C60)</f>
        <v>0.5</v>
      </c>
      <c r="E62" s="18"/>
      <c r="F62" s="18">
        <f>(F60-D60)</f>
        <v>-0.20000000000000018</v>
      </c>
      <c r="G62" s="18">
        <f>(G60-F60)</f>
        <v>0.7000000000000002</v>
      </c>
      <c r="H62" s="46">
        <f>(H60-G60)</f>
        <v>0.20000000000000018</v>
      </c>
      <c r="I62" s="39"/>
    </row>
    <row r="63">
      <c r="A63" s="3"/>
      <c r="B63" s="38" t="s">
        <v>240</v>
      </c>
      <c r="C63" s="62">
        <v>8.7</v>
      </c>
      <c r="D63" s="62">
        <v>9.6</v>
      </c>
      <c r="E63" s="18" t="s">
        <v>236</v>
      </c>
      <c r="F63" s="62">
        <v>9.4</v>
      </c>
      <c r="G63" s="62">
        <v>9.9</v>
      </c>
      <c r="H63" s="40">
        <v>10</v>
      </c>
      <c r="I63" s="39"/>
    </row>
    <row r="64">
      <c r="A64" s="3"/>
      <c r="B64" s="48" t="s">
        <v>238</v>
      </c>
      <c r="C64" s="18"/>
      <c r="D64" s="18"/>
      <c r="E64" s="18"/>
      <c r="F64" s="43">
        <f>(F63-Inputs!C199)</f>
        <v>1.6000000000000005</v>
      </c>
      <c r="G64" s="43">
        <f>(G63-Inputs!D199)</f>
        <v>1.3000000000000007</v>
      </c>
      <c r="H64" s="46">
        <f>(H63-C63)</f>
        <v>1.3000000000000007</v>
      </c>
      <c r="I64" s="39"/>
    </row>
    <row r="65">
      <c r="A65" s="3"/>
      <c r="B65" s="48" t="s">
        <v>239</v>
      </c>
      <c r="C65" s="18"/>
      <c r="D65" s="18">
        <f>(D63-C63)</f>
        <v>0.9000000000000004</v>
      </c>
      <c r="E65" s="18"/>
      <c r="F65" s="18">
        <f>(F63-D63)</f>
        <v>-0.1999999999999993</v>
      </c>
      <c r="G65" s="18">
        <f>(G63-F63)</f>
        <v>0.5</v>
      </c>
      <c r="H65" s="46">
        <f>(H63-G63)</f>
        <v>0.09999999999999964</v>
      </c>
      <c r="I65" s="39"/>
    </row>
    <row r="66">
      <c r="A66" s="3"/>
      <c r="B66" s="38" t="s">
        <v>241</v>
      </c>
      <c r="C66" s="62">
        <v>9.4</v>
      </c>
      <c r="D66" s="62">
        <v>10.3</v>
      </c>
      <c r="E66" s="18" t="s">
        <v>236</v>
      </c>
      <c r="F66" s="62">
        <v>10.1</v>
      </c>
      <c r="G66" s="62">
        <v>10.5</v>
      </c>
      <c r="H66" s="40">
        <v>10.6</v>
      </c>
      <c r="I66" s="39"/>
    </row>
    <row r="67">
      <c r="A67" s="3"/>
      <c r="B67" s="48" t="s">
        <v>238</v>
      </c>
      <c r="C67" s="18"/>
      <c r="D67" s="18"/>
      <c r="E67" s="18"/>
      <c r="F67" s="43">
        <f>(F66-Inputs!C200)</f>
        <v>1.5999999999999996</v>
      </c>
      <c r="G67" s="43">
        <f>(G66-Inputs!D200)</f>
        <v>1.1999999999999993</v>
      </c>
      <c r="H67" s="46">
        <f>(H66-C66)</f>
        <v>1.1999999999999993</v>
      </c>
      <c r="I67" s="39"/>
    </row>
    <row r="68">
      <c r="A68" s="3"/>
      <c r="B68" s="48" t="s">
        <v>239</v>
      </c>
      <c r="C68" s="18"/>
      <c r="D68" s="18">
        <f>(D66-C66)</f>
        <v>0.9000000000000004</v>
      </c>
      <c r="E68" s="18"/>
      <c r="F68" s="18">
        <f>(F66-D66)</f>
        <v>-0.20000000000000107</v>
      </c>
      <c r="G68" s="18">
        <f>(G66-F66)</f>
        <v>0.40000000000000036</v>
      </c>
      <c r="H68" s="46">
        <f>(H66-G66)</f>
        <v>0.09999999999999964</v>
      </c>
      <c r="I68" s="39"/>
    </row>
    <row r="69">
      <c r="A69" s="3"/>
      <c r="B69" s="38" t="s">
        <v>242</v>
      </c>
      <c r="C69" s="62">
        <v>2.2</v>
      </c>
      <c r="D69" s="62">
        <v>2.3</v>
      </c>
      <c r="E69" s="18" t="s">
        <v>236</v>
      </c>
      <c r="F69" s="62">
        <v>2.3</v>
      </c>
      <c r="G69" s="62">
        <v>2</v>
      </c>
      <c r="H69" s="40">
        <v>2.1</v>
      </c>
      <c r="I69" s="39"/>
    </row>
    <row r="70">
      <c r="A70" s="3"/>
      <c r="B70" s="48" t="s">
        <v>238</v>
      </c>
      <c r="C70" s="18"/>
      <c r="D70" s="18"/>
      <c r="E70" s="18"/>
      <c r="F70" s="43">
        <f>(F69-Inputs!C201)</f>
        <v>0.2999999999999998</v>
      </c>
      <c r="G70" s="43">
        <f>(G69-Inputs!D201)</f>
        <v>-0.10000000000000009</v>
      </c>
      <c r="H70" s="46">
        <f>(H69-C69)</f>
        <v>-0.10000000000000009</v>
      </c>
      <c r="I70" s="39"/>
    </row>
    <row r="71">
      <c r="A71" s="3"/>
      <c r="B71" s="48" t="s">
        <v>239</v>
      </c>
      <c r="C71" s="18"/>
      <c r="D71" s="18">
        <f>(D69-C69)</f>
        <v>0.09999999999999964</v>
      </c>
      <c r="E71" s="18"/>
      <c r="F71" s="18">
        <f>(F69-D69)</f>
        <v>0</v>
      </c>
      <c r="G71" s="18">
        <f>(G69-F69)</f>
        <v>-0.2999999999999998</v>
      </c>
      <c r="H71" s="46">
        <f>(H69-G69)</f>
        <v>0.10000000000000009</v>
      </c>
      <c r="I71" s="39"/>
    </row>
    <row r="72">
      <c r="A72" s="3"/>
      <c r="B72" s="71" t="s">
        <v>243</v>
      </c>
      <c r="C72" s="161">
        <v>0.0277</v>
      </c>
      <c r="D72" s="161">
        <v>0.0272</v>
      </c>
      <c r="E72" s="162" t="s">
        <v>236</v>
      </c>
      <c r="F72" s="161">
        <v>0.0268</v>
      </c>
      <c r="G72" s="161">
        <v>0.0273</v>
      </c>
      <c r="H72" s="163">
        <v>0.0274</v>
      </c>
      <c r="I72" s="39"/>
    </row>
    <row r="73">
      <c r="A73" s="3"/>
      <c r="B73" s="48" t="s">
        <v>153</v>
      </c>
      <c r="C73" s="31"/>
      <c r="D73" s="31"/>
      <c r="E73" s="31"/>
      <c r="F73" s="60">
        <f>(F72-Inputs!C202)*10000</f>
        <v>9.000000000000014</v>
      </c>
      <c r="G73" s="60">
        <f>(G72-Inputs!D202)*10000</f>
        <v>5.999999999999998</v>
      </c>
      <c r="H73" s="88">
        <f>(H72-C72)*10000</f>
        <v>-2.999999999999982</v>
      </c>
      <c r="I73" s="39"/>
    </row>
    <row r="74">
      <c r="A74" s="3"/>
      <c r="B74" s="48" t="s">
        <v>154</v>
      </c>
      <c r="C74" s="31"/>
      <c r="D74" s="31">
        <f>(D72-C72)*10000</f>
        <v>-5.000000000000004</v>
      </c>
      <c r="E74" s="31"/>
      <c r="F74" s="31">
        <f>(F72-D72)*10000</f>
        <v>-3.999999999999976</v>
      </c>
      <c r="G74" s="31">
        <f>(G72-F72)*10000</f>
        <v>5.000000000000004</v>
      </c>
      <c r="H74" s="88">
        <f>(H72-G72)*10000</f>
        <v>0.999999999999994</v>
      </c>
      <c r="I74" s="39"/>
    </row>
    <row r="75">
      <c r="A75" s="3"/>
      <c r="B75" s="71" t="s">
        <v>203</v>
      </c>
      <c r="C75" s="86">
        <f>C6</f>
        <v>92</v>
      </c>
      <c r="D75" s="86">
        <f>D6</f>
        <v>92</v>
      </c>
      <c r="E75" s="86">
        <f>E6</f>
        <v>365</v>
      </c>
      <c r="F75" s="86">
        <f>F6</f>
        <v>90</v>
      </c>
      <c r="G75" s="86">
        <f>G6</f>
        <v>91</v>
      </c>
      <c r="H75" s="89">
        <f>H6</f>
        <v>92</v>
      </c>
      <c r="I75" s="39"/>
    </row>
    <row r="76">
      <c r="A76" s="3"/>
      <c r="B76" s="38" t="s">
        <v>244</v>
      </c>
      <c r="C76" s="18">
        <f>C63*1000*C72*C75/365</f>
        <v>60.742684931506844</v>
      </c>
      <c r="D76" s="18">
        <f>D63*1000*D72*D75/365</f>
        <v>65.81654794520549</v>
      </c>
      <c r="E76" s="18" t="s">
        <v>236</v>
      </c>
      <c r="F76" s="18">
        <f>F63*1000*F72*F75/365</f>
        <v>62.11726027397261</v>
      </c>
      <c r="G76" s="18">
        <f>G63*1000*G72*G75/365</f>
        <v>67.38238356164385</v>
      </c>
      <c r="H76" s="46">
        <f>H63*1000*H72*H75/365</f>
        <v>69.06301369863014</v>
      </c>
      <c r="I76" s="39" t="s">
        <v>245</v>
      </c>
    </row>
    <row r="77">
      <c r="A77" s="3"/>
      <c r="B77" s="53" t="s">
        <v>246</v>
      </c>
      <c r="C77" s="66">
        <f>C9-C76</f>
        <v>-0.7426849315068438</v>
      </c>
      <c r="D77" s="66">
        <f>D9-D76</f>
        <v>0.18345205479451465</v>
      </c>
      <c r="E77" s="66"/>
      <c r="F77" s="66">
        <f>F9-F76</f>
        <v>-0.11726027397261163</v>
      </c>
      <c r="G77" s="66">
        <f>G9-G76</f>
        <v>-0.3823835616438487</v>
      </c>
      <c r="H77" s="82"/>
      <c r="I77" s="39"/>
    </row>
    <row r="78">
      <c r="A78" s="3"/>
      <c r="B78" s="71" t="s">
        <v>247</v>
      </c>
      <c r="C78" s="12">
        <f>C60/C69</f>
        <v>2.727272727272727</v>
      </c>
      <c r="D78" s="12">
        <f>D60/D69</f>
        <v>2.8260869565217392</v>
      </c>
      <c r="E78" s="12" t="s">
        <v>236</v>
      </c>
      <c r="F78" s="12">
        <f>F60/F69</f>
        <v>2.739130434782609</v>
      </c>
      <c r="G78" s="12">
        <f>G60/G69</f>
        <v>3.5</v>
      </c>
      <c r="H78" s="67">
        <f>H60/H69</f>
        <v>3.4285714285714284</v>
      </c>
      <c r="I78" s="39"/>
    </row>
    <row r="79">
      <c r="A79" s="3"/>
      <c r="B79" s="48" t="s">
        <v>154</v>
      </c>
      <c r="C79" s="31"/>
      <c r="D79" s="31">
        <f>(D78-C78)*10000</f>
        <v>988.1422924901218</v>
      </c>
      <c r="E79" s="31"/>
      <c r="F79" s="31">
        <f>(F78-D78)*10000</f>
        <v>-869.5652173913038</v>
      </c>
      <c r="G79" s="31">
        <f>(G78-F78)*10000</f>
        <v>7608.695652173911</v>
      </c>
      <c r="H79" s="88">
        <f>(H78-G78)*10000</f>
        <v>-714.2857142857162</v>
      </c>
      <c r="I79" s="39"/>
    </row>
    <row r="80">
      <c r="A80" s="3"/>
      <c r="B80" s="48" t="s">
        <v>153</v>
      </c>
      <c r="C80" s="31"/>
      <c r="D80" s="31"/>
      <c r="E80" s="31"/>
      <c r="F80" s="60">
        <f>(F78-(Inputs!C198/Inputs!C201))*10000</f>
        <v>2391.304347826089</v>
      </c>
      <c r="G80" s="60">
        <f>(G78-(Inputs!D198/Inputs!D201))*10000</f>
        <v>7380.952380952382</v>
      </c>
      <c r="H80" s="88">
        <f>(H78-C78)*10000</f>
        <v>7012.987012987013</v>
      </c>
      <c r="I80" s="39"/>
    </row>
    <row r="81">
      <c r="A81" s="3"/>
      <c r="B81" s="71" t="s">
        <v>248</v>
      </c>
      <c r="C81" s="12">
        <f>C44/(C66*1000)*365/C75</f>
        <v>0.016882516188714156</v>
      </c>
      <c r="D81" s="12">
        <f>D44/(D66*1000)*365/D75</f>
        <v>0.013866610384128324</v>
      </c>
      <c r="E81" s="12" t="s">
        <v>236</v>
      </c>
      <c r="F81" s="12">
        <f>F44/(F66*1000)*365/F75</f>
        <v>0.01044004400440044</v>
      </c>
      <c r="G81" s="12">
        <f>G44/(G66*1000)*365/G75</f>
        <v>0.006875981161695447</v>
      </c>
      <c r="H81" s="67">
        <f>H44/(H66*1000)*365/H75</f>
        <v>0.011217921082854798</v>
      </c>
      <c r="I81" s="39"/>
    </row>
    <row r="82">
      <c r="A82" s="3"/>
      <c r="B82" s="48" t="s">
        <v>154</v>
      </c>
      <c r="C82" s="31"/>
      <c r="D82" s="31">
        <f>(D81-C81)*10000</f>
        <v>-30.159058045858313</v>
      </c>
      <c r="E82" s="31"/>
      <c r="F82" s="31">
        <f>(F81-D81)*10000</f>
        <v>-34.26566379727883</v>
      </c>
      <c r="G82" s="31">
        <f>(G81-F81)*10000</f>
        <v>-35.64062842704994</v>
      </c>
      <c r="H82" s="88">
        <f>(H81-G81)*10000</f>
        <v>43.419399211593515</v>
      </c>
      <c r="I82" s="39"/>
    </row>
    <row r="83">
      <c r="A83" s="3"/>
      <c r="B83" s="48" t="s">
        <v>153</v>
      </c>
      <c r="C83" s="31"/>
      <c r="D83" s="31"/>
      <c r="E83" s="31"/>
      <c r="F83" s="60">
        <f>(F81-(Inputs!C197/(Inputs!C200*1000)*365/Inputs!C280))*10000</f>
        <v>-5.33812204749887</v>
      </c>
      <c r="G83" s="60">
        <f>(G81-(Inputs!D197/(Inputs!D200*1000)*365/Inputs!D280))*10000</f>
        <v>-30.436690805354417</v>
      </c>
      <c r="H83" s="88">
        <f>(H81-C81)*10000</f>
        <v>-56.645951058593575</v>
      </c>
      <c r="I83" s="39"/>
    </row>
    <row r="84">
      <c r="A84" s="3"/>
      <c r="B84" s="3"/>
      <c r="C84" s="10"/>
      <c r="D84" s="10"/>
      <c r="E84" s="10"/>
      <c r="F84" s="10"/>
      <c r="G84" s="10"/>
      <c r="H84" s="50"/>
      <c r="I84" s="39"/>
    </row>
    <row r="85">
      <c r="A85" s="3"/>
      <c r="B85" s="56" t="s">
        <v>249</v>
      </c>
      <c r="C85" s="10"/>
      <c r="D85" s="10"/>
      <c r="E85" s="10"/>
      <c r="F85" s="10"/>
      <c r="G85" s="10"/>
      <c r="H85" s="50"/>
      <c r="I85" s="39"/>
    </row>
    <row r="86">
      <c r="A86" s="3"/>
      <c r="B86" s="38" t="s">
        <v>250</v>
      </c>
      <c r="C86" s="160">
        <f>Inputs!D198</f>
        <v>5.8</v>
      </c>
      <c r="D86" s="18">
        <f>C60</f>
        <v>6</v>
      </c>
      <c r="E86" s="18" t="s">
        <v>236</v>
      </c>
      <c r="F86" s="18">
        <f>D60</f>
        <v>6.5</v>
      </c>
      <c r="G86" s="18">
        <f>F60</f>
        <v>6.3</v>
      </c>
      <c r="H86" s="46">
        <f>G60</f>
        <v>7</v>
      </c>
      <c r="I86" s="39" t="s">
        <v>251</v>
      </c>
    </row>
    <row r="87">
      <c r="A87" s="3"/>
      <c r="B87" s="71" t="s">
        <v>252</v>
      </c>
      <c r="C87" s="64" t="s">
        <v>83</v>
      </c>
      <c r="D87" s="64" t="s">
        <v>83</v>
      </c>
      <c r="E87" s="64" t="s">
        <v>83</v>
      </c>
      <c r="F87" s="64" t="s">
        <v>83</v>
      </c>
      <c r="G87" s="64" t="s">
        <v>83</v>
      </c>
      <c r="H87" s="76" t="s">
        <v>83</v>
      </c>
      <c r="I87" s="39" t="s">
        <v>253</v>
      </c>
    </row>
    <row r="88">
      <c r="A88" s="3"/>
      <c r="B88" s="71" t="s">
        <v>254</v>
      </c>
      <c r="C88" s="64" t="s">
        <v>83</v>
      </c>
      <c r="D88" s="64" t="s">
        <v>83</v>
      </c>
      <c r="E88" s="64" t="s">
        <v>83</v>
      </c>
      <c r="F88" s="64" t="s">
        <v>83</v>
      </c>
      <c r="G88" s="64" t="s">
        <v>83</v>
      </c>
      <c r="H88" s="76" t="s">
        <v>83</v>
      </c>
      <c r="I88" s="39" t="s">
        <v>253</v>
      </c>
    </row>
    <row r="89">
      <c r="A89" s="3"/>
      <c r="B89" s="38" t="s">
        <v>255</v>
      </c>
      <c r="C89" s="18">
        <f>C90-C86</f>
        <v>0.20000000000000018</v>
      </c>
      <c r="D89" s="18">
        <f>D90-D86</f>
        <v>0.5</v>
      </c>
      <c r="E89" s="18" t="s">
        <v>236</v>
      </c>
      <c r="F89" s="18">
        <f>F90-F86</f>
        <v>-0.20000000000000018</v>
      </c>
      <c r="G89" s="18">
        <f>G90-G86</f>
        <v>0.7000000000000002</v>
      </c>
      <c r="H89" s="46">
        <f>H90-H86</f>
        <v>0.20000000000000018</v>
      </c>
      <c r="I89" s="39"/>
    </row>
    <row r="90">
      <c r="A90" s="3"/>
      <c r="B90" s="42" t="s">
        <v>256</v>
      </c>
      <c r="C90" s="45">
        <f>C60</f>
        <v>6</v>
      </c>
      <c r="D90" s="45">
        <f>D60</f>
        <v>6.5</v>
      </c>
      <c r="E90" s="45" t="s">
        <v>236</v>
      </c>
      <c r="F90" s="45">
        <f>F60</f>
        <v>6.3</v>
      </c>
      <c r="G90" s="45">
        <f>G60</f>
        <v>7</v>
      </c>
      <c r="H90" s="68">
        <f>H60</f>
        <v>7.2</v>
      </c>
      <c r="I90" s="39"/>
    </row>
    <row r="91">
      <c r="A91" s="3"/>
      <c r="B91" s="71" t="s">
        <v>257</v>
      </c>
      <c r="C91" s="12">
        <f>C89/C86</f>
        <v>0.03448275862068969</v>
      </c>
      <c r="D91" s="12">
        <f>D89/D86</f>
        <v>0.08333333333333333</v>
      </c>
      <c r="E91" s="12" t="s">
        <v>236</v>
      </c>
      <c r="F91" s="12">
        <f>F89/F86</f>
        <v>-0.030769230769230795</v>
      </c>
      <c r="G91" s="12">
        <f>G89/G86</f>
        <v>0.11111111111111115</v>
      </c>
      <c r="H91" s="67">
        <f>H89/H86</f>
        <v>0.0285714285714286</v>
      </c>
      <c r="I91" s="39"/>
    </row>
    <row r="92">
      <c r="A92" s="3"/>
      <c r="B92" s="3"/>
      <c r="C92" s="10"/>
      <c r="D92" s="10"/>
      <c r="E92" s="10"/>
      <c r="F92" s="10"/>
      <c r="G92" s="10"/>
      <c r="H92" s="50"/>
      <c r="I92" s="39"/>
    </row>
    <row r="93">
      <c r="A93" s="3"/>
      <c r="B93" s="56" t="s">
        <v>258</v>
      </c>
      <c r="C93" s="10"/>
      <c r="D93" s="10"/>
      <c r="E93" s="10"/>
      <c r="F93" s="10"/>
      <c r="G93" s="10"/>
      <c r="H93" s="50"/>
      <c r="I93" s="39"/>
    </row>
    <row r="94">
      <c r="A94" s="3"/>
      <c r="B94" s="38" t="s">
        <v>259</v>
      </c>
      <c r="C94" s="160">
        <f>Inputs!D201</f>
        <v>2.1</v>
      </c>
      <c r="D94" s="18">
        <f>C69</f>
        <v>2.2</v>
      </c>
      <c r="E94" s="18" t="s">
        <v>236</v>
      </c>
      <c r="F94" s="18">
        <f>D69</f>
        <v>2.3</v>
      </c>
      <c r="G94" s="18">
        <f>F69</f>
        <v>2.3</v>
      </c>
      <c r="H94" s="46">
        <f>G69</f>
        <v>2</v>
      </c>
      <c r="I94" s="39" t="s">
        <v>251</v>
      </c>
    </row>
    <row r="95">
      <c r="A95" s="3"/>
      <c r="B95" s="71" t="s">
        <v>252</v>
      </c>
      <c r="C95" s="64" t="s">
        <v>83</v>
      </c>
      <c r="D95" s="64" t="s">
        <v>83</v>
      </c>
      <c r="E95" s="64" t="s">
        <v>83</v>
      </c>
      <c r="F95" s="64" t="s">
        <v>83</v>
      </c>
      <c r="G95" s="64" t="s">
        <v>83</v>
      </c>
      <c r="H95" s="76" t="s">
        <v>83</v>
      </c>
      <c r="I95" s="39" t="s">
        <v>253</v>
      </c>
    </row>
    <row r="96">
      <c r="A96" s="3"/>
      <c r="B96" s="71" t="s">
        <v>254</v>
      </c>
      <c r="C96" s="64" t="s">
        <v>83</v>
      </c>
      <c r="D96" s="64" t="s">
        <v>83</v>
      </c>
      <c r="E96" s="64" t="s">
        <v>83</v>
      </c>
      <c r="F96" s="64" t="s">
        <v>83</v>
      </c>
      <c r="G96" s="64" t="s">
        <v>83</v>
      </c>
      <c r="H96" s="76" t="s">
        <v>83</v>
      </c>
      <c r="I96" s="39" t="s">
        <v>253</v>
      </c>
    </row>
    <row r="97">
      <c r="A97" s="3"/>
      <c r="B97" s="38" t="s">
        <v>255</v>
      </c>
      <c r="C97" s="18">
        <f>C98-C94</f>
        <v>0.10000000000000009</v>
      </c>
      <c r="D97" s="18">
        <f>D98-D94</f>
        <v>0.09999999999999964</v>
      </c>
      <c r="E97" s="18" t="s">
        <v>236</v>
      </c>
      <c r="F97" s="18">
        <f>F98-F94</f>
        <v>0</v>
      </c>
      <c r="G97" s="18">
        <f>G98-G94</f>
        <v>-0.2999999999999998</v>
      </c>
      <c r="H97" s="46">
        <f>H98-H94</f>
        <v>0.10000000000000009</v>
      </c>
      <c r="I97" s="39"/>
    </row>
    <row r="98">
      <c r="A98" s="3"/>
      <c r="B98" s="42" t="s">
        <v>260</v>
      </c>
      <c r="C98" s="45">
        <f>C69</f>
        <v>2.2</v>
      </c>
      <c r="D98" s="45">
        <f>D69</f>
        <v>2.3</v>
      </c>
      <c r="E98" s="45" t="s">
        <v>236</v>
      </c>
      <c r="F98" s="45">
        <f>F69</f>
        <v>2.3</v>
      </c>
      <c r="G98" s="45">
        <f>G69</f>
        <v>2</v>
      </c>
      <c r="H98" s="68">
        <f>H69</f>
        <v>2.1</v>
      </c>
      <c r="I98" s="39"/>
    </row>
    <row r="99">
      <c r="A99" s="3"/>
      <c r="B99" s="71" t="s">
        <v>257</v>
      </c>
      <c r="C99" s="12">
        <f>C97/C94</f>
        <v>0.04761904761904766</v>
      </c>
      <c r="D99" s="12">
        <f>D97/D94</f>
        <v>0.04545454545454529</v>
      </c>
      <c r="E99" s="12" t="s">
        <v>236</v>
      </c>
      <c r="F99" s="12">
        <f>F97/F94</f>
        <v>0</v>
      </c>
      <c r="G99" s="12">
        <f>G97/G94</f>
        <v>-0.1304347826086956</v>
      </c>
      <c r="H99" s="67">
        <f>H97/H94</f>
        <v>0.050000000000000044</v>
      </c>
      <c r="I99" s="39"/>
    </row>
    <row r="100">
      <c r="A100" s="3"/>
      <c r="B100" s="3"/>
      <c r="C100" s="10"/>
      <c r="D100" s="10"/>
      <c r="E100" s="10"/>
      <c r="F100" s="10"/>
      <c r="G100" s="10"/>
      <c r="H100" s="50"/>
      <c r="I100" s="39"/>
    </row>
    <row r="101">
      <c r="A101" s="3"/>
      <c r="B101" s="56" t="s">
        <v>269</v>
      </c>
      <c r="C101" s="10"/>
      <c r="D101" s="10"/>
      <c r="E101" s="10"/>
      <c r="F101" s="10"/>
      <c r="G101" s="10"/>
      <c r="H101" s="50"/>
      <c r="I101" s="39"/>
    </row>
    <row r="102">
      <c r="A102" s="3"/>
      <c r="B102" s="38" t="s">
        <v>270</v>
      </c>
      <c r="C102" s="62">
        <v>771</v>
      </c>
      <c r="D102" s="62">
        <v>765</v>
      </c>
      <c r="E102" s="62">
        <v>669</v>
      </c>
      <c r="F102" s="62">
        <v>742</v>
      </c>
      <c r="G102" s="62">
        <v>594</v>
      </c>
      <c r="H102" s="40">
        <v>600</v>
      </c>
      <c r="I102" s="39" t="s">
        <v>271</v>
      </c>
    </row>
    <row r="103">
      <c r="A103" s="3"/>
      <c r="B103" s="48" t="s">
        <v>272</v>
      </c>
      <c r="C103" s="18"/>
      <c r="D103" s="18"/>
      <c r="E103" s="18"/>
      <c r="F103" s="43">
        <f>(F102-Inputs!C203)</f>
        <v>156</v>
      </c>
      <c r="G103" s="43">
        <f>(G102-Inputs!D203)</f>
        <v>44</v>
      </c>
      <c r="H103" s="46">
        <f>(H102-C102)</f>
        <v>-171</v>
      </c>
      <c r="I103" s="39"/>
    </row>
    <row r="104">
      <c r="A104" s="3"/>
      <c r="B104" s="48" t="s">
        <v>273</v>
      </c>
      <c r="C104" s="18"/>
      <c r="D104" s="18">
        <f>(D102-C102)</f>
        <v>-6</v>
      </c>
      <c r="E104" s="18"/>
      <c r="F104" s="18">
        <f>(F102-D102)</f>
        <v>-23</v>
      </c>
      <c r="G104" s="18">
        <f>(G102-F102)</f>
        <v>-148</v>
      </c>
      <c r="H104" s="46">
        <f>(H102-G102)</f>
        <v>6</v>
      </c>
      <c r="I104" s="39"/>
    </row>
    <row r="105">
      <c r="A105" s="3"/>
      <c r="B105" s="38" t="s">
        <v>274</v>
      </c>
      <c r="C105" s="77">
        <v>64</v>
      </c>
      <c r="D105" s="77">
        <v>62</v>
      </c>
      <c r="E105" s="60">
        <f>C105+D105+Inputs!C204+Inputs!D204</f>
        <v>249</v>
      </c>
      <c r="F105" s="77">
        <v>61</v>
      </c>
      <c r="G105" s="77">
        <v>62</v>
      </c>
      <c r="H105" s="91">
        <v>64</v>
      </c>
      <c r="I105" s="39" t="s">
        <v>275</v>
      </c>
    </row>
    <row r="106">
      <c r="A106" s="3"/>
      <c r="B106" s="48" t="s">
        <v>276</v>
      </c>
      <c r="C106" s="18"/>
      <c r="D106" s="18"/>
      <c r="E106" s="18"/>
      <c r="F106" s="43">
        <f>(F105-Inputs!C204)</f>
        <v>0</v>
      </c>
      <c r="G106" s="43">
        <f>(G105-Inputs!D204)</f>
        <v>0</v>
      </c>
      <c r="H106" s="46">
        <f>(H105-C105)</f>
        <v>0</v>
      </c>
      <c r="I106" s="39"/>
    </row>
    <row r="107">
      <c r="A107" s="3"/>
      <c r="B107" s="48" t="s">
        <v>277</v>
      </c>
      <c r="C107" s="18"/>
      <c r="D107" s="18">
        <f>(D105-C105)</f>
        <v>-2</v>
      </c>
      <c r="E107" s="18"/>
      <c r="F107" s="18">
        <f>(F105-D105)</f>
        <v>-1</v>
      </c>
      <c r="G107" s="18">
        <f>(G105-F105)</f>
        <v>1</v>
      </c>
      <c r="H107" s="46">
        <f>(H105-G105)</f>
        <v>2</v>
      </c>
      <c r="I107" s="39"/>
    </row>
    <row r="108">
      <c r="A108" s="3"/>
      <c r="B108" s="38" t="s">
        <v>278</v>
      </c>
      <c r="C108" s="18">
        <f>C102*C105/1000</f>
        <v>49.344</v>
      </c>
      <c r="D108" s="18">
        <f>D102*D105/1000</f>
        <v>47.43</v>
      </c>
      <c r="E108" s="18">
        <f>E102*E105/1000</f>
        <v>166.581</v>
      </c>
      <c r="F108" s="18">
        <f>F102*F105/1000</f>
        <v>45.262</v>
      </c>
      <c r="G108" s="18">
        <f>G102*G105/1000</f>
        <v>36.828</v>
      </c>
      <c r="H108" s="46">
        <f>H102*H105/1000</f>
        <v>38.4</v>
      </c>
      <c r="I108" s="39"/>
    </row>
    <row r="109">
      <c r="A109" s="3"/>
      <c r="B109" s="42" t="s">
        <v>279</v>
      </c>
      <c r="C109" s="83">
        <f>'Revenue summary'!C69</f>
        <v>57</v>
      </c>
      <c r="D109" s="83">
        <f>'Revenue summary'!D69</f>
        <v>57</v>
      </c>
      <c r="E109" s="83">
        <f>'Revenue summary'!E69</f>
        <v>205</v>
      </c>
      <c r="F109" s="83">
        <f>'Revenue summary'!F69</f>
        <v>53</v>
      </c>
      <c r="G109" s="83">
        <f>'Revenue summary'!G69</f>
        <v>46</v>
      </c>
      <c r="H109" s="68">
        <f>H108+H110</f>
        <v>46.934</v>
      </c>
      <c r="I109" s="39" t="s">
        <v>280</v>
      </c>
    </row>
    <row r="110">
      <c r="A110" s="3"/>
      <c r="B110" s="48" t="s">
        <v>281</v>
      </c>
      <c r="C110" s="18">
        <f>C109-C108</f>
        <v>7.655999999999999</v>
      </c>
      <c r="D110" s="18">
        <f>D109-D108</f>
        <v>9.57</v>
      </c>
      <c r="E110" s="18">
        <f>E109-E108</f>
        <v>38.41900000000001</v>
      </c>
      <c r="F110" s="18">
        <f>F109-F108</f>
        <v>7.7379999999999995</v>
      </c>
      <c r="G110" s="18">
        <f>G109-G108</f>
        <v>9.171999999999997</v>
      </c>
      <c r="H110" s="46">
        <f>AVERAGE(C110,D110,F110,G110)</f>
        <v>8.533999999999999</v>
      </c>
      <c r="I110" s="39"/>
    </row>
    <row r="111">
      <c r="A111" s="3"/>
      <c r="B111" s="53" t="s">
        <v>80</v>
      </c>
      <c r="C111" s="12"/>
      <c r="D111" s="12">
        <f>D109/C109-1</f>
        <v>0</v>
      </c>
      <c r="E111" s="12"/>
      <c r="F111" s="12">
        <f>F109/D109-1</f>
        <v>-0.07017543859649122</v>
      </c>
      <c r="G111" s="12">
        <f>G109/F109-1</f>
        <v>-0.13207547169811318</v>
      </c>
      <c r="H111" s="67">
        <f>H109/G109-1</f>
        <v>0.02030434782608692</v>
      </c>
      <c r="I111" s="39"/>
    </row>
    <row r="112">
      <c r="A112" s="3"/>
      <c r="B112" s="71" t="s">
        <v>282</v>
      </c>
      <c r="C112" s="12"/>
      <c r="D112" s="12"/>
      <c r="E112" s="12"/>
      <c r="F112" s="12"/>
      <c r="G112" s="12"/>
      <c r="H112" s="90">
        <v>0.6</v>
      </c>
      <c r="I112" s="39" t="s">
        <v>283</v>
      </c>
    </row>
    <row r="113">
      <c r="A113" s="3"/>
      <c r="B113" s="3"/>
      <c r="C113" s="10"/>
      <c r="D113" s="10"/>
      <c r="E113" s="10"/>
      <c r="F113" s="10"/>
      <c r="G113" s="10"/>
      <c r="H113" s="50"/>
      <c r="I113" s="39"/>
    </row>
    <row r="114">
      <c r="A114" s="3"/>
      <c r="B114" s="56" t="s">
        <v>284</v>
      </c>
      <c r="C114" s="10"/>
      <c r="D114" s="10"/>
      <c r="E114" s="10"/>
      <c r="F114" s="10"/>
      <c r="G114" s="10"/>
      <c r="H114" s="50"/>
      <c r="I114" s="39"/>
    </row>
    <row r="115">
      <c r="A115" s="3"/>
      <c r="B115" s="38" t="s">
        <v>285</v>
      </c>
      <c r="C115" s="43">
        <f>'Revenue summary'!C136</f>
        <v>3628</v>
      </c>
      <c r="D115" s="43">
        <f>'Revenue summary'!D136</f>
        <v>4160</v>
      </c>
      <c r="E115" s="43">
        <f>'Revenue summary'!E136</f>
        <v>3539</v>
      </c>
      <c r="F115" s="43">
        <f>'Revenue summary'!F136</f>
        <v>3884</v>
      </c>
      <c r="G115" s="43">
        <f>'Revenue summary'!G136</f>
        <v>4284</v>
      </c>
      <c r="H115" s="73">
        <f>'Revenue summary'!H136</f>
        <v>4500</v>
      </c>
      <c r="I115" s="39"/>
    </row>
    <row r="116">
      <c r="A116" s="3"/>
      <c r="B116" s="48" t="s">
        <v>108</v>
      </c>
      <c r="C116" s="18"/>
      <c r="D116" s="18">
        <f>(D115-C115)</f>
        <v>532</v>
      </c>
      <c r="E116" s="18"/>
      <c r="F116" s="18">
        <f>(F115-D115)</f>
        <v>-276</v>
      </c>
      <c r="G116" s="18">
        <f>(G115-F115)</f>
        <v>400</v>
      </c>
      <c r="H116" s="46">
        <f>(H115-G115)</f>
        <v>216</v>
      </c>
      <c r="I116" s="39"/>
    </row>
    <row r="117">
      <c r="A117" s="3"/>
      <c r="B117" s="38" t="s">
        <v>286</v>
      </c>
      <c r="C117" s="43">
        <f>'Balance Sheet'!C15</f>
        <v>3926</v>
      </c>
      <c r="D117" s="43">
        <f>'Balance Sheet'!D15</f>
        <v>4703</v>
      </c>
      <c r="E117" s="43">
        <f>'Balance Sheet'!E15</f>
        <v>4703</v>
      </c>
      <c r="F117" s="43">
        <f>'Balance Sheet'!F15</f>
        <v>4641</v>
      </c>
      <c r="G117" s="43">
        <f>'Balance Sheet'!G15</f>
        <v>4759</v>
      </c>
      <c r="H117" s="73">
        <f>'Balance Sheet'!H15</f>
        <v>4300</v>
      </c>
      <c r="I117" s="39"/>
    </row>
    <row r="118">
      <c r="A118" s="3"/>
      <c r="B118" s="48" t="s">
        <v>108</v>
      </c>
      <c r="C118" s="18"/>
      <c r="D118" s="18">
        <f>(D117-C117)</f>
        <v>777</v>
      </c>
      <c r="E118" s="18"/>
      <c r="F118" s="18">
        <f>(F117-D117)</f>
        <v>-62</v>
      </c>
      <c r="G118" s="18">
        <f>(G117-F117)</f>
        <v>118</v>
      </c>
      <c r="H118" s="46">
        <f>(H117-G117)</f>
        <v>-459</v>
      </c>
      <c r="I118" s="39"/>
    </row>
    <row r="119">
      <c r="A119" s="3"/>
      <c r="B119" s="38" t="s">
        <v>287</v>
      </c>
      <c r="C119" s="43">
        <f>'Revenue summary'!C76</f>
        <v>15</v>
      </c>
      <c r="D119" s="43">
        <f>'Revenue summary'!D76</f>
        <v>10</v>
      </c>
      <c r="E119" s="43">
        <f>'Revenue summary'!E76</f>
        <v>43</v>
      </c>
      <c r="F119" s="43">
        <f>'Revenue summary'!F76</f>
        <v>9</v>
      </c>
      <c r="G119" s="43">
        <f>'Revenue summary'!G76</f>
        <v>9</v>
      </c>
      <c r="H119" s="73">
        <f>'Revenue summary'!H76</f>
        <v>8</v>
      </c>
      <c r="I119" s="39"/>
    </row>
    <row r="120">
      <c r="A120" s="3"/>
      <c r="B120" s="48" t="s">
        <v>108</v>
      </c>
      <c r="C120" s="18"/>
      <c r="D120" s="18">
        <f>(D119-C119)</f>
        <v>-5</v>
      </c>
      <c r="E120" s="18"/>
      <c r="F120" s="18">
        <f>(F119-D119)</f>
        <v>-1</v>
      </c>
      <c r="G120" s="18">
        <f>(G119-F119)</f>
        <v>0</v>
      </c>
      <c r="H120" s="46">
        <f>(H119-G119)</f>
        <v>-1</v>
      </c>
      <c r="I120" s="39"/>
    </row>
    <row r="121">
      <c r="A121" s="3"/>
      <c r="B121" s="3"/>
      <c r="C121" s="10"/>
      <c r="D121" s="10"/>
      <c r="E121" s="10"/>
      <c r="F121" s="10"/>
      <c r="G121" s="10"/>
      <c r="H121" s="50"/>
      <c r="I121" s="39"/>
    </row>
    <row r="122">
      <c r="A122" s="3"/>
      <c r="B122" s="56" t="s">
        <v>204</v>
      </c>
      <c r="C122" s="10"/>
      <c r="D122" s="10"/>
      <c r="E122" s="10"/>
      <c r="F122" s="10"/>
      <c r="G122" s="10"/>
      <c r="H122" s="50"/>
      <c r="I122" s="39"/>
    </row>
    <row r="123">
      <c r="A123" s="3"/>
      <c r="B123" s="71" t="s">
        <v>263</v>
      </c>
      <c r="C123" s="65">
        <v>134</v>
      </c>
      <c r="D123" s="65">
        <v>135</v>
      </c>
      <c r="E123" s="66"/>
      <c r="F123" s="65">
        <v>126</v>
      </c>
      <c r="G123" s="65">
        <v>125</v>
      </c>
      <c r="H123" s="82"/>
      <c r="I123" s="39" t="s">
        <v>206</v>
      </c>
    </row>
    <row r="124">
      <c r="A124" s="3"/>
      <c r="B124" s="71" t="s">
        <v>264</v>
      </c>
      <c r="C124" s="65">
        <v>52</v>
      </c>
      <c r="D124" s="65">
        <v>50</v>
      </c>
      <c r="E124" s="66"/>
      <c r="F124" s="65">
        <v>43</v>
      </c>
      <c r="G124" s="65">
        <v>46</v>
      </c>
      <c r="H124" s="82"/>
      <c r="I124" s="39" t="s">
        <v>206</v>
      </c>
    </row>
    <row r="125">
      <c r="A125" s="3"/>
      <c r="B125" s="71" t="s">
        <v>265</v>
      </c>
      <c r="C125" s="65">
        <v>52</v>
      </c>
      <c r="D125" s="65">
        <v>47</v>
      </c>
      <c r="E125" s="66"/>
      <c r="F125" s="65">
        <v>34</v>
      </c>
      <c r="G125" s="65">
        <v>23</v>
      </c>
      <c r="H125" s="82"/>
      <c r="I125" s="39" t="s">
        <v>206</v>
      </c>
    </row>
    <row r="126">
      <c r="A126" s="3"/>
      <c r="B126" s="71" t="s">
        <v>266</v>
      </c>
      <c r="C126" s="65">
        <v>40</v>
      </c>
      <c r="D126" s="65">
        <v>36</v>
      </c>
      <c r="E126" s="66"/>
      <c r="F126" s="65">
        <v>26</v>
      </c>
      <c r="G126" s="65">
        <v>18</v>
      </c>
      <c r="H126" s="82"/>
      <c r="I126" s="39" t="s">
        <v>206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I6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90" customWidth="1"/>
  </cols>
  <sheetData>
    <row r="1">
      <c r="A1" s="3"/>
      <c r="B1" s="37" t="s">
        <v>0</v>
      </c>
      <c r="C1" s="3"/>
      <c r="D1" s="3"/>
      <c r="E1" s="3"/>
      <c r="F1" s="3"/>
      <c r="G1" s="3"/>
      <c r="H1" s="3"/>
      <c r="I1" s="3"/>
    </row>
    <row r="2">
      <c r="A2" s="3"/>
      <c r="B2" s="56" t="s">
        <v>288</v>
      </c>
      <c r="C2" s="3"/>
      <c r="D2" s="3"/>
      <c r="E2" s="3"/>
      <c r="F2" s="3"/>
      <c r="G2" s="3"/>
      <c r="H2" s="3"/>
      <c r="I2" s="3"/>
    </row>
    <row r="3">
      <c r="A3" s="3"/>
      <c r="B3" s="32" t="s">
        <v>2</v>
      </c>
      <c r="C3" s="3"/>
      <c r="D3" s="3"/>
      <c r="E3" s="3"/>
      <c r="F3" s="3"/>
      <c r="G3" s="3"/>
      <c r="H3" s="3"/>
      <c r="I3" s="3"/>
    </row>
    <row r="4">
      <c r="A4" s="3"/>
      <c r="B4" s="24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8" t="s">
        <v>9</v>
      </c>
      <c r="I4" s="24" t="s">
        <v>75</v>
      </c>
    </row>
    <row r="5">
      <c r="A5" s="3"/>
      <c r="B5" s="13" t="s">
        <v>10</v>
      </c>
      <c r="C5" s="34">
        <v>45930</v>
      </c>
      <c r="D5" s="34">
        <v>46022</v>
      </c>
      <c r="E5" s="34">
        <v>46022</v>
      </c>
      <c r="F5" s="34">
        <v>46112</v>
      </c>
      <c r="G5" s="34">
        <v>46203</v>
      </c>
      <c r="H5" s="81">
        <v>46295</v>
      </c>
      <c r="I5" s="79"/>
    </row>
    <row r="6">
      <c r="A6" s="3"/>
      <c r="B6" s="23" t="s">
        <v>11</v>
      </c>
      <c r="C6" s="1">
        <v>92</v>
      </c>
      <c r="D6" s="1">
        <v>92</v>
      </c>
      <c r="E6" s="1">
        <v>365</v>
      </c>
      <c r="F6" s="1">
        <v>90</v>
      </c>
      <c r="G6" s="1">
        <v>91</v>
      </c>
      <c r="H6" s="84">
        <v>92</v>
      </c>
      <c r="I6" s="70"/>
    </row>
    <row r="7">
      <c r="A7" s="3"/>
      <c r="B7" s="3"/>
      <c r="C7" s="3"/>
      <c r="D7" s="3"/>
      <c r="E7" s="3"/>
      <c r="F7" s="3"/>
      <c r="G7" s="3"/>
      <c r="H7" s="57"/>
      <c r="I7" s="39"/>
    </row>
    <row r="8">
      <c r="A8" s="3"/>
      <c r="B8" s="56" t="s">
        <v>218</v>
      </c>
      <c r="C8" s="10"/>
      <c r="D8" s="10"/>
      <c r="E8" s="10"/>
      <c r="F8" s="10"/>
      <c r="G8" s="10"/>
      <c r="H8" s="50"/>
      <c r="I8" s="39"/>
    </row>
    <row r="9">
      <c r="A9" s="3"/>
      <c r="B9" s="38" t="s">
        <v>219</v>
      </c>
      <c r="C9" s="62">
        <v>-56</v>
      </c>
      <c r="D9" s="62">
        <v>-51</v>
      </c>
      <c r="E9" s="43">
        <f>C9+D9+Inputs!C205+Inputs!D205</f>
        <v>-218</v>
      </c>
      <c r="F9" s="62">
        <v>-44</v>
      </c>
      <c r="G9" s="62">
        <v>-45</v>
      </c>
      <c r="H9" s="73">
        <f>'Income Statement'!H16-'Segment - CCW'!H9-'Segment - Wholesale'!H9</f>
        <v>-49.33248547945165</v>
      </c>
      <c r="I9" s="39"/>
    </row>
    <row r="10">
      <c r="A10" s="3"/>
      <c r="B10" s="53" t="s">
        <v>79</v>
      </c>
      <c r="C10" s="12"/>
      <c r="D10" s="12"/>
      <c r="E10" s="12"/>
      <c r="F10" s="12" t="s">
        <v>100</v>
      </c>
      <c r="G10" s="12" t="s">
        <v>100</v>
      </c>
      <c r="H10" s="67" t="s">
        <v>100</v>
      </c>
      <c r="I10" s="39"/>
    </row>
    <row r="11">
      <c r="A11" s="3"/>
      <c r="B11" s="53" t="s">
        <v>80</v>
      </c>
      <c r="C11" s="12"/>
      <c r="D11" s="12" t="s">
        <v>100</v>
      </c>
      <c r="E11" s="12"/>
      <c r="F11" s="12" t="s">
        <v>100</v>
      </c>
      <c r="G11" s="12" t="s">
        <v>100</v>
      </c>
      <c r="H11" s="67" t="s">
        <v>100</v>
      </c>
      <c r="I11" s="39"/>
    </row>
    <row r="12">
      <c r="A12" s="3"/>
      <c r="B12" s="53" t="s">
        <v>81</v>
      </c>
      <c r="C12" s="12"/>
      <c r="D12" s="12"/>
      <c r="E12" s="12"/>
      <c r="F12" s="12" t="str">
        <f>F10</f>
        <v>n/m</v>
      </c>
      <c r="G12" s="12" t="str">
        <f>G10</f>
        <v>n/m</v>
      </c>
      <c r="H12" s="67" t="str">
        <f>H10</f>
        <v>n/m</v>
      </c>
      <c r="I12" s="39"/>
    </row>
    <row r="13">
      <c r="A13" s="3"/>
      <c r="B13" s="53" t="s">
        <v>82</v>
      </c>
      <c r="C13" s="64" t="s">
        <v>83</v>
      </c>
      <c r="D13" s="64" t="s">
        <v>83</v>
      </c>
      <c r="E13" s="64" t="s">
        <v>83</v>
      </c>
      <c r="F13" s="64" t="s">
        <v>83</v>
      </c>
      <c r="G13" s="64" t="s">
        <v>83</v>
      </c>
      <c r="H13" s="76" t="s">
        <v>83</v>
      </c>
      <c r="I13" s="39" t="s">
        <v>84</v>
      </c>
    </row>
    <row r="14">
      <c r="A14" s="3"/>
      <c r="B14" s="53" t="s">
        <v>85</v>
      </c>
      <c r="C14" s="64" t="s">
        <v>83</v>
      </c>
      <c r="D14" s="64" t="s">
        <v>83</v>
      </c>
      <c r="E14" s="64" t="s">
        <v>83</v>
      </c>
      <c r="F14" s="64" t="s">
        <v>83</v>
      </c>
      <c r="G14" s="64" t="s">
        <v>83</v>
      </c>
      <c r="H14" s="76" t="s">
        <v>83</v>
      </c>
      <c r="I14" s="39" t="s">
        <v>86</v>
      </c>
    </row>
    <row r="15">
      <c r="A15" s="3"/>
      <c r="B15" s="53" t="s">
        <v>87</v>
      </c>
      <c r="C15" s="64" t="s">
        <v>83</v>
      </c>
      <c r="D15" s="64" t="s">
        <v>83</v>
      </c>
      <c r="E15" s="64" t="s">
        <v>83</v>
      </c>
      <c r="F15" s="64" t="s">
        <v>83</v>
      </c>
      <c r="G15" s="64" t="s">
        <v>83</v>
      </c>
      <c r="H15" s="76" t="s">
        <v>83</v>
      </c>
      <c r="I15" s="39" t="s">
        <v>88</v>
      </c>
    </row>
    <row r="16">
      <c r="A16" s="3"/>
      <c r="B16" s="38" t="s">
        <v>89</v>
      </c>
      <c r="C16" s="62">
        <v>25</v>
      </c>
      <c r="D16" s="62">
        <v>18</v>
      </c>
      <c r="E16" s="43">
        <f>C16+D16+Inputs!C206+Inputs!D206</f>
        <v>77</v>
      </c>
      <c r="F16" s="62">
        <v>12</v>
      </c>
      <c r="G16" s="62">
        <v>30</v>
      </c>
      <c r="H16" s="73">
        <f>'Income Statement'!H28-'Segment - CCW'!H16-'Segment - Wholesale'!H16</f>
        <v>18</v>
      </c>
      <c r="I16" s="39"/>
    </row>
    <row r="17">
      <c r="A17" s="3"/>
      <c r="B17" s="53" t="s">
        <v>79</v>
      </c>
      <c r="C17" s="12"/>
      <c r="D17" s="12"/>
      <c r="E17" s="12"/>
      <c r="F17" s="12" t="s">
        <v>100</v>
      </c>
      <c r="G17" s="12" t="s">
        <v>100</v>
      </c>
      <c r="H17" s="67" t="s">
        <v>100</v>
      </c>
      <c r="I17" s="39"/>
    </row>
    <row r="18">
      <c r="A18" s="3"/>
      <c r="B18" s="53" t="s">
        <v>80</v>
      </c>
      <c r="C18" s="12"/>
      <c r="D18" s="12" t="s">
        <v>100</v>
      </c>
      <c r="E18" s="12"/>
      <c r="F18" s="12" t="s">
        <v>100</v>
      </c>
      <c r="G18" s="12" t="s">
        <v>100</v>
      </c>
      <c r="H18" s="67" t="s">
        <v>100</v>
      </c>
      <c r="I18" s="39"/>
    </row>
    <row r="19">
      <c r="A19" s="3"/>
      <c r="B19" s="53" t="s">
        <v>81</v>
      </c>
      <c r="C19" s="12"/>
      <c r="D19" s="12"/>
      <c r="E19" s="12"/>
      <c r="F19" s="12" t="str">
        <f>F17</f>
        <v>n/m</v>
      </c>
      <c r="G19" s="12" t="str">
        <f>G17</f>
        <v>n/m</v>
      </c>
      <c r="H19" s="67" t="str">
        <f>H17</f>
        <v>n/m</v>
      </c>
      <c r="I19" s="39"/>
    </row>
    <row r="20">
      <c r="A20" s="3"/>
      <c r="B20" s="53" t="s">
        <v>82</v>
      </c>
      <c r="C20" s="64" t="s">
        <v>83</v>
      </c>
      <c r="D20" s="64" t="s">
        <v>83</v>
      </c>
      <c r="E20" s="64" t="s">
        <v>83</v>
      </c>
      <c r="F20" s="64" t="s">
        <v>83</v>
      </c>
      <c r="G20" s="64" t="s">
        <v>83</v>
      </c>
      <c r="H20" s="76" t="s">
        <v>83</v>
      </c>
      <c r="I20" s="39" t="s">
        <v>84</v>
      </c>
    </row>
    <row r="21">
      <c r="A21" s="3"/>
      <c r="B21" s="53" t="s">
        <v>85</v>
      </c>
      <c r="C21" s="64" t="s">
        <v>83</v>
      </c>
      <c r="D21" s="64" t="s">
        <v>83</v>
      </c>
      <c r="E21" s="64" t="s">
        <v>83</v>
      </c>
      <c r="F21" s="64" t="s">
        <v>83</v>
      </c>
      <c r="G21" s="64" t="s">
        <v>83</v>
      </c>
      <c r="H21" s="76" t="s">
        <v>83</v>
      </c>
      <c r="I21" s="39" t="s">
        <v>86</v>
      </c>
    </row>
    <row r="22">
      <c r="A22" s="3"/>
      <c r="B22" s="53" t="s">
        <v>87</v>
      </c>
      <c r="C22" s="64" t="s">
        <v>83</v>
      </c>
      <c r="D22" s="64" t="s">
        <v>83</v>
      </c>
      <c r="E22" s="64" t="s">
        <v>83</v>
      </c>
      <c r="F22" s="64" t="s">
        <v>83</v>
      </c>
      <c r="G22" s="64" t="s">
        <v>83</v>
      </c>
      <c r="H22" s="76" t="s">
        <v>83</v>
      </c>
      <c r="I22" s="39" t="s">
        <v>88</v>
      </c>
    </row>
    <row r="23">
      <c r="A23" s="3"/>
      <c r="B23" s="71" t="s">
        <v>122</v>
      </c>
      <c r="C23" s="66">
        <f>C61-(C9+C16)</f>
        <v>-1</v>
      </c>
      <c r="D23" s="66">
        <f>D61-(D9+D16)</f>
        <v>0</v>
      </c>
      <c r="E23" s="66">
        <f>E24-(E9+E16)</f>
        <v>-2</v>
      </c>
      <c r="F23" s="66">
        <f>F61-(F9+F16)</f>
        <v>0</v>
      </c>
      <c r="G23" s="66">
        <f>G61-(G9+G16)</f>
        <v>0</v>
      </c>
      <c r="H23" s="75">
        <v>0</v>
      </c>
      <c r="I23" s="39" t="s">
        <v>123</v>
      </c>
    </row>
    <row r="24">
      <c r="A24" s="3"/>
      <c r="B24" s="56" t="s">
        <v>221</v>
      </c>
      <c r="C24" s="45">
        <f>C9+C16+C23</f>
        <v>-32</v>
      </c>
      <c r="D24" s="45">
        <f>D9+D16+D23</f>
        <v>-33</v>
      </c>
      <c r="E24" s="83">
        <f>C24+D24+Inputs!C207+Inputs!D207</f>
        <v>-143</v>
      </c>
      <c r="F24" s="45">
        <f>F9+F16+F23</f>
        <v>-32</v>
      </c>
      <c r="G24" s="45">
        <f>G9+G16+G23</f>
        <v>-15</v>
      </c>
      <c r="H24" s="68">
        <f>H9+H16+H23</f>
        <v>-31.33248547945165</v>
      </c>
      <c r="I24" s="39"/>
    </row>
    <row r="25">
      <c r="A25" s="3"/>
      <c r="B25" s="71" t="s">
        <v>79</v>
      </c>
      <c r="C25" s="12"/>
      <c r="D25" s="12"/>
      <c r="E25" s="12"/>
      <c r="F25" s="12" t="s">
        <v>100</v>
      </c>
      <c r="G25" s="12" t="s">
        <v>100</v>
      </c>
      <c r="H25" s="67" t="s">
        <v>100</v>
      </c>
      <c r="I25" s="39"/>
    </row>
    <row r="26">
      <c r="A26" s="3"/>
      <c r="B26" s="71" t="s">
        <v>80</v>
      </c>
      <c r="C26" s="12"/>
      <c r="D26" s="12" t="s">
        <v>100</v>
      </c>
      <c r="E26" s="12"/>
      <c r="F26" s="12" t="s">
        <v>100</v>
      </c>
      <c r="G26" s="12" t="s">
        <v>100</v>
      </c>
      <c r="H26" s="67" t="s">
        <v>100</v>
      </c>
      <c r="I26" s="39"/>
    </row>
    <row r="27">
      <c r="A27" s="3"/>
      <c r="B27" s="71" t="s">
        <v>222</v>
      </c>
      <c r="C27" s="47">
        <f>C24/'Revenue summary'!C31</f>
        <v>-0.0359955005624297</v>
      </c>
      <c r="D27" s="47">
        <f>D24/'Revenue summary'!D31</f>
        <v>-0.037162162162162164</v>
      </c>
      <c r="E27" s="47">
        <f>E24/'Revenue summary'!E31</f>
        <v>-0.04182509505703422</v>
      </c>
      <c r="F27" s="47">
        <f>F24/'Revenue summary'!F31</f>
        <v>-0.037122969837587005</v>
      </c>
      <c r="G27" s="47">
        <f>G24/'Revenue summary'!G31</f>
        <v>-0.016910935738444193</v>
      </c>
      <c r="H27" s="87">
        <f>H24/'Revenue summary'!H31</f>
        <v>-0.035370481078767536</v>
      </c>
      <c r="I27" s="39"/>
    </row>
    <row r="28">
      <c r="A28" s="3"/>
      <c r="B28" s="71" t="s">
        <v>81</v>
      </c>
      <c r="C28" s="12"/>
      <c r="D28" s="12"/>
      <c r="E28" s="12"/>
      <c r="F28" s="12" t="str">
        <f>F25</f>
        <v>n/m</v>
      </c>
      <c r="G28" s="12" t="str">
        <f>G25</f>
        <v>n/m</v>
      </c>
      <c r="H28" s="67" t="str">
        <f>H25</f>
        <v>n/m</v>
      </c>
      <c r="I28" s="39"/>
    </row>
    <row r="29">
      <c r="A29" s="3"/>
      <c r="B29" s="71" t="s">
        <v>82</v>
      </c>
      <c r="C29" s="64" t="s">
        <v>83</v>
      </c>
      <c r="D29" s="64" t="s">
        <v>83</v>
      </c>
      <c r="E29" s="64" t="s">
        <v>83</v>
      </c>
      <c r="F29" s="64" t="s">
        <v>83</v>
      </c>
      <c r="G29" s="64" t="s">
        <v>83</v>
      </c>
      <c r="H29" s="76" t="s">
        <v>83</v>
      </c>
      <c r="I29" s="39" t="s">
        <v>84</v>
      </c>
    </row>
    <row r="30">
      <c r="A30" s="3"/>
      <c r="B30" s="71" t="s">
        <v>85</v>
      </c>
      <c r="C30" s="64" t="s">
        <v>83</v>
      </c>
      <c r="D30" s="64" t="s">
        <v>83</v>
      </c>
      <c r="E30" s="64" t="s">
        <v>83</v>
      </c>
      <c r="F30" s="64" t="s">
        <v>83</v>
      </c>
      <c r="G30" s="64" t="s">
        <v>83</v>
      </c>
      <c r="H30" s="76" t="s">
        <v>83</v>
      </c>
      <c r="I30" s="39" t="s">
        <v>86</v>
      </c>
    </row>
    <row r="31">
      <c r="A31" s="3"/>
      <c r="B31" s="71" t="s">
        <v>87</v>
      </c>
      <c r="C31" s="64" t="s">
        <v>83</v>
      </c>
      <c r="D31" s="64" t="s">
        <v>83</v>
      </c>
      <c r="E31" s="64" t="s">
        <v>83</v>
      </c>
      <c r="F31" s="64" t="s">
        <v>83</v>
      </c>
      <c r="G31" s="64" t="s">
        <v>83</v>
      </c>
      <c r="H31" s="76" t="s">
        <v>83</v>
      </c>
      <c r="I31" s="39" t="s">
        <v>88</v>
      </c>
    </row>
    <row r="32">
      <c r="A32" s="3"/>
      <c r="B32" s="38" t="s">
        <v>223</v>
      </c>
      <c r="C32" s="62">
        <v>102</v>
      </c>
      <c r="D32" s="62">
        <v>80</v>
      </c>
      <c r="E32" s="43">
        <f>C32+D32+Inputs!C208+Inputs!D208</f>
        <v>311</v>
      </c>
      <c r="F32" s="62">
        <v>54</v>
      </c>
      <c r="G32" s="62">
        <v>76</v>
      </c>
      <c r="H32" s="73">
        <f>'Income Statement'!H62-'Segment - CCW'!H32-'Segment - Wholesale'!H32</f>
        <v>67.4396</v>
      </c>
      <c r="I32" s="39"/>
    </row>
    <row r="33">
      <c r="A33" s="3"/>
      <c r="B33" s="53" t="s">
        <v>79</v>
      </c>
      <c r="C33" s="12"/>
      <c r="D33" s="12"/>
      <c r="E33" s="12"/>
      <c r="F33" s="47">
        <f>F32/Inputs!C208-1</f>
        <v>-0.20588235294117652</v>
      </c>
      <c r="G33" s="47">
        <f>G32/Inputs!D208-1</f>
        <v>0.24590163934426235</v>
      </c>
      <c r="H33" s="67">
        <f>H32/C32-1</f>
        <v>-0.33882745098039213</v>
      </c>
      <c r="I33" s="39"/>
    </row>
    <row r="34">
      <c r="A34" s="3"/>
      <c r="B34" s="53" t="s">
        <v>80</v>
      </c>
      <c r="C34" s="12"/>
      <c r="D34" s="12">
        <f>D32/C32-1</f>
        <v>-0.21568627450980393</v>
      </c>
      <c r="E34" s="12"/>
      <c r="F34" s="12">
        <f>F32/D32-1</f>
        <v>-0.32499999999999996</v>
      </c>
      <c r="G34" s="12">
        <f>G32/F32-1</f>
        <v>0.40740740740740744</v>
      </c>
      <c r="H34" s="67">
        <f>H32/G32-1</f>
        <v>-0.11263684210526315</v>
      </c>
      <c r="I34" s="39"/>
    </row>
    <row r="35">
      <c r="A35" s="3"/>
      <c r="B35" s="71" t="s">
        <v>122</v>
      </c>
      <c r="C35" s="66">
        <f>C62-(C24-C32)</f>
        <v>0</v>
      </c>
      <c r="D35" s="66">
        <f>D62-(D24-D32)</f>
        <v>0</v>
      </c>
      <c r="E35" s="66">
        <f>E36-(E24-E32)</f>
        <v>0</v>
      </c>
      <c r="F35" s="66">
        <f>F62-(F24-F32)</f>
        <v>0</v>
      </c>
      <c r="G35" s="66">
        <f>G62-(G24-G32)</f>
        <v>-1</v>
      </c>
      <c r="H35" s="75">
        <v>0</v>
      </c>
      <c r="I35" s="39" t="s">
        <v>123</v>
      </c>
    </row>
    <row r="36">
      <c r="A36" s="3"/>
      <c r="B36" s="56" t="s">
        <v>224</v>
      </c>
      <c r="C36" s="45">
        <f>C24-C32+C35</f>
        <v>-134</v>
      </c>
      <c r="D36" s="45">
        <f>D24-D32+D35</f>
        <v>-113</v>
      </c>
      <c r="E36" s="83">
        <f>C36+D36+Inputs!C209+Inputs!D209</f>
        <v>-454</v>
      </c>
      <c r="F36" s="45">
        <f>F24-F32+F35</f>
        <v>-86</v>
      </c>
      <c r="G36" s="45">
        <f>G24-G32+G35</f>
        <v>-92</v>
      </c>
      <c r="H36" s="68">
        <f>H24-H32+H35</f>
        <v>-98.77208547945165</v>
      </c>
      <c r="I36" s="39"/>
    </row>
    <row r="37">
      <c r="A37" s="3"/>
      <c r="B37" s="38" t="s">
        <v>225</v>
      </c>
      <c r="C37" s="62">
        <v>-6</v>
      </c>
      <c r="D37" s="62">
        <v>-1</v>
      </c>
      <c r="E37" s="43">
        <f>C37+D37+Inputs!C210+Inputs!D210</f>
        <v>3</v>
      </c>
      <c r="F37" s="62">
        <v>-2</v>
      </c>
      <c r="G37" s="62">
        <v>-9</v>
      </c>
      <c r="H37" s="73">
        <f>'Income Statement'!H69-'Segment - CCW'!H37-'Segment - Wholesale'!H37</f>
        <v>2</v>
      </c>
      <c r="I37" s="39"/>
    </row>
    <row r="38">
      <c r="A38" s="3"/>
      <c r="B38" s="48" t="s">
        <v>131</v>
      </c>
      <c r="C38" s="18"/>
      <c r="D38" s="18"/>
      <c r="E38" s="18"/>
      <c r="F38" s="43">
        <f>(F37-Inputs!C210)</f>
        <v>-1</v>
      </c>
      <c r="G38" s="43">
        <f>(G37-Inputs!D210)</f>
        <v>-20</v>
      </c>
      <c r="H38" s="46">
        <f>(H37-C37)</f>
        <v>8</v>
      </c>
      <c r="I38" s="39"/>
    </row>
    <row r="39">
      <c r="A39" s="3"/>
      <c r="B39" s="48" t="s">
        <v>108</v>
      </c>
      <c r="C39" s="18"/>
      <c r="D39" s="18">
        <f>(D37-C37)</f>
        <v>5</v>
      </c>
      <c r="E39" s="18"/>
      <c r="F39" s="18">
        <f>(F37-D37)</f>
        <v>-1</v>
      </c>
      <c r="G39" s="18">
        <f>(G37-F37)</f>
        <v>-7</v>
      </c>
      <c r="H39" s="46">
        <f>(H37-G37)</f>
        <v>11</v>
      </c>
      <c r="I39" s="39"/>
    </row>
    <row r="40">
      <c r="A40" s="3"/>
      <c r="B40" s="71" t="s">
        <v>122</v>
      </c>
      <c r="C40" s="66">
        <f>C63-(C36-C37)</f>
        <v>0</v>
      </c>
      <c r="D40" s="66">
        <f>D63-(D36-D37)</f>
        <v>0</v>
      </c>
      <c r="E40" s="66">
        <f>E41-(E36-E37)</f>
        <v>1</v>
      </c>
      <c r="F40" s="66">
        <f>F63-(F36-F37)</f>
        <v>0</v>
      </c>
      <c r="G40" s="66">
        <f>G63-(G36-G37)</f>
        <v>0</v>
      </c>
      <c r="H40" s="75">
        <v>0</v>
      </c>
      <c r="I40" s="39" t="s">
        <v>123</v>
      </c>
    </row>
    <row r="41">
      <c r="A41" s="3"/>
      <c r="B41" s="56" t="s">
        <v>226</v>
      </c>
      <c r="C41" s="45">
        <f>C36-C37+C40</f>
        <v>-128</v>
      </c>
      <c r="D41" s="45">
        <f>D36-D37+D40</f>
        <v>-112</v>
      </c>
      <c r="E41" s="83">
        <f>C41+D41+Inputs!C211+Inputs!D211</f>
        <v>-456</v>
      </c>
      <c r="F41" s="45">
        <f>F36-F37+F40</f>
        <v>-84</v>
      </c>
      <c r="G41" s="45">
        <f>G36-G37+G40</f>
        <v>-83</v>
      </c>
      <c r="H41" s="68">
        <f>H36-H37+H40</f>
        <v>-100.77208547945165</v>
      </c>
      <c r="I41" s="39"/>
    </row>
    <row r="42">
      <c r="A42" s="3"/>
      <c r="B42" s="38" t="s">
        <v>227</v>
      </c>
      <c r="C42" s="62">
        <v>-35</v>
      </c>
      <c r="D42" s="62">
        <v>-31</v>
      </c>
      <c r="E42" s="43">
        <f>C42+D42+Inputs!C212+Inputs!D212</f>
        <v>-132</v>
      </c>
      <c r="F42" s="62">
        <v>-26</v>
      </c>
      <c r="G42" s="62">
        <v>-35</v>
      </c>
      <c r="H42" s="73">
        <f>'Income Statement'!H75-'Segment - CCW'!H42-'Segment - Wholesale'!H42</f>
        <v>-30.149950306849227</v>
      </c>
      <c r="I42" s="39"/>
    </row>
    <row r="43">
      <c r="A43" s="3"/>
      <c r="B43" s="71" t="s">
        <v>122</v>
      </c>
      <c r="C43" s="66">
        <f>C64-(C41-C42)</f>
        <v>0</v>
      </c>
      <c r="D43" s="66">
        <f>D64-(D41-D42)</f>
        <v>0</v>
      </c>
      <c r="E43" s="66">
        <f>E44-(E41-E42)</f>
        <v>-1</v>
      </c>
      <c r="F43" s="66">
        <f>F64-(F41-F42)</f>
        <v>0</v>
      </c>
      <c r="G43" s="66">
        <f>G64-(G41-G42)</f>
        <v>0</v>
      </c>
      <c r="H43" s="75">
        <v>0</v>
      </c>
      <c r="I43" s="39" t="s">
        <v>123</v>
      </c>
    </row>
    <row r="44">
      <c r="A44" s="3"/>
      <c r="B44" s="56" t="s">
        <v>228</v>
      </c>
      <c r="C44" s="45">
        <f>C41-C42+C43</f>
        <v>-93</v>
      </c>
      <c r="D44" s="45">
        <f>D41-D42+D43</f>
        <v>-81</v>
      </c>
      <c r="E44" s="83">
        <f>C44+D44+Inputs!C213+Inputs!D213</f>
        <v>-325</v>
      </c>
      <c r="F44" s="45">
        <f>F41-F42+F43</f>
        <v>-58</v>
      </c>
      <c r="G44" s="45">
        <f>G41-G42+G43</f>
        <v>-48</v>
      </c>
      <c r="H44" s="68">
        <f>H41-H42+H43</f>
        <v>-70.62213517260241</v>
      </c>
      <c r="I44" s="39"/>
    </row>
    <row r="45">
      <c r="A45" s="3"/>
      <c r="B45" s="71" t="s">
        <v>79</v>
      </c>
      <c r="C45" s="12"/>
      <c r="D45" s="12"/>
      <c r="E45" s="12"/>
      <c r="F45" s="12" t="s">
        <v>100</v>
      </c>
      <c r="G45" s="12" t="s">
        <v>100</v>
      </c>
      <c r="H45" s="67" t="s">
        <v>100</v>
      </c>
      <c r="I45" s="39"/>
    </row>
    <row r="46">
      <c r="A46" s="3"/>
      <c r="B46" s="71" t="s">
        <v>80</v>
      </c>
      <c r="C46" s="12"/>
      <c r="D46" s="12" t="s">
        <v>100</v>
      </c>
      <c r="E46" s="12"/>
      <c r="F46" s="12" t="s">
        <v>100</v>
      </c>
      <c r="G46" s="12" t="s">
        <v>100</v>
      </c>
      <c r="H46" s="67" t="s">
        <v>100</v>
      </c>
      <c r="I46" s="39"/>
    </row>
    <row r="47">
      <c r="A47" s="3"/>
      <c r="B47" s="3"/>
      <c r="C47" s="10"/>
      <c r="D47" s="10"/>
      <c r="E47" s="10"/>
      <c r="F47" s="10"/>
      <c r="G47" s="10"/>
      <c r="H47" s="50"/>
      <c r="I47" s="39"/>
    </row>
    <row r="48">
      <c r="A48" s="3"/>
      <c r="B48" s="56" t="s">
        <v>229</v>
      </c>
      <c r="C48" s="10"/>
      <c r="D48" s="10"/>
      <c r="E48" s="10"/>
      <c r="F48" s="10"/>
      <c r="G48" s="10"/>
      <c r="H48" s="50"/>
      <c r="I48" s="39"/>
    </row>
    <row r="49">
      <c r="A49" s="3"/>
      <c r="B49" s="32" t="s">
        <v>289</v>
      </c>
      <c r="C49" s="30"/>
      <c r="D49" s="30"/>
      <c r="E49" s="30"/>
      <c r="F49" s="30"/>
      <c r="G49" s="30"/>
      <c r="H49" s="85"/>
      <c r="I49" s="39"/>
    </row>
    <row r="50">
      <c r="A50" s="3"/>
      <c r="B50" s="3"/>
      <c r="C50" s="10"/>
      <c r="D50" s="10"/>
      <c r="E50" s="10"/>
      <c r="F50" s="10"/>
      <c r="G50" s="10"/>
      <c r="H50" s="50"/>
      <c r="I50" s="39"/>
    </row>
    <row r="51">
      <c r="A51" s="3"/>
      <c r="B51" s="56" t="s">
        <v>234</v>
      </c>
      <c r="C51" s="10"/>
      <c r="D51" s="10"/>
      <c r="E51" s="10"/>
      <c r="F51" s="10"/>
      <c r="G51" s="10"/>
      <c r="H51" s="50"/>
      <c r="I51" s="39"/>
    </row>
    <row r="52">
      <c r="A52" s="3"/>
      <c r="B52" s="38" t="s">
        <v>240</v>
      </c>
      <c r="C52" s="62">
        <v>11</v>
      </c>
      <c r="D52" s="62">
        <v>11</v>
      </c>
      <c r="E52" s="18" t="s">
        <v>236</v>
      </c>
      <c r="F52" s="62">
        <v>11.1</v>
      </c>
      <c r="G52" s="62">
        <v>10.6</v>
      </c>
      <c r="H52" s="46" t="s">
        <v>290</v>
      </c>
      <c r="I52" s="39"/>
    </row>
    <row r="53">
      <c r="A53" s="3"/>
      <c r="B53" s="48" t="s">
        <v>238</v>
      </c>
      <c r="C53" s="18"/>
      <c r="D53" s="18"/>
      <c r="E53" s="18"/>
      <c r="F53" s="43">
        <f>(F52-Inputs!C214)</f>
        <v>0.29999999999999893</v>
      </c>
      <c r="G53" s="43">
        <f>(G52-Inputs!D214)</f>
        <v>-0.40000000000000036</v>
      </c>
      <c r="H53" s="46" t="s">
        <v>290</v>
      </c>
      <c r="I53" s="39"/>
    </row>
    <row r="54">
      <c r="A54" s="3"/>
      <c r="B54" s="48" t="s">
        <v>239</v>
      </c>
      <c r="C54" s="18"/>
      <c r="D54" s="18">
        <f>(D52-C52)</f>
        <v>0</v>
      </c>
      <c r="E54" s="18"/>
      <c r="F54" s="18">
        <f>(F52-D52)</f>
        <v>0.09999999999999964</v>
      </c>
      <c r="G54" s="18">
        <f>(G52-F52)</f>
        <v>-0.5</v>
      </c>
      <c r="H54" s="46" t="s">
        <v>290</v>
      </c>
      <c r="I54" s="39"/>
    </row>
    <row r="55">
      <c r="A55" s="3"/>
      <c r="B55" s="38" t="s">
        <v>241</v>
      </c>
      <c r="C55" s="62">
        <v>13.9</v>
      </c>
      <c r="D55" s="62">
        <v>13.8</v>
      </c>
      <c r="E55" s="18" t="s">
        <v>236</v>
      </c>
      <c r="F55" s="62">
        <v>14</v>
      </c>
      <c r="G55" s="62">
        <v>13.6</v>
      </c>
      <c r="H55" s="46" t="s">
        <v>290</v>
      </c>
      <c r="I55" s="39"/>
    </row>
    <row r="56">
      <c r="A56" s="3"/>
      <c r="B56" s="48" t="s">
        <v>238</v>
      </c>
      <c r="C56" s="18"/>
      <c r="D56" s="18"/>
      <c r="E56" s="18"/>
      <c r="F56" s="43">
        <f>(F55-Inputs!C215)</f>
        <v>0.1999999999999993</v>
      </c>
      <c r="G56" s="43">
        <f>(G55-Inputs!D215)</f>
        <v>-0.3000000000000007</v>
      </c>
      <c r="H56" s="46" t="s">
        <v>290</v>
      </c>
      <c r="I56" s="39"/>
    </row>
    <row r="57">
      <c r="A57" s="3"/>
      <c r="B57" s="48" t="s">
        <v>239</v>
      </c>
      <c r="C57" s="18"/>
      <c r="D57" s="18">
        <f>(D55-C55)</f>
        <v>-0.09999999999999964</v>
      </c>
      <c r="E57" s="18"/>
      <c r="F57" s="18">
        <f>(F55-D55)</f>
        <v>0.1999999999999993</v>
      </c>
      <c r="G57" s="18">
        <f>(G55-F55)</f>
        <v>-0.40000000000000036</v>
      </c>
      <c r="H57" s="46" t="s">
        <v>290</v>
      </c>
      <c r="I57" s="39"/>
    </row>
    <row r="58">
      <c r="A58" s="3"/>
      <c r="B58" s="32" t="s">
        <v>291</v>
      </c>
      <c r="C58" s="30"/>
      <c r="D58" s="30"/>
      <c r="E58" s="30"/>
      <c r="F58" s="30"/>
      <c r="G58" s="30"/>
      <c r="H58" s="85"/>
      <c r="I58" s="39"/>
    </row>
    <row r="59">
      <c r="A59" s="3"/>
      <c r="B59" s="3"/>
      <c r="C59" s="10"/>
      <c r="D59" s="10"/>
      <c r="E59" s="10"/>
      <c r="F59" s="10"/>
      <c r="G59" s="10"/>
      <c r="H59" s="50"/>
      <c r="I59" s="39"/>
    </row>
    <row r="60">
      <c r="A60" s="3"/>
      <c r="B60" s="56" t="s">
        <v>204</v>
      </c>
      <c r="C60" s="10"/>
      <c r="D60" s="10"/>
      <c r="E60" s="10"/>
      <c r="F60" s="10"/>
      <c r="G60" s="10"/>
      <c r="H60" s="50"/>
      <c r="I60" s="39"/>
    </row>
    <row r="61">
      <c r="A61" s="3"/>
      <c r="B61" s="71" t="s">
        <v>263</v>
      </c>
      <c r="C61" s="65">
        <v>-32</v>
      </c>
      <c r="D61" s="65">
        <v>-33</v>
      </c>
      <c r="E61" s="66"/>
      <c r="F61" s="65">
        <v>-32</v>
      </c>
      <c r="G61" s="65">
        <v>-15</v>
      </c>
      <c r="H61" s="82"/>
      <c r="I61" s="39" t="s">
        <v>206</v>
      </c>
    </row>
    <row r="62">
      <c r="A62" s="3"/>
      <c r="B62" s="71" t="s">
        <v>264</v>
      </c>
      <c r="C62" s="65">
        <v>-134</v>
      </c>
      <c r="D62" s="65">
        <v>-113</v>
      </c>
      <c r="E62" s="66"/>
      <c r="F62" s="65">
        <v>-86</v>
      </c>
      <c r="G62" s="65">
        <v>-92</v>
      </c>
      <c r="H62" s="82"/>
      <c r="I62" s="39" t="s">
        <v>206</v>
      </c>
    </row>
    <row r="63">
      <c r="A63" s="3"/>
      <c r="B63" s="71" t="s">
        <v>265</v>
      </c>
      <c r="C63" s="65">
        <v>-128</v>
      </c>
      <c r="D63" s="65">
        <v>-112</v>
      </c>
      <c r="E63" s="66"/>
      <c r="F63" s="65">
        <v>-84</v>
      </c>
      <c r="G63" s="65">
        <v>-83</v>
      </c>
      <c r="H63" s="82"/>
      <c r="I63" s="39" t="s">
        <v>206</v>
      </c>
    </row>
    <row r="64">
      <c r="A64" s="3"/>
      <c r="B64" s="71" t="s">
        <v>266</v>
      </c>
      <c r="C64" s="65">
        <v>-93</v>
      </c>
      <c r="D64" s="65">
        <v>-81</v>
      </c>
      <c r="E64" s="66"/>
      <c r="F64" s="65">
        <v>-58</v>
      </c>
      <c r="G64" s="65">
        <v>-48</v>
      </c>
      <c r="H64" s="82"/>
      <c r="I64" s="39" t="s">
        <v>206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I17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90" customWidth="1"/>
  </cols>
  <sheetData>
    <row r="1">
      <c r="A1" s="3"/>
      <c r="B1" s="37" t="s">
        <v>0</v>
      </c>
      <c r="C1" s="3"/>
      <c r="D1" s="3"/>
      <c r="E1" s="3"/>
      <c r="F1" s="3"/>
      <c r="G1" s="3"/>
      <c r="H1" s="3"/>
      <c r="I1" s="3"/>
    </row>
    <row r="2">
      <c r="A2" s="3"/>
      <c r="B2" s="56" t="s">
        <v>292</v>
      </c>
      <c r="C2" s="3"/>
      <c r="D2" s="3"/>
      <c r="E2" s="3"/>
      <c r="F2" s="3"/>
      <c r="G2" s="3"/>
      <c r="H2" s="3"/>
      <c r="I2" s="3"/>
    </row>
    <row r="3">
      <c r="A3" s="3"/>
      <c r="B3" s="32" t="s">
        <v>2</v>
      </c>
      <c r="C3" s="3"/>
      <c r="D3" s="3"/>
      <c r="E3" s="3"/>
      <c r="F3" s="3"/>
      <c r="G3" s="3"/>
      <c r="H3" s="3"/>
      <c r="I3" s="3"/>
    </row>
    <row r="4">
      <c r="A4" s="3"/>
      <c r="B4" s="24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8" t="s">
        <v>9</v>
      </c>
      <c r="I4" s="24" t="s">
        <v>75</v>
      </c>
    </row>
    <row r="5">
      <c r="A5" s="3"/>
      <c r="B5" s="13" t="s">
        <v>10</v>
      </c>
      <c r="C5" s="34">
        <v>45930</v>
      </c>
      <c r="D5" s="34">
        <v>46022</v>
      </c>
      <c r="E5" s="34">
        <v>46022</v>
      </c>
      <c r="F5" s="34">
        <v>46112</v>
      </c>
      <c r="G5" s="34">
        <v>46203</v>
      </c>
      <c r="H5" s="81">
        <v>46295</v>
      </c>
      <c r="I5" s="79"/>
    </row>
    <row r="6">
      <c r="A6" s="3"/>
      <c r="B6" s="23" t="s">
        <v>11</v>
      </c>
      <c r="C6" s="1">
        <v>92</v>
      </c>
      <c r="D6" s="1">
        <v>92</v>
      </c>
      <c r="E6" s="1">
        <v>365</v>
      </c>
      <c r="F6" s="1">
        <v>90</v>
      </c>
      <c r="G6" s="1">
        <v>91</v>
      </c>
      <c r="H6" s="84">
        <v>92</v>
      </c>
      <c r="I6" s="70"/>
    </row>
    <row r="7">
      <c r="A7" s="3"/>
      <c r="B7" s="3"/>
      <c r="C7" s="3"/>
      <c r="D7" s="3"/>
      <c r="E7" s="3"/>
      <c r="F7" s="3"/>
      <c r="G7" s="3"/>
      <c r="H7" s="57"/>
      <c r="I7" s="39"/>
    </row>
    <row r="8">
      <c r="A8" s="3"/>
      <c r="B8" s="56" t="s">
        <v>219</v>
      </c>
      <c r="C8" s="10"/>
      <c r="D8" s="10"/>
      <c r="E8" s="10"/>
      <c r="F8" s="10"/>
      <c r="G8" s="10"/>
      <c r="H8" s="50"/>
      <c r="I8" s="39"/>
    </row>
    <row r="9">
      <c r="A9" s="3"/>
      <c r="B9" s="38" t="s">
        <v>162</v>
      </c>
      <c r="C9" s="43">
        <f>'Revenue summary'!C244</f>
        <v>1081</v>
      </c>
      <c r="D9" s="43">
        <f>'Revenue summary'!D244</f>
        <v>1054</v>
      </c>
      <c r="E9" s="43">
        <f>'Revenue summary'!E244</f>
        <v>4199</v>
      </c>
      <c r="F9" s="43">
        <f>'Revenue summary'!F244</f>
        <v>1008</v>
      </c>
      <c r="G9" s="43">
        <f>'Revenue summary'!G244</f>
        <v>1033</v>
      </c>
      <c r="H9" s="73">
        <f>'Revenue summary'!H244</f>
        <v>1055.752780273973</v>
      </c>
      <c r="I9" s="39"/>
    </row>
    <row r="10">
      <c r="A10" s="3"/>
      <c r="B10" s="38" t="s">
        <v>192</v>
      </c>
      <c r="C10" s="43">
        <f>'Revenue summary'!C316</f>
        <v>403</v>
      </c>
      <c r="D10" s="43">
        <f>'Revenue summary'!D316</f>
        <v>375</v>
      </c>
      <c r="E10" s="43">
        <f>'Revenue summary'!E316</f>
        <v>1564</v>
      </c>
      <c r="F10" s="43">
        <f>'Revenue summary'!F316</f>
        <v>337</v>
      </c>
      <c r="G10" s="43">
        <f>'Revenue summary'!G316</f>
        <v>354</v>
      </c>
      <c r="H10" s="73">
        <f>'Revenue summary'!H316</f>
        <v>367.8496493150685</v>
      </c>
      <c r="I10" s="39"/>
    </row>
    <row r="11">
      <c r="A11" s="3"/>
      <c r="B11" s="56" t="s">
        <v>77</v>
      </c>
      <c r="C11" s="83">
        <f>'Revenue summary'!C325</f>
        <v>678</v>
      </c>
      <c r="D11" s="83">
        <f>'Revenue summary'!D325</f>
        <v>679</v>
      </c>
      <c r="E11" s="83">
        <f>'Revenue summary'!E325</f>
        <v>2636</v>
      </c>
      <c r="F11" s="83">
        <f>'Revenue summary'!F325</f>
        <v>670</v>
      </c>
      <c r="G11" s="83">
        <f>'Revenue summary'!G325</f>
        <v>679</v>
      </c>
      <c r="H11" s="96">
        <f>'Revenue summary'!H325</f>
        <v>687.9031309589045</v>
      </c>
      <c r="I11" s="39"/>
    </row>
    <row r="12">
      <c r="A12" s="3"/>
      <c r="B12" s="38" t="s">
        <v>93</v>
      </c>
      <c r="C12" s="62">
        <v>3</v>
      </c>
      <c r="D12" s="62">
        <v>3</v>
      </c>
      <c r="E12" s="43">
        <f>C12+D12+Inputs!C216+Inputs!D216</f>
        <v>13</v>
      </c>
      <c r="F12" s="62">
        <v>3</v>
      </c>
      <c r="G12" s="62">
        <v>3</v>
      </c>
      <c r="H12" s="40">
        <v>3</v>
      </c>
      <c r="I12" s="39" t="s">
        <v>116</v>
      </c>
    </row>
    <row r="13">
      <c r="A13" s="3"/>
      <c r="B13" s="48" t="s">
        <v>131</v>
      </c>
      <c r="C13" s="18"/>
      <c r="D13" s="18"/>
      <c r="E13" s="18"/>
      <c r="F13" s="43">
        <f>(F12-Inputs!C216)</f>
        <v>0</v>
      </c>
      <c r="G13" s="43">
        <f>(G12-Inputs!D216)</f>
        <v>-1</v>
      </c>
      <c r="H13" s="46">
        <f>(H12-C12)</f>
        <v>0</v>
      </c>
      <c r="I13" s="39"/>
    </row>
    <row r="14">
      <c r="A14" s="3"/>
      <c r="B14" s="48" t="s">
        <v>108</v>
      </c>
      <c r="C14" s="18"/>
      <c r="D14" s="18">
        <f>(D12-C12)</f>
        <v>0</v>
      </c>
      <c r="E14" s="18"/>
      <c r="F14" s="18">
        <f>(F12-D12)</f>
        <v>0</v>
      </c>
      <c r="G14" s="18">
        <f>(G12-F12)</f>
        <v>0</v>
      </c>
      <c r="H14" s="46">
        <f>(H12-G12)</f>
        <v>0</v>
      </c>
      <c r="I14" s="39"/>
    </row>
    <row r="15">
      <c r="A15" s="3"/>
      <c r="B15" s="71" t="s">
        <v>122</v>
      </c>
      <c r="C15" s="66">
        <f>C161-(C11-C12)</f>
        <v>-1</v>
      </c>
      <c r="D15" s="66">
        <f>D161-(D11-D12)</f>
        <v>0</v>
      </c>
      <c r="E15" s="66">
        <f>E16-(E11-E12)</f>
        <v>-1</v>
      </c>
      <c r="F15" s="66">
        <f>F161-(F11-F12)</f>
        <v>0</v>
      </c>
      <c r="G15" s="66">
        <f>G161-(G11-G12)</f>
        <v>0</v>
      </c>
      <c r="H15" s="75">
        <v>0</v>
      </c>
      <c r="I15" s="39" t="s">
        <v>123</v>
      </c>
    </row>
    <row r="16">
      <c r="A16" s="3"/>
      <c r="B16" s="56" t="s">
        <v>293</v>
      </c>
      <c r="C16" s="45">
        <f>C11-C12+C15</f>
        <v>674</v>
      </c>
      <c r="D16" s="45">
        <f>D11-D12+D15</f>
        <v>676</v>
      </c>
      <c r="E16" s="83">
        <f>C16+D16+Inputs!C217+Inputs!D217</f>
        <v>2622</v>
      </c>
      <c r="F16" s="45">
        <f>F11-F12+F15</f>
        <v>667</v>
      </c>
      <c r="G16" s="45">
        <f>G11-G12+G15</f>
        <v>676</v>
      </c>
      <c r="H16" s="68">
        <f>H11-H12+H15</f>
        <v>684.9031309589045</v>
      </c>
      <c r="I16" s="39"/>
    </row>
    <row r="17">
      <c r="A17" s="3"/>
      <c r="B17" s="71" t="s">
        <v>79</v>
      </c>
      <c r="C17" s="12"/>
      <c r="D17" s="12"/>
      <c r="E17" s="12"/>
      <c r="F17" s="47">
        <f>F16/Inputs!C217-1</f>
        <v>0.05705229793977806</v>
      </c>
      <c r="G17" s="47">
        <f>G16/Inputs!D217-1</f>
        <v>0.05460218408736339</v>
      </c>
      <c r="H17" s="67">
        <f>H16/C16-1</f>
        <v>0.016176752164546837</v>
      </c>
      <c r="I17" s="39"/>
    </row>
    <row r="18">
      <c r="A18" s="3"/>
      <c r="B18" s="71" t="s">
        <v>80</v>
      </c>
      <c r="C18" s="12"/>
      <c r="D18" s="12">
        <f>D16/C16-1</f>
        <v>0.0029673590504450953</v>
      </c>
      <c r="E18" s="12"/>
      <c r="F18" s="12">
        <f>F16/D16-1</f>
        <v>-0.013313609467455634</v>
      </c>
      <c r="G18" s="12">
        <f>G16/F16-1</f>
        <v>0.013493253373313419</v>
      </c>
      <c r="H18" s="67">
        <f>H16/G16-1</f>
        <v>0.013170312069385348</v>
      </c>
      <c r="I18" s="39"/>
    </row>
    <row r="19">
      <c r="A19" s="3"/>
      <c r="B19" s="56" t="s">
        <v>89</v>
      </c>
      <c r="C19" s="10"/>
      <c r="D19" s="10"/>
      <c r="E19" s="10"/>
      <c r="F19" s="10"/>
      <c r="G19" s="10"/>
      <c r="H19" s="50"/>
      <c r="I19" s="39"/>
    </row>
    <row r="20">
      <c r="A20" s="3"/>
      <c r="B20" s="38" t="s">
        <v>106</v>
      </c>
      <c r="C20" s="43">
        <f>'Revenue summary'!C69</f>
        <v>57</v>
      </c>
      <c r="D20" s="43">
        <f>'Revenue summary'!D69</f>
        <v>57</v>
      </c>
      <c r="E20" s="43">
        <f>'Revenue summary'!E69</f>
        <v>205</v>
      </c>
      <c r="F20" s="43">
        <f>'Revenue summary'!F69</f>
        <v>53</v>
      </c>
      <c r="G20" s="43">
        <f>'Revenue summary'!G69</f>
        <v>46</v>
      </c>
      <c r="H20" s="73">
        <f>'Revenue summary'!H69</f>
        <v>46.934</v>
      </c>
      <c r="I20" s="39"/>
    </row>
    <row r="21">
      <c r="A21" s="3"/>
      <c r="B21" s="38" t="s">
        <v>109</v>
      </c>
      <c r="C21" s="43">
        <f>'Revenue summary'!C76</f>
        <v>15</v>
      </c>
      <c r="D21" s="43">
        <f>'Revenue summary'!D76</f>
        <v>10</v>
      </c>
      <c r="E21" s="43">
        <f>'Revenue summary'!E76</f>
        <v>43</v>
      </c>
      <c r="F21" s="43">
        <f>'Revenue summary'!F76</f>
        <v>9</v>
      </c>
      <c r="G21" s="43">
        <f>'Revenue summary'!G76</f>
        <v>9</v>
      </c>
      <c r="H21" s="73">
        <f>'Revenue summary'!H76</f>
        <v>8</v>
      </c>
      <c r="I21" s="39"/>
    </row>
    <row r="22">
      <c r="A22" s="3"/>
      <c r="B22" s="38" t="s">
        <v>111</v>
      </c>
      <c r="C22" s="43">
        <f>'Revenue summary'!C83</f>
        <v>39</v>
      </c>
      <c r="D22" s="43">
        <f>'Revenue summary'!D83</f>
        <v>41</v>
      </c>
      <c r="E22" s="43">
        <f>'Revenue summary'!E83</f>
        <v>157</v>
      </c>
      <c r="F22" s="43">
        <f>'Revenue summary'!F83</f>
        <v>43</v>
      </c>
      <c r="G22" s="43">
        <f>'Revenue summary'!G83</f>
        <v>45</v>
      </c>
      <c r="H22" s="73">
        <f>'Revenue summary'!H83</f>
        <v>46</v>
      </c>
      <c r="I22" s="39"/>
    </row>
    <row r="23">
      <c r="A23" s="3"/>
      <c r="B23" s="38" t="s">
        <v>113</v>
      </c>
      <c r="C23" s="43">
        <f>'Revenue summary'!C90</f>
        <v>57</v>
      </c>
      <c r="D23" s="43">
        <f>'Revenue summary'!D90</f>
        <v>64</v>
      </c>
      <c r="E23" s="43">
        <f>'Revenue summary'!E90</f>
        <v>228</v>
      </c>
      <c r="F23" s="43">
        <f>'Revenue summary'!F90</f>
        <v>58</v>
      </c>
      <c r="G23" s="43">
        <f>'Revenue summary'!G90</f>
        <v>59</v>
      </c>
      <c r="H23" s="73">
        <f>'Revenue summary'!H90</f>
        <v>60</v>
      </c>
      <c r="I23" s="39"/>
    </row>
    <row r="24">
      <c r="A24" s="3"/>
      <c r="B24" s="38" t="s">
        <v>115</v>
      </c>
      <c r="C24" s="43">
        <f>'Revenue summary'!C97</f>
        <v>19</v>
      </c>
      <c r="D24" s="43">
        <f>'Revenue summary'!D97</f>
        <v>18</v>
      </c>
      <c r="E24" s="43">
        <f>'Revenue summary'!E97</f>
        <v>74</v>
      </c>
      <c r="F24" s="43">
        <f>'Revenue summary'!F97</f>
        <v>18</v>
      </c>
      <c r="G24" s="43">
        <f>'Revenue summary'!G97</f>
        <v>18</v>
      </c>
      <c r="H24" s="73">
        <f>'Revenue summary'!H97</f>
        <v>18</v>
      </c>
      <c r="I24" s="39"/>
    </row>
    <row r="25">
      <c r="A25" s="3"/>
      <c r="B25" s="38" t="s">
        <v>117</v>
      </c>
      <c r="C25" s="43">
        <f>'Revenue summary'!C104</f>
        <v>8</v>
      </c>
      <c r="D25" s="43">
        <f>'Revenue summary'!D104</f>
        <v>3</v>
      </c>
      <c r="E25" s="43">
        <f>'Revenue summary'!E104</f>
        <v>16</v>
      </c>
      <c r="F25" s="43">
        <f>'Revenue summary'!F104</f>
        <v>-3</v>
      </c>
      <c r="G25" s="43">
        <f>'Revenue summary'!G104</f>
        <v>15</v>
      </c>
      <c r="H25" s="73">
        <f>'Revenue summary'!H104</f>
        <v>4</v>
      </c>
      <c r="I25" s="39"/>
    </row>
    <row r="26">
      <c r="A26" s="3"/>
      <c r="B26" s="38" t="s">
        <v>119</v>
      </c>
      <c r="C26" s="43">
        <f>'Revenue summary'!C111</f>
        <v>0</v>
      </c>
      <c r="D26" s="43">
        <f>'Revenue summary'!D111</f>
        <v>0</v>
      </c>
      <c r="E26" s="43">
        <f>'Revenue summary'!E111</f>
        <v>0</v>
      </c>
      <c r="F26" s="43">
        <f>'Revenue summary'!F111</f>
        <v>-1</v>
      </c>
      <c r="G26" s="43">
        <f>'Revenue summary'!G111</f>
        <v>0</v>
      </c>
      <c r="H26" s="73">
        <f>'Revenue summary'!H111</f>
        <v>0</v>
      </c>
      <c r="I26" s="39"/>
    </row>
    <row r="27">
      <c r="A27" s="3"/>
      <c r="B27" s="38" t="s">
        <v>121</v>
      </c>
      <c r="C27" s="43">
        <f>'Revenue summary'!C118</f>
        <v>19</v>
      </c>
      <c r="D27" s="43">
        <f>'Revenue summary'!D118</f>
        <v>18</v>
      </c>
      <c r="E27" s="43">
        <f>'Revenue summary'!E118</f>
        <v>71</v>
      </c>
      <c r="F27" s="43">
        <f>'Revenue summary'!F118</f>
        <v>16</v>
      </c>
      <c r="G27" s="43">
        <f>'Revenue summary'!G118</f>
        <v>18</v>
      </c>
      <c r="H27" s="73">
        <f>'Revenue summary'!H118</f>
        <v>18</v>
      </c>
      <c r="I27" s="39"/>
    </row>
    <row r="28">
      <c r="A28" s="3"/>
      <c r="B28" s="56" t="s">
        <v>124</v>
      </c>
      <c r="C28" s="83">
        <f>'Revenue summary'!C126</f>
        <v>215</v>
      </c>
      <c r="D28" s="83">
        <f>'Revenue summary'!D126</f>
        <v>212</v>
      </c>
      <c r="E28" s="83">
        <f>'Revenue summary'!E126</f>
        <v>797</v>
      </c>
      <c r="F28" s="83">
        <f>'Revenue summary'!F126</f>
        <v>195</v>
      </c>
      <c r="G28" s="83">
        <f>'Revenue summary'!G126</f>
        <v>211</v>
      </c>
      <c r="H28" s="96">
        <f>'Revenue summary'!H126</f>
        <v>200.934</v>
      </c>
      <c r="I28" s="39"/>
    </row>
    <row r="29">
      <c r="A29" s="3"/>
      <c r="B29" s="71" t="s">
        <v>79</v>
      </c>
      <c r="C29" s="12"/>
      <c r="D29" s="12"/>
      <c r="E29" s="12"/>
      <c r="F29" s="47">
        <f>F28/Inputs!C111-1</f>
        <v>0.07734806629834257</v>
      </c>
      <c r="G29" s="47">
        <f>G28/Inputs!D111-1</f>
        <v>0.1164021164021165</v>
      </c>
      <c r="H29" s="67">
        <f>H28/C28-1</f>
        <v>-0.06542325581395347</v>
      </c>
      <c r="I29" s="39"/>
    </row>
    <row r="30">
      <c r="A30" s="3"/>
      <c r="B30" s="71" t="s">
        <v>80</v>
      </c>
      <c r="C30" s="12"/>
      <c r="D30" s="12">
        <f>D28/C28-1</f>
        <v>-0.013953488372092981</v>
      </c>
      <c r="E30" s="12"/>
      <c r="F30" s="12">
        <f>F28/D28-1</f>
        <v>-0.08018867924528306</v>
      </c>
      <c r="G30" s="12">
        <f>G28/F28-1</f>
        <v>0.08205128205128198</v>
      </c>
      <c r="H30" s="67">
        <f>H28/G28-1</f>
        <v>-0.04770616113744075</v>
      </c>
      <c r="I30" s="39"/>
    </row>
    <row r="31">
      <c r="A31" s="3"/>
      <c r="B31" s="56" t="s">
        <v>94</v>
      </c>
      <c r="C31" s="45">
        <f>C16+C28</f>
        <v>889</v>
      </c>
      <c r="D31" s="45">
        <f>D16+D28</f>
        <v>888</v>
      </c>
      <c r="E31" s="45">
        <f>E16+E28</f>
        <v>3419</v>
      </c>
      <c r="F31" s="45">
        <f>F16+F28</f>
        <v>862</v>
      </c>
      <c r="G31" s="45">
        <f>G16+G28</f>
        <v>887</v>
      </c>
      <c r="H31" s="68">
        <f>H16+H28</f>
        <v>885.8371309589045</v>
      </c>
      <c r="I31" s="39"/>
    </row>
    <row r="32">
      <c r="A32" s="3"/>
      <c r="B32" s="71" t="s">
        <v>79</v>
      </c>
      <c r="C32" s="12"/>
      <c r="D32" s="12"/>
      <c r="E32" s="12"/>
      <c r="F32" s="47">
        <f>F31/Inputs!C218-1</f>
        <v>0.061576354679802936</v>
      </c>
      <c r="G32" s="47">
        <f>G31/Inputs!D218-1</f>
        <v>0.06867469879518073</v>
      </c>
      <c r="H32" s="67">
        <f>H31/C31-1</f>
        <v>-0.0035577829483639523</v>
      </c>
      <c r="I32" s="39"/>
    </row>
    <row r="33">
      <c r="A33" s="3"/>
      <c r="B33" s="71" t="s">
        <v>80</v>
      </c>
      <c r="C33" s="12"/>
      <c r="D33" s="12">
        <f>D31/C31-1</f>
        <v>-0.0011248593925758943</v>
      </c>
      <c r="E33" s="12"/>
      <c r="F33" s="12">
        <f>F31/D31-1</f>
        <v>-0.029279279279279313</v>
      </c>
      <c r="G33" s="12">
        <f>G31/F31-1</f>
        <v>0.029002320185614883</v>
      </c>
      <c r="H33" s="67">
        <f>H31/G31-1</f>
        <v>-0.001311013575079456</v>
      </c>
      <c r="I33" s="39"/>
    </row>
    <row r="34">
      <c r="A34" s="3"/>
      <c r="B34" s="71" t="s">
        <v>122</v>
      </c>
      <c r="C34" s="66">
        <f>C162-(C11+C28)</f>
        <v>0</v>
      </c>
      <c r="D34" s="66">
        <f>D162-(D11+D28)</f>
        <v>1</v>
      </c>
      <c r="E34" s="66">
        <f>E35-(E11+E28)</f>
        <v>0</v>
      </c>
      <c r="F34" s="66">
        <f>F162-(F11+F28)</f>
        <v>0</v>
      </c>
      <c r="G34" s="66">
        <f>G162-(G11+G28)</f>
        <v>0</v>
      </c>
      <c r="H34" s="75">
        <v>0</v>
      </c>
      <c r="I34" s="39" t="s">
        <v>123</v>
      </c>
    </row>
    <row r="35">
      <c r="A35" s="3"/>
      <c r="B35" s="56" t="s">
        <v>294</v>
      </c>
      <c r="C35" s="45">
        <f>C11+C28+C34</f>
        <v>893</v>
      </c>
      <c r="D35" s="45">
        <f>D11+D28+D34</f>
        <v>892</v>
      </c>
      <c r="E35" s="83">
        <f>C35+D35+Inputs!C219+Inputs!D219</f>
        <v>3433</v>
      </c>
      <c r="F35" s="45">
        <f>F11+F28+F34</f>
        <v>865</v>
      </c>
      <c r="G35" s="45">
        <f>G11+G28+G34</f>
        <v>890</v>
      </c>
      <c r="H35" s="68">
        <f>H11+H28+H34</f>
        <v>888.8371309589045</v>
      </c>
      <c r="I35" s="39"/>
    </row>
    <row r="36">
      <c r="A36" s="3"/>
      <c r="B36" s="71" t="s">
        <v>79</v>
      </c>
      <c r="C36" s="12"/>
      <c r="D36" s="12"/>
      <c r="E36" s="12"/>
      <c r="F36" s="47">
        <f>F35/Inputs!C219-1</f>
        <v>0.06134969325153383</v>
      </c>
      <c r="G36" s="47">
        <f>G35/Inputs!D219-1</f>
        <v>0.06842737094837936</v>
      </c>
      <c r="H36" s="67">
        <f>H35/C35-1</f>
        <v>-0.004661667459233465</v>
      </c>
      <c r="I36" s="39"/>
    </row>
    <row r="37">
      <c r="A37" s="3"/>
      <c r="B37" s="71" t="s">
        <v>80</v>
      </c>
      <c r="C37" s="12"/>
      <c r="D37" s="12">
        <f>D35/C35-1</f>
        <v>-0.0011198208286674616</v>
      </c>
      <c r="E37" s="12"/>
      <c r="F37" s="12">
        <f>F35/D35-1</f>
        <v>-0.030269058295964157</v>
      </c>
      <c r="G37" s="12">
        <f>G35/F35-1</f>
        <v>0.028901734104046284</v>
      </c>
      <c r="H37" s="67">
        <f>H35/G35-1</f>
        <v>-0.0013065944281972497</v>
      </c>
      <c r="I37" s="39"/>
    </row>
    <row r="38">
      <c r="A38" s="3"/>
      <c r="B38" s="56" t="s">
        <v>223</v>
      </c>
      <c r="C38" s="10"/>
      <c r="D38" s="10"/>
      <c r="E38" s="10"/>
      <c r="F38" s="10"/>
      <c r="G38" s="10"/>
      <c r="H38" s="50"/>
      <c r="I38" s="39"/>
    </row>
    <row r="39">
      <c r="A39" s="3"/>
      <c r="B39" s="48" t="s">
        <v>295</v>
      </c>
      <c r="C39" s="62">
        <v>209</v>
      </c>
      <c r="D39" s="62">
        <v>213</v>
      </c>
      <c r="E39" s="43">
        <f>C39+D39+Inputs!C220+Inputs!D220</f>
        <v>829</v>
      </c>
      <c r="F39" s="62">
        <v>211</v>
      </c>
      <c r="G39" s="62">
        <v>215</v>
      </c>
      <c r="H39" s="40">
        <v>217</v>
      </c>
      <c r="I39" s="39" t="s">
        <v>296</v>
      </c>
    </row>
    <row r="40">
      <c r="A40" s="3"/>
      <c r="B40" s="92" t="s">
        <v>131</v>
      </c>
      <c r="C40" s="18"/>
      <c r="D40" s="18"/>
      <c r="E40" s="18"/>
      <c r="F40" s="43">
        <f>(F39-Inputs!C220)</f>
        <v>10</v>
      </c>
      <c r="G40" s="43">
        <f>(G39-Inputs!D220)</f>
        <v>9</v>
      </c>
      <c r="H40" s="46">
        <f>(H39-C39)</f>
        <v>8</v>
      </c>
      <c r="I40" s="39"/>
    </row>
    <row r="41">
      <c r="A41" s="3"/>
      <c r="B41" s="92" t="s">
        <v>108</v>
      </c>
      <c r="C41" s="18"/>
      <c r="D41" s="18">
        <f>(D39-C39)</f>
        <v>4</v>
      </c>
      <c r="E41" s="18"/>
      <c r="F41" s="18">
        <f>(F39-D39)</f>
        <v>-2</v>
      </c>
      <c r="G41" s="18">
        <f>(G39-F39)</f>
        <v>4</v>
      </c>
      <c r="H41" s="46">
        <f>(H39-G39)</f>
        <v>2</v>
      </c>
      <c r="I41" s="39"/>
    </row>
    <row r="42" ht="37.875">
      <c r="A42" s="3"/>
      <c r="B42" s="48" t="s">
        <v>297</v>
      </c>
      <c r="C42" s="62">
        <v>79</v>
      </c>
      <c r="D42" s="62">
        <v>87</v>
      </c>
      <c r="E42" s="43">
        <f>C42+D42+Inputs!C221+Inputs!D221</f>
        <v>320</v>
      </c>
      <c r="F42" s="62">
        <v>79</v>
      </c>
      <c r="G42" s="62">
        <v>76</v>
      </c>
      <c r="H42" s="40">
        <v>76</v>
      </c>
      <c r="I42" s="168" t="s">
        <v>298</v>
      </c>
    </row>
    <row r="43">
      <c r="A43" s="3"/>
      <c r="B43" s="92" t="s">
        <v>131</v>
      </c>
      <c r="C43" s="18"/>
      <c r="D43" s="18"/>
      <c r="E43" s="18"/>
      <c r="F43" s="43">
        <f>(F42-Inputs!C221)</f>
        <v>-2</v>
      </c>
      <c r="G43" s="43">
        <f>(G42-Inputs!D221)</f>
        <v>3</v>
      </c>
      <c r="H43" s="46">
        <f>(H42-C42)</f>
        <v>-3</v>
      </c>
      <c r="I43" s="39"/>
    </row>
    <row r="44">
      <c r="A44" s="3"/>
      <c r="B44" s="92" t="s">
        <v>108</v>
      </c>
      <c r="C44" s="18"/>
      <c r="D44" s="18">
        <f>(D42-C42)</f>
        <v>8</v>
      </c>
      <c r="E44" s="18"/>
      <c r="F44" s="18">
        <f>(F42-D42)</f>
        <v>-8</v>
      </c>
      <c r="G44" s="18">
        <f>(G42-F42)</f>
        <v>-3</v>
      </c>
      <c r="H44" s="46">
        <f>(H42-G42)</f>
        <v>0</v>
      </c>
      <c r="I44" s="39"/>
    </row>
    <row r="45">
      <c r="A45" s="3"/>
      <c r="B45" s="48" t="s">
        <v>299</v>
      </c>
      <c r="C45" s="62">
        <v>8</v>
      </c>
      <c r="D45" s="62">
        <v>3</v>
      </c>
      <c r="E45" s="43">
        <f>C45+D45+Inputs!C222+Inputs!D222</f>
        <v>11</v>
      </c>
      <c r="F45" s="62">
        <v>-2</v>
      </c>
      <c r="G45" s="62">
        <v>13</v>
      </c>
      <c r="H45" s="73">
        <f>'Revenue summary'!H104</f>
        <v>4</v>
      </c>
      <c r="I45" s="39" t="s">
        <v>300</v>
      </c>
    </row>
    <row r="46">
      <c r="A46" s="3"/>
      <c r="B46" s="53" t="s">
        <v>122</v>
      </c>
      <c r="C46" s="66">
        <f>C163-(C39+C42+C45)</f>
        <v>0</v>
      </c>
      <c r="D46" s="66">
        <f>D163-(D39+D42+D45)</f>
        <v>0</v>
      </c>
      <c r="E46" s="66">
        <f>E47-(E39+E42+E45)</f>
        <v>0</v>
      </c>
      <c r="F46" s="66">
        <f>F163-(F39+F42+F45)</f>
        <v>1</v>
      </c>
      <c r="G46" s="66">
        <f>G163-(G39+G42+G45)</f>
        <v>0</v>
      </c>
      <c r="H46" s="75">
        <v>0</v>
      </c>
      <c r="I46" s="39" t="s">
        <v>123</v>
      </c>
    </row>
    <row r="47">
      <c r="A47" s="3"/>
      <c r="B47" s="42" t="s">
        <v>301</v>
      </c>
      <c r="C47" s="45">
        <f>C39+C42+C45+C46</f>
        <v>296</v>
      </c>
      <c r="D47" s="45">
        <f>D39+D42+D45+D46</f>
        <v>303</v>
      </c>
      <c r="E47" s="83">
        <f>C47+D47+Inputs!C223+Inputs!D223</f>
        <v>1160</v>
      </c>
      <c r="F47" s="45">
        <f>F39+F42+F45+F46</f>
        <v>289</v>
      </c>
      <c r="G47" s="45">
        <f>G39+G42+G45+G46</f>
        <v>304</v>
      </c>
      <c r="H47" s="68">
        <f>H39+H42+H45+H46</f>
        <v>297</v>
      </c>
      <c r="I47" s="39"/>
    </row>
    <row r="48">
      <c r="A48" s="3"/>
      <c r="B48" s="38" t="s">
        <v>302</v>
      </c>
      <c r="C48" s="62">
        <v>80</v>
      </c>
      <c r="D48" s="62">
        <v>83</v>
      </c>
      <c r="E48" s="43">
        <f>C48+D48+Inputs!C224+Inputs!D224</f>
        <v>320</v>
      </c>
      <c r="F48" s="62">
        <v>84</v>
      </c>
      <c r="G48" s="62">
        <v>86</v>
      </c>
      <c r="H48" s="40">
        <v>87</v>
      </c>
      <c r="I48" s="39"/>
    </row>
    <row r="49">
      <c r="A49" s="3"/>
      <c r="B49" s="48" t="s">
        <v>131</v>
      </c>
      <c r="C49" s="18"/>
      <c r="D49" s="18"/>
      <c r="E49" s="18"/>
      <c r="F49" s="43">
        <f>(F48-Inputs!C224)</f>
        <v>6</v>
      </c>
      <c r="G49" s="43">
        <f>(G48-Inputs!D224)</f>
        <v>7</v>
      </c>
      <c r="H49" s="46">
        <f>(H48-C48)</f>
        <v>7</v>
      </c>
      <c r="I49" s="39"/>
    </row>
    <row r="50">
      <c r="A50" s="3"/>
      <c r="B50" s="48" t="s">
        <v>108</v>
      </c>
      <c r="C50" s="18"/>
      <c r="D50" s="18">
        <f>(D48-C48)</f>
        <v>3</v>
      </c>
      <c r="E50" s="18"/>
      <c r="F50" s="18">
        <f>(F48-D48)</f>
        <v>1</v>
      </c>
      <c r="G50" s="18">
        <f>(G48-F48)</f>
        <v>2</v>
      </c>
      <c r="H50" s="46">
        <f>(H48-G48)</f>
        <v>1</v>
      </c>
      <c r="I50" s="39"/>
    </row>
    <row r="51">
      <c r="A51" s="3"/>
      <c r="B51" s="38" t="s">
        <v>303</v>
      </c>
      <c r="C51" s="62">
        <v>79</v>
      </c>
      <c r="D51" s="62">
        <v>95</v>
      </c>
      <c r="E51" s="43">
        <f>C51+D51+Inputs!C225+Inputs!D225</f>
        <v>308</v>
      </c>
      <c r="F51" s="62">
        <v>69</v>
      </c>
      <c r="G51" s="62">
        <v>79</v>
      </c>
      <c r="H51" s="40">
        <v>73</v>
      </c>
      <c r="I51" s="39" t="s">
        <v>304</v>
      </c>
    </row>
    <row r="52">
      <c r="A52" s="3"/>
      <c r="B52" s="48" t="s">
        <v>131</v>
      </c>
      <c r="C52" s="18"/>
      <c r="D52" s="18"/>
      <c r="E52" s="18"/>
      <c r="F52" s="43">
        <f>(F51-Inputs!C225)</f>
        <v>6</v>
      </c>
      <c r="G52" s="43">
        <f>(G51-Inputs!D225)</f>
        <v>8</v>
      </c>
      <c r="H52" s="46">
        <f>(H51-C51)</f>
        <v>-6</v>
      </c>
      <c r="I52" s="39"/>
    </row>
    <row r="53">
      <c r="A53" s="3"/>
      <c r="B53" s="48" t="s">
        <v>108</v>
      </c>
      <c r="C53" s="18"/>
      <c r="D53" s="18">
        <f>(D51-C51)</f>
        <v>16</v>
      </c>
      <c r="E53" s="18"/>
      <c r="F53" s="18">
        <f>(F51-D51)</f>
        <v>-26</v>
      </c>
      <c r="G53" s="18">
        <f>(G51-F51)</f>
        <v>10</v>
      </c>
      <c r="H53" s="46">
        <f>(H51-G51)</f>
        <v>-6</v>
      </c>
      <c r="I53" s="39"/>
    </row>
    <row r="54">
      <c r="A54" s="3"/>
      <c r="B54" s="38" t="s">
        <v>305</v>
      </c>
      <c r="C54" s="62">
        <v>9</v>
      </c>
      <c r="D54" s="62">
        <v>9</v>
      </c>
      <c r="E54" s="43">
        <f>C54+D54+Inputs!C226+Inputs!D226</f>
        <v>38</v>
      </c>
      <c r="F54" s="62">
        <v>8</v>
      </c>
      <c r="G54" s="62">
        <v>8</v>
      </c>
      <c r="H54" s="40">
        <v>8</v>
      </c>
      <c r="I54" s="39"/>
    </row>
    <row r="55">
      <c r="A55" s="3"/>
      <c r="B55" s="48" t="s">
        <v>131</v>
      </c>
      <c r="C55" s="18"/>
      <c r="D55" s="18"/>
      <c r="E55" s="18"/>
      <c r="F55" s="43">
        <f>(F54-Inputs!C226)</f>
        <v>-2</v>
      </c>
      <c r="G55" s="43">
        <f>(G54-Inputs!D226)</f>
        <v>-2</v>
      </c>
      <c r="H55" s="46">
        <f>(H54-C54)</f>
        <v>-1</v>
      </c>
      <c r="I55" s="39"/>
    </row>
    <row r="56">
      <c r="A56" s="3"/>
      <c r="B56" s="48" t="s">
        <v>108</v>
      </c>
      <c r="C56" s="18"/>
      <c r="D56" s="18">
        <f>(D54-C54)</f>
        <v>0</v>
      </c>
      <c r="E56" s="18"/>
      <c r="F56" s="18">
        <f>(F54-D54)</f>
        <v>-1</v>
      </c>
      <c r="G56" s="18">
        <f>(G54-F54)</f>
        <v>0</v>
      </c>
      <c r="H56" s="46">
        <f>(H54-G54)</f>
        <v>0</v>
      </c>
      <c r="I56" s="39"/>
    </row>
    <row r="57">
      <c r="A57" s="3"/>
      <c r="B57" s="38" t="s">
        <v>306</v>
      </c>
      <c r="C57" s="62">
        <v>87</v>
      </c>
      <c r="D57" s="62">
        <v>55</v>
      </c>
      <c r="E57" s="43">
        <f>C57+D57+Inputs!C227+Inputs!D227</f>
        <v>250</v>
      </c>
      <c r="F57" s="62">
        <v>55</v>
      </c>
      <c r="G57" s="62">
        <v>53</v>
      </c>
      <c r="H57" s="46">
        <f>H58+H102+H103</f>
        <v>60</v>
      </c>
      <c r="I57" s="39"/>
    </row>
    <row r="58" ht="37.875">
      <c r="A58" s="3"/>
      <c r="B58" s="53" t="s">
        <v>307</v>
      </c>
      <c r="C58" s="66">
        <f>C57-(C102+C103)</f>
        <v>79</v>
      </c>
      <c r="D58" s="66">
        <f>D57-(D102+D103)</f>
        <v>52</v>
      </c>
      <c r="E58" s="66">
        <f>E57-(E102+E103)</f>
        <v>234</v>
      </c>
      <c r="F58" s="66">
        <f>F57-(F102+F103)</f>
        <v>55</v>
      </c>
      <c r="G58" s="66">
        <f>G57-(G102+G103)</f>
        <v>48</v>
      </c>
      <c r="H58" s="75">
        <v>55</v>
      </c>
      <c r="I58" s="149" t="s">
        <v>308</v>
      </c>
    </row>
    <row r="59" ht="26.25">
      <c r="A59" s="3"/>
      <c r="B59" s="92" t="s">
        <v>131</v>
      </c>
      <c r="C59" s="18"/>
      <c r="D59" s="18"/>
      <c r="E59" s="18"/>
      <c r="F59" s="43">
        <f>F58-(Inputs!C227-(Inputs!C240+Inputs!C241))</f>
        <v>3</v>
      </c>
      <c r="G59" s="43">
        <f>G58-(Inputs!D227-(Inputs!D240+Inputs!D241))</f>
        <v>-3</v>
      </c>
      <c r="H59" s="46">
        <f>H58-C58</f>
        <v>-24</v>
      </c>
      <c r="I59" s="149" t="s">
        <v>309</v>
      </c>
    </row>
    <row r="60">
      <c r="A60" s="3"/>
      <c r="B60" s="92" t="s">
        <v>108</v>
      </c>
      <c r="C60" s="18"/>
      <c r="D60" s="18">
        <f>D58-C58</f>
        <v>-27</v>
      </c>
      <c r="E60" s="18"/>
      <c r="F60" s="18">
        <f>F58-D58</f>
        <v>3</v>
      </c>
      <c r="G60" s="18">
        <f>G58-F58</f>
        <v>-7</v>
      </c>
      <c r="H60" s="46">
        <f>H58-G58</f>
        <v>7</v>
      </c>
      <c r="I60" s="39"/>
    </row>
    <row r="61">
      <c r="A61" s="3"/>
      <c r="B61" s="71" t="s">
        <v>122</v>
      </c>
      <c r="C61" s="66">
        <f>C164-(C47+C48+C51+C54+C57)</f>
        <v>0</v>
      </c>
      <c r="D61" s="66">
        <f>D164-(D47+D48+D51+D54+D57)</f>
        <v>0</v>
      </c>
      <c r="E61" s="66">
        <f>E62-(E47+E48+E51+E54+E57)</f>
        <v>-1</v>
      </c>
      <c r="F61" s="66">
        <f>F164-(F47+F48+F51+F54+F57)</f>
        <v>0</v>
      </c>
      <c r="G61" s="66">
        <f>G164-(G47+G48+G51+G54+G57)</f>
        <v>1</v>
      </c>
      <c r="H61" s="75">
        <v>0</v>
      </c>
      <c r="I61" s="39" t="s">
        <v>123</v>
      </c>
    </row>
    <row r="62">
      <c r="A62" s="3"/>
      <c r="B62" s="56" t="s">
        <v>310</v>
      </c>
      <c r="C62" s="45">
        <f>C47+C48+C51+C54+C57+C61</f>
        <v>551</v>
      </c>
      <c r="D62" s="45">
        <f>D47+D48+D51+D54+D57+D61</f>
        <v>545</v>
      </c>
      <c r="E62" s="83">
        <f>C62+D62+Inputs!C228+Inputs!D228</f>
        <v>2075</v>
      </c>
      <c r="F62" s="45">
        <f>F47+F48+F51+F54+F57+F61</f>
        <v>505</v>
      </c>
      <c r="G62" s="45">
        <f>G47+G48+G51+G54+G57+G61</f>
        <v>531</v>
      </c>
      <c r="H62" s="68">
        <f>H47+H48+H51+H54+H57+H61</f>
        <v>525</v>
      </c>
      <c r="I62" s="39"/>
    </row>
    <row r="63">
      <c r="A63" s="3"/>
      <c r="B63" s="71" t="s">
        <v>79</v>
      </c>
      <c r="C63" s="12"/>
      <c r="D63" s="12"/>
      <c r="E63" s="12"/>
      <c r="F63" s="47">
        <f>F62/Inputs!C228-1</f>
        <v>0.0348360655737705</v>
      </c>
      <c r="G63" s="47">
        <f>G62/Inputs!D228-1</f>
        <v>0.08146639511201625</v>
      </c>
      <c r="H63" s="67">
        <f>H62/C62-1</f>
        <v>-0.047186932849364815</v>
      </c>
      <c r="I63" s="39"/>
    </row>
    <row r="64">
      <c r="A64" s="3"/>
      <c r="B64" s="71" t="s">
        <v>80</v>
      </c>
      <c r="C64" s="12"/>
      <c r="D64" s="12">
        <f>D62/C62-1</f>
        <v>-0.010889292196007205</v>
      </c>
      <c r="E64" s="12"/>
      <c r="F64" s="12">
        <f>F62/D62-1</f>
        <v>-0.07339449541284404</v>
      </c>
      <c r="G64" s="12">
        <f>G62/F62-1</f>
        <v>0.05148514851485153</v>
      </c>
      <c r="H64" s="67">
        <f>H62/G62-1</f>
        <v>-0.011299435028248594</v>
      </c>
      <c r="I64" s="39"/>
    </row>
    <row r="65">
      <c r="A65" s="3"/>
      <c r="B65" s="71" t="s">
        <v>122</v>
      </c>
      <c r="C65" s="66">
        <f>C165-(C31-C62)</f>
        <v>1</v>
      </c>
      <c r="D65" s="66">
        <f>D165-(D31-D62)</f>
        <v>0</v>
      </c>
      <c r="E65" s="66">
        <f>E66-(E31-E62)</f>
        <v>2</v>
      </c>
      <c r="F65" s="66">
        <f>F165-(F31-F62)</f>
        <v>0</v>
      </c>
      <c r="G65" s="66">
        <f>G165-(G31-G62)</f>
        <v>0</v>
      </c>
      <c r="H65" s="75">
        <v>0</v>
      </c>
      <c r="I65" s="39" t="s">
        <v>123</v>
      </c>
    </row>
    <row r="66">
      <c r="A66" s="3"/>
      <c r="B66" s="56" t="s">
        <v>311</v>
      </c>
      <c r="C66" s="45">
        <f>C31-C62+C65</f>
        <v>339</v>
      </c>
      <c r="D66" s="45">
        <f>D31-D62+D65</f>
        <v>343</v>
      </c>
      <c r="E66" s="83">
        <f>C66+D66+Inputs!C229+Inputs!D229</f>
        <v>1346</v>
      </c>
      <c r="F66" s="45">
        <f>F31-F62+F65</f>
        <v>357</v>
      </c>
      <c r="G66" s="45">
        <f>G31-G62+G65</f>
        <v>356</v>
      </c>
      <c r="H66" s="68">
        <f>H31-H62+H65</f>
        <v>360.8371309589045</v>
      </c>
      <c r="I66" s="39"/>
    </row>
    <row r="67">
      <c r="A67" s="3"/>
      <c r="B67" s="71" t="s">
        <v>79</v>
      </c>
      <c r="C67" s="12"/>
      <c r="D67" s="12"/>
      <c r="E67" s="12"/>
      <c r="F67" s="47">
        <f>F66/Inputs!C229-1</f>
        <v>0.09846153846153838</v>
      </c>
      <c r="G67" s="47">
        <f>G66/Inputs!D229-1</f>
        <v>0.05014749262536866</v>
      </c>
      <c r="H67" s="67">
        <f>H66/C66-1</f>
        <v>0.06441631551299265</v>
      </c>
      <c r="I67" s="39"/>
    </row>
    <row r="68">
      <c r="A68" s="3"/>
      <c r="B68" s="71" t="s">
        <v>80</v>
      </c>
      <c r="C68" s="12"/>
      <c r="D68" s="12">
        <f>D66/C66-1</f>
        <v>0.01179941002949847</v>
      </c>
      <c r="E68" s="12"/>
      <c r="F68" s="12">
        <f>F66/D66-1</f>
        <v>0.04081632653061229</v>
      </c>
      <c r="G68" s="12">
        <f>G66/F66-1</f>
        <v>-0.0028011204481792618</v>
      </c>
      <c r="H68" s="67">
        <f>H66/G66-1</f>
        <v>0.013587446513776635</v>
      </c>
      <c r="I68" s="39"/>
    </row>
    <row r="69">
      <c r="A69" s="3"/>
      <c r="B69" s="38" t="s">
        <v>225</v>
      </c>
      <c r="C69" s="62">
        <v>-5</v>
      </c>
      <c r="D69" s="62">
        <v>0</v>
      </c>
      <c r="E69" s="43">
        <f>C69+D69+Inputs!C230+Inputs!D230</f>
        <v>65</v>
      </c>
      <c r="F69" s="62">
        <v>15</v>
      </c>
      <c r="G69" s="62">
        <v>15</v>
      </c>
      <c r="H69" s="40">
        <v>20</v>
      </c>
      <c r="I69" s="39" t="s">
        <v>312</v>
      </c>
    </row>
    <row r="70">
      <c r="A70" s="3"/>
      <c r="B70" s="48" t="s">
        <v>131</v>
      </c>
      <c r="C70" s="18"/>
      <c r="D70" s="18"/>
      <c r="E70" s="18"/>
      <c r="F70" s="43">
        <f>(F69-Inputs!C230)</f>
        <v>-25</v>
      </c>
      <c r="G70" s="43">
        <f>(G69-Inputs!D230)</f>
        <v>-15</v>
      </c>
      <c r="H70" s="46">
        <f>(H69-C69)</f>
        <v>25</v>
      </c>
      <c r="I70" s="39"/>
    </row>
    <row r="71">
      <c r="A71" s="3"/>
      <c r="B71" s="48" t="s">
        <v>108</v>
      </c>
      <c r="C71" s="18"/>
      <c r="D71" s="18">
        <f>(D69-C69)</f>
        <v>5</v>
      </c>
      <c r="E71" s="18"/>
      <c r="F71" s="18">
        <f>(F69-D69)</f>
        <v>15</v>
      </c>
      <c r="G71" s="18">
        <f>(G69-F69)</f>
        <v>0</v>
      </c>
      <c r="H71" s="46">
        <f>(H69-G69)</f>
        <v>5</v>
      </c>
      <c r="I71" s="39"/>
    </row>
    <row r="72">
      <c r="A72" s="3"/>
      <c r="B72" s="56" t="s">
        <v>226</v>
      </c>
      <c r="C72" s="45">
        <f>C66-C69</f>
        <v>344</v>
      </c>
      <c r="D72" s="45">
        <f>D66-D69</f>
        <v>343</v>
      </c>
      <c r="E72" s="45">
        <f>E66-E69</f>
        <v>1281</v>
      </c>
      <c r="F72" s="45">
        <f>F66-F69</f>
        <v>342</v>
      </c>
      <c r="G72" s="45">
        <f>G66-G69</f>
        <v>341</v>
      </c>
      <c r="H72" s="68">
        <f>H66-H69</f>
        <v>340.8371309589045</v>
      </c>
      <c r="I72" s="39"/>
    </row>
    <row r="73">
      <c r="A73" s="3"/>
      <c r="B73" s="71" t="s">
        <v>79</v>
      </c>
      <c r="C73" s="12"/>
      <c r="D73" s="12"/>
      <c r="E73" s="12"/>
      <c r="F73" s="47">
        <f>F72/Inputs!C231-1</f>
        <v>0.19999999999999996</v>
      </c>
      <c r="G73" s="47">
        <f>G72/Inputs!D231-1</f>
        <v>0.10355987055016191</v>
      </c>
      <c r="H73" s="67">
        <f>H72/C72-1</f>
        <v>-0.00919438674737072</v>
      </c>
      <c r="I73" s="39"/>
    </row>
    <row r="74">
      <c r="A74" s="3"/>
      <c r="B74" s="71" t="s">
        <v>80</v>
      </c>
      <c r="C74" s="12"/>
      <c r="D74" s="12">
        <f>D72/C72-1</f>
        <v>-0.0029069767441860517</v>
      </c>
      <c r="E74" s="12"/>
      <c r="F74" s="12">
        <f>F72/D72-1</f>
        <v>-0.002915451895043719</v>
      </c>
      <c r="G74" s="12">
        <f>G72/F72-1</f>
        <v>-0.0029239766081871066</v>
      </c>
      <c r="H74" s="67">
        <f>H72/G72-1</f>
        <v>-0.0004776218213944361</v>
      </c>
      <c r="I74" s="39"/>
    </row>
    <row r="75">
      <c r="A75" s="3"/>
      <c r="B75" s="38" t="s">
        <v>313</v>
      </c>
      <c r="C75" s="62">
        <v>78</v>
      </c>
      <c r="D75" s="62">
        <v>78</v>
      </c>
      <c r="E75" s="43">
        <f>C75+D75+Inputs!C232+Inputs!D232</f>
        <v>283</v>
      </c>
      <c r="F75" s="62">
        <v>76</v>
      </c>
      <c r="G75" s="62">
        <v>66</v>
      </c>
      <c r="H75" s="46">
        <f>H72*H139</f>
        <v>75.83626163835625</v>
      </c>
      <c r="I75" s="39"/>
    </row>
    <row r="76">
      <c r="A76" s="3"/>
      <c r="B76" s="71" t="s">
        <v>122</v>
      </c>
      <c r="C76" s="66">
        <f>C166-(C72-C75)</f>
        <v>0</v>
      </c>
      <c r="D76" s="66">
        <f>D166-(D72-D75)</f>
        <v>1</v>
      </c>
      <c r="E76" s="66">
        <f>E77-(E72-E75)</f>
        <v>0</v>
      </c>
      <c r="F76" s="66">
        <f>F166-(F72-F75)</f>
        <v>0</v>
      </c>
      <c r="G76" s="66">
        <f>G166-(G72-G75)</f>
        <v>-1</v>
      </c>
      <c r="H76" s="75">
        <v>0</v>
      </c>
      <c r="I76" s="39" t="s">
        <v>123</v>
      </c>
    </row>
    <row r="77">
      <c r="A77" s="3"/>
      <c r="B77" s="56" t="s">
        <v>314</v>
      </c>
      <c r="C77" s="45">
        <f>C72-C75+C76</f>
        <v>266</v>
      </c>
      <c r="D77" s="45">
        <f>D72-D75+D76</f>
        <v>266</v>
      </c>
      <c r="E77" s="83">
        <f>C77+D77+Inputs!C233+Inputs!D233</f>
        <v>998</v>
      </c>
      <c r="F77" s="45">
        <f>F72-F75+F76</f>
        <v>266</v>
      </c>
      <c r="G77" s="45">
        <f>G72-G75+G76</f>
        <v>274</v>
      </c>
      <c r="H77" s="68">
        <f>H72-H75+H76</f>
        <v>265.00086932054825</v>
      </c>
      <c r="I77" s="39"/>
    </row>
    <row r="78">
      <c r="A78" s="3"/>
      <c r="B78" s="38" t="s">
        <v>315</v>
      </c>
      <c r="C78" s="62">
        <v>4</v>
      </c>
      <c r="D78" s="62">
        <v>4</v>
      </c>
      <c r="E78" s="43">
        <f>C78+D78+Inputs!C234+Inputs!D234</f>
        <v>16</v>
      </c>
      <c r="F78" s="62">
        <v>3</v>
      </c>
      <c r="G78" s="62">
        <v>4</v>
      </c>
      <c r="H78" s="40">
        <v>4</v>
      </c>
      <c r="I78" s="39" t="s">
        <v>316</v>
      </c>
    </row>
    <row r="79">
      <c r="A79" s="3"/>
      <c r="B79" s="48" t="s">
        <v>131</v>
      </c>
      <c r="C79" s="18"/>
      <c r="D79" s="18"/>
      <c r="E79" s="18"/>
      <c r="F79" s="43">
        <f>(F78-Inputs!C234)</f>
        <v>-1</v>
      </c>
      <c r="G79" s="43">
        <f>(G78-Inputs!D234)</f>
        <v>0</v>
      </c>
      <c r="H79" s="46">
        <f>(H78-C78)</f>
        <v>0</v>
      </c>
      <c r="I79" s="39"/>
    </row>
    <row r="80">
      <c r="A80" s="3"/>
      <c r="B80" s="48" t="s">
        <v>108</v>
      </c>
      <c r="C80" s="18"/>
      <c r="D80" s="18">
        <f>(D78-C78)</f>
        <v>0</v>
      </c>
      <c r="E80" s="18"/>
      <c r="F80" s="18">
        <f>(F78-D78)</f>
        <v>-1</v>
      </c>
      <c r="G80" s="18">
        <f>(G78-F78)</f>
        <v>1</v>
      </c>
      <c r="H80" s="46">
        <f>(H78-G78)</f>
        <v>0</v>
      </c>
      <c r="I80" s="39"/>
    </row>
    <row r="81">
      <c r="A81" s="3"/>
      <c r="B81" s="71" t="s">
        <v>122</v>
      </c>
      <c r="C81" s="66">
        <f>C167-(C77-C78)</f>
        <v>0</v>
      </c>
      <c r="D81" s="66">
        <f>D167-(D77-D78)</f>
        <v>0</v>
      </c>
      <c r="E81" s="66">
        <f>E82-(E77-E78)</f>
        <v>0</v>
      </c>
      <c r="F81" s="66">
        <f>F167-(F77-F78)</f>
        <v>0</v>
      </c>
      <c r="G81" s="66">
        <f>G167-(G77-G78)</f>
        <v>1</v>
      </c>
      <c r="H81" s="75">
        <v>0</v>
      </c>
      <c r="I81" s="39" t="s">
        <v>123</v>
      </c>
    </row>
    <row r="82">
      <c r="A82" s="3"/>
      <c r="B82" s="56" t="s">
        <v>317</v>
      </c>
      <c r="C82" s="45">
        <f>C77-C78+C81</f>
        <v>262</v>
      </c>
      <c r="D82" s="45">
        <f>D77-D78+D81</f>
        <v>262</v>
      </c>
      <c r="E82" s="83">
        <f>C82+D82+Inputs!C235+Inputs!D235</f>
        <v>982</v>
      </c>
      <c r="F82" s="45">
        <f>F77-F78+F81</f>
        <v>263</v>
      </c>
      <c r="G82" s="45">
        <f>G77-G78+G81</f>
        <v>271</v>
      </c>
      <c r="H82" s="68">
        <f>H77-H78+H81</f>
        <v>261.00086932054825</v>
      </c>
      <c r="I82" s="39"/>
    </row>
    <row r="83" ht="49.5">
      <c r="A83" s="3"/>
      <c r="B83" s="38" t="s">
        <v>318</v>
      </c>
      <c r="C83" s="62">
        <v>8</v>
      </c>
      <c r="D83" s="62">
        <v>5</v>
      </c>
      <c r="E83" s="43">
        <f>C83+D83+Inputs!C236+Inputs!D236</f>
        <v>26</v>
      </c>
      <c r="F83" s="62">
        <v>5</v>
      </c>
      <c r="G83" s="62">
        <v>10</v>
      </c>
      <c r="H83" s="46">
        <f>H152+H155+H158</f>
        <v>10.95</v>
      </c>
      <c r="I83" s="149" t="s">
        <v>319</v>
      </c>
    </row>
    <row r="84">
      <c r="A84" s="3"/>
      <c r="B84" s="71" t="s">
        <v>122</v>
      </c>
      <c r="C84" s="66">
        <f>C168-(C82-C83)</f>
        <v>0</v>
      </c>
      <c r="D84" s="66">
        <f>D168-(D82-D83)</f>
        <v>0</v>
      </c>
      <c r="E84" s="66">
        <f>E85-(E82-E83)</f>
        <v>1</v>
      </c>
      <c r="F84" s="66">
        <f>F168-(F82-F83)</f>
        <v>-1</v>
      </c>
      <c r="G84" s="66">
        <f>G168-(G82-G83)</f>
        <v>-1</v>
      </c>
      <c r="H84" s="75">
        <v>0</v>
      </c>
      <c r="I84" s="39" t="s">
        <v>123</v>
      </c>
    </row>
    <row r="85">
      <c r="A85" s="3"/>
      <c r="B85" s="56" t="s">
        <v>320</v>
      </c>
      <c r="C85" s="45">
        <f>C82-C83+C84</f>
        <v>254</v>
      </c>
      <c r="D85" s="45">
        <f>D82-D83+D84</f>
        <v>257</v>
      </c>
      <c r="E85" s="83">
        <f>C85+D85+Inputs!C237+Inputs!D237</f>
        <v>957</v>
      </c>
      <c r="F85" s="45">
        <f>F82-F83+F84</f>
        <v>257</v>
      </c>
      <c r="G85" s="45">
        <f>G82-G83+G84</f>
        <v>260</v>
      </c>
      <c r="H85" s="68">
        <f>H82-H83+H84</f>
        <v>250.05086932054826</v>
      </c>
      <c r="I85" s="39"/>
    </row>
    <row r="86">
      <c r="A86" s="3"/>
      <c r="B86" s="71" t="s">
        <v>79</v>
      </c>
      <c r="C86" s="12"/>
      <c r="D86" s="12"/>
      <c r="E86" s="12"/>
      <c r="F86" s="47">
        <f>F85/Inputs!C237-1</f>
        <v>0.20657276995305174</v>
      </c>
      <c r="G86" s="47">
        <f>G85/Inputs!D237-1</f>
        <v>0.11587982832618016</v>
      </c>
      <c r="H86" s="67">
        <f>H85/C85-1</f>
        <v>-0.015547758580518711</v>
      </c>
      <c r="I86" s="39"/>
    </row>
    <row r="87">
      <c r="A87" s="3"/>
      <c r="B87" s="71" t="s">
        <v>80</v>
      </c>
      <c r="C87" s="12"/>
      <c r="D87" s="12">
        <f>D85/C85-1</f>
        <v>0.011811023622047223</v>
      </c>
      <c r="E87" s="12"/>
      <c r="F87" s="12">
        <f>F85/D85-1</f>
        <v>0</v>
      </c>
      <c r="G87" s="12">
        <f>G85/F85-1</f>
        <v>0.011673151750972721</v>
      </c>
      <c r="H87" s="67">
        <f>H85/G85-1</f>
        <v>-0.03826588722866053</v>
      </c>
      <c r="I87" s="39"/>
    </row>
    <row r="88">
      <c r="A88" s="3"/>
      <c r="B88" s="3"/>
      <c r="C88" s="10"/>
      <c r="D88" s="10"/>
      <c r="E88" s="10"/>
      <c r="F88" s="10"/>
      <c r="G88" s="10"/>
      <c r="H88" s="50"/>
      <c r="I88" s="39"/>
    </row>
    <row r="89">
      <c r="A89" s="3"/>
      <c r="B89" s="56" t="s">
        <v>321</v>
      </c>
      <c r="C89" s="10"/>
      <c r="D89" s="10"/>
      <c r="E89" s="10"/>
      <c r="F89" s="10"/>
      <c r="G89" s="10"/>
      <c r="H89" s="50"/>
      <c r="I89" s="39"/>
    </row>
    <row r="90">
      <c r="A90" s="3"/>
      <c r="B90" s="38" t="s">
        <v>322</v>
      </c>
      <c r="C90" s="43">
        <f>'Share Count'!C29</f>
        <v>505</v>
      </c>
      <c r="D90" s="43">
        <f>'Share Count'!D29</f>
        <v>491</v>
      </c>
      <c r="E90" s="43">
        <f>'Share Count'!E29</f>
        <v>505</v>
      </c>
      <c r="F90" s="43">
        <f>'Share Count'!F29</f>
        <v>480</v>
      </c>
      <c r="G90" s="43">
        <f>'Share Count'!G29</f>
        <v>475</v>
      </c>
      <c r="H90" s="73">
        <f>'Share Count'!H29</f>
        <v>472.06666666666666</v>
      </c>
      <c r="I90" s="39"/>
    </row>
    <row r="91">
      <c r="A91" s="3"/>
      <c r="B91" s="38" t="s">
        <v>323</v>
      </c>
      <c r="C91" s="43">
        <f>'Share Count'!C35</f>
        <v>510</v>
      </c>
      <c r="D91" s="43">
        <f>'Share Count'!D35</f>
        <v>496</v>
      </c>
      <c r="E91" s="43">
        <f>'Share Count'!E35</f>
        <v>511</v>
      </c>
      <c r="F91" s="43">
        <f>'Share Count'!F35</f>
        <v>487</v>
      </c>
      <c r="G91" s="43">
        <f>'Share Count'!G35</f>
        <v>480</v>
      </c>
      <c r="H91" s="73">
        <f>'Share Count'!H35</f>
        <v>477.06666666666666</v>
      </c>
      <c r="I91" s="39"/>
    </row>
    <row r="92">
      <c r="A92" s="3"/>
      <c r="B92" s="38" t="s">
        <v>324</v>
      </c>
      <c r="C92" s="142">
        <f>C85/C90</f>
        <v>0.502970297029703</v>
      </c>
      <c r="D92" s="142">
        <f>D85/D90</f>
        <v>0.5234215885947047</v>
      </c>
      <c r="E92" s="142">
        <f>E85/E90</f>
        <v>1.895049504950495</v>
      </c>
      <c r="F92" s="142">
        <f>F85/F90</f>
        <v>0.5354166666666667</v>
      </c>
      <c r="G92" s="142">
        <f>G85/G90</f>
        <v>0.5473684210526316</v>
      </c>
      <c r="H92" s="148">
        <f>H85/H90</f>
        <v>0.5296939754001163</v>
      </c>
      <c r="I92" s="39"/>
    </row>
    <row r="93">
      <c r="A93" s="3"/>
      <c r="B93" s="53" t="s">
        <v>325</v>
      </c>
      <c r="C93" s="150">
        <v>0.5</v>
      </c>
      <c r="D93" s="150">
        <v>0.52</v>
      </c>
      <c r="E93" s="150">
        <v>1.89</v>
      </c>
      <c r="F93" s="150">
        <v>0.54</v>
      </c>
      <c r="G93" s="150">
        <v>0.55</v>
      </c>
      <c r="H93" s="153"/>
      <c r="I93" s="39"/>
    </row>
    <row r="94">
      <c r="A94" s="3"/>
      <c r="B94" s="56" t="s">
        <v>326</v>
      </c>
      <c r="C94" s="152">
        <f>C85/C91</f>
        <v>0.4980392156862745</v>
      </c>
      <c r="D94" s="152">
        <f>D85/D91</f>
        <v>0.5181451612903226</v>
      </c>
      <c r="E94" s="152">
        <f>E85/E91</f>
        <v>1.8727984344422701</v>
      </c>
      <c r="F94" s="152">
        <f>F85/F91</f>
        <v>0.5277207392197125</v>
      </c>
      <c r="G94" s="152">
        <f>G85/G91</f>
        <v>0.5416666666666666</v>
      </c>
      <c r="H94" s="154">
        <f>H85/H91</f>
        <v>0.5241424035506183</v>
      </c>
      <c r="I94" s="39"/>
    </row>
    <row r="95" ht="26.25">
      <c r="A95" s="3"/>
      <c r="B95" s="71" t="s">
        <v>79</v>
      </c>
      <c r="C95" s="12"/>
      <c r="D95" s="12"/>
      <c r="E95" s="12"/>
      <c r="F95" s="47">
        <f>F94/Inputs!C238-1</f>
        <v>0.28712375419442093</v>
      </c>
      <c r="G95" s="47">
        <f>G94/Inputs!D238-1</f>
        <v>0.2037037037037035</v>
      </c>
      <c r="H95" s="67">
        <f>H94/C94-1</f>
        <v>0.0524119126410052</v>
      </c>
      <c r="I95" s="149" t="s">
        <v>327</v>
      </c>
    </row>
    <row r="96">
      <c r="A96" s="3"/>
      <c r="B96" s="53" t="s">
        <v>328</v>
      </c>
      <c r="C96" s="150">
        <v>0.5</v>
      </c>
      <c r="D96" s="150">
        <v>0.52</v>
      </c>
      <c r="E96" s="150">
        <v>1.87</v>
      </c>
      <c r="F96" s="150">
        <v>0.53</v>
      </c>
      <c r="G96" s="150">
        <v>0.54</v>
      </c>
      <c r="H96" s="153"/>
      <c r="I96" s="39"/>
    </row>
    <row r="97">
      <c r="A97" s="3"/>
      <c r="B97" s="53" t="s">
        <v>329</v>
      </c>
      <c r="C97" s="151">
        <f>C94-C96</f>
        <v>-0.0019607843137254832</v>
      </c>
      <c r="D97" s="151">
        <f>D94-D96</f>
        <v>-0.0018548387096773977</v>
      </c>
      <c r="E97" s="151">
        <f>E94-E96</f>
        <v>0.0027984344422700147</v>
      </c>
      <c r="F97" s="151">
        <f>F94-F96</f>
        <v>-0.0022792607802875064</v>
      </c>
      <c r="G97" s="151">
        <f>G94-G96</f>
        <v>0.0016666666666665941</v>
      </c>
      <c r="H97" s="153"/>
      <c r="I97" s="39"/>
    </row>
    <row r="98">
      <c r="A98" s="3"/>
      <c r="B98" s="3"/>
      <c r="C98" s="10"/>
      <c r="D98" s="10"/>
      <c r="E98" s="10"/>
      <c r="F98" s="10"/>
      <c r="G98" s="10"/>
      <c r="H98" s="50"/>
      <c r="I98" s="39"/>
    </row>
    <row r="99">
      <c r="A99" s="3"/>
      <c r="B99" s="56" t="s">
        <v>330</v>
      </c>
      <c r="C99" s="10"/>
      <c r="D99" s="10"/>
      <c r="E99" s="10"/>
      <c r="F99" s="10"/>
      <c r="G99" s="10"/>
      <c r="H99" s="50"/>
      <c r="I99" s="39"/>
    </row>
    <row r="100">
      <c r="A100" s="3"/>
      <c r="B100" s="38" t="s">
        <v>331</v>
      </c>
      <c r="C100" s="18">
        <f>C85</f>
        <v>254</v>
      </c>
      <c r="D100" s="18">
        <f>D85</f>
        <v>257</v>
      </c>
      <c r="E100" s="18">
        <f>E85</f>
        <v>957</v>
      </c>
      <c r="F100" s="18">
        <f>F85</f>
        <v>257</v>
      </c>
      <c r="G100" s="18">
        <f>G85</f>
        <v>260</v>
      </c>
      <c r="H100" s="46">
        <f>H85</f>
        <v>250.05086932054826</v>
      </c>
      <c r="I100" s="39"/>
    </row>
    <row r="101">
      <c r="A101" s="3"/>
      <c r="B101" s="48" t="s">
        <v>332</v>
      </c>
      <c r="C101" s="62">
        <v>0</v>
      </c>
      <c r="D101" s="62">
        <v>0</v>
      </c>
      <c r="E101" s="43">
        <f>C101+D101+Inputs!C239+Inputs!D239</f>
        <v>-4</v>
      </c>
      <c r="F101" s="62">
        <v>0</v>
      </c>
      <c r="G101" s="62">
        <v>0</v>
      </c>
      <c r="H101" s="40">
        <v>0</v>
      </c>
      <c r="I101" s="39"/>
    </row>
    <row r="102">
      <c r="A102" s="3"/>
      <c r="B102" s="48" t="s">
        <v>333</v>
      </c>
      <c r="C102" s="62">
        <v>-2</v>
      </c>
      <c r="D102" s="62">
        <v>-7</v>
      </c>
      <c r="E102" s="43">
        <f>C102+D102+Inputs!C240+Inputs!D240</f>
        <v>-9</v>
      </c>
      <c r="F102" s="62">
        <v>0</v>
      </c>
      <c r="G102" s="62">
        <v>0</v>
      </c>
      <c r="H102" s="40">
        <v>0</v>
      </c>
      <c r="I102" s="39"/>
    </row>
    <row r="103">
      <c r="A103" s="3"/>
      <c r="B103" s="48" t="s">
        <v>334</v>
      </c>
      <c r="C103" s="62">
        <v>10</v>
      </c>
      <c r="D103" s="62">
        <v>10</v>
      </c>
      <c r="E103" s="43">
        <f>C103+D103+Inputs!C241+Inputs!D241</f>
        <v>25</v>
      </c>
      <c r="F103" s="62">
        <v>0</v>
      </c>
      <c r="G103" s="62">
        <v>5</v>
      </c>
      <c r="H103" s="40">
        <v>5</v>
      </c>
      <c r="I103" s="39" t="s">
        <v>335</v>
      </c>
    </row>
    <row r="104">
      <c r="A104" s="3"/>
      <c r="B104" s="92" t="s">
        <v>131</v>
      </c>
      <c r="C104" s="18"/>
      <c r="D104" s="18"/>
      <c r="E104" s="18"/>
      <c r="F104" s="43">
        <f>(F103-Inputs!C241)</f>
        <v>-5</v>
      </c>
      <c r="G104" s="43">
        <f>(G103-Inputs!D241)</f>
        <v>5</v>
      </c>
      <c r="H104" s="46">
        <f>(H103-C103)</f>
        <v>-5</v>
      </c>
      <c r="I104" s="39"/>
    </row>
    <row r="105">
      <c r="A105" s="3"/>
      <c r="B105" s="92" t="s">
        <v>108</v>
      </c>
      <c r="C105" s="18"/>
      <c r="D105" s="18">
        <f>(D103-C103)</f>
        <v>0</v>
      </c>
      <c r="E105" s="18"/>
      <c r="F105" s="18">
        <f>(F103-D103)</f>
        <v>-10</v>
      </c>
      <c r="G105" s="18">
        <f>(G103-F103)</f>
        <v>5</v>
      </c>
      <c r="H105" s="46">
        <f>(H103-G103)</f>
        <v>0</v>
      </c>
      <c r="I105" s="39"/>
    </row>
    <row r="106">
      <c r="A106" s="3"/>
      <c r="B106" s="53" t="s">
        <v>122</v>
      </c>
      <c r="C106" s="66">
        <f>C169-(C101+C102+C103)</f>
        <v>0</v>
      </c>
      <c r="D106" s="66">
        <f>D169-(D101+D102+D103)</f>
        <v>0</v>
      </c>
      <c r="E106" s="66">
        <f>E107-(E101+E102+E103)</f>
        <v>1</v>
      </c>
      <c r="F106" s="66">
        <f>F169-(F101+F102+F103)</f>
        <v>0</v>
      </c>
      <c r="G106" s="66">
        <f>G169-(G101+G102+G103)</f>
        <v>0</v>
      </c>
      <c r="H106" s="75">
        <v>0</v>
      </c>
      <c r="I106" s="39" t="s">
        <v>123</v>
      </c>
    </row>
    <row r="107">
      <c r="A107" s="3"/>
      <c r="B107" s="42" t="s">
        <v>336</v>
      </c>
      <c r="C107" s="45">
        <f>C101+C102+C103+C106</f>
        <v>8</v>
      </c>
      <c r="D107" s="45">
        <f>D101+D102+D103+D106</f>
        <v>3</v>
      </c>
      <c r="E107" s="83">
        <f>C107+D107+Inputs!C242+Inputs!D242</f>
        <v>13</v>
      </c>
      <c r="F107" s="45">
        <f>F101+F102+F103+F106</f>
        <v>0</v>
      </c>
      <c r="G107" s="45">
        <f>G101+G102+G103+G106</f>
        <v>5</v>
      </c>
      <c r="H107" s="68">
        <f>H101+H102+H103+H106</f>
        <v>5</v>
      </c>
      <c r="I107" s="39"/>
    </row>
    <row r="108">
      <c r="A108" s="3"/>
      <c r="B108" s="48" t="s">
        <v>337</v>
      </c>
      <c r="C108" s="62">
        <v>-2</v>
      </c>
      <c r="D108" s="62">
        <v>-1</v>
      </c>
      <c r="E108" s="43">
        <f>C108+D108+Inputs!C243+Inputs!D243</f>
        <v>-3</v>
      </c>
      <c r="F108" s="62">
        <v>0</v>
      </c>
      <c r="G108" s="62">
        <v>-1</v>
      </c>
      <c r="H108" s="46">
        <f>-H107*H139</f>
        <v>-1.1125</v>
      </c>
      <c r="I108" s="39"/>
    </row>
    <row r="109">
      <c r="A109" s="3"/>
      <c r="B109" s="48" t="s">
        <v>338</v>
      </c>
      <c r="C109" s="62">
        <v>3</v>
      </c>
      <c r="D109" s="62">
        <v>0</v>
      </c>
      <c r="E109" s="43">
        <f>C109+D109+Inputs!C244+Inputs!D244</f>
        <v>3</v>
      </c>
      <c r="F109" s="62">
        <v>0</v>
      </c>
      <c r="G109" s="62">
        <v>-3</v>
      </c>
      <c r="H109" s="40">
        <v>0</v>
      </c>
      <c r="I109" s="39" t="s">
        <v>339</v>
      </c>
    </row>
    <row r="110">
      <c r="A110" s="3"/>
      <c r="B110" s="71" t="s">
        <v>122</v>
      </c>
      <c r="C110" s="66">
        <f>C170-(C100+C107+C108+C109)</f>
        <v>0</v>
      </c>
      <c r="D110" s="66">
        <f>D170-(D100+D107+D108+D109)</f>
        <v>0</v>
      </c>
      <c r="E110" s="66">
        <f>E111-(E100+E107+E108+E109)</f>
        <v>-2</v>
      </c>
      <c r="F110" s="66">
        <f>F170-(F100+F107+F108+F109)</f>
        <v>0</v>
      </c>
      <c r="G110" s="66">
        <f>G170-(G100+G107+G108+G109)</f>
        <v>1</v>
      </c>
      <c r="H110" s="75">
        <v>0</v>
      </c>
      <c r="I110" s="39" t="s">
        <v>123</v>
      </c>
    </row>
    <row r="111">
      <c r="A111" s="3"/>
      <c r="B111" s="56" t="s">
        <v>340</v>
      </c>
      <c r="C111" s="45">
        <f>C100+C107+C108+C109+C110</f>
        <v>263</v>
      </c>
      <c r="D111" s="45">
        <f>D100+D107+D108+D109+D110</f>
        <v>259</v>
      </c>
      <c r="E111" s="83">
        <f>C111+D111+Inputs!C245+Inputs!D245</f>
        <v>968</v>
      </c>
      <c r="F111" s="45">
        <f>F100+F107+F108+F109+F110</f>
        <v>257</v>
      </c>
      <c r="G111" s="45">
        <f>G100+G107+G108+G109+G110</f>
        <v>262</v>
      </c>
      <c r="H111" s="68">
        <f>H100+H107+H108+H109+H110</f>
        <v>253.93836932054825</v>
      </c>
      <c r="I111" s="39"/>
    </row>
    <row r="112">
      <c r="A112" s="3"/>
      <c r="B112" s="71" t="s">
        <v>79</v>
      </c>
      <c r="C112" s="12"/>
      <c r="D112" s="12"/>
      <c r="E112" s="12"/>
      <c r="F112" s="47">
        <f>F111/Inputs!C245-1</f>
        <v>0.18433179723502313</v>
      </c>
      <c r="G112" s="47">
        <f>G111/Inputs!D245-1</f>
        <v>0.14410480349344978</v>
      </c>
      <c r="H112" s="67">
        <f>H111/C111-1</f>
        <v>-0.03445486950361887</v>
      </c>
      <c r="I112" s="39"/>
    </row>
    <row r="113">
      <c r="A113" s="3"/>
      <c r="B113" s="71" t="s">
        <v>80</v>
      </c>
      <c r="C113" s="12"/>
      <c r="D113" s="12">
        <f>D111/C111-1</f>
        <v>-0.01520912547528519</v>
      </c>
      <c r="E113" s="12"/>
      <c r="F113" s="12">
        <f>F111/D111-1</f>
        <v>-0.007722007722007707</v>
      </c>
      <c r="G113" s="12">
        <f>G111/F111-1</f>
        <v>0.01945525291828787</v>
      </c>
      <c r="H113" s="67">
        <f>H111/G111-1</f>
        <v>-0.030769582745999058</v>
      </c>
      <c r="I113" s="39"/>
    </row>
    <row r="114">
      <c r="A114" s="3"/>
      <c r="B114" s="56" t="s">
        <v>341</v>
      </c>
      <c r="C114" s="152">
        <f>C111/C91</f>
        <v>0.515686274509804</v>
      </c>
      <c r="D114" s="152">
        <f>D111/D91</f>
        <v>0.5221774193548387</v>
      </c>
      <c r="E114" s="152">
        <f>E111/E91</f>
        <v>1.8943248532289627</v>
      </c>
      <c r="F114" s="152">
        <f>F111/F91</f>
        <v>0.5277207392197125</v>
      </c>
      <c r="G114" s="152">
        <f>G111/G91</f>
        <v>0.5458333333333333</v>
      </c>
      <c r="H114" s="154">
        <f>H111/H91</f>
        <v>0.5322911598390475</v>
      </c>
      <c r="I114" s="39"/>
    </row>
    <row r="115" ht="26.25">
      <c r="A115" s="3"/>
      <c r="B115" s="71" t="s">
        <v>79</v>
      </c>
      <c r="C115" s="12"/>
      <c r="D115" s="12"/>
      <c r="E115" s="12"/>
      <c r="F115" s="47">
        <f>F114/Inputs!C246-1</f>
        <v>0.25647795052312516</v>
      </c>
      <c r="G115" s="47">
        <f>G114/Inputs!D246-1</f>
        <v>0.2129629629629628</v>
      </c>
      <c r="H115" s="67">
        <f>H114/C114-1</f>
        <v>0.03219958752058627</v>
      </c>
      <c r="I115" s="149" t="s">
        <v>342</v>
      </c>
    </row>
    <row r="116">
      <c r="A116" s="3"/>
      <c r="B116" s="53" t="s">
        <v>343</v>
      </c>
      <c r="C116" s="150">
        <v>0.51</v>
      </c>
      <c r="D116" s="150">
        <v>0.52</v>
      </c>
      <c r="E116" s="150">
        <v>1.89</v>
      </c>
      <c r="F116" s="150">
        <v>0.53</v>
      </c>
      <c r="G116" s="150">
        <v>0.54</v>
      </c>
      <c r="H116" s="153"/>
      <c r="I116" s="39"/>
    </row>
    <row r="117" ht="37.875">
      <c r="A117" s="3"/>
      <c r="B117" s="53" t="s">
        <v>329</v>
      </c>
      <c r="C117" s="151">
        <f>C114-C116</f>
        <v>0.005686274509803968</v>
      </c>
      <c r="D117" s="151">
        <f>D114-D116</f>
        <v>0.0021774193548387277</v>
      </c>
      <c r="E117" s="151">
        <f>E114-E116</f>
        <v>0.0043248532289628105</v>
      </c>
      <c r="F117" s="151">
        <f>F114-F116</f>
        <v>-0.0022792607802875064</v>
      </c>
      <c r="G117" s="151">
        <f>G114-G116</f>
        <v>0.005833333333333246</v>
      </c>
      <c r="H117" s="153"/>
      <c r="I117" s="149" t="s">
        <v>344</v>
      </c>
    </row>
    <row r="118" ht="26.25">
      <c r="A118" s="3"/>
      <c r="B118" s="56" t="s">
        <v>345</v>
      </c>
      <c r="C118" s="152">
        <f>C114</f>
        <v>0.515686274509804</v>
      </c>
      <c r="D118" s="152">
        <f>D114</f>
        <v>0.5221774193548387</v>
      </c>
      <c r="E118" s="152">
        <f>E114</f>
        <v>1.8943248532289627</v>
      </c>
      <c r="F118" s="152">
        <f>F114</f>
        <v>0.5277207392197125</v>
      </c>
      <c r="G118" s="152">
        <f>G114</f>
        <v>0.5458333333333333</v>
      </c>
      <c r="H118" s="154">
        <f>H114</f>
        <v>0.5322911598390475</v>
      </c>
      <c r="I118" s="149" t="s">
        <v>346</v>
      </c>
    </row>
    <row r="119">
      <c r="A119" s="3"/>
      <c r="B119" s="38" t="s">
        <v>47</v>
      </c>
      <c r="C119" s="142">
        <f>C94</f>
        <v>0.4980392156862745</v>
      </c>
      <c r="D119" s="142">
        <f>D94</f>
        <v>0.5181451612903226</v>
      </c>
      <c r="E119" s="142">
        <f>E94</f>
        <v>1.8727984344422701</v>
      </c>
      <c r="F119" s="142">
        <f>F94</f>
        <v>0.5277207392197125</v>
      </c>
      <c r="G119" s="142">
        <f>G94</f>
        <v>0.5416666666666666</v>
      </c>
      <c r="H119" s="148">
        <f>H94</f>
        <v>0.5241424035506183</v>
      </c>
      <c r="I119" s="39"/>
    </row>
    <row r="120">
      <c r="A120" s="3"/>
      <c r="B120" s="3"/>
      <c r="C120" s="10"/>
      <c r="D120" s="10"/>
      <c r="E120" s="10"/>
      <c r="F120" s="10"/>
      <c r="G120" s="10"/>
      <c r="H120" s="50"/>
      <c r="I120" s="39"/>
    </row>
    <row r="121">
      <c r="A121" s="3"/>
      <c r="B121" s="56" t="s">
        <v>347</v>
      </c>
      <c r="C121" s="10"/>
      <c r="D121" s="10"/>
      <c r="E121" s="10"/>
      <c r="F121" s="10"/>
      <c r="G121" s="10"/>
      <c r="H121" s="50"/>
      <c r="I121" s="39"/>
    </row>
    <row r="122">
      <c r="A122" s="3"/>
      <c r="B122" s="38" t="s">
        <v>348</v>
      </c>
      <c r="C122" s="18">
        <f>C62-C107</f>
        <v>543</v>
      </c>
      <c r="D122" s="18">
        <f>D62-D107</f>
        <v>542</v>
      </c>
      <c r="E122" s="18">
        <f>E62-E107</f>
        <v>2062</v>
      </c>
      <c r="F122" s="18">
        <f>F62-F107</f>
        <v>505</v>
      </c>
      <c r="G122" s="18">
        <f>G62-G107</f>
        <v>526</v>
      </c>
      <c r="H122" s="46">
        <f>H62-H107</f>
        <v>520</v>
      </c>
      <c r="I122" s="39"/>
    </row>
    <row r="123">
      <c r="A123" s="3"/>
      <c r="B123" s="38" t="s">
        <v>349</v>
      </c>
      <c r="C123" s="18">
        <f>C122-C45</f>
        <v>535</v>
      </c>
      <c r="D123" s="18">
        <f>D122-D45</f>
        <v>539</v>
      </c>
      <c r="E123" s="18">
        <f>E122-E45</f>
        <v>2051</v>
      </c>
      <c r="F123" s="18">
        <f>F122-F45</f>
        <v>507</v>
      </c>
      <c r="G123" s="18">
        <f>G122-G45</f>
        <v>513</v>
      </c>
      <c r="H123" s="46">
        <f>H122-H45</f>
        <v>516</v>
      </c>
      <c r="I123" s="39"/>
    </row>
    <row r="124">
      <c r="A124" s="3"/>
      <c r="B124" s="48" t="s">
        <v>108</v>
      </c>
      <c r="C124" s="18"/>
      <c r="D124" s="18">
        <f>(D123-C123)</f>
        <v>4</v>
      </c>
      <c r="E124" s="18"/>
      <c r="F124" s="18">
        <f>(F123-D123)</f>
        <v>-32</v>
      </c>
      <c r="G124" s="18">
        <f>(G123-F123)</f>
        <v>6</v>
      </c>
      <c r="H124" s="46">
        <f>(H123-G123)</f>
        <v>3</v>
      </c>
      <c r="I124" s="39"/>
    </row>
    <row r="125">
      <c r="A125" s="3"/>
      <c r="B125" s="42" t="s">
        <v>350</v>
      </c>
      <c r="C125" s="45">
        <f>C35-C122</f>
        <v>350</v>
      </c>
      <c r="D125" s="45">
        <f>D35-D122</f>
        <v>350</v>
      </c>
      <c r="E125" s="45">
        <f>E35-E122</f>
        <v>1371</v>
      </c>
      <c r="F125" s="45">
        <f>F35-F122</f>
        <v>360</v>
      </c>
      <c r="G125" s="45">
        <f>G35-G122</f>
        <v>364</v>
      </c>
      <c r="H125" s="68">
        <f>H35-H122</f>
        <v>368.8371309589045</v>
      </c>
      <c r="I125" s="39"/>
    </row>
    <row r="126">
      <c r="A126" s="3"/>
      <c r="B126" s="48" t="s">
        <v>108</v>
      </c>
      <c r="C126" s="18"/>
      <c r="D126" s="18">
        <f>(D125-C125)</f>
        <v>0</v>
      </c>
      <c r="E126" s="18"/>
      <c r="F126" s="18">
        <f>(F125-D125)</f>
        <v>10</v>
      </c>
      <c r="G126" s="18">
        <f>(G125-F125)</f>
        <v>4</v>
      </c>
      <c r="H126" s="46">
        <f>(H125-G125)</f>
        <v>4.837130958904481</v>
      </c>
      <c r="I126" s="39"/>
    </row>
    <row r="127">
      <c r="A127" s="3"/>
      <c r="B127" s="38" t="s">
        <v>351</v>
      </c>
      <c r="C127" s="18">
        <f>C72+C107</f>
        <v>352</v>
      </c>
      <c r="D127" s="18">
        <f>D72+D107</f>
        <v>346</v>
      </c>
      <c r="E127" s="18">
        <f>E72+E107</f>
        <v>1294</v>
      </c>
      <c r="F127" s="18">
        <f>F72+F107</f>
        <v>342</v>
      </c>
      <c r="G127" s="18">
        <f>G72+G107</f>
        <v>346</v>
      </c>
      <c r="H127" s="46">
        <f>H72+H107</f>
        <v>345.8371309589045</v>
      </c>
      <c r="I127" s="39"/>
    </row>
    <row r="128">
      <c r="A128" s="3"/>
      <c r="B128" s="3"/>
      <c r="C128" s="10"/>
      <c r="D128" s="10"/>
      <c r="E128" s="10"/>
      <c r="F128" s="10"/>
      <c r="G128" s="10"/>
      <c r="H128" s="50"/>
      <c r="I128" s="39"/>
    </row>
    <row r="129">
      <c r="A129" s="3"/>
      <c r="B129" s="56" t="s">
        <v>352</v>
      </c>
      <c r="C129" s="10"/>
      <c r="D129" s="10"/>
      <c r="E129" s="10"/>
      <c r="F129" s="10"/>
      <c r="G129" s="10"/>
      <c r="H129" s="50"/>
      <c r="I129" s="39"/>
    </row>
    <row r="130">
      <c r="A130" s="3"/>
      <c r="B130" s="71" t="s">
        <v>353</v>
      </c>
      <c r="C130" s="12">
        <f>C62/(C35-C26)</f>
        <v>0.6170212765957447</v>
      </c>
      <c r="D130" s="12">
        <f>D62/(D35-D26)</f>
        <v>0.6109865470852018</v>
      </c>
      <c r="E130" s="12">
        <f>E62/(E35-E26)</f>
        <v>0.6044276143314885</v>
      </c>
      <c r="F130" s="12">
        <f>F62/(F35-F26)</f>
        <v>0.5831408775981525</v>
      </c>
      <c r="G130" s="12">
        <f>G62/(G35-G26)</f>
        <v>0.596629213483146</v>
      </c>
      <c r="H130" s="67">
        <f>H62/(H35-H26)</f>
        <v>0.5906593927209297</v>
      </c>
      <c r="I130" s="39"/>
    </row>
    <row r="131">
      <c r="A131" s="3"/>
      <c r="B131" s="48" t="s">
        <v>154</v>
      </c>
      <c r="C131" s="31"/>
      <c r="D131" s="31">
        <f>(D130-C130)*10000</f>
        <v>-60.347295105428465</v>
      </c>
      <c r="E131" s="31"/>
      <c r="F131" s="31">
        <f>(F130-D130)*10000</f>
        <v>-278.4566948704936</v>
      </c>
      <c r="G131" s="31">
        <f>(G130-F130)*10000</f>
        <v>134.8833588499354</v>
      </c>
      <c r="H131" s="88">
        <f>(H130-G130)*10000</f>
        <v>-59.698207622163046</v>
      </c>
      <c r="I131" s="39"/>
    </row>
    <row r="132">
      <c r="A132" s="3"/>
      <c r="B132" s="48" t="s">
        <v>153</v>
      </c>
      <c r="C132" s="31"/>
      <c r="D132" s="31"/>
      <c r="E132" s="31"/>
      <c r="F132" s="60">
        <f>(F130-(Inputs!C228/(Inputs!C219-Inputs!C109)))*10000</f>
        <v>-156.32128536816836</v>
      </c>
      <c r="G132" s="60">
        <f>(G130-(Inputs!D228/(Inputs!D219-Inputs!D109)))*10000</f>
        <v>71.93439173422078</v>
      </c>
      <c r="H132" s="88">
        <f>(H130-C130)*10000</f>
        <v>-263.61883874814976</v>
      </c>
      <c r="I132" s="39"/>
    </row>
    <row r="133">
      <c r="A133" s="3"/>
      <c r="B133" s="71" t="s">
        <v>354</v>
      </c>
      <c r="C133" s="12">
        <f>C122/(C35-C26)</f>
        <v>0.6080627099664053</v>
      </c>
      <c r="D133" s="12">
        <f>D122/(D35-D26)</f>
        <v>0.6076233183856502</v>
      </c>
      <c r="E133" s="12">
        <f>E122/(E35-E26)</f>
        <v>0.6006408389163996</v>
      </c>
      <c r="F133" s="12">
        <f>F122/(F35-F26)</f>
        <v>0.5831408775981525</v>
      </c>
      <c r="G133" s="12">
        <f>G122/(G35-G26)</f>
        <v>0.5910112359550562</v>
      </c>
      <c r="H133" s="67">
        <f>H122/(H35-H26)</f>
        <v>0.5850340651712066</v>
      </c>
      <c r="I133" s="39"/>
    </row>
    <row r="134">
      <c r="A134" s="3"/>
      <c r="B134" s="48" t="s">
        <v>154</v>
      </c>
      <c r="C134" s="31"/>
      <c r="D134" s="31">
        <f>(D133-C133)*10000</f>
        <v>-4.393915807551219</v>
      </c>
      <c r="E134" s="31"/>
      <c r="F134" s="31">
        <f>(F133-D133)*10000</f>
        <v>-244.82440787497728</v>
      </c>
      <c r="G134" s="31">
        <f>(G133-F133)*10000</f>
        <v>78.7035835690375</v>
      </c>
      <c r="H134" s="88">
        <f>(H133-G133)*10000</f>
        <v>-59.77170783849628</v>
      </c>
      <c r="I134" s="39"/>
    </row>
    <row r="135">
      <c r="A135" s="3"/>
      <c r="B135" s="48" t="s">
        <v>153</v>
      </c>
      <c r="C135" s="31"/>
      <c r="D135" s="31"/>
      <c r="E135" s="31"/>
      <c r="F135" s="60">
        <f>(F133-((Inputs!C228-Inputs!C242)/(Inputs!C219-Inputs!C109)))*10000</f>
        <v>-82.7016534663283</v>
      </c>
      <c r="G135" s="60">
        <f>(G133-((Inputs!D228-Inputs!D242)/(Inputs!D219-Inputs!D109)))*10000</f>
        <v>-32.26459122975034</v>
      </c>
      <c r="H135" s="88">
        <f>(H133-C133)*10000</f>
        <v>-230.28644795198727</v>
      </c>
      <c r="I135" s="39"/>
    </row>
    <row r="136">
      <c r="A136" s="3"/>
      <c r="B136" s="71" t="s">
        <v>355</v>
      </c>
      <c r="C136" s="12">
        <f>C72/C31</f>
        <v>0.38695163104611924</v>
      </c>
      <c r="D136" s="12">
        <f>D72/D31</f>
        <v>0.38626126126126126</v>
      </c>
      <c r="E136" s="12">
        <f>E72/E31</f>
        <v>0.37467095642000586</v>
      </c>
      <c r="F136" s="12">
        <f>F72/F31</f>
        <v>0.39675174013921116</v>
      </c>
      <c r="G136" s="12">
        <f>G72/G31</f>
        <v>0.38444193912063135</v>
      </c>
      <c r="H136" s="67">
        <f>H72/H31</f>
        <v>0.3847627504504736</v>
      </c>
      <c r="I136" s="39"/>
    </row>
    <row r="137">
      <c r="A137" s="3"/>
      <c r="B137" s="48" t="s">
        <v>154</v>
      </c>
      <c r="C137" s="31"/>
      <c r="D137" s="31">
        <f>(D136-C136)*10000</f>
        <v>-6.903697848579804</v>
      </c>
      <c r="E137" s="31"/>
      <c r="F137" s="31">
        <f>(F136-D136)*10000</f>
        <v>104.90478877949904</v>
      </c>
      <c r="G137" s="31">
        <f>(G136-F136)*10000</f>
        <v>-123.09801018579813</v>
      </c>
      <c r="H137" s="88">
        <f>(H136-G136)*10000</f>
        <v>3.2081132984224103</v>
      </c>
      <c r="I137" s="39"/>
    </row>
    <row r="138">
      <c r="A138" s="3"/>
      <c r="B138" s="48" t="s">
        <v>153</v>
      </c>
      <c r="C138" s="31"/>
      <c r="D138" s="31"/>
      <c r="E138" s="31"/>
      <c r="F138" s="60">
        <f>(F136-(Inputs!C231/Inputs!C218))*10000</f>
        <v>457.66518464334325</v>
      </c>
      <c r="G138" s="60">
        <f>(G136-(Inputs!D231/Inputs!D218))*10000</f>
        <v>121.52782494125324</v>
      </c>
      <c r="H138" s="88">
        <f>(H136-C136)*10000</f>
        <v>-21.88880595645648</v>
      </c>
      <c r="I138" s="39"/>
    </row>
    <row r="139">
      <c r="A139" s="3"/>
      <c r="B139" s="71" t="s">
        <v>356</v>
      </c>
      <c r="C139" s="12">
        <f>C75/C72</f>
        <v>0.22674418604651161</v>
      </c>
      <c r="D139" s="12">
        <f>D75/D72</f>
        <v>0.22740524781341107</v>
      </c>
      <c r="E139" s="12">
        <f>E75/E72</f>
        <v>0.22092115534738485</v>
      </c>
      <c r="F139" s="12">
        <f>F75/F72</f>
        <v>0.2222222222222222</v>
      </c>
      <c r="G139" s="12">
        <f>G75/G72</f>
        <v>0.1935483870967742</v>
      </c>
      <c r="H139" s="90">
        <v>0.2225</v>
      </c>
      <c r="I139" s="39" t="s">
        <v>357</v>
      </c>
    </row>
    <row r="140">
      <c r="A140" s="3"/>
      <c r="B140" s="48" t="s">
        <v>154</v>
      </c>
      <c r="C140" s="31"/>
      <c r="D140" s="31">
        <f>(D139-C139)*10000</f>
        <v>6.610617668994512</v>
      </c>
      <c r="E140" s="31"/>
      <c r="F140" s="31">
        <f>(F139-D139)*10000</f>
        <v>-51.83025591188856</v>
      </c>
      <c r="G140" s="31">
        <f>(G139-F139)*10000</f>
        <v>-286.7383512544802</v>
      </c>
      <c r="H140" s="88">
        <f>(H139-G139)*10000</f>
        <v>289.51612903225816</v>
      </c>
      <c r="I140" s="39"/>
    </row>
    <row r="141">
      <c r="A141" s="3"/>
      <c r="B141" s="48" t="s">
        <v>153</v>
      </c>
      <c r="C141" s="31"/>
      <c r="D141" s="31"/>
      <c r="E141" s="31"/>
      <c r="F141" s="60">
        <f>(F139-(Inputs!C232/Inputs!C231))*10000</f>
        <v>11.695906432748481</v>
      </c>
      <c r="G141" s="60">
        <f>(G139-(Inputs!D232/Inputs!D231))*10000</f>
        <v>-135.71354003549447</v>
      </c>
      <c r="H141" s="88">
        <f>(H139-C139)*10000</f>
        <v>-42.44186046511611</v>
      </c>
      <c r="I141" s="39"/>
    </row>
    <row r="142">
      <c r="A142" s="3"/>
      <c r="B142" s="71" t="s">
        <v>358</v>
      </c>
      <c r="C142" s="164">
        <f>'Revenue summary'!C326</f>
        <v>0.035378410463328944</v>
      </c>
      <c r="D142" s="164">
        <f>'Revenue summary'!D326</f>
        <v>0.034972914635805284</v>
      </c>
      <c r="E142" s="164">
        <f>'Revenue summary'!E326</f>
        <v>0.03471115734583426</v>
      </c>
      <c r="F142" s="164">
        <f>'Revenue summary'!F326</f>
        <v>0.03532989497103397</v>
      </c>
      <c r="G142" s="164">
        <f>'Revenue summary'!G326</f>
        <v>0.03493408848719264</v>
      </c>
      <c r="H142" s="165">
        <f>'Revenue summary'!H326</f>
        <v>0.0348118689252277</v>
      </c>
      <c r="I142" s="39"/>
    </row>
    <row r="143">
      <c r="A143" s="3"/>
      <c r="B143" s="48" t="s">
        <v>154</v>
      </c>
      <c r="C143" s="31"/>
      <c r="D143" s="31">
        <f>(D142-C142)*10000</f>
        <v>-4.0549582752365945</v>
      </c>
      <c r="E143" s="31"/>
      <c r="F143" s="31">
        <f>(F142-D142)*10000</f>
        <v>3.569803352286849</v>
      </c>
      <c r="G143" s="31">
        <f>(G142-F142)*10000</f>
        <v>-3.9580648384132666</v>
      </c>
      <c r="H143" s="88">
        <f>(H142-G142)*10000</f>
        <v>-1.2221956196493966</v>
      </c>
      <c r="I143" s="39"/>
    </row>
    <row r="144">
      <c r="A144" s="3"/>
      <c r="B144" s="48" t="s">
        <v>153</v>
      </c>
      <c r="C144" s="31"/>
      <c r="D144" s="31"/>
      <c r="E144" s="31"/>
      <c r="F144" s="60">
        <f>(F142-Inputs!C172/Inputs!C126*365/Inputs!C280)*10000</f>
        <v>9.520491536149297</v>
      </c>
      <c r="G144" s="60">
        <f>(G142-Inputs!D172/Inputs!D126*365/Inputs!D280)*10000</f>
        <v>8.427696567221837</v>
      </c>
      <c r="H144" s="88">
        <f>(H142-C142)*10000</f>
        <v>-5.6654153810124095</v>
      </c>
      <c r="I144" s="39"/>
    </row>
    <row r="145">
      <c r="A145" s="3"/>
      <c r="B145" s="71" t="s">
        <v>359</v>
      </c>
      <c r="C145" s="12">
        <f>C85/C31</f>
        <v>0.2857142857142857</v>
      </c>
      <c r="D145" s="12">
        <f>D85/D31</f>
        <v>0.2894144144144144</v>
      </c>
      <c r="E145" s="12">
        <f>E85/E31</f>
        <v>0.27990640538169054</v>
      </c>
      <c r="F145" s="12">
        <f>F85/F31</f>
        <v>0.29814385150812067</v>
      </c>
      <c r="G145" s="12">
        <f>G85/G31</f>
        <v>0.29312288613303267</v>
      </c>
      <c r="H145" s="67">
        <f>H85/H31</f>
        <v>0.28227634695090303</v>
      </c>
      <c r="I145" s="39"/>
    </row>
    <row r="146">
      <c r="A146" s="3"/>
      <c r="B146" s="48" t="s">
        <v>154</v>
      </c>
      <c r="C146" s="31"/>
      <c r="D146" s="31">
        <f>(D145-C145)*10000</f>
        <v>37.00128700128702</v>
      </c>
      <c r="E146" s="31"/>
      <c r="F146" s="31">
        <f>(F145-D145)*10000</f>
        <v>87.29437093706271</v>
      </c>
      <c r="G146" s="31">
        <f>(G145-F145)*10000</f>
        <v>-50.209653750880044</v>
      </c>
      <c r="H146" s="88">
        <f>(H145-G145)*10000</f>
        <v>-108.46539182129634</v>
      </c>
      <c r="I146" s="39"/>
    </row>
    <row r="147">
      <c r="A147" s="3"/>
      <c r="B147" s="48" t="s">
        <v>153</v>
      </c>
      <c r="C147" s="31"/>
      <c r="D147" s="31"/>
      <c r="E147" s="31"/>
      <c r="F147" s="60">
        <f>(F145-(Inputs!C237/Inputs!C218))*10000</f>
        <v>358.285805721601</v>
      </c>
      <c r="G147" s="60">
        <f>(G145-(Inputs!D237/Inputs!D218))*10000</f>
        <v>123.99994566767603</v>
      </c>
      <c r="H147" s="88">
        <f>(H145-C145)*10000</f>
        <v>-34.37938763382664</v>
      </c>
      <c r="I147" s="39"/>
    </row>
    <row r="148">
      <c r="A148" s="3"/>
      <c r="B148" s="3"/>
      <c r="C148" s="10"/>
      <c r="D148" s="10"/>
      <c r="E148" s="10"/>
      <c r="F148" s="10"/>
      <c r="G148" s="10"/>
      <c r="H148" s="50"/>
      <c r="I148" s="39"/>
    </row>
    <row r="149">
      <c r="A149" s="3"/>
      <c r="B149" s="56" t="s">
        <v>360</v>
      </c>
      <c r="C149" s="10"/>
      <c r="D149" s="10"/>
      <c r="E149" s="10"/>
      <c r="F149" s="10"/>
      <c r="G149" s="10"/>
      <c r="H149" s="50"/>
      <c r="I149" s="39"/>
    </row>
    <row r="150">
      <c r="A150" s="3"/>
      <c r="B150" s="38" t="s">
        <v>361</v>
      </c>
      <c r="C150" s="18"/>
      <c r="D150" s="18"/>
      <c r="E150" s="18"/>
      <c r="F150" s="18"/>
      <c r="G150" s="18"/>
      <c r="H150" s="40">
        <v>150</v>
      </c>
      <c r="I150" s="39" t="s">
        <v>362</v>
      </c>
    </row>
    <row r="151">
      <c r="A151" s="3"/>
      <c r="B151" s="71" t="s">
        <v>363</v>
      </c>
      <c r="C151" s="12"/>
      <c r="D151" s="12"/>
      <c r="E151" s="12"/>
      <c r="F151" s="12"/>
      <c r="G151" s="12"/>
      <c r="H151" s="163">
        <v>0.065</v>
      </c>
      <c r="I151" s="39" t="s">
        <v>364</v>
      </c>
    </row>
    <row r="152">
      <c r="A152" s="3"/>
      <c r="B152" s="38" t="s">
        <v>365</v>
      </c>
      <c r="C152" s="18"/>
      <c r="D152" s="18"/>
      <c r="E152" s="18"/>
      <c r="F152" s="18"/>
      <c r="G152" s="18"/>
      <c r="H152" s="46">
        <f>H150*H151/4</f>
        <v>2.4375</v>
      </c>
      <c r="I152" s="39"/>
    </row>
    <row r="153">
      <c r="A153" s="3"/>
      <c r="B153" s="38" t="s">
        <v>366</v>
      </c>
      <c r="C153" s="18"/>
      <c r="D153" s="18"/>
      <c r="E153" s="18"/>
      <c r="F153" s="18"/>
      <c r="G153" s="18"/>
      <c r="H153" s="40">
        <v>150</v>
      </c>
      <c r="I153" s="39" t="s">
        <v>367</v>
      </c>
    </row>
    <row r="154">
      <c r="A154" s="3"/>
      <c r="B154" s="71" t="s">
        <v>368</v>
      </c>
      <c r="C154" s="12"/>
      <c r="D154" s="12"/>
      <c r="E154" s="12"/>
      <c r="F154" s="12"/>
      <c r="G154" s="12"/>
      <c r="H154" s="163">
        <v>0.047</v>
      </c>
      <c r="I154" s="39" t="s">
        <v>364</v>
      </c>
    </row>
    <row r="155">
      <c r="A155" s="3"/>
      <c r="B155" s="38" t="s">
        <v>369</v>
      </c>
      <c r="C155" s="18"/>
      <c r="D155" s="18"/>
      <c r="E155" s="18"/>
      <c r="F155" s="18"/>
      <c r="G155" s="18"/>
      <c r="H155" s="46">
        <f>H153*H154/4</f>
        <v>1.7625</v>
      </c>
      <c r="I155" s="39"/>
    </row>
    <row r="156">
      <c r="A156" s="3"/>
      <c r="B156" s="38" t="s">
        <v>370</v>
      </c>
      <c r="C156" s="18"/>
      <c r="D156" s="18"/>
      <c r="E156" s="18"/>
      <c r="F156" s="18"/>
      <c r="G156" s="18"/>
      <c r="H156" s="40">
        <v>400</v>
      </c>
      <c r="I156" s="39" t="s">
        <v>371</v>
      </c>
    </row>
    <row r="157">
      <c r="A157" s="3"/>
      <c r="B157" s="71" t="s">
        <v>372</v>
      </c>
      <c r="C157" s="12"/>
      <c r="D157" s="12"/>
      <c r="E157" s="12"/>
      <c r="F157" s="12"/>
      <c r="G157" s="12"/>
      <c r="H157" s="163">
        <v>0.0675</v>
      </c>
      <c r="I157" s="39" t="s">
        <v>364</v>
      </c>
    </row>
    <row r="158">
      <c r="A158" s="3"/>
      <c r="B158" s="38" t="s">
        <v>373</v>
      </c>
      <c r="C158" s="18"/>
      <c r="D158" s="18"/>
      <c r="E158" s="18"/>
      <c r="F158" s="18"/>
      <c r="G158" s="18"/>
      <c r="H158" s="46">
        <f>H156*H157/4</f>
        <v>6.75</v>
      </c>
      <c r="I158" s="39"/>
    </row>
    <row r="159">
      <c r="A159" s="3"/>
      <c r="B159" s="3"/>
      <c r="C159" s="10"/>
      <c r="D159" s="10"/>
      <c r="E159" s="10"/>
      <c r="F159" s="10"/>
      <c r="G159" s="10"/>
      <c r="H159" s="50"/>
      <c r="I159" s="39"/>
    </row>
    <row r="160">
      <c r="A160" s="3"/>
      <c r="B160" s="56" t="s">
        <v>204</v>
      </c>
      <c r="C160" s="10"/>
      <c r="D160" s="10"/>
      <c r="E160" s="10"/>
      <c r="F160" s="10"/>
      <c r="G160" s="10"/>
      <c r="H160" s="50"/>
      <c r="I160" s="39"/>
    </row>
    <row r="161">
      <c r="A161" s="3"/>
      <c r="B161" s="71" t="s">
        <v>374</v>
      </c>
      <c r="C161" s="65">
        <v>674</v>
      </c>
      <c r="D161" s="65">
        <v>676</v>
      </c>
      <c r="E161" s="66"/>
      <c r="F161" s="65">
        <v>667</v>
      </c>
      <c r="G161" s="65">
        <v>676</v>
      </c>
      <c r="H161" s="82"/>
      <c r="I161" s="39" t="s">
        <v>206</v>
      </c>
    </row>
    <row r="162">
      <c r="A162" s="3"/>
      <c r="B162" s="71" t="s">
        <v>375</v>
      </c>
      <c r="C162" s="65">
        <v>893</v>
      </c>
      <c r="D162" s="65">
        <v>892</v>
      </c>
      <c r="E162" s="66"/>
      <c r="F162" s="65">
        <v>865</v>
      </c>
      <c r="G162" s="65">
        <v>890</v>
      </c>
      <c r="H162" s="82"/>
      <c r="I162" s="39" t="s">
        <v>206</v>
      </c>
    </row>
    <row r="163">
      <c r="A163" s="3"/>
      <c r="B163" s="71" t="s">
        <v>376</v>
      </c>
      <c r="C163" s="65">
        <v>296</v>
      </c>
      <c r="D163" s="65">
        <v>303</v>
      </c>
      <c r="E163" s="66"/>
      <c r="F163" s="65">
        <v>289</v>
      </c>
      <c r="G163" s="65">
        <v>304</v>
      </c>
      <c r="H163" s="82"/>
      <c r="I163" s="39" t="s">
        <v>206</v>
      </c>
    </row>
    <row r="164">
      <c r="A164" s="3"/>
      <c r="B164" s="71" t="s">
        <v>377</v>
      </c>
      <c r="C164" s="65">
        <v>551</v>
      </c>
      <c r="D164" s="65">
        <v>545</v>
      </c>
      <c r="E164" s="66"/>
      <c r="F164" s="65">
        <v>505</v>
      </c>
      <c r="G164" s="65">
        <v>531</v>
      </c>
      <c r="H164" s="82"/>
      <c r="I164" s="39" t="s">
        <v>206</v>
      </c>
    </row>
    <row r="165">
      <c r="A165" s="3"/>
      <c r="B165" s="71" t="s">
        <v>378</v>
      </c>
      <c r="C165" s="65">
        <v>339</v>
      </c>
      <c r="D165" s="65">
        <v>343</v>
      </c>
      <c r="E165" s="66"/>
      <c r="F165" s="65">
        <v>357</v>
      </c>
      <c r="G165" s="65">
        <v>356</v>
      </c>
      <c r="H165" s="82"/>
      <c r="I165" s="39" t="s">
        <v>206</v>
      </c>
    </row>
    <row r="166">
      <c r="A166" s="3"/>
      <c r="B166" s="71" t="s">
        <v>379</v>
      </c>
      <c r="C166" s="65">
        <v>266</v>
      </c>
      <c r="D166" s="65">
        <v>266</v>
      </c>
      <c r="E166" s="66"/>
      <c r="F166" s="65">
        <v>266</v>
      </c>
      <c r="G166" s="65">
        <v>274</v>
      </c>
      <c r="H166" s="82"/>
      <c r="I166" s="39" t="s">
        <v>206</v>
      </c>
    </row>
    <row r="167">
      <c r="A167" s="3"/>
      <c r="B167" s="71" t="s">
        <v>380</v>
      </c>
      <c r="C167" s="65">
        <v>262</v>
      </c>
      <c r="D167" s="65">
        <v>262</v>
      </c>
      <c r="E167" s="66"/>
      <c r="F167" s="65">
        <v>263</v>
      </c>
      <c r="G167" s="65">
        <v>271</v>
      </c>
      <c r="H167" s="82"/>
      <c r="I167" s="39" t="s">
        <v>206</v>
      </c>
    </row>
    <row r="168">
      <c r="A168" s="3"/>
      <c r="B168" s="71" t="s">
        <v>381</v>
      </c>
      <c r="C168" s="65">
        <v>254</v>
      </c>
      <c r="D168" s="65">
        <v>257</v>
      </c>
      <c r="E168" s="66"/>
      <c r="F168" s="65">
        <v>257</v>
      </c>
      <c r="G168" s="65">
        <v>260</v>
      </c>
      <c r="H168" s="82"/>
      <c r="I168" s="39" t="s">
        <v>206</v>
      </c>
    </row>
    <row r="169">
      <c r="A169" s="3"/>
      <c r="B169" s="71" t="s">
        <v>382</v>
      </c>
      <c r="C169" s="65">
        <v>8</v>
      </c>
      <c r="D169" s="65">
        <v>3</v>
      </c>
      <c r="E169" s="66"/>
      <c r="F169" s="65">
        <v>0</v>
      </c>
      <c r="G169" s="65">
        <v>5</v>
      </c>
      <c r="H169" s="82"/>
      <c r="I169" s="39" t="s">
        <v>206</v>
      </c>
    </row>
    <row r="170">
      <c r="A170" s="3"/>
      <c r="B170" s="71" t="s">
        <v>383</v>
      </c>
      <c r="C170" s="65">
        <v>263</v>
      </c>
      <c r="D170" s="65">
        <v>259</v>
      </c>
      <c r="E170" s="66"/>
      <c r="F170" s="65">
        <v>257</v>
      </c>
      <c r="G170" s="65">
        <v>262</v>
      </c>
      <c r="H170" s="82"/>
      <c r="I170" s="39" t="s">
        <v>206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I17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90" customWidth="1"/>
  </cols>
  <sheetData>
    <row r="1">
      <c r="A1" s="3"/>
      <c r="B1" s="37" t="s">
        <v>0</v>
      </c>
      <c r="C1" s="3"/>
      <c r="D1" s="3"/>
      <c r="E1" s="3"/>
      <c r="F1" s="3"/>
      <c r="G1" s="3"/>
      <c r="H1" s="3"/>
      <c r="I1" s="3"/>
    </row>
    <row r="2">
      <c r="A2" s="3"/>
      <c r="B2" s="56" t="s">
        <v>384</v>
      </c>
      <c r="C2" s="3"/>
      <c r="D2" s="3"/>
      <c r="E2" s="3"/>
      <c r="F2" s="3"/>
      <c r="G2" s="3"/>
      <c r="H2" s="3"/>
      <c r="I2" s="3"/>
    </row>
    <row r="3">
      <c r="A3" s="3"/>
      <c r="B3" s="32" t="s">
        <v>2</v>
      </c>
      <c r="C3" s="3"/>
      <c r="D3" s="3"/>
      <c r="E3" s="3"/>
      <c r="F3" s="3"/>
      <c r="G3" s="3"/>
      <c r="H3" s="3"/>
      <c r="I3" s="3"/>
    </row>
    <row r="4">
      <c r="A4" s="3"/>
      <c r="B4" s="24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8" t="s">
        <v>9</v>
      </c>
      <c r="I4" s="24" t="s">
        <v>75</v>
      </c>
    </row>
    <row r="5">
      <c r="A5" s="3"/>
      <c r="B5" s="13" t="s">
        <v>10</v>
      </c>
      <c r="C5" s="34">
        <v>45930</v>
      </c>
      <c r="D5" s="34">
        <v>46022</v>
      </c>
      <c r="E5" s="34">
        <v>46022</v>
      </c>
      <c r="F5" s="34">
        <v>46112</v>
      </c>
      <c r="G5" s="34">
        <v>46203</v>
      </c>
      <c r="H5" s="81">
        <v>46295</v>
      </c>
      <c r="I5" s="79"/>
    </row>
    <row r="6">
      <c r="A6" s="3"/>
      <c r="B6" s="23" t="s">
        <v>11</v>
      </c>
      <c r="C6" s="1">
        <v>92</v>
      </c>
      <c r="D6" s="1">
        <v>92</v>
      </c>
      <c r="E6" s="1">
        <v>365</v>
      </c>
      <c r="F6" s="1">
        <v>90</v>
      </c>
      <c r="G6" s="1">
        <v>91</v>
      </c>
      <c r="H6" s="84">
        <v>92</v>
      </c>
      <c r="I6" s="70"/>
    </row>
    <row r="7">
      <c r="A7" s="3"/>
      <c r="B7" s="3"/>
      <c r="C7" s="3"/>
      <c r="D7" s="3"/>
      <c r="E7" s="3"/>
      <c r="F7" s="3"/>
      <c r="G7" s="3"/>
      <c r="H7" s="57"/>
      <c r="I7" s="39"/>
    </row>
    <row r="8">
      <c r="A8" s="3"/>
      <c r="B8" s="56" t="s">
        <v>385</v>
      </c>
      <c r="C8" s="10"/>
      <c r="D8" s="10"/>
      <c r="E8" s="10"/>
      <c r="F8" s="10"/>
      <c r="G8" s="10"/>
      <c r="H8" s="50"/>
      <c r="I8" s="39"/>
    </row>
    <row r="9">
      <c r="A9" s="3"/>
      <c r="B9" s="48" t="s">
        <v>386</v>
      </c>
      <c r="C9" s="62">
        <v>34401</v>
      </c>
      <c r="D9" s="62">
        <v>35905</v>
      </c>
      <c r="E9" s="18">
        <f>D9</f>
        <v>35905</v>
      </c>
      <c r="F9" s="62">
        <v>36467</v>
      </c>
      <c r="G9" s="62">
        <v>37296</v>
      </c>
      <c r="H9" s="46">
        <f>H12+H15</f>
        <v>37287</v>
      </c>
      <c r="I9" s="39"/>
    </row>
    <row r="10">
      <c r="A10" s="3"/>
      <c r="B10" s="92" t="s">
        <v>131</v>
      </c>
      <c r="C10" s="18"/>
      <c r="D10" s="18"/>
      <c r="E10" s="18"/>
      <c r="F10" s="43">
        <f>(F9-Inputs!C247)</f>
        <v>3113</v>
      </c>
      <c r="G10" s="43">
        <f>(G9-Inputs!D247)</f>
        <v>2937</v>
      </c>
      <c r="H10" s="46">
        <f>(H9-C9)</f>
        <v>2886</v>
      </c>
      <c r="I10" s="39"/>
    </row>
    <row r="11">
      <c r="A11" s="3"/>
      <c r="B11" s="92" t="s">
        <v>108</v>
      </c>
      <c r="C11" s="18"/>
      <c r="D11" s="18">
        <f>(D9-C9)</f>
        <v>1504</v>
      </c>
      <c r="E11" s="18"/>
      <c r="F11" s="18">
        <f>(F9-D9)</f>
        <v>562</v>
      </c>
      <c r="G11" s="18">
        <f>(G9-F9)</f>
        <v>829</v>
      </c>
      <c r="H11" s="46">
        <f>(H9-G9)</f>
        <v>-9</v>
      </c>
      <c r="I11" s="39"/>
    </row>
    <row r="12">
      <c r="A12" s="3"/>
      <c r="B12" s="100" t="s">
        <v>387</v>
      </c>
      <c r="C12" s="66">
        <f>C9-C15</f>
        <v>30475</v>
      </c>
      <c r="D12" s="66">
        <f>D9-D15</f>
        <v>31202</v>
      </c>
      <c r="E12" s="66">
        <f>D12</f>
        <v>31202</v>
      </c>
      <c r="F12" s="66">
        <f>F9-F15</f>
        <v>31826</v>
      </c>
      <c r="G12" s="66">
        <f>G9-G15</f>
        <v>32537</v>
      </c>
      <c r="H12" s="75">
        <v>32987</v>
      </c>
      <c r="I12" s="39" t="s">
        <v>388</v>
      </c>
    </row>
    <row r="13">
      <c r="A13" s="3"/>
      <c r="B13" s="97" t="s">
        <v>131</v>
      </c>
      <c r="C13" s="18"/>
      <c r="D13" s="18"/>
      <c r="E13" s="18"/>
      <c r="F13" s="43">
        <f>F12-(Inputs!C247-Inputs!C248)</f>
        <v>1841</v>
      </c>
      <c r="G13" s="43">
        <f>G12-(Inputs!D247-Inputs!D248)</f>
        <v>2236</v>
      </c>
      <c r="H13" s="46">
        <f>H12-C12</f>
        <v>2512</v>
      </c>
      <c r="I13" s="39"/>
    </row>
    <row r="14">
      <c r="A14" s="3"/>
      <c r="B14" s="97" t="s">
        <v>108</v>
      </c>
      <c r="C14" s="18"/>
      <c r="D14" s="18">
        <f>D12-C12</f>
        <v>727</v>
      </c>
      <c r="E14" s="18"/>
      <c r="F14" s="18">
        <f>F12-D12</f>
        <v>624</v>
      </c>
      <c r="G14" s="18">
        <f>G12-F12</f>
        <v>711</v>
      </c>
      <c r="H14" s="46">
        <f>H12-G12</f>
        <v>450</v>
      </c>
      <c r="I14" s="39"/>
    </row>
    <row r="15">
      <c r="A15" s="3"/>
      <c r="B15" s="100" t="s">
        <v>389</v>
      </c>
      <c r="C15" s="65">
        <v>3926</v>
      </c>
      <c r="D15" s="65">
        <v>4703</v>
      </c>
      <c r="E15" s="66">
        <f>D15</f>
        <v>4703</v>
      </c>
      <c r="F15" s="65">
        <v>4641</v>
      </c>
      <c r="G15" s="65">
        <v>4759</v>
      </c>
      <c r="H15" s="75">
        <v>4300</v>
      </c>
      <c r="I15" s="39" t="s">
        <v>390</v>
      </c>
    </row>
    <row r="16">
      <c r="A16" s="3"/>
      <c r="B16" s="97" t="s">
        <v>131</v>
      </c>
      <c r="C16" s="18"/>
      <c r="D16" s="18"/>
      <c r="E16" s="18"/>
      <c r="F16" s="43">
        <f>(F15-Inputs!C248)</f>
        <v>1272</v>
      </c>
      <c r="G16" s="43">
        <f>(G15-Inputs!D248)</f>
        <v>701</v>
      </c>
      <c r="H16" s="46">
        <f>(H15-C15)</f>
        <v>374</v>
      </c>
      <c r="I16" s="39"/>
    </row>
    <row r="17">
      <c r="A17" s="3"/>
      <c r="B17" s="97" t="s">
        <v>108</v>
      </c>
      <c r="C17" s="18"/>
      <c r="D17" s="18">
        <f>(D15-C15)</f>
        <v>777</v>
      </c>
      <c r="E17" s="18"/>
      <c r="F17" s="18">
        <f>(F15-D15)</f>
        <v>-62</v>
      </c>
      <c r="G17" s="18">
        <f>(G15-F15)</f>
        <v>118</v>
      </c>
      <c r="H17" s="46">
        <f>(H15-G15)</f>
        <v>-459</v>
      </c>
      <c r="I17" s="39"/>
    </row>
    <row r="18">
      <c r="A18" s="3"/>
      <c r="B18" s="48" t="s">
        <v>391</v>
      </c>
      <c r="C18" s="62">
        <v>13674</v>
      </c>
      <c r="D18" s="62">
        <v>13563</v>
      </c>
      <c r="E18" s="18">
        <f>D18</f>
        <v>13563</v>
      </c>
      <c r="F18" s="62">
        <v>13420</v>
      </c>
      <c r="G18" s="62">
        <v>13595</v>
      </c>
      <c r="H18" s="40">
        <v>13795</v>
      </c>
      <c r="I18" s="39" t="s">
        <v>392</v>
      </c>
    </row>
    <row r="19">
      <c r="A19" s="3"/>
      <c r="B19" s="92" t="s">
        <v>131</v>
      </c>
      <c r="C19" s="18"/>
      <c r="D19" s="18"/>
      <c r="E19" s="18"/>
      <c r="F19" s="43">
        <f>(F18-Inputs!C249)</f>
        <v>-719</v>
      </c>
      <c r="G19" s="43">
        <f>(G18-Inputs!D249)</f>
        <v>-341</v>
      </c>
      <c r="H19" s="46">
        <f>(H18-C18)</f>
        <v>121</v>
      </c>
      <c r="I19" s="39"/>
    </row>
    <row r="20">
      <c r="A20" s="3"/>
      <c r="B20" s="92" t="s">
        <v>108</v>
      </c>
      <c r="C20" s="18"/>
      <c r="D20" s="18">
        <f>(D18-C18)</f>
        <v>-111</v>
      </c>
      <c r="E20" s="18"/>
      <c r="F20" s="18">
        <f>(F18-D18)</f>
        <v>-143</v>
      </c>
      <c r="G20" s="18">
        <f>(G18-F18)</f>
        <v>175</v>
      </c>
      <c r="H20" s="46">
        <f>(H18-G18)</f>
        <v>200</v>
      </c>
      <c r="I20" s="39"/>
    </row>
    <row r="21">
      <c r="A21" s="3"/>
      <c r="B21" s="53" t="s">
        <v>122</v>
      </c>
      <c r="C21" s="66">
        <f>C168-(C9+C18)</f>
        <v>1</v>
      </c>
      <c r="D21" s="66">
        <f>D168-(D9+D18)</f>
        <v>0</v>
      </c>
      <c r="E21" s="66">
        <f>D21</f>
        <v>0</v>
      </c>
      <c r="F21" s="66">
        <f>F168-(F9+F18)</f>
        <v>0</v>
      </c>
      <c r="G21" s="66">
        <f>G168-(G9+G18)</f>
        <v>0</v>
      </c>
      <c r="H21" s="75">
        <v>0</v>
      </c>
      <c r="I21" s="39" t="s">
        <v>123</v>
      </c>
    </row>
    <row r="22">
      <c r="A22" s="3"/>
      <c r="B22" s="42" t="s">
        <v>137</v>
      </c>
      <c r="C22" s="45">
        <f>C9+C18+C21</f>
        <v>48076</v>
      </c>
      <c r="D22" s="45">
        <f>D9+D18+D21</f>
        <v>49468</v>
      </c>
      <c r="E22" s="45">
        <f>D22</f>
        <v>49468</v>
      </c>
      <c r="F22" s="45">
        <f>F9+F18+F21</f>
        <v>49887</v>
      </c>
      <c r="G22" s="45">
        <f>G9+G18+G21</f>
        <v>50891</v>
      </c>
      <c r="H22" s="68">
        <f>H9+H18+H21</f>
        <v>51082</v>
      </c>
      <c r="I22" s="39"/>
    </row>
    <row r="23">
      <c r="A23" s="3"/>
      <c r="B23" s="48" t="s">
        <v>393</v>
      </c>
      <c r="C23" s="62">
        <v>14403</v>
      </c>
      <c r="D23" s="62">
        <v>14107</v>
      </c>
      <c r="E23" s="18">
        <f>D23</f>
        <v>14107</v>
      </c>
      <c r="F23" s="62">
        <v>13928</v>
      </c>
      <c r="G23" s="62">
        <v>13869</v>
      </c>
      <c r="H23" s="40">
        <v>13809</v>
      </c>
      <c r="I23" s="39"/>
    </row>
    <row r="24">
      <c r="A24" s="3"/>
      <c r="B24" s="92" t="s">
        <v>131</v>
      </c>
      <c r="C24" s="18"/>
      <c r="D24" s="18"/>
      <c r="E24" s="18"/>
      <c r="F24" s="43">
        <f>(F23-Inputs!C250)</f>
        <v>-161</v>
      </c>
      <c r="G24" s="43">
        <f>(G23-Inputs!D250)</f>
        <v>-499</v>
      </c>
      <c r="H24" s="46">
        <f>(H23-C23)</f>
        <v>-594</v>
      </c>
      <c r="I24" s="39"/>
    </row>
    <row r="25">
      <c r="A25" s="3"/>
      <c r="B25" s="92" t="s">
        <v>108</v>
      </c>
      <c r="C25" s="18"/>
      <c r="D25" s="18">
        <f>(D23-C23)</f>
        <v>-296</v>
      </c>
      <c r="E25" s="18"/>
      <c r="F25" s="18">
        <f>(F23-D23)</f>
        <v>-179</v>
      </c>
      <c r="G25" s="18">
        <f>(G23-F23)</f>
        <v>-59</v>
      </c>
      <c r="H25" s="46">
        <f>(H23-G23)</f>
        <v>-60</v>
      </c>
      <c r="I25" s="39"/>
    </row>
    <row r="26">
      <c r="A26" s="3"/>
      <c r="B26" s="48" t="s">
        <v>140</v>
      </c>
      <c r="C26" s="62">
        <v>579</v>
      </c>
      <c r="D26" s="62">
        <v>580</v>
      </c>
      <c r="E26" s="18">
        <f>D26</f>
        <v>580</v>
      </c>
      <c r="F26" s="62">
        <v>562</v>
      </c>
      <c r="G26" s="62">
        <v>570</v>
      </c>
      <c r="H26" s="40">
        <v>570</v>
      </c>
      <c r="I26" s="39"/>
    </row>
    <row r="27">
      <c r="A27" s="3"/>
      <c r="B27" s="92" t="s">
        <v>131</v>
      </c>
      <c r="C27" s="18"/>
      <c r="D27" s="18"/>
      <c r="E27" s="18"/>
      <c r="F27" s="43">
        <f>(F26-Inputs!C251)</f>
        <v>-71</v>
      </c>
      <c r="G27" s="43">
        <f>(G26-Inputs!D251)</f>
        <v>-27</v>
      </c>
      <c r="H27" s="46">
        <f>(H26-C26)</f>
        <v>-9</v>
      </c>
      <c r="I27" s="39"/>
    </row>
    <row r="28">
      <c r="A28" s="3"/>
      <c r="B28" s="92" t="s">
        <v>108</v>
      </c>
      <c r="C28" s="18"/>
      <c r="D28" s="18">
        <f>(D26-C26)</f>
        <v>1</v>
      </c>
      <c r="E28" s="18"/>
      <c r="F28" s="18">
        <f>(F26-D26)</f>
        <v>-18</v>
      </c>
      <c r="G28" s="18">
        <f>(G26-F26)</f>
        <v>8</v>
      </c>
      <c r="H28" s="46">
        <f>(H26-G26)</f>
        <v>0</v>
      </c>
      <c r="I28" s="39"/>
    </row>
    <row r="29">
      <c r="A29" s="3"/>
      <c r="B29" s="53" t="s">
        <v>122</v>
      </c>
      <c r="C29" s="66">
        <f>C169-(C23+C26)</f>
        <v>0</v>
      </c>
      <c r="D29" s="66">
        <f>D169-(D23+D26)</f>
        <v>1</v>
      </c>
      <c r="E29" s="66">
        <f>D29</f>
        <v>1</v>
      </c>
      <c r="F29" s="66">
        <f>F169-(F23+F26)</f>
        <v>0</v>
      </c>
      <c r="G29" s="66">
        <f>G169-(G23+G26)</f>
        <v>0</v>
      </c>
      <c r="H29" s="75">
        <v>0</v>
      </c>
      <c r="I29" s="39" t="s">
        <v>123</v>
      </c>
    </row>
    <row r="30">
      <c r="A30" s="3"/>
      <c r="B30" s="42" t="s">
        <v>141</v>
      </c>
      <c r="C30" s="45">
        <f>C23+C26+C29</f>
        <v>14982</v>
      </c>
      <c r="D30" s="45">
        <f>D23+D26+D29</f>
        <v>14688</v>
      </c>
      <c r="E30" s="45">
        <f>D30</f>
        <v>14688</v>
      </c>
      <c r="F30" s="45">
        <f>F23+F26+F29</f>
        <v>14490</v>
      </c>
      <c r="G30" s="45">
        <f>G23+G26+G29</f>
        <v>14439</v>
      </c>
      <c r="H30" s="68">
        <f>H23+H26+H29</f>
        <v>14379</v>
      </c>
      <c r="I30" s="39"/>
    </row>
    <row r="31">
      <c r="A31" s="3"/>
      <c r="B31" s="42" t="s">
        <v>394</v>
      </c>
      <c r="C31" s="45">
        <f>C22+C30</f>
        <v>63058</v>
      </c>
      <c r="D31" s="45">
        <f>D22+D30</f>
        <v>64156</v>
      </c>
      <c r="E31" s="45">
        <f>D31</f>
        <v>64156</v>
      </c>
      <c r="F31" s="45">
        <f>F22+F30</f>
        <v>64377</v>
      </c>
      <c r="G31" s="45">
        <f>G22+G30</f>
        <v>65330</v>
      </c>
      <c r="H31" s="68">
        <f>H22+H30</f>
        <v>65461</v>
      </c>
      <c r="I31" s="39"/>
    </row>
    <row r="32">
      <c r="A32" s="3"/>
      <c r="B32" s="48" t="s">
        <v>131</v>
      </c>
      <c r="C32" s="18"/>
      <c r="D32" s="18"/>
      <c r="E32" s="18"/>
      <c r="F32" s="43">
        <f>(F31-Inputs!C252)</f>
        <v>2162</v>
      </c>
      <c r="G32" s="43">
        <f>(G31-Inputs!D252)</f>
        <v>2070</v>
      </c>
      <c r="H32" s="46">
        <f>(H31-C31)</f>
        <v>2403</v>
      </c>
      <c r="I32" s="39"/>
    </row>
    <row r="33">
      <c r="A33" s="3"/>
      <c r="B33" s="48" t="s">
        <v>108</v>
      </c>
      <c r="C33" s="18"/>
      <c r="D33" s="18">
        <f>(D31-C31)</f>
        <v>1098</v>
      </c>
      <c r="E33" s="18"/>
      <c r="F33" s="18">
        <f>(F31-D31)</f>
        <v>221</v>
      </c>
      <c r="G33" s="18">
        <f>(G31-F31)</f>
        <v>953</v>
      </c>
      <c r="H33" s="46">
        <f>(H31-G31)</f>
        <v>131</v>
      </c>
      <c r="I33" s="39"/>
    </row>
    <row r="34">
      <c r="A34" s="3"/>
      <c r="B34" s="38" t="s">
        <v>143</v>
      </c>
      <c r="C34" s="62">
        <v>501</v>
      </c>
      <c r="D34" s="62">
        <v>406</v>
      </c>
      <c r="E34" s="18">
        <f>D34</f>
        <v>406</v>
      </c>
      <c r="F34" s="62">
        <v>562</v>
      </c>
      <c r="G34" s="62">
        <v>501</v>
      </c>
      <c r="H34" s="46">
        <f>G34</f>
        <v>501</v>
      </c>
      <c r="I34" s="39"/>
    </row>
    <row r="35">
      <c r="A35" s="3"/>
      <c r="B35" s="48" t="s">
        <v>131</v>
      </c>
      <c r="C35" s="18"/>
      <c r="D35" s="18"/>
      <c r="E35" s="18"/>
      <c r="F35" s="43">
        <f>(F34-Inputs!C253)</f>
        <v>52</v>
      </c>
      <c r="G35" s="43">
        <f>(G34-Inputs!D253)</f>
        <v>99</v>
      </c>
      <c r="H35" s="46">
        <f>(H34-C34)</f>
        <v>0</v>
      </c>
      <c r="I35" s="39"/>
    </row>
    <row r="36">
      <c r="A36" s="3"/>
      <c r="B36" s="48" t="s">
        <v>108</v>
      </c>
      <c r="C36" s="18"/>
      <c r="D36" s="18">
        <f>(D34-C34)</f>
        <v>-95</v>
      </c>
      <c r="E36" s="18"/>
      <c r="F36" s="18">
        <f>(F34-D34)</f>
        <v>156</v>
      </c>
      <c r="G36" s="18">
        <f>(G34-F34)</f>
        <v>-61</v>
      </c>
      <c r="H36" s="46">
        <f>(H34-G34)</f>
        <v>0</v>
      </c>
      <c r="I36" s="39"/>
    </row>
    <row r="37">
      <c r="A37" s="3"/>
      <c r="B37" s="38" t="s">
        <v>144</v>
      </c>
      <c r="C37" s="62">
        <v>9332</v>
      </c>
      <c r="D37" s="62">
        <v>9382</v>
      </c>
      <c r="E37" s="18">
        <f>D37</f>
        <v>9382</v>
      </c>
      <c r="F37" s="62">
        <v>9351</v>
      </c>
      <c r="G37" s="62">
        <v>9062</v>
      </c>
      <c r="H37" s="40">
        <v>9050</v>
      </c>
      <c r="I37" s="39"/>
    </row>
    <row r="38">
      <c r="A38" s="3"/>
      <c r="B38" s="48" t="s">
        <v>131</v>
      </c>
      <c r="C38" s="18"/>
      <c r="D38" s="18"/>
      <c r="E38" s="18"/>
      <c r="F38" s="43">
        <f>(F37-Inputs!C254)</f>
        <v>18</v>
      </c>
      <c r="G38" s="43">
        <f>(G37-Inputs!D254)</f>
        <v>-300</v>
      </c>
      <c r="H38" s="46">
        <f>(H37-C37)</f>
        <v>-282</v>
      </c>
      <c r="I38" s="39"/>
    </row>
    <row r="39">
      <c r="A39" s="3"/>
      <c r="B39" s="48" t="s">
        <v>108</v>
      </c>
      <c r="C39" s="18"/>
      <c r="D39" s="18">
        <f>(D37-C37)</f>
        <v>50</v>
      </c>
      <c r="E39" s="18"/>
      <c r="F39" s="18">
        <f>(F37-D37)</f>
        <v>-31</v>
      </c>
      <c r="G39" s="18">
        <f>(G37-F37)</f>
        <v>-289</v>
      </c>
      <c r="H39" s="46">
        <f>(H37-G37)</f>
        <v>-12</v>
      </c>
      <c r="I39" s="39"/>
    </row>
    <row r="40">
      <c r="A40" s="3"/>
      <c r="B40" s="38" t="s">
        <v>145</v>
      </c>
      <c r="C40" s="62">
        <v>2070</v>
      </c>
      <c r="D40" s="62">
        <v>1904</v>
      </c>
      <c r="E40" s="18">
        <f>D40</f>
        <v>1904</v>
      </c>
      <c r="F40" s="62">
        <v>1812</v>
      </c>
      <c r="G40" s="62">
        <v>1417</v>
      </c>
      <c r="H40" s="46">
        <f>G40</f>
        <v>1417</v>
      </c>
      <c r="I40" s="39"/>
    </row>
    <row r="41">
      <c r="A41" s="3"/>
      <c r="B41" s="48" t="s">
        <v>131</v>
      </c>
      <c r="C41" s="18"/>
      <c r="D41" s="18"/>
      <c r="E41" s="18"/>
      <c r="F41" s="43">
        <f>(F40-Inputs!C255)</f>
        <v>436</v>
      </c>
      <c r="G41" s="43">
        <f>(G40-Inputs!D255)</f>
        <v>-13</v>
      </c>
      <c r="H41" s="46">
        <f>(H40-C40)</f>
        <v>-653</v>
      </c>
      <c r="I41" s="39"/>
    </row>
    <row r="42">
      <c r="A42" s="3"/>
      <c r="B42" s="48" t="s">
        <v>108</v>
      </c>
      <c r="C42" s="18"/>
      <c r="D42" s="18">
        <f>(D40-C40)</f>
        <v>-166</v>
      </c>
      <c r="E42" s="18"/>
      <c r="F42" s="18">
        <f>(F40-D40)</f>
        <v>-92</v>
      </c>
      <c r="G42" s="18">
        <f>(G40-F40)</f>
        <v>-395</v>
      </c>
      <c r="H42" s="46">
        <f>(H40-G40)</f>
        <v>0</v>
      </c>
      <c r="I42" s="39"/>
    </row>
    <row r="43">
      <c r="A43" s="3"/>
      <c r="B43" s="38" t="s">
        <v>395</v>
      </c>
      <c r="C43" s="62">
        <v>1228</v>
      </c>
      <c r="D43" s="62">
        <v>1125</v>
      </c>
      <c r="E43" s="18">
        <f>D43</f>
        <v>1125</v>
      </c>
      <c r="F43" s="62">
        <v>1116</v>
      </c>
      <c r="G43" s="62">
        <v>1158</v>
      </c>
      <c r="H43" s="46">
        <f>G43</f>
        <v>1158</v>
      </c>
      <c r="I43" s="39"/>
    </row>
    <row r="44">
      <c r="A44" s="3"/>
      <c r="B44" s="48" t="s">
        <v>131</v>
      </c>
      <c r="C44" s="18"/>
      <c r="D44" s="18"/>
      <c r="E44" s="18"/>
      <c r="F44" s="43">
        <f>(F43-Inputs!C256)</f>
        <v>-48</v>
      </c>
      <c r="G44" s="43">
        <f>(G43-Inputs!D256)</f>
        <v>247</v>
      </c>
      <c r="H44" s="46">
        <f>(H43-C43)</f>
        <v>-70</v>
      </c>
      <c r="I44" s="39"/>
    </row>
    <row r="45">
      <c r="A45" s="3"/>
      <c r="B45" s="48" t="s">
        <v>108</v>
      </c>
      <c r="C45" s="18"/>
      <c r="D45" s="18">
        <f>(D43-C43)</f>
        <v>-103</v>
      </c>
      <c r="E45" s="18"/>
      <c r="F45" s="18">
        <f>(F43-D43)</f>
        <v>-9</v>
      </c>
      <c r="G45" s="18">
        <f>(G43-F43)</f>
        <v>42</v>
      </c>
      <c r="H45" s="46">
        <f>(H43-G43)</f>
        <v>0</v>
      </c>
      <c r="I45" s="39"/>
    </row>
    <row r="46">
      <c r="A46" s="3"/>
      <c r="B46" s="38" t="s">
        <v>147</v>
      </c>
      <c r="C46" s="62">
        <v>774</v>
      </c>
      <c r="D46" s="62">
        <v>634</v>
      </c>
      <c r="E46" s="18">
        <f>D46</f>
        <v>634</v>
      </c>
      <c r="F46" s="62">
        <v>754</v>
      </c>
      <c r="G46" s="62">
        <v>594</v>
      </c>
      <c r="H46" s="46">
        <f>G46</f>
        <v>594</v>
      </c>
      <c r="I46" s="39"/>
    </row>
    <row r="47">
      <c r="A47" s="3"/>
      <c r="B47" s="48" t="s">
        <v>131</v>
      </c>
      <c r="C47" s="18"/>
      <c r="D47" s="18"/>
      <c r="E47" s="18"/>
      <c r="F47" s="43">
        <f>(F46-Inputs!C257)</f>
        <v>26</v>
      </c>
      <c r="G47" s="43">
        <f>(G46-Inputs!D257)</f>
        <v>67</v>
      </c>
      <c r="H47" s="46">
        <f>(H46-C46)</f>
        <v>-180</v>
      </c>
      <c r="I47" s="39"/>
    </row>
    <row r="48">
      <c r="A48" s="3"/>
      <c r="B48" s="48" t="s">
        <v>108</v>
      </c>
      <c r="C48" s="18"/>
      <c r="D48" s="18">
        <f>(D46-C46)</f>
        <v>-140</v>
      </c>
      <c r="E48" s="18"/>
      <c r="F48" s="18">
        <f>(F46-D46)</f>
        <v>120</v>
      </c>
      <c r="G48" s="18">
        <f>(G46-F46)</f>
        <v>-160</v>
      </c>
      <c r="H48" s="46">
        <f>(H46-G46)</f>
        <v>0</v>
      </c>
      <c r="I48" s="39"/>
    </row>
    <row r="49">
      <c r="A49" s="3"/>
      <c r="B49" s="71" t="s">
        <v>122</v>
      </c>
      <c r="C49" s="66">
        <f>C170-(C31+C34+C37+C40+C43+C46)</f>
        <v>0</v>
      </c>
      <c r="D49" s="66">
        <f>D170-(D31+D34+D37+D40+D43+D46)</f>
        <v>-1</v>
      </c>
      <c r="E49" s="66">
        <f>D49</f>
        <v>-1</v>
      </c>
      <c r="F49" s="66">
        <f>F170-(F31+F34+F37+F40+F43+F46)</f>
        <v>-1</v>
      </c>
      <c r="G49" s="66">
        <f>G170-(G31+G34+G37+G40+G43+G46)</f>
        <v>1</v>
      </c>
      <c r="H49" s="75">
        <v>0</v>
      </c>
      <c r="I49" s="39" t="s">
        <v>123</v>
      </c>
    </row>
    <row r="50">
      <c r="A50" s="3"/>
      <c r="B50" s="56" t="s">
        <v>396</v>
      </c>
      <c r="C50" s="45">
        <f>C31+C34+C37+C40+C43+C46+C49</f>
        <v>76963</v>
      </c>
      <c r="D50" s="45">
        <f>D31+D34+D37+D40+D43+D46+D49</f>
        <v>77606</v>
      </c>
      <c r="E50" s="45">
        <f>D50</f>
        <v>77606</v>
      </c>
      <c r="F50" s="45">
        <f>F31+F34+F37+F40+F43+F46+F49</f>
        <v>77971</v>
      </c>
      <c r="G50" s="45">
        <f>G31+G34+G37+G40+G43+G46+G49</f>
        <v>78063</v>
      </c>
      <c r="H50" s="68">
        <f>H31+H34+H37+H40+H43+H46+H49</f>
        <v>78181</v>
      </c>
      <c r="I50" s="39"/>
    </row>
    <row r="51">
      <c r="A51" s="3"/>
      <c r="B51" s="38" t="s">
        <v>397</v>
      </c>
      <c r="C51" s="62">
        <v>912</v>
      </c>
      <c r="D51" s="62">
        <v>961</v>
      </c>
      <c r="E51" s="18">
        <f>D51</f>
        <v>961</v>
      </c>
      <c r="F51" s="62">
        <v>889</v>
      </c>
      <c r="G51" s="62">
        <v>1034</v>
      </c>
      <c r="H51" s="46">
        <f>H115-H50-H54-H57-H60-H63</f>
        <v>1078.8317770831054</v>
      </c>
      <c r="I51" s="39" t="s">
        <v>398</v>
      </c>
    </row>
    <row r="52">
      <c r="A52" s="3"/>
      <c r="B52" s="48" t="s">
        <v>131</v>
      </c>
      <c r="C52" s="18"/>
      <c r="D52" s="18"/>
      <c r="E52" s="18"/>
      <c r="F52" s="43">
        <f>(F51-Inputs!C258)</f>
        <v>-26</v>
      </c>
      <c r="G52" s="43">
        <f>(G51-Inputs!D258)</f>
        <v>46</v>
      </c>
      <c r="H52" s="46">
        <f>(H51-C51)</f>
        <v>166.8317770831054</v>
      </c>
      <c r="I52" s="39"/>
    </row>
    <row r="53">
      <c r="A53" s="3"/>
      <c r="B53" s="48" t="s">
        <v>108</v>
      </c>
      <c r="C53" s="18"/>
      <c r="D53" s="18">
        <f>(D51-C51)</f>
        <v>49</v>
      </c>
      <c r="E53" s="18"/>
      <c r="F53" s="18">
        <f>(F51-D51)</f>
        <v>-72</v>
      </c>
      <c r="G53" s="18">
        <f>(G51-F51)</f>
        <v>145</v>
      </c>
      <c r="H53" s="46">
        <f>(H51-G51)</f>
        <v>44.83177708310541</v>
      </c>
      <c r="I53" s="39"/>
    </row>
    <row r="54">
      <c r="A54" s="3"/>
      <c r="B54" s="38" t="s">
        <v>399</v>
      </c>
      <c r="C54" s="62">
        <v>1624</v>
      </c>
      <c r="D54" s="62">
        <v>1615</v>
      </c>
      <c r="E54" s="18">
        <f>D54</f>
        <v>1615</v>
      </c>
      <c r="F54" s="62">
        <v>1607</v>
      </c>
      <c r="G54" s="62">
        <v>1599</v>
      </c>
      <c r="H54" s="73">
        <f>G54-'Income Statement'!H54</f>
        <v>1591</v>
      </c>
      <c r="I54" s="39"/>
    </row>
    <row r="55">
      <c r="A55" s="3"/>
      <c r="B55" s="48" t="s">
        <v>131</v>
      </c>
      <c r="C55" s="18"/>
      <c r="D55" s="18"/>
      <c r="E55" s="18"/>
      <c r="F55" s="43">
        <f>(F54-Inputs!C259)</f>
        <v>-36</v>
      </c>
      <c r="G55" s="43">
        <f>(G54-Inputs!D259)</f>
        <v>-34</v>
      </c>
      <c r="H55" s="46">
        <f>(H54-C54)</f>
        <v>-33</v>
      </c>
      <c r="I55" s="39"/>
    </row>
    <row r="56">
      <c r="A56" s="3"/>
      <c r="B56" s="48" t="s">
        <v>108</v>
      </c>
      <c r="C56" s="18"/>
      <c r="D56" s="18">
        <f>(D54-C54)</f>
        <v>-9</v>
      </c>
      <c r="E56" s="18"/>
      <c r="F56" s="18">
        <f>(F54-D54)</f>
        <v>-8</v>
      </c>
      <c r="G56" s="18">
        <f>(G54-F54)</f>
        <v>-8</v>
      </c>
      <c r="H56" s="46">
        <f>(H54-G54)</f>
        <v>-8</v>
      </c>
      <c r="I56" s="39"/>
    </row>
    <row r="57">
      <c r="A57" s="3"/>
      <c r="B57" s="38" t="s">
        <v>400</v>
      </c>
      <c r="C57" s="62">
        <v>553</v>
      </c>
      <c r="D57" s="62">
        <v>544</v>
      </c>
      <c r="E57" s="18">
        <f>D57</f>
        <v>544</v>
      </c>
      <c r="F57" s="62">
        <v>539</v>
      </c>
      <c r="G57" s="62">
        <v>545</v>
      </c>
      <c r="H57" s="46">
        <f>G57</f>
        <v>545</v>
      </c>
      <c r="I57" s="39" t="s">
        <v>401</v>
      </c>
    </row>
    <row r="58">
      <c r="A58" s="3"/>
      <c r="B58" s="48" t="s">
        <v>131</v>
      </c>
      <c r="C58" s="18"/>
      <c r="D58" s="18"/>
      <c r="E58" s="18"/>
      <c r="F58" s="43">
        <f>(F57-Inputs!C260)</f>
        <v>-30</v>
      </c>
      <c r="G58" s="43">
        <f>(G57-Inputs!D260)</f>
        <v>-16</v>
      </c>
      <c r="H58" s="46">
        <f>(H57-C57)</f>
        <v>-8</v>
      </c>
      <c r="I58" s="39"/>
    </row>
    <row r="59">
      <c r="A59" s="3"/>
      <c r="B59" s="48" t="s">
        <v>108</v>
      </c>
      <c r="C59" s="18"/>
      <c r="D59" s="18">
        <f>(D57-C57)</f>
        <v>-9</v>
      </c>
      <c r="E59" s="18"/>
      <c r="F59" s="18">
        <f>(F57-D57)</f>
        <v>-5</v>
      </c>
      <c r="G59" s="18">
        <f>(G57-F57)</f>
        <v>6</v>
      </c>
      <c r="H59" s="46">
        <f>(H57-G57)</f>
        <v>0</v>
      </c>
      <c r="I59" s="39"/>
    </row>
    <row r="60">
      <c r="A60" s="3"/>
      <c r="B60" s="38" t="s">
        <v>402</v>
      </c>
      <c r="C60" s="62">
        <v>-777</v>
      </c>
      <c r="D60" s="62">
        <v>-738</v>
      </c>
      <c r="E60" s="18">
        <f>D60</f>
        <v>-738</v>
      </c>
      <c r="F60" s="62">
        <v>-730</v>
      </c>
      <c r="G60" s="62">
        <v>-709</v>
      </c>
      <c r="H60" s="46">
        <f>-H152</f>
        <v>-696.0322410958904</v>
      </c>
      <c r="I60" s="39"/>
    </row>
    <row r="61">
      <c r="A61" s="3"/>
      <c r="B61" s="48" t="s">
        <v>131</v>
      </c>
      <c r="C61" s="18"/>
      <c r="D61" s="18"/>
      <c r="E61" s="18"/>
      <c r="F61" s="43">
        <f>(F60-Inputs!C261)</f>
        <v>92</v>
      </c>
      <c r="G61" s="43">
        <f>(G60-Inputs!D261)</f>
        <v>105</v>
      </c>
      <c r="H61" s="46">
        <f>(H60-C60)</f>
        <v>80.96775890410959</v>
      </c>
      <c r="I61" s="39"/>
    </row>
    <row r="62">
      <c r="A62" s="3"/>
      <c r="B62" s="48" t="s">
        <v>108</v>
      </c>
      <c r="C62" s="18"/>
      <c r="D62" s="18">
        <f>(D60-C60)</f>
        <v>39</v>
      </c>
      <c r="E62" s="18"/>
      <c r="F62" s="18">
        <f>(F60-D60)</f>
        <v>8</v>
      </c>
      <c r="G62" s="18">
        <f>(G60-F60)</f>
        <v>21</v>
      </c>
      <c r="H62" s="46">
        <f>(H60-G60)</f>
        <v>12.967758904109587</v>
      </c>
      <c r="I62" s="39"/>
    </row>
    <row r="63">
      <c r="A63" s="3"/>
      <c r="B63" s="38" t="s">
        <v>403</v>
      </c>
      <c r="C63" s="62">
        <v>3916</v>
      </c>
      <c r="D63" s="62">
        <v>3889</v>
      </c>
      <c r="E63" s="18">
        <f>D63</f>
        <v>3889</v>
      </c>
      <c r="F63" s="62">
        <v>3855</v>
      </c>
      <c r="G63" s="62">
        <v>3906</v>
      </c>
      <c r="H63" s="46">
        <f>G63</f>
        <v>3906</v>
      </c>
      <c r="I63" s="39"/>
    </row>
    <row r="64">
      <c r="A64" s="3"/>
      <c r="B64" s="48" t="s">
        <v>131</v>
      </c>
      <c r="C64" s="18"/>
      <c r="D64" s="18"/>
      <c r="E64" s="18"/>
      <c r="F64" s="43">
        <f>(F63-Inputs!C262)</f>
        <v>-6</v>
      </c>
      <c r="G64" s="43">
        <f>(G63-Inputs!D262)</f>
        <v>83</v>
      </c>
      <c r="H64" s="46">
        <f>(H63-C63)</f>
        <v>-10</v>
      </c>
      <c r="I64" s="39"/>
    </row>
    <row r="65">
      <c r="A65" s="3"/>
      <c r="B65" s="48" t="s">
        <v>108</v>
      </c>
      <c r="C65" s="18"/>
      <c r="D65" s="18">
        <f>(D63-C63)</f>
        <v>-27</v>
      </c>
      <c r="E65" s="18"/>
      <c r="F65" s="18">
        <f>(F63-D63)</f>
        <v>-34</v>
      </c>
      <c r="G65" s="18">
        <f>(G63-F63)</f>
        <v>51</v>
      </c>
      <c r="H65" s="46">
        <f>(H63-G63)</f>
        <v>0</v>
      </c>
      <c r="I65" s="39"/>
    </row>
    <row r="66">
      <c r="A66" s="3"/>
      <c r="B66" s="71" t="s">
        <v>122</v>
      </c>
      <c r="C66" s="66">
        <f>C171-(C50+C51+C54+C57+C60+C63)</f>
        <v>1</v>
      </c>
      <c r="D66" s="66">
        <f>D171-(D50+D51+D54+D57+D60+D63)</f>
        <v>-1</v>
      </c>
      <c r="E66" s="66">
        <f>D66</f>
        <v>-1</v>
      </c>
      <c r="F66" s="66">
        <f>F171-(F50+F51+F54+F57+F60+F63)</f>
        <v>1</v>
      </c>
      <c r="G66" s="66">
        <f>G171-(G50+G51+G54+G57+G60+G63)</f>
        <v>-1</v>
      </c>
      <c r="H66" s="75">
        <v>0</v>
      </c>
      <c r="I66" s="39" t="s">
        <v>123</v>
      </c>
    </row>
    <row r="67">
      <c r="A67" s="3"/>
      <c r="B67" s="56" t="s">
        <v>404</v>
      </c>
      <c r="C67" s="45">
        <f>C50+C51+C54+C57+C60+C63+C66</f>
        <v>83192</v>
      </c>
      <c r="D67" s="45">
        <f>D50+D51+D54+D57+D60+D63+D66</f>
        <v>83876</v>
      </c>
      <c r="E67" s="45">
        <f>D67</f>
        <v>83876</v>
      </c>
      <c r="F67" s="45">
        <f>F50+F51+F54+F57+F60+F63+F66</f>
        <v>84132</v>
      </c>
      <c r="G67" s="45">
        <f>G50+G51+G54+G57+G60+G63+G66</f>
        <v>84437</v>
      </c>
      <c r="H67" s="68">
        <f>H50+H51+H54+H57+H60+H63+H66</f>
        <v>84605.79953598721</v>
      </c>
      <c r="I67" s="39"/>
    </row>
    <row r="68">
      <c r="A68" s="3"/>
      <c r="B68" s="3"/>
      <c r="C68" s="10"/>
      <c r="D68" s="10"/>
      <c r="E68" s="10"/>
      <c r="F68" s="10"/>
      <c r="G68" s="10"/>
      <c r="H68" s="50"/>
      <c r="I68" s="39"/>
    </row>
    <row r="69">
      <c r="A69" s="3"/>
      <c r="B69" s="56" t="s">
        <v>405</v>
      </c>
      <c r="C69" s="10"/>
      <c r="D69" s="10"/>
      <c r="E69" s="10"/>
      <c r="F69" s="10"/>
      <c r="G69" s="10"/>
      <c r="H69" s="50"/>
      <c r="I69" s="39"/>
    </row>
    <row r="70">
      <c r="A70" s="3"/>
      <c r="B70" s="48" t="s">
        <v>193</v>
      </c>
      <c r="C70" s="62">
        <v>26365</v>
      </c>
      <c r="D70" s="62">
        <v>26010</v>
      </c>
      <c r="E70" s="18">
        <f>D70</f>
        <v>26010</v>
      </c>
      <c r="F70" s="62">
        <v>26007</v>
      </c>
      <c r="G70" s="62">
        <v>25553</v>
      </c>
      <c r="H70" s="40">
        <v>25600</v>
      </c>
      <c r="I70" s="39"/>
    </row>
    <row r="71">
      <c r="A71" s="3"/>
      <c r="B71" s="92" t="s">
        <v>131</v>
      </c>
      <c r="C71" s="18"/>
      <c r="D71" s="18"/>
      <c r="E71" s="18"/>
      <c r="F71" s="43">
        <f>(F70-Inputs!C263)</f>
        <v>-235</v>
      </c>
      <c r="G71" s="43">
        <f>(G70-Inputs!D263)</f>
        <v>-386</v>
      </c>
      <c r="H71" s="46">
        <f>(H70-C70)</f>
        <v>-765</v>
      </c>
      <c r="I71" s="39"/>
    </row>
    <row r="72">
      <c r="A72" s="3"/>
      <c r="B72" s="92" t="s">
        <v>108</v>
      </c>
      <c r="C72" s="18"/>
      <c r="D72" s="18">
        <f>(D70-C70)</f>
        <v>-355</v>
      </c>
      <c r="E72" s="18"/>
      <c r="F72" s="18">
        <f>(F70-D70)</f>
        <v>-3</v>
      </c>
      <c r="G72" s="18">
        <f>(G70-F70)</f>
        <v>-454</v>
      </c>
      <c r="H72" s="46">
        <f>(H70-G70)</f>
        <v>47</v>
      </c>
      <c r="I72" s="39"/>
    </row>
    <row r="73">
      <c r="A73" s="3"/>
      <c r="B73" s="48" t="s">
        <v>171</v>
      </c>
      <c r="C73" s="62">
        <v>6201</v>
      </c>
      <c r="D73" s="62">
        <v>6485</v>
      </c>
      <c r="E73" s="18">
        <f>D73</f>
        <v>6485</v>
      </c>
      <c r="F73" s="62">
        <v>7125</v>
      </c>
      <c r="G73" s="62">
        <v>10018</v>
      </c>
      <c r="H73" s="40">
        <v>9900</v>
      </c>
      <c r="I73" s="39" t="s">
        <v>406</v>
      </c>
    </row>
    <row r="74">
      <c r="A74" s="3"/>
      <c r="B74" s="92" t="s">
        <v>131</v>
      </c>
      <c r="C74" s="18"/>
      <c r="D74" s="18"/>
      <c r="E74" s="18"/>
      <c r="F74" s="43">
        <f>(F73-Inputs!C264)</f>
        <v>1207</v>
      </c>
      <c r="G74" s="43">
        <f>(G73-Inputs!D264)</f>
        <v>2748</v>
      </c>
      <c r="H74" s="46">
        <f>(H73-C73)</f>
        <v>3699</v>
      </c>
      <c r="I74" s="39"/>
    </row>
    <row r="75">
      <c r="A75" s="3"/>
      <c r="B75" s="92" t="s">
        <v>108</v>
      </c>
      <c r="C75" s="18"/>
      <c r="D75" s="18">
        <f>(D73-C73)</f>
        <v>284</v>
      </c>
      <c r="E75" s="18"/>
      <c r="F75" s="18">
        <f>(F73-D73)</f>
        <v>640</v>
      </c>
      <c r="G75" s="18">
        <f>(G73-F73)</f>
        <v>2893</v>
      </c>
      <c r="H75" s="46">
        <f>(H73-G73)</f>
        <v>-118</v>
      </c>
      <c r="I75" s="39"/>
    </row>
    <row r="76">
      <c r="A76" s="3"/>
      <c r="B76" s="48" t="s">
        <v>173</v>
      </c>
      <c r="C76" s="62">
        <v>16936</v>
      </c>
      <c r="D76" s="62">
        <v>19158</v>
      </c>
      <c r="E76" s="18">
        <f>D76</f>
        <v>19158</v>
      </c>
      <c r="F76" s="62">
        <v>17440</v>
      </c>
      <c r="G76" s="62">
        <v>16508</v>
      </c>
      <c r="H76" s="40">
        <v>16800</v>
      </c>
      <c r="I76" s="39"/>
    </row>
    <row r="77">
      <c r="A77" s="3"/>
      <c r="B77" s="92" t="s">
        <v>131</v>
      </c>
      <c r="C77" s="18"/>
      <c r="D77" s="18"/>
      <c r="E77" s="18"/>
      <c r="F77" s="43">
        <f>(F76-Inputs!C265)</f>
        <v>1227</v>
      </c>
      <c r="G77" s="43">
        <f>(G76-Inputs!D265)</f>
        <v>31</v>
      </c>
      <c r="H77" s="46">
        <f>(H76-C76)</f>
        <v>-136</v>
      </c>
      <c r="I77" s="39"/>
    </row>
    <row r="78">
      <c r="A78" s="3"/>
      <c r="B78" s="92" t="s">
        <v>108</v>
      </c>
      <c r="C78" s="18"/>
      <c r="D78" s="18">
        <f>(D76-C76)</f>
        <v>2222</v>
      </c>
      <c r="E78" s="18"/>
      <c r="F78" s="18">
        <f>(F76-D76)</f>
        <v>-1718</v>
      </c>
      <c r="G78" s="18">
        <f>(G76-F76)</f>
        <v>-932</v>
      </c>
      <c r="H78" s="46">
        <f>(H76-G76)</f>
        <v>292</v>
      </c>
      <c r="I78" s="39"/>
    </row>
    <row r="79">
      <c r="A79" s="3"/>
      <c r="B79" s="53" t="s">
        <v>122</v>
      </c>
      <c r="C79" s="66">
        <f>C172-(C70+C73+C76)</f>
        <v>0</v>
      </c>
      <c r="D79" s="66">
        <f>D172-(D70+D73+D76)</f>
        <v>0</v>
      </c>
      <c r="E79" s="66">
        <f>D79</f>
        <v>0</v>
      </c>
      <c r="F79" s="66">
        <f>F172-(F70+F73+F76)</f>
        <v>0</v>
      </c>
      <c r="G79" s="66">
        <f>G172-(G70+G73+G76)</f>
        <v>-1</v>
      </c>
      <c r="H79" s="75">
        <v>0</v>
      </c>
      <c r="I79" s="39" t="s">
        <v>123</v>
      </c>
    </row>
    <row r="80">
      <c r="A80" s="3"/>
      <c r="B80" s="42" t="s">
        <v>174</v>
      </c>
      <c r="C80" s="45">
        <f>C70+C73+C76+C79</f>
        <v>49502</v>
      </c>
      <c r="D80" s="45">
        <f>D70+D73+D76+D79</f>
        <v>51653</v>
      </c>
      <c r="E80" s="45">
        <f>D80</f>
        <v>51653</v>
      </c>
      <c r="F80" s="45">
        <f>F70+F73+F76+F79</f>
        <v>50572</v>
      </c>
      <c r="G80" s="45">
        <f>G70+G73+G76+G79</f>
        <v>52078</v>
      </c>
      <c r="H80" s="68">
        <f>H70+H73+H76+H79</f>
        <v>52300</v>
      </c>
      <c r="I80" s="39"/>
    </row>
    <row r="81">
      <c r="A81" s="3"/>
      <c r="B81" s="38" t="s">
        <v>178</v>
      </c>
      <c r="C81" s="62">
        <v>662</v>
      </c>
      <c r="D81" s="62">
        <v>607</v>
      </c>
      <c r="E81" s="18">
        <f>D81</f>
        <v>607</v>
      </c>
      <c r="F81" s="62">
        <v>666</v>
      </c>
      <c r="G81" s="62">
        <v>533</v>
      </c>
      <c r="H81" s="46">
        <f>G81</f>
        <v>533</v>
      </c>
      <c r="I81" s="39"/>
    </row>
    <row r="82">
      <c r="A82" s="3"/>
      <c r="B82" s="48" t="s">
        <v>131</v>
      </c>
      <c r="C82" s="18"/>
      <c r="D82" s="18"/>
      <c r="E82" s="18"/>
      <c r="F82" s="43">
        <f>(F81-Inputs!C266)</f>
        <v>-4</v>
      </c>
      <c r="G82" s="43">
        <f>(G81-Inputs!D266)</f>
        <v>64</v>
      </c>
      <c r="H82" s="46">
        <f>(H81-C81)</f>
        <v>-129</v>
      </c>
      <c r="I82" s="39"/>
    </row>
    <row r="83">
      <c r="A83" s="3"/>
      <c r="B83" s="48" t="s">
        <v>108</v>
      </c>
      <c r="C83" s="18"/>
      <c r="D83" s="18">
        <f>(D81-C81)</f>
        <v>-55</v>
      </c>
      <c r="E83" s="18"/>
      <c r="F83" s="18">
        <f>(F81-D81)</f>
        <v>59</v>
      </c>
      <c r="G83" s="18">
        <f>(G81-F81)</f>
        <v>-133</v>
      </c>
      <c r="H83" s="46">
        <f>(H81-G81)</f>
        <v>0</v>
      </c>
      <c r="I83" s="39"/>
    </row>
    <row r="84">
      <c r="A84" s="3"/>
      <c r="B84" s="38" t="s">
        <v>179</v>
      </c>
      <c r="C84" s="62">
        <v>2675</v>
      </c>
      <c r="D84" s="62">
        <v>3012</v>
      </c>
      <c r="E84" s="18">
        <f>D84</f>
        <v>3012</v>
      </c>
      <c r="F84" s="62">
        <v>2193</v>
      </c>
      <c r="G84" s="62">
        <v>2161</v>
      </c>
      <c r="H84" s="46">
        <f>G84</f>
        <v>2161</v>
      </c>
      <c r="I84" s="39"/>
    </row>
    <row r="85">
      <c r="A85" s="3"/>
      <c r="B85" s="48" t="s">
        <v>131</v>
      </c>
      <c r="C85" s="18"/>
      <c r="D85" s="18"/>
      <c r="E85" s="18"/>
      <c r="F85" s="43">
        <f>(F84-Inputs!C267)</f>
        <v>-379</v>
      </c>
      <c r="G85" s="43">
        <f>(G84-Inputs!D267)</f>
        <v>-1040</v>
      </c>
      <c r="H85" s="46">
        <f>(H84-C84)</f>
        <v>-514</v>
      </c>
      <c r="I85" s="39"/>
    </row>
    <row r="86">
      <c r="A86" s="3"/>
      <c r="B86" s="48" t="s">
        <v>108</v>
      </c>
      <c r="C86" s="18"/>
      <c r="D86" s="18">
        <f>(D84-C84)</f>
        <v>337</v>
      </c>
      <c r="E86" s="18"/>
      <c r="F86" s="18">
        <f>(F84-D84)</f>
        <v>-819</v>
      </c>
      <c r="G86" s="18">
        <f>(G84-F84)</f>
        <v>-32</v>
      </c>
      <c r="H86" s="46">
        <f>(H84-G84)</f>
        <v>0</v>
      </c>
      <c r="I86" s="39"/>
    </row>
    <row r="87">
      <c r="A87" s="3"/>
      <c r="B87" s="38" t="s">
        <v>180</v>
      </c>
      <c r="C87" s="62">
        <v>1596</v>
      </c>
      <c r="D87" s="62">
        <v>241</v>
      </c>
      <c r="E87" s="18">
        <f>D87</f>
        <v>241</v>
      </c>
      <c r="F87" s="62">
        <v>1975</v>
      </c>
      <c r="G87" s="62">
        <v>842</v>
      </c>
      <c r="H87" s="40">
        <v>600</v>
      </c>
      <c r="I87" s="39"/>
    </row>
    <row r="88">
      <c r="A88" s="3"/>
      <c r="B88" s="48" t="s">
        <v>131</v>
      </c>
      <c r="C88" s="18"/>
      <c r="D88" s="18"/>
      <c r="E88" s="18"/>
      <c r="F88" s="43">
        <f>(F87-Inputs!C268)</f>
        <v>752</v>
      </c>
      <c r="G88" s="43">
        <f>(G87-Inputs!D268)</f>
        <v>582</v>
      </c>
      <c r="H88" s="46">
        <f>(H87-C87)</f>
        <v>-996</v>
      </c>
      <c r="I88" s="39"/>
    </row>
    <row r="89">
      <c r="A89" s="3"/>
      <c r="B89" s="48" t="s">
        <v>108</v>
      </c>
      <c r="C89" s="18"/>
      <c r="D89" s="18">
        <f>(D87-C87)</f>
        <v>-1355</v>
      </c>
      <c r="E89" s="18"/>
      <c r="F89" s="18">
        <f>(F87-D87)</f>
        <v>1734</v>
      </c>
      <c r="G89" s="18">
        <f>(G87-F87)</f>
        <v>-1133</v>
      </c>
      <c r="H89" s="46">
        <f>(H87-G87)</f>
        <v>-242</v>
      </c>
      <c r="I89" s="39"/>
    </row>
    <row r="90">
      <c r="A90" s="3"/>
      <c r="B90" s="38" t="s">
        <v>181</v>
      </c>
      <c r="C90" s="62">
        <v>1328</v>
      </c>
      <c r="D90" s="62">
        <v>1321</v>
      </c>
      <c r="E90" s="18">
        <f>D90</f>
        <v>1321</v>
      </c>
      <c r="F90" s="62">
        <v>1318</v>
      </c>
      <c r="G90" s="62">
        <v>1321</v>
      </c>
      <c r="H90" s="46">
        <f>G90</f>
        <v>1321</v>
      </c>
      <c r="I90" s="39"/>
    </row>
    <row r="91">
      <c r="A91" s="3"/>
      <c r="B91" s="48" t="s">
        <v>131</v>
      </c>
      <c r="C91" s="18"/>
      <c r="D91" s="18"/>
      <c r="E91" s="18"/>
      <c r="F91" s="43">
        <f>(F90-Inputs!C269)</f>
        <v>-373</v>
      </c>
      <c r="G91" s="43">
        <f>(G90-Inputs!D269)</f>
        <v>-21</v>
      </c>
      <c r="H91" s="46">
        <f>(H90-C90)</f>
        <v>-7</v>
      </c>
      <c r="I91" s="39"/>
    </row>
    <row r="92">
      <c r="A92" s="3"/>
      <c r="B92" s="48" t="s">
        <v>108</v>
      </c>
      <c r="C92" s="18"/>
      <c r="D92" s="18">
        <f>(D90-C90)</f>
        <v>-7</v>
      </c>
      <c r="E92" s="18"/>
      <c r="F92" s="18">
        <f>(F90-D90)</f>
        <v>-3</v>
      </c>
      <c r="G92" s="18">
        <f>(G90-F90)</f>
        <v>3</v>
      </c>
      <c r="H92" s="46">
        <f>(H90-G90)</f>
        <v>0</v>
      </c>
      <c r="I92" s="39"/>
    </row>
    <row r="93">
      <c r="A93" s="3"/>
      <c r="B93" s="71" t="s">
        <v>122</v>
      </c>
      <c r="C93" s="66">
        <f>C173-(C80+C81+C84+C87+C90)</f>
        <v>0</v>
      </c>
      <c r="D93" s="66">
        <f>D173-(D80+D81+D84+D87+D90)</f>
        <v>1</v>
      </c>
      <c r="E93" s="66">
        <f>D93</f>
        <v>1</v>
      </c>
      <c r="F93" s="66">
        <f>F173-(F80+F81+F84+F87+F90)</f>
        <v>1</v>
      </c>
      <c r="G93" s="66">
        <f>G173-(G80+G81+G84+G87+G90)</f>
        <v>0</v>
      </c>
      <c r="H93" s="75">
        <v>0</v>
      </c>
      <c r="I93" s="39" t="s">
        <v>123</v>
      </c>
    </row>
    <row r="94">
      <c r="A94" s="3"/>
      <c r="B94" s="56" t="s">
        <v>407</v>
      </c>
      <c r="C94" s="45">
        <f>C80+C81+C84+C87+C90+C93</f>
        <v>55763</v>
      </c>
      <c r="D94" s="45">
        <f>D80+D81+D84+D87+D90+D93</f>
        <v>56835</v>
      </c>
      <c r="E94" s="45">
        <f>D94</f>
        <v>56835</v>
      </c>
      <c r="F94" s="45">
        <f>F80+F81+F84+F87+F90+F93</f>
        <v>56725</v>
      </c>
      <c r="G94" s="45">
        <f>G80+G81+G84+G87+G90+G93</f>
        <v>56935</v>
      </c>
      <c r="H94" s="68">
        <f>H80+H81+H84+H87+H90+H93</f>
        <v>56915</v>
      </c>
      <c r="I94" s="39"/>
    </row>
    <row r="95">
      <c r="A95" s="3"/>
      <c r="B95" s="38" t="s">
        <v>175</v>
      </c>
      <c r="C95" s="62">
        <v>16023</v>
      </c>
      <c r="D95" s="62">
        <v>15823</v>
      </c>
      <c r="E95" s="18">
        <f>D95</f>
        <v>15823</v>
      </c>
      <c r="F95" s="62">
        <v>15910</v>
      </c>
      <c r="G95" s="62">
        <v>15994</v>
      </c>
      <c r="H95" s="40">
        <v>16100</v>
      </c>
      <c r="I95" s="39"/>
    </row>
    <row r="96">
      <c r="A96" s="3"/>
      <c r="B96" s="48" t="s">
        <v>131</v>
      </c>
      <c r="C96" s="18"/>
      <c r="D96" s="18"/>
      <c r="E96" s="18"/>
      <c r="F96" s="43">
        <f>(F95-Inputs!C270)</f>
        <v>75</v>
      </c>
      <c r="G96" s="43">
        <f>(G95-Inputs!D270)</f>
        <v>102</v>
      </c>
      <c r="H96" s="46">
        <f>(H95-C95)</f>
        <v>77</v>
      </c>
      <c r="I96" s="39"/>
    </row>
    <row r="97">
      <c r="A97" s="3"/>
      <c r="B97" s="48" t="s">
        <v>108</v>
      </c>
      <c r="C97" s="18"/>
      <c r="D97" s="18">
        <f>(D95-C95)</f>
        <v>-200</v>
      </c>
      <c r="E97" s="18"/>
      <c r="F97" s="18">
        <f>(F95-D95)</f>
        <v>87</v>
      </c>
      <c r="G97" s="18">
        <f>(G95-F95)</f>
        <v>84</v>
      </c>
      <c r="H97" s="46">
        <f>(H95-G95)</f>
        <v>106</v>
      </c>
      <c r="I97" s="39"/>
    </row>
    <row r="98">
      <c r="A98" s="3"/>
      <c r="B98" s="38" t="s">
        <v>408</v>
      </c>
      <c r="C98" s="62">
        <v>2163</v>
      </c>
      <c r="D98" s="62">
        <v>2076</v>
      </c>
      <c r="E98" s="18">
        <f>D98</f>
        <v>2076</v>
      </c>
      <c r="F98" s="62">
        <v>2032</v>
      </c>
      <c r="G98" s="62">
        <v>2045</v>
      </c>
      <c r="H98" s="46">
        <f>G98+H154</f>
        <v>2045</v>
      </c>
      <c r="I98" s="39"/>
    </row>
    <row r="99">
      <c r="A99" s="3"/>
      <c r="B99" s="48" t="s">
        <v>131</v>
      </c>
      <c r="C99" s="18"/>
      <c r="D99" s="18"/>
      <c r="E99" s="18"/>
      <c r="F99" s="43">
        <f>(F98-Inputs!C271)</f>
        <v>-52</v>
      </c>
      <c r="G99" s="43">
        <f>(G98-Inputs!D271)</f>
        <v>67</v>
      </c>
      <c r="H99" s="46">
        <f>(H98-C98)</f>
        <v>-118</v>
      </c>
      <c r="I99" s="39"/>
    </row>
    <row r="100">
      <c r="A100" s="3"/>
      <c r="B100" s="48" t="s">
        <v>108</v>
      </c>
      <c r="C100" s="18"/>
      <c r="D100" s="18">
        <f>(D98-C98)</f>
        <v>-87</v>
      </c>
      <c r="E100" s="18"/>
      <c r="F100" s="18">
        <f>(F98-D98)</f>
        <v>-44</v>
      </c>
      <c r="G100" s="18">
        <f>(G98-F98)</f>
        <v>13</v>
      </c>
      <c r="H100" s="46">
        <f>(H98-G98)</f>
        <v>0</v>
      </c>
      <c r="I100" s="39"/>
    </row>
    <row r="101">
      <c r="A101" s="3"/>
      <c r="B101" s="71" t="s">
        <v>122</v>
      </c>
      <c r="C101" s="66">
        <f>C174-(C94+C95+C98)</f>
        <v>-1</v>
      </c>
      <c r="D101" s="66">
        <f>D174-(D94+D95+D98)</f>
        <v>0</v>
      </c>
      <c r="E101" s="66">
        <f>D101</f>
        <v>0</v>
      </c>
      <c r="F101" s="66">
        <f>F174-(F94+F95+F98)</f>
        <v>0</v>
      </c>
      <c r="G101" s="66">
        <f>G174-(G94+G95+G98)</f>
        <v>0</v>
      </c>
      <c r="H101" s="75">
        <v>0</v>
      </c>
      <c r="I101" s="39" t="s">
        <v>123</v>
      </c>
    </row>
    <row r="102">
      <c r="A102" s="3"/>
      <c r="B102" s="56" t="s">
        <v>409</v>
      </c>
      <c r="C102" s="45">
        <f>C94+C95+C98+C101</f>
        <v>73948</v>
      </c>
      <c r="D102" s="45">
        <f>D94+D95+D98+D101</f>
        <v>74734</v>
      </c>
      <c r="E102" s="45">
        <f>D102</f>
        <v>74734</v>
      </c>
      <c r="F102" s="45">
        <f>F94+F95+F98+F101</f>
        <v>74667</v>
      </c>
      <c r="G102" s="45">
        <f>G94+G95+G98+G101</f>
        <v>74974</v>
      </c>
      <c r="H102" s="68">
        <f>H94+H95+H98+H101</f>
        <v>75060</v>
      </c>
      <c r="I102" s="39"/>
    </row>
    <row r="103">
      <c r="A103" s="3"/>
      <c r="B103" s="3"/>
      <c r="C103" s="10"/>
      <c r="D103" s="10"/>
      <c r="E103" s="10"/>
      <c r="F103" s="10"/>
      <c r="G103" s="10"/>
      <c r="H103" s="50"/>
      <c r="I103" s="39"/>
    </row>
    <row r="104">
      <c r="A104" s="3"/>
      <c r="B104" s="56" t="s">
        <v>410</v>
      </c>
      <c r="C104" s="10"/>
      <c r="D104" s="10"/>
      <c r="E104" s="10"/>
      <c r="F104" s="10"/>
      <c r="G104" s="10"/>
      <c r="H104" s="50"/>
      <c r="I104" s="39"/>
    </row>
    <row r="105">
      <c r="A105" s="3"/>
      <c r="B105" s="38" t="s">
        <v>411</v>
      </c>
      <c r="C105" s="62">
        <v>349</v>
      </c>
      <c r="D105" s="62">
        <v>349</v>
      </c>
      <c r="E105" s="18">
        <f>D105</f>
        <v>349</v>
      </c>
      <c r="F105" s="62">
        <v>741</v>
      </c>
      <c r="G105" s="62">
        <v>682</v>
      </c>
      <c r="H105" s="46">
        <f>G105</f>
        <v>682</v>
      </c>
      <c r="I105" s="39"/>
    </row>
    <row r="106">
      <c r="A106" s="3"/>
      <c r="B106" s="38" t="s">
        <v>412</v>
      </c>
      <c r="C106" s="62">
        <v>313</v>
      </c>
      <c r="D106" s="62">
        <v>303</v>
      </c>
      <c r="E106" s="18">
        <f>D106</f>
        <v>303</v>
      </c>
      <c r="F106" s="62">
        <v>297</v>
      </c>
      <c r="G106" s="62">
        <v>296</v>
      </c>
      <c r="H106" s="73">
        <f>G106+'Share Count'!H46*('Share Count'!H9-'Share Count'!G9)</f>
        <v>293.5833333333333</v>
      </c>
      <c r="I106" s="39"/>
    </row>
    <row r="107">
      <c r="A107" s="3"/>
      <c r="B107" s="38" t="s">
        <v>413</v>
      </c>
      <c r="C107" s="62">
        <v>4288</v>
      </c>
      <c r="D107" s="62">
        <v>3974</v>
      </c>
      <c r="E107" s="18">
        <f>D107</f>
        <v>3974</v>
      </c>
      <c r="F107" s="62">
        <v>3759</v>
      </c>
      <c r="G107" s="62">
        <v>3653</v>
      </c>
      <c r="H107" s="73">
        <f>G107-'Share Count'!H12+'Cash Flow Statement'!H17-'Share Count'!H46*('Share Count'!H9-'Share Count'!G9)</f>
        <v>3568.4166666666665</v>
      </c>
      <c r="I107" s="39"/>
    </row>
    <row r="108">
      <c r="A108" s="3"/>
      <c r="B108" s="38" t="s">
        <v>414</v>
      </c>
      <c r="C108" s="62">
        <v>4848</v>
      </c>
      <c r="D108" s="62">
        <v>5030</v>
      </c>
      <c r="E108" s="18">
        <f>D108</f>
        <v>5030</v>
      </c>
      <c r="F108" s="62">
        <v>5205</v>
      </c>
      <c r="G108" s="62">
        <v>5383</v>
      </c>
      <c r="H108" s="73">
        <f>G108+'Income Statement'!H85-'Share Count'!H45</f>
        <v>5552.799535987215</v>
      </c>
      <c r="I108" s="39"/>
    </row>
    <row r="109">
      <c r="A109" s="3"/>
      <c r="B109" s="38" t="s">
        <v>415</v>
      </c>
      <c r="C109" s="62">
        <v>-849</v>
      </c>
      <c r="D109" s="62">
        <v>-809</v>
      </c>
      <c r="E109" s="18">
        <f>D109</f>
        <v>-809</v>
      </c>
      <c r="F109" s="62">
        <v>-832</v>
      </c>
      <c r="G109" s="62">
        <v>-846</v>
      </c>
      <c r="H109" s="46">
        <f>G109</f>
        <v>-846</v>
      </c>
      <c r="I109" s="39" t="s">
        <v>416</v>
      </c>
    </row>
    <row r="110">
      <c r="A110" s="3"/>
      <c r="B110" s="42" t="s">
        <v>417</v>
      </c>
      <c r="C110" s="45">
        <f>C105+C106+C107+C108+C109</f>
        <v>8949</v>
      </c>
      <c r="D110" s="45">
        <f>D105+D106+D107+D108+D109</f>
        <v>8847</v>
      </c>
      <c r="E110" s="45">
        <f>D110</f>
        <v>8847</v>
      </c>
      <c r="F110" s="45">
        <f>F105+F106+F107+F108+F109</f>
        <v>9170</v>
      </c>
      <c r="G110" s="45">
        <f>G105+G106+G107+G108+G109</f>
        <v>9168</v>
      </c>
      <c r="H110" s="68">
        <f>H105+H106+H107+H108+H109</f>
        <v>9250.799535987215</v>
      </c>
      <c r="I110" s="39"/>
    </row>
    <row r="111">
      <c r="A111" s="3"/>
      <c r="B111" s="38" t="s">
        <v>315</v>
      </c>
      <c r="C111" s="62">
        <v>295</v>
      </c>
      <c r="D111" s="62">
        <v>295</v>
      </c>
      <c r="E111" s="18">
        <f>D111</f>
        <v>295</v>
      </c>
      <c r="F111" s="62">
        <v>295</v>
      </c>
      <c r="G111" s="62">
        <v>295</v>
      </c>
      <c r="H111" s="46">
        <f>G111</f>
        <v>295</v>
      </c>
      <c r="I111" s="39"/>
    </row>
    <row r="112">
      <c r="A112" s="3"/>
      <c r="B112" s="71" t="s">
        <v>122</v>
      </c>
      <c r="C112" s="66">
        <f>C175-(C110+C111)</f>
        <v>0</v>
      </c>
      <c r="D112" s="66">
        <f>D175-(D110+D111)</f>
        <v>0</v>
      </c>
      <c r="E112" s="66">
        <f>D112</f>
        <v>0</v>
      </c>
      <c r="F112" s="66">
        <f>F175-(F110+F111)</f>
        <v>0</v>
      </c>
      <c r="G112" s="66">
        <f>G175-(G110+G111)</f>
        <v>1</v>
      </c>
      <c r="H112" s="75">
        <v>0</v>
      </c>
      <c r="I112" s="39" t="s">
        <v>123</v>
      </c>
    </row>
    <row r="113">
      <c r="A113" s="3"/>
      <c r="B113" s="56" t="s">
        <v>418</v>
      </c>
      <c r="C113" s="45">
        <f>C110+C111+C112</f>
        <v>9244</v>
      </c>
      <c r="D113" s="45">
        <f>D110+D111+D112</f>
        <v>9142</v>
      </c>
      <c r="E113" s="45">
        <f>D113</f>
        <v>9142</v>
      </c>
      <c r="F113" s="45">
        <f>F110+F111+F112</f>
        <v>9465</v>
      </c>
      <c r="G113" s="45">
        <f>G110+G111+G112</f>
        <v>9464</v>
      </c>
      <c r="H113" s="68">
        <f>H110+H111+H112</f>
        <v>9545.799535987215</v>
      </c>
      <c r="I113" s="39"/>
    </row>
    <row r="114">
      <c r="A114" s="3"/>
      <c r="B114" s="71" t="s">
        <v>122</v>
      </c>
      <c r="C114" s="66">
        <f>C176-(C102+C113)</f>
        <v>0</v>
      </c>
      <c r="D114" s="66">
        <f>D176-(D102+D113)</f>
        <v>0</v>
      </c>
      <c r="E114" s="66">
        <f>D114</f>
        <v>0</v>
      </c>
      <c r="F114" s="66">
        <f>F176-(F102+F113)</f>
        <v>0</v>
      </c>
      <c r="G114" s="66">
        <f>G176-(G102+G113)</f>
        <v>-1</v>
      </c>
      <c r="H114" s="75">
        <v>0</v>
      </c>
      <c r="I114" s="39" t="s">
        <v>123</v>
      </c>
    </row>
    <row r="115">
      <c r="A115" s="3"/>
      <c r="B115" s="56" t="s">
        <v>419</v>
      </c>
      <c r="C115" s="45">
        <f>C102+C113+C114</f>
        <v>83192</v>
      </c>
      <c r="D115" s="45">
        <f>D102+D113+D114</f>
        <v>83876</v>
      </c>
      <c r="E115" s="45">
        <f>D115</f>
        <v>83876</v>
      </c>
      <c r="F115" s="45">
        <f>F102+F113+F114</f>
        <v>84132</v>
      </c>
      <c r="G115" s="45">
        <f>G102+G113+G114</f>
        <v>84437</v>
      </c>
      <c r="H115" s="68">
        <f>H102+H113+H114</f>
        <v>84605.79953598721</v>
      </c>
      <c r="I115" s="39"/>
    </row>
    <row r="116">
      <c r="A116" s="3"/>
      <c r="B116" s="3"/>
      <c r="C116" s="10"/>
      <c r="D116" s="10"/>
      <c r="E116" s="10"/>
      <c r="F116" s="10"/>
      <c r="G116" s="10"/>
      <c r="H116" s="50"/>
      <c r="I116" s="39"/>
    </row>
    <row r="117">
      <c r="A117" s="3"/>
      <c r="B117" s="56" t="s">
        <v>420</v>
      </c>
      <c r="C117" s="45">
        <f>C67-C102-C113</f>
        <v>0</v>
      </c>
      <c r="D117" s="45">
        <f>D67-D102-D113</f>
        <v>0</v>
      </c>
      <c r="E117" s="45">
        <f>E67-E102-E113</f>
        <v>0</v>
      </c>
      <c r="F117" s="45">
        <f>F67-F102-F113</f>
        <v>0</v>
      </c>
      <c r="G117" s="45">
        <f>G67-G102-G113</f>
        <v>-1</v>
      </c>
      <c r="H117" s="68">
        <f>H67-H102-H113</f>
        <v>0</v>
      </c>
      <c r="I117" s="39" t="s">
        <v>421</v>
      </c>
    </row>
    <row r="118">
      <c r="A118" s="3"/>
      <c r="B118" s="3" t="s">
        <v>422</v>
      </c>
      <c r="C118" s="10" t="b">
        <f>ABS(C117)&lt;=1</f>
        <v>1</v>
      </c>
      <c r="D118" s="10" t="b">
        <f>ABS(D117)&lt;=1</f>
        <v>1</v>
      </c>
      <c r="E118" s="10" t="b">
        <f>ABS(E117)&lt;=1</f>
        <v>1</v>
      </c>
      <c r="F118" s="10" t="b">
        <f>ABS(F117)&lt;=1</f>
        <v>1</v>
      </c>
      <c r="G118" s="10" t="b">
        <f>ABS(G117)&lt;=1</f>
        <v>1</v>
      </c>
      <c r="H118" s="50" t="b">
        <f>ABS(H117)&lt;=1</f>
        <v>1</v>
      </c>
      <c r="I118" s="39"/>
    </row>
    <row r="119">
      <c r="A119" s="3"/>
      <c r="B119" s="3"/>
      <c r="C119" s="10"/>
      <c r="D119" s="10"/>
      <c r="E119" s="10"/>
      <c r="F119" s="10"/>
      <c r="G119" s="10"/>
      <c r="H119" s="50"/>
      <c r="I119" s="39"/>
    </row>
    <row r="120">
      <c r="A120" s="3"/>
      <c r="B120" s="56" t="s">
        <v>423</v>
      </c>
      <c r="C120" s="10"/>
      <c r="D120" s="10"/>
      <c r="E120" s="10"/>
      <c r="F120" s="10"/>
      <c r="G120" s="10"/>
      <c r="H120" s="50"/>
      <c r="I120" s="39"/>
    </row>
    <row r="121">
      <c r="A121" s="3"/>
      <c r="B121" s="53" t="s">
        <v>122</v>
      </c>
      <c r="C121" s="66">
        <f>C177-(C80+C95)</f>
        <v>0</v>
      </c>
      <c r="D121" s="66">
        <f>D177-(D80+D95)</f>
        <v>1</v>
      </c>
      <c r="E121" s="66">
        <f>D121</f>
        <v>1</v>
      </c>
      <c r="F121" s="66">
        <f>F177-(F80+F95)</f>
        <v>0</v>
      </c>
      <c r="G121" s="66">
        <f>G177-(G80+G95)</f>
        <v>1</v>
      </c>
      <c r="H121" s="75">
        <v>0</v>
      </c>
      <c r="I121" s="39" t="s">
        <v>123</v>
      </c>
    </row>
    <row r="122">
      <c r="A122" s="3"/>
      <c r="B122" s="42" t="s">
        <v>424</v>
      </c>
      <c r="C122" s="45">
        <f>C80+C95+C121</f>
        <v>65525</v>
      </c>
      <c r="D122" s="45">
        <f>D80+D95+D121</f>
        <v>67477</v>
      </c>
      <c r="E122" s="45">
        <f>D122</f>
        <v>67477</v>
      </c>
      <c r="F122" s="45">
        <f>F80+F95+F121</f>
        <v>66482</v>
      </c>
      <c r="G122" s="45">
        <f>G80+G95+G121</f>
        <v>68073</v>
      </c>
      <c r="H122" s="68">
        <f>H80+H95+H121</f>
        <v>68400</v>
      </c>
      <c r="I122" s="39"/>
    </row>
    <row r="123">
      <c r="A123" s="3"/>
      <c r="B123" s="48" t="s">
        <v>131</v>
      </c>
      <c r="C123" s="18"/>
      <c r="D123" s="18"/>
      <c r="E123" s="18"/>
      <c r="F123" s="43">
        <f>(F122-Inputs!C272)</f>
        <v>2274</v>
      </c>
      <c r="G123" s="43">
        <f>(G122-Inputs!D272)</f>
        <v>2497</v>
      </c>
      <c r="H123" s="46">
        <f>(H122-C122)</f>
        <v>2875</v>
      </c>
      <c r="I123" s="39"/>
    </row>
    <row r="124">
      <c r="A124" s="3"/>
      <c r="B124" s="48" t="s">
        <v>108</v>
      </c>
      <c r="C124" s="18"/>
      <c r="D124" s="18">
        <f>(D122-C122)</f>
        <v>1952</v>
      </c>
      <c r="E124" s="18"/>
      <c r="F124" s="18">
        <f>(F122-D122)</f>
        <v>-995</v>
      </c>
      <c r="G124" s="18">
        <f>(G122-F122)</f>
        <v>1591</v>
      </c>
      <c r="H124" s="46">
        <f>(H122-G122)</f>
        <v>327</v>
      </c>
      <c r="I124" s="39"/>
    </row>
    <row r="125">
      <c r="A125" s="3"/>
      <c r="B125" s="38" t="s">
        <v>425</v>
      </c>
      <c r="C125" s="160">
        <f>Inputs!D252</f>
        <v>63260</v>
      </c>
      <c r="D125" s="18">
        <f>C31</f>
        <v>63058</v>
      </c>
      <c r="E125" s="62">
        <v>62565</v>
      </c>
      <c r="F125" s="18">
        <f>D31</f>
        <v>64156</v>
      </c>
      <c r="G125" s="18">
        <f>F31</f>
        <v>64377</v>
      </c>
      <c r="H125" s="46">
        <f>G31</f>
        <v>65330</v>
      </c>
      <c r="I125" s="39" t="s">
        <v>426</v>
      </c>
    </row>
    <row r="126">
      <c r="A126" s="3"/>
      <c r="B126" s="71" t="s">
        <v>427</v>
      </c>
      <c r="C126" s="64" t="s">
        <v>83</v>
      </c>
      <c r="D126" s="64" t="s">
        <v>83</v>
      </c>
      <c r="E126" s="64" t="s">
        <v>83</v>
      </c>
      <c r="F126" s="64" t="s">
        <v>83</v>
      </c>
      <c r="G126" s="64" t="s">
        <v>83</v>
      </c>
      <c r="H126" s="76" t="s">
        <v>83</v>
      </c>
      <c r="I126" s="39" t="s">
        <v>428</v>
      </c>
    </row>
    <row r="127">
      <c r="A127" s="3"/>
      <c r="B127" s="71" t="s">
        <v>429</v>
      </c>
      <c r="C127" s="64" t="s">
        <v>83</v>
      </c>
      <c r="D127" s="64" t="s">
        <v>83</v>
      </c>
      <c r="E127" s="64" t="s">
        <v>83</v>
      </c>
      <c r="F127" s="64" t="s">
        <v>83</v>
      </c>
      <c r="G127" s="64" t="s">
        <v>83</v>
      </c>
      <c r="H127" s="76" t="s">
        <v>83</v>
      </c>
      <c r="I127" s="39" t="s">
        <v>428</v>
      </c>
    </row>
    <row r="128">
      <c r="A128" s="3"/>
      <c r="B128" s="38" t="s">
        <v>430</v>
      </c>
      <c r="C128" s="18">
        <f>C129-C125</f>
        <v>-202</v>
      </c>
      <c r="D128" s="18">
        <f>D129-D125</f>
        <v>1098</v>
      </c>
      <c r="E128" s="18">
        <f>E129-E125</f>
        <v>1591</v>
      </c>
      <c r="F128" s="18">
        <f>F129-F125</f>
        <v>221</v>
      </c>
      <c r="G128" s="18">
        <f>G129-G125</f>
        <v>953</v>
      </c>
      <c r="H128" s="46">
        <f>H129-H125</f>
        <v>131</v>
      </c>
      <c r="I128" s="39"/>
    </row>
    <row r="129">
      <c r="A129" s="3"/>
      <c r="B129" s="42" t="s">
        <v>431</v>
      </c>
      <c r="C129" s="45">
        <f>C31</f>
        <v>63058</v>
      </c>
      <c r="D129" s="45">
        <f>D31</f>
        <v>64156</v>
      </c>
      <c r="E129" s="45">
        <f>E31</f>
        <v>64156</v>
      </c>
      <c r="F129" s="45">
        <f>F31</f>
        <v>64377</v>
      </c>
      <c r="G129" s="45">
        <f>G31</f>
        <v>65330</v>
      </c>
      <c r="H129" s="68">
        <f>H31</f>
        <v>65461</v>
      </c>
      <c r="I129" s="39"/>
    </row>
    <row r="130">
      <c r="A130" s="3"/>
      <c r="B130" s="38" t="s">
        <v>432</v>
      </c>
      <c r="C130" s="43">
        <f>'Revenue summary'!C156</f>
        <v>62787</v>
      </c>
      <c r="D130" s="43">
        <f>'Revenue summary'!D156</f>
        <v>63432</v>
      </c>
      <c r="E130" s="43">
        <f>'Revenue summary'!E156</f>
        <v>62610</v>
      </c>
      <c r="F130" s="43">
        <f>'Revenue summary'!F156</f>
        <v>63192</v>
      </c>
      <c r="G130" s="43">
        <f>'Revenue summary'!G156</f>
        <v>64695</v>
      </c>
      <c r="H130" s="73">
        <f>'Revenue summary'!H156</f>
        <v>65398</v>
      </c>
      <c r="I130" s="39"/>
    </row>
    <row r="131">
      <c r="A131" s="3"/>
      <c r="B131" s="71" t="s">
        <v>433</v>
      </c>
      <c r="C131" s="12">
        <f>C128/C125*365/C141</f>
        <v>-0.012668559017993375</v>
      </c>
      <c r="D131" s="12">
        <f>D128/D125*365/D141</f>
        <v>0.06908236309705212</v>
      </c>
      <c r="E131" s="12">
        <f>E128/E125*365/E141</f>
        <v>0.025429553264604814</v>
      </c>
      <c r="F131" s="12">
        <f>F128/F125*365/F141</f>
        <v>0.013970287701505359</v>
      </c>
      <c r="G131" s="12">
        <f>G128/G125*365/G141</f>
        <v>0.05937636931625468</v>
      </c>
      <c r="H131" s="67">
        <f>H128/H125*365/H141</f>
        <v>0.007955430290365302</v>
      </c>
      <c r="I131" s="39"/>
    </row>
    <row r="132">
      <c r="A132" s="3"/>
      <c r="B132" s="38" t="s">
        <v>434</v>
      </c>
      <c r="C132" s="160">
        <f>Inputs!D272</f>
        <v>65576</v>
      </c>
      <c r="D132" s="18">
        <f>C122</f>
        <v>65525</v>
      </c>
      <c r="E132" s="62">
        <v>65581</v>
      </c>
      <c r="F132" s="18">
        <f>D122</f>
        <v>67477</v>
      </c>
      <c r="G132" s="18">
        <f>F122</f>
        <v>66482</v>
      </c>
      <c r="H132" s="46">
        <f>G122</f>
        <v>68073</v>
      </c>
      <c r="I132" s="39" t="s">
        <v>426</v>
      </c>
    </row>
    <row r="133">
      <c r="A133" s="3"/>
      <c r="B133" s="71" t="s">
        <v>435</v>
      </c>
      <c r="C133" s="64" t="s">
        <v>83</v>
      </c>
      <c r="D133" s="64" t="s">
        <v>83</v>
      </c>
      <c r="E133" s="64" t="s">
        <v>83</v>
      </c>
      <c r="F133" s="64" t="s">
        <v>83</v>
      </c>
      <c r="G133" s="64" t="s">
        <v>83</v>
      </c>
      <c r="H133" s="76" t="s">
        <v>83</v>
      </c>
      <c r="I133" s="39" t="s">
        <v>428</v>
      </c>
    </row>
    <row r="134">
      <c r="A134" s="3"/>
      <c r="B134" s="71" t="s">
        <v>436</v>
      </c>
      <c r="C134" s="64" t="s">
        <v>83</v>
      </c>
      <c r="D134" s="64" t="s">
        <v>83</v>
      </c>
      <c r="E134" s="64" t="s">
        <v>83</v>
      </c>
      <c r="F134" s="64" t="s">
        <v>83</v>
      </c>
      <c r="G134" s="64" t="s">
        <v>83</v>
      </c>
      <c r="H134" s="76" t="s">
        <v>83</v>
      </c>
      <c r="I134" s="39" t="s">
        <v>428</v>
      </c>
    </row>
    <row r="135">
      <c r="A135" s="3"/>
      <c r="B135" s="38" t="s">
        <v>437</v>
      </c>
      <c r="C135" s="18">
        <f>C136-C132</f>
        <v>-51</v>
      </c>
      <c r="D135" s="18">
        <f>D136-D132</f>
        <v>1952</v>
      </c>
      <c r="E135" s="18">
        <f>E136-E132</f>
        <v>1896</v>
      </c>
      <c r="F135" s="18">
        <f>F136-F132</f>
        <v>-995</v>
      </c>
      <c r="G135" s="18">
        <f>G136-G132</f>
        <v>1591</v>
      </c>
      <c r="H135" s="46">
        <f>H136-H132</f>
        <v>327</v>
      </c>
      <c r="I135" s="39"/>
    </row>
    <row r="136">
      <c r="A136" s="3"/>
      <c r="B136" s="42" t="s">
        <v>438</v>
      </c>
      <c r="C136" s="45">
        <f>C122</f>
        <v>65525</v>
      </c>
      <c r="D136" s="45">
        <f>D122</f>
        <v>67477</v>
      </c>
      <c r="E136" s="45">
        <f>E122</f>
        <v>67477</v>
      </c>
      <c r="F136" s="45">
        <f>F122</f>
        <v>66482</v>
      </c>
      <c r="G136" s="45">
        <f>G122</f>
        <v>68073</v>
      </c>
      <c r="H136" s="68">
        <f>H122</f>
        <v>68400</v>
      </c>
      <c r="I136" s="39"/>
    </row>
    <row r="137">
      <c r="A137" s="3"/>
      <c r="B137" s="38" t="s">
        <v>439</v>
      </c>
      <c r="C137" s="43">
        <f>'Revenue summary'!C268</f>
        <v>65924</v>
      </c>
      <c r="D137" s="43">
        <f>'Revenue summary'!D268</f>
        <v>66542</v>
      </c>
      <c r="E137" s="43">
        <f>'Revenue summary'!E268</f>
        <v>65435</v>
      </c>
      <c r="F137" s="43">
        <f>'Revenue summary'!F268</f>
        <v>66210</v>
      </c>
      <c r="G137" s="43">
        <f>'Revenue summary'!G268</f>
        <v>66782</v>
      </c>
      <c r="H137" s="73">
        <f>'Revenue summary'!H268</f>
        <v>67600</v>
      </c>
      <c r="I137" s="39"/>
    </row>
    <row r="138">
      <c r="A138" s="3"/>
      <c r="B138" s="71" t="s">
        <v>440</v>
      </c>
      <c r="C138" s="12">
        <f>C31/C122</f>
        <v>0.9623502479969477</v>
      </c>
      <c r="D138" s="12">
        <f>D31/D122</f>
        <v>0.9507832298412793</v>
      </c>
      <c r="E138" s="12">
        <f>E31/E122</f>
        <v>0.9507832298412793</v>
      </c>
      <c r="F138" s="12">
        <f>F31/F122</f>
        <v>0.9683372943052255</v>
      </c>
      <c r="G138" s="12">
        <f>G31/G122</f>
        <v>0.9597050225493221</v>
      </c>
      <c r="H138" s="67">
        <f>H31/H122</f>
        <v>0.9570321637426901</v>
      </c>
      <c r="I138" s="39"/>
    </row>
    <row r="139">
      <c r="A139" s="3"/>
      <c r="B139" s="48" t="s">
        <v>154</v>
      </c>
      <c r="C139" s="31"/>
      <c r="D139" s="31">
        <f>(D138-C138)*10000</f>
        <v>-115.67018155668407</v>
      </c>
      <c r="E139" s="31"/>
      <c r="F139" s="31">
        <f>(F138-D138)*10000</f>
        <v>175.5406446394625</v>
      </c>
      <c r="G139" s="31">
        <f>(G138-F138)*10000</f>
        <v>-86.3227175590342</v>
      </c>
      <c r="H139" s="88">
        <f>(H138-G138)*10000</f>
        <v>-26.72858806632039</v>
      </c>
      <c r="I139" s="39"/>
    </row>
    <row r="140">
      <c r="A140" s="3"/>
      <c r="B140" s="48" t="s">
        <v>153</v>
      </c>
      <c r="C140" s="31"/>
      <c r="D140" s="31"/>
      <c r="E140" s="31"/>
      <c r="F140" s="60">
        <f>(F138-(Inputs!C252/Inputs!C272))*10000</f>
        <v>-6.229598687091942</v>
      </c>
      <c r="G140" s="60">
        <f>(G138-(Inputs!D252/Inputs!D272))*10000</f>
        <v>-49.771782558505336</v>
      </c>
      <c r="H140" s="88">
        <f>(H138-C138)*10000</f>
        <v>-53.18084254257616</v>
      </c>
      <c r="I140" s="39"/>
    </row>
    <row r="141">
      <c r="A141" s="3"/>
      <c r="B141" s="71" t="s">
        <v>203</v>
      </c>
      <c r="C141" s="86">
        <f>C6</f>
        <v>92</v>
      </c>
      <c r="D141" s="86">
        <f>D6</f>
        <v>92</v>
      </c>
      <c r="E141" s="86">
        <f>E6</f>
        <v>365</v>
      </c>
      <c r="F141" s="86">
        <f>F6</f>
        <v>90</v>
      </c>
      <c r="G141" s="86">
        <f>G6</f>
        <v>91</v>
      </c>
      <c r="H141" s="89">
        <f>H6</f>
        <v>92</v>
      </c>
      <c r="I141" s="39"/>
    </row>
    <row r="142">
      <c r="A142" s="3"/>
      <c r="B142" s="3"/>
      <c r="C142" s="10"/>
      <c r="D142" s="10"/>
      <c r="E142" s="10"/>
      <c r="F142" s="10"/>
      <c r="G142" s="10"/>
      <c r="H142" s="50"/>
      <c r="I142" s="39"/>
    </row>
    <row r="143">
      <c r="A143" s="3"/>
      <c r="B143" s="56" t="s">
        <v>441</v>
      </c>
      <c r="C143" s="10"/>
      <c r="D143" s="10"/>
      <c r="E143" s="10"/>
      <c r="F143" s="10"/>
      <c r="G143" s="10"/>
      <c r="H143" s="50"/>
      <c r="I143" s="39"/>
    </row>
    <row r="144">
      <c r="A144" s="3"/>
      <c r="B144" s="38" t="s">
        <v>442</v>
      </c>
      <c r="C144" s="160">
        <f>-Inputs!D261</f>
        <v>814</v>
      </c>
      <c r="D144" s="62">
        <v>777</v>
      </c>
      <c r="E144" s="62">
        <v>815</v>
      </c>
      <c r="F144" s="62">
        <v>738</v>
      </c>
      <c r="G144" s="62">
        <v>730</v>
      </c>
      <c r="H144" s="46">
        <f>G152</f>
        <v>709</v>
      </c>
      <c r="I144" s="39" t="s">
        <v>443</v>
      </c>
    </row>
    <row r="145">
      <c r="A145" s="3"/>
      <c r="B145" s="48" t="s">
        <v>444</v>
      </c>
      <c r="C145" s="62">
        <v>-36</v>
      </c>
      <c r="D145" s="62">
        <v>-47</v>
      </c>
      <c r="E145" s="18" t="s">
        <v>236</v>
      </c>
      <c r="F145" s="62">
        <v>-45</v>
      </c>
      <c r="G145" s="62">
        <v>-41</v>
      </c>
      <c r="H145" s="46">
        <f>H149-H146</f>
        <v>-42.96775890410959</v>
      </c>
      <c r="I145" s="39"/>
    </row>
    <row r="146">
      <c r="A146" s="3"/>
      <c r="B146" s="48" t="s">
        <v>445</v>
      </c>
      <c r="C146" s="62">
        <v>9</v>
      </c>
      <c r="D146" s="62">
        <v>16</v>
      </c>
      <c r="E146" s="18" t="s">
        <v>236</v>
      </c>
      <c r="F146" s="62">
        <v>17</v>
      </c>
      <c r="G146" s="62">
        <v>8</v>
      </c>
      <c r="H146" s="40">
        <v>10</v>
      </c>
      <c r="I146" s="39" t="s">
        <v>446</v>
      </c>
    </row>
    <row r="147">
      <c r="A147" s="3"/>
      <c r="B147" s="92" t="s">
        <v>108</v>
      </c>
      <c r="C147" s="18"/>
      <c r="D147" s="18">
        <f>D146-C146</f>
        <v>7</v>
      </c>
      <c r="E147" s="18"/>
      <c r="F147" s="18">
        <f>F146-D146</f>
        <v>1</v>
      </c>
      <c r="G147" s="18">
        <f>G146-F146</f>
        <v>-9</v>
      </c>
      <c r="H147" s="46">
        <f>H146-G146</f>
        <v>2</v>
      </c>
      <c r="I147" s="39"/>
    </row>
    <row r="148">
      <c r="A148" s="3"/>
      <c r="B148" s="92" t="s">
        <v>131</v>
      </c>
      <c r="C148" s="18"/>
      <c r="D148" s="18"/>
      <c r="E148" s="18"/>
      <c r="F148" s="18" t="s">
        <v>236</v>
      </c>
      <c r="G148" s="18" t="s">
        <v>236</v>
      </c>
      <c r="H148" s="46">
        <f>H146-C146</f>
        <v>1</v>
      </c>
      <c r="I148" s="39" t="s">
        <v>447</v>
      </c>
    </row>
    <row r="149">
      <c r="A149" s="3"/>
      <c r="B149" s="42" t="s">
        <v>448</v>
      </c>
      <c r="C149" s="41">
        <v>-26</v>
      </c>
      <c r="D149" s="41">
        <v>-30</v>
      </c>
      <c r="E149" s="45" t="s">
        <v>236</v>
      </c>
      <c r="F149" s="41">
        <v>-29</v>
      </c>
      <c r="G149" s="41">
        <v>-33</v>
      </c>
      <c r="H149" s="96">
        <f>-H160*'Revenue summary'!H156*H141/365</f>
        <v>-32.96775890410959</v>
      </c>
      <c r="I149" s="39" t="s">
        <v>449</v>
      </c>
    </row>
    <row r="150">
      <c r="A150" s="3"/>
      <c r="B150" s="38" t="s">
        <v>450</v>
      </c>
      <c r="C150" s="62">
        <v>-11</v>
      </c>
      <c r="D150" s="62">
        <v>-8</v>
      </c>
      <c r="E150" s="18" t="s">
        <v>236</v>
      </c>
      <c r="F150" s="62">
        <v>20</v>
      </c>
      <c r="G150" s="62">
        <v>12</v>
      </c>
      <c r="H150" s="73">
        <f>'Income Statement'!H69-H154</f>
        <v>20</v>
      </c>
      <c r="I150" s="39"/>
    </row>
    <row r="151">
      <c r="A151" s="3"/>
      <c r="B151" s="53" t="s">
        <v>122</v>
      </c>
      <c r="C151" s="66">
        <f>C178-(C144+C149+C150)</f>
        <v>0</v>
      </c>
      <c r="D151" s="66">
        <f>D178-(D144+D149+D150)</f>
        <v>-1</v>
      </c>
      <c r="E151" s="66" t="s">
        <v>236</v>
      </c>
      <c r="F151" s="66">
        <f>F178-(F144+F149+F150)</f>
        <v>1</v>
      </c>
      <c r="G151" s="66">
        <f>G178-(G144+G149+G150)</f>
        <v>0</v>
      </c>
      <c r="H151" s="75">
        <v>0</v>
      </c>
      <c r="I151" s="39" t="s">
        <v>123</v>
      </c>
    </row>
    <row r="152">
      <c r="A152" s="3"/>
      <c r="B152" s="42" t="s">
        <v>451</v>
      </c>
      <c r="C152" s="45">
        <f>C144+C149+C150+C151</f>
        <v>777</v>
      </c>
      <c r="D152" s="45">
        <f>D144+D149+D150+D151</f>
        <v>738</v>
      </c>
      <c r="E152" s="45">
        <f>D152</f>
        <v>738</v>
      </c>
      <c r="F152" s="45">
        <f>F144+F149+F150+F151</f>
        <v>730</v>
      </c>
      <c r="G152" s="45">
        <f>G144+G149+G150+G151</f>
        <v>709</v>
      </c>
      <c r="H152" s="68">
        <f>H144+H149+H150+H151</f>
        <v>696.0322410958904</v>
      </c>
      <c r="I152" s="39"/>
    </row>
    <row r="153">
      <c r="A153" s="3"/>
      <c r="B153" s="38" t="s">
        <v>452</v>
      </c>
      <c r="C153" s="62">
        <v>87</v>
      </c>
      <c r="D153" s="62">
        <v>93</v>
      </c>
      <c r="E153" s="18" t="s">
        <v>236</v>
      </c>
      <c r="F153" s="62">
        <v>101</v>
      </c>
      <c r="G153" s="62">
        <v>96</v>
      </c>
      <c r="H153" s="46">
        <f>G155</f>
        <v>99</v>
      </c>
      <c r="I153" s="39"/>
    </row>
    <row r="154">
      <c r="A154" s="3"/>
      <c r="B154" s="38" t="s">
        <v>453</v>
      </c>
      <c r="C154" s="62">
        <v>6</v>
      </c>
      <c r="D154" s="62">
        <v>8</v>
      </c>
      <c r="E154" s="18" t="s">
        <v>236</v>
      </c>
      <c r="F154" s="62">
        <v>-5</v>
      </c>
      <c r="G154" s="62">
        <v>3</v>
      </c>
      <c r="H154" s="40">
        <v>0</v>
      </c>
      <c r="I154" s="39" t="s">
        <v>454</v>
      </c>
    </row>
    <row r="155">
      <c r="A155" s="3"/>
      <c r="B155" s="42" t="s">
        <v>455</v>
      </c>
      <c r="C155" s="45">
        <f>C153+C154</f>
        <v>93</v>
      </c>
      <c r="D155" s="45">
        <f>D153+D154</f>
        <v>101</v>
      </c>
      <c r="E155" s="45">
        <f>D155</f>
        <v>101</v>
      </c>
      <c r="F155" s="45">
        <f>F153+F154</f>
        <v>96</v>
      </c>
      <c r="G155" s="45">
        <f>G153+G154</f>
        <v>99</v>
      </c>
      <c r="H155" s="68">
        <f>H153+H154</f>
        <v>99</v>
      </c>
      <c r="I155" s="39"/>
    </row>
    <row r="156">
      <c r="A156" s="3"/>
      <c r="B156" s="56" t="s">
        <v>456</v>
      </c>
      <c r="C156" s="45">
        <f>C152+C155</f>
        <v>870</v>
      </c>
      <c r="D156" s="45">
        <f>D152+D155</f>
        <v>839</v>
      </c>
      <c r="E156" s="45">
        <f>D156</f>
        <v>839</v>
      </c>
      <c r="F156" s="45">
        <f>F152+F155</f>
        <v>826</v>
      </c>
      <c r="G156" s="45">
        <f>G152+G155</f>
        <v>808</v>
      </c>
      <c r="H156" s="68">
        <f>H152+H155</f>
        <v>795.0322410958904</v>
      </c>
      <c r="I156" s="39"/>
    </row>
    <row r="157">
      <c r="A157" s="3"/>
      <c r="B157" s="71" t="s">
        <v>457</v>
      </c>
      <c r="C157" s="12">
        <f>C156/C31</f>
        <v>0.013796821973421294</v>
      </c>
      <c r="D157" s="12">
        <f>D156/D31</f>
        <v>0.013077498597169399</v>
      </c>
      <c r="E157" s="12">
        <f>E156/E31</f>
        <v>0.013077498597169399</v>
      </c>
      <c r="F157" s="12">
        <f>F156/F31</f>
        <v>0.012830669338428321</v>
      </c>
      <c r="G157" s="12">
        <f>G156/G31</f>
        <v>0.012367977958059084</v>
      </c>
      <c r="H157" s="67">
        <f>H156/H31</f>
        <v>0.01214512826103925</v>
      </c>
      <c r="I157" s="39"/>
    </row>
    <row r="158">
      <c r="A158" s="3"/>
      <c r="B158" s="48" t="s">
        <v>154</v>
      </c>
      <c r="C158" s="31"/>
      <c r="D158" s="31">
        <f>(D157-C157)*10000</f>
        <v>-7.193233762518951</v>
      </c>
      <c r="E158" s="31"/>
      <c r="F158" s="31">
        <f>(F157-D157)*10000</f>
        <v>-2.468292587410777</v>
      </c>
      <c r="G158" s="31">
        <f>(G157-F157)*10000</f>
        <v>-4.626913803692373</v>
      </c>
      <c r="H158" s="88">
        <f>(H157-G157)*10000</f>
        <v>-2.2284969701983313</v>
      </c>
      <c r="I158" s="39"/>
    </row>
    <row r="159">
      <c r="A159" s="3"/>
      <c r="B159" s="48" t="s">
        <v>153</v>
      </c>
      <c r="C159" s="31"/>
      <c r="D159" s="31"/>
      <c r="E159" s="31"/>
      <c r="F159" s="31" t="s">
        <v>236</v>
      </c>
      <c r="G159" s="60">
        <f>(G157-(Inputs!D273/Inputs!D252))*10000</f>
        <v>-18.74829503211861</v>
      </c>
      <c r="H159" s="88">
        <f>(H157-C157)*10000</f>
        <v>-16.516937123820433</v>
      </c>
      <c r="I159" s="39"/>
    </row>
    <row r="160">
      <c r="A160" s="3"/>
      <c r="B160" s="71" t="s">
        <v>458</v>
      </c>
      <c r="C160" s="133">
        <f>-C149/'Revenue summary'!C156*365/C141</f>
        <v>0.0016428906288410575</v>
      </c>
      <c r="D160" s="133">
        <f>-D149/'Revenue summary'!D156*365/D141</f>
        <v>0.0018763674348977611</v>
      </c>
      <c r="E160" s="134" t="s">
        <v>236</v>
      </c>
      <c r="F160" s="133">
        <f>-F149/'Revenue summary'!F156*365/F141</f>
        <v>0.0018611708936433586</v>
      </c>
      <c r="G160" s="133">
        <f>-G149/'Revenue summary'!G156*365/G141</f>
        <v>0.0020459484869408354</v>
      </c>
      <c r="H160" s="132">
        <v>0.002</v>
      </c>
      <c r="I160" s="39" t="s">
        <v>459</v>
      </c>
    </row>
    <row r="161">
      <c r="A161" s="3"/>
      <c r="B161" s="48" t="s">
        <v>154</v>
      </c>
      <c r="C161" s="31"/>
      <c r="D161" s="31">
        <f>(D160-C160)*10000</f>
        <v>2.3347680605670362</v>
      </c>
      <c r="E161" s="31"/>
      <c r="F161" s="31">
        <f>(F160-D160)*10000</f>
        <v>-0.15196541254402499</v>
      </c>
      <c r="G161" s="31">
        <f>(G160-F160)*10000</f>
        <v>1.847775932974768</v>
      </c>
      <c r="H161" s="88">
        <f>(H160-G160)*10000</f>
        <v>-0.4594848694083539</v>
      </c>
      <c r="I161" s="39"/>
    </row>
    <row r="162" ht="26.25">
      <c r="A162" s="3"/>
      <c r="B162" s="48" t="s">
        <v>153</v>
      </c>
      <c r="C162" s="31"/>
      <c r="D162" s="31"/>
      <c r="E162" s="31"/>
      <c r="F162" s="31" t="s">
        <v>236</v>
      </c>
      <c r="G162" s="60">
        <f>(G160-(Inputs!D274))*10000</f>
        <v>-1.540515130591647</v>
      </c>
      <c r="H162" s="88">
        <f>(H160-C160)*10000</f>
        <v>3.5710937115894255</v>
      </c>
      <c r="I162" s="149" t="s">
        <v>460</v>
      </c>
    </row>
    <row r="163">
      <c r="A163" s="3"/>
      <c r="B163" s="71" t="s">
        <v>461</v>
      </c>
      <c r="C163" s="33">
        <v>0.11</v>
      </c>
      <c r="D163" s="33">
        <v>0.106</v>
      </c>
      <c r="E163" s="12">
        <f>D163</f>
        <v>0.106</v>
      </c>
      <c r="F163" s="33">
        <v>0.105</v>
      </c>
      <c r="G163" s="33">
        <v>0.105</v>
      </c>
      <c r="H163" s="67" t="s">
        <v>290</v>
      </c>
      <c r="I163" s="39" t="s">
        <v>462</v>
      </c>
    </row>
    <row r="164">
      <c r="A164" s="3"/>
      <c r="B164" s="48" t="s">
        <v>153</v>
      </c>
      <c r="C164" s="31"/>
      <c r="D164" s="31"/>
      <c r="E164" s="31"/>
      <c r="F164" s="31" t="s">
        <v>236</v>
      </c>
      <c r="G164" s="60">
        <f>(G163-Inputs!D275)*10000</f>
        <v>-50.00000000000004</v>
      </c>
      <c r="H164" s="88" t="s">
        <v>290</v>
      </c>
      <c r="I164" s="39"/>
    </row>
    <row r="165">
      <c r="A165" s="3"/>
      <c r="B165" s="48" t="s">
        <v>154</v>
      </c>
      <c r="C165" s="31"/>
      <c r="D165" s="31">
        <f>(D163-C163)*10000</f>
        <v>-40.000000000000036</v>
      </c>
      <c r="E165" s="31"/>
      <c r="F165" s="31">
        <f>(F163-D163)*10000</f>
        <v>-10.000000000000009</v>
      </c>
      <c r="G165" s="31">
        <f>(G163-F163)*10000</f>
        <v>0</v>
      </c>
      <c r="H165" s="88" t="s">
        <v>290</v>
      </c>
      <c r="I165" s="39"/>
    </row>
    <row r="166">
      <c r="A166" s="3"/>
      <c r="B166" s="3"/>
      <c r="C166" s="10"/>
      <c r="D166" s="10"/>
      <c r="E166" s="10"/>
      <c r="F166" s="10"/>
      <c r="G166" s="10"/>
      <c r="H166" s="50"/>
      <c r="I166" s="39"/>
    </row>
    <row r="167">
      <c r="A167" s="3"/>
      <c r="B167" s="56" t="s">
        <v>204</v>
      </c>
      <c r="C167" s="10"/>
      <c r="D167" s="10"/>
      <c r="E167" s="10"/>
      <c r="F167" s="10"/>
      <c r="G167" s="10"/>
      <c r="H167" s="50"/>
      <c r="I167" s="39"/>
    </row>
    <row r="168">
      <c r="A168" s="3"/>
      <c r="B168" s="71" t="s">
        <v>207</v>
      </c>
      <c r="C168" s="65">
        <v>48076</v>
      </c>
      <c r="D168" s="65">
        <v>49468</v>
      </c>
      <c r="E168" s="66"/>
      <c r="F168" s="65">
        <v>49887</v>
      </c>
      <c r="G168" s="65">
        <v>50891</v>
      </c>
      <c r="H168" s="82"/>
      <c r="I168" s="39" t="s">
        <v>206</v>
      </c>
    </row>
    <row r="169">
      <c r="A169" s="3"/>
      <c r="B169" s="71" t="s">
        <v>208</v>
      </c>
      <c r="C169" s="65">
        <v>14982</v>
      </c>
      <c r="D169" s="65">
        <v>14688</v>
      </c>
      <c r="E169" s="66"/>
      <c r="F169" s="65">
        <v>14490</v>
      </c>
      <c r="G169" s="65">
        <v>14439</v>
      </c>
      <c r="H169" s="82"/>
      <c r="I169" s="39" t="s">
        <v>206</v>
      </c>
    </row>
    <row r="170">
      <c r="A170" s="3"/>
      <c r="B170" s="71" t="s">
        <v>463</v>
      </c>
      <c r="C170" s="65">
        <v>76963</v>
      </c>
      <c r="D170" s="65">
        <v>77606</v>
      </c>
      <c r="E170" s="66"/>
      <c r="F170" s="65">
        <v>77971</v>
      </c>
      <c r="G170" s="65">
        <v>78063</v>
      </c>
      <c r="H170" s="82"/>
      <c r="I170" s="39" t="s">
        <v>206</v>
      </c>
    </row>
    <row r="171">
      <c r="A171" s="3"/>
      <c r="B171" s="71" t="s">
        <v>464</v>
      </c>
      <c r="C171" s="65">
        <v>83192</v>
      </c>
      <c r="D171" s="65">
        <v>83876</v>
      </c>
      <c r="E171" s="66"/>
      <c r="F171" s="65">
        <v>84132</v>
      </c>
      <c r="G171" s="65">
        <v>84437</v>
      </c>
      <c r="H171" s="82"/>
      <c r="I171" s="39" t="s">
        <v>206</v>
      </c>
    </row>
    <row r="172">
      <c r="A172" s="3"/>
      <c r="B172" s="71" t="s">
        <v>212</v>
      </c>
      <c r="C172" s="65">
        <v>49502</v>
      </c>
      <c r="D172" s="65">
        <v>51653</v>
      </c>
      <c r="E172" s="66"/>
      <c r="F172" s="65">
        <v>50572</v>
      </c>
      <c r="G172" s="65">
        <v>52078</v>
      </c>
      <c r="H172" s="82"/>
      <c r="I172" s="39" t="s">
        <v>206</v>
      </c>
    </row>
    <row r="173">
      <c r="A173" s="3"/>
      <c r="B173" s="71" t="s">
        <v>465</v>
      </c>
      <c r="C173" s="65">
        <v>55763</v>
      </c>
      <c r="D173" s="65">
        <v>56835</v>
      </c>
      <c r="E173" s="66"/>
      <c r="F173" s="65">
        <v>56725</v>
      </c>
      <c r="G173" s="65">
        <v>56935</v>
      </c>
      <c r="H173" s="82"/>
      <c r="I173" s="39" t="s">
        <v>206</v>
      </c>
    </row>
    <row r="174">
      <c r="A174" s="3"/>
      <c r="B174" s="71" t="s">
        <v>466</v>
      </c>
      <c r="C174" s="65">
        <v>73948</v>
      </c>
      <c r="D174" s="65">
        <v>74734</v>
      </c>
      <c r="E174" s="66"/>
      <c r="F174" s="65">
        <v>74667</v>
      </c>
      <c r="G174" s="65">
        <v>74974</v>
      </c>
      <c r="H174" s="82"/>
      <c r="I174" s="39" t="s">
        <v>206</v>
      </c>
    </row>
    <row r="175">
      <c r="A175" s="3"/>
      <c r="B175" s="71" t="s">
        <v>467</v>
      </c>
      <c r="C175" s="65">
        <v>9244</v>
      </c>
      <c r="D175" s="65">
        <v>9142</v>
      </c>
      <c r="E175" s="66"/>
      <c r="F175" s="65">
        <v>9465</v>
      </c>
      <c r="G175" s="65">
        <v>9464</v>
      </c>
      <c r="H175" s="82"/>
      <c r="I175" s="39" t="s">
        <v>206</v>
      </c>
    </row>
    <row r="176">
      <c r="A176" s="3"/>
      <c r="B176" s="71" t="s">
        <v>468</v>
      </c>
      <c r="C176" s="65">
        <v>83192</v>
      </c>
      <c r="D176" s="65">
        <v>83876</v>
      </c>
      <c r="E176" s="66"/>
      <c r="F176" s="65">
        <v>84132</v>
      </c>
      <c r="G176" s="65">
        <v>84437</v>
      </c>
      <c r="H176" s="82"/>
      <c r="I176" s="39" t="s">
        <v>206</v>
      </c>
    </row>
    <row r="177">
      <c r="A177" s="3"/>
      <c r="B177" s="71" t="s">
        <v>469</v>
      </c>
      <c r="C177" s="65">
        <v>65525</v>
      </c>
      <c r="D177" s="65">
        <v>67477</v>
      </c>
      <c r="E177" s="66"/>
      <c r="F177" s="65">
        <v>66482</v>
      </c>
      <c r="G177" s="65">
        <v>68073</v>
      </c>
      <c r="H177" s="82"/>
      <c r="I177" s="39" t="s">
        <v>206</v>
      </c>
    </row>
    <row r="178">
      <c r="A178" s="3"/>
      <c r="B178" s="71" t="s">
        <v>470</v>
      </c>
      <c r="C178" s="65">
        <v>777</v>
      </c>
      <c r="D178" s="65">
        <v>738</v>
      </c>
      <c r="E178" s="66"/>
      <c r="F178" s="65">
        <v>730</v>
      </c>
      <c r="G178" s="65">
        <v>709</v>
      </c>
      <c r="H178" s="82"/>
      <c r="I178" s="39" t="s">
        <v>206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I6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90" customWidth="1"/>
  </cols>
  <sheetData>
    <row r="1">
      <c r="A1" s="3"/>
      <c r="B1" s="37" t="s">
        <v>0</v>
      </c>
      <c r="C1" s="3"/>
      <c r="D1" s="3"/>
      <c r="E1" s="3"/>
      <c r="F1" s="3"/>
      <c r="G1" s="3"/>
      <c r="H1" s="3"/>
      <c r="I1" s="3"/>
    </row>
    <row r="2">
      <c r="A2" s="3"/>
      <c r="B2" s="56" t="s">
        <v>471</v>
      </c>
      <c r="C2" s="3"/>
      <c r="D2" s="3"/>
      <c r="E2" s="3"/>
      <c r="F2" s="3"/>
      <c r="G2" s="3"/>
      <c r="H2" s="3"/>
      <c r="I2" s="3"/>
    </row>
    <row r="3">
      <c r="A3" s="3"/>
      <c r="B3" s="32" t="s">
        <v>2</v>
      </c>
      <c r="C3" s="3"/>
      <c r="D3" s="3"/>
      <c r="E3" s="3"/>
      <c r="F3" s="3"/>
      <c r="G3" s="3"/>
      <c r="H3" s="3"/>
      <c r="I3" s="3"/>
    </row>
    <row r="4">
      <c r="A4" s="3"/>
      <c r="B4" s="24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8" t="s">
        <v>9</v>
      </c>
      <c r="I4" s="24" t="s">
        <v>75</v>
      </c>
    </row>
    <row r="5">
      <c r="A5" s="3"/>
      <c r="B5" s="13" t="s">
        <v>10</v>
      </c>
      <c r="C5" s="34">
        <v>45930</v>
      </c>
      <c r="D5" s="34">
        <v>46022</v>
      </c>
      <c r="E5" s="34">
        <v>46022</v>
      </c>
      <c r="F5" s="34">
        <v>46112</v>
      </c>
      <c r="G5" s="34">
        <v>46203</v>
      </c>
      <c r="H5" s="81">
        <v>46295</v>
      </c>
      <c r="I5" s="79"/>
    </row>
    <row r="6">
      <c r="A6" s="3"/>
      <c r="B6" s="23" t="s">
        <v>11</v>
      </c>
      <c r="C6" s="1">
        <v>92</v>
      </c>
      <c r="D6" s="1">
        <v>92</v>
      </c>
      <c r="E6" s="1">
        <v>365</v>
      </c>
      <c r="F6" s="1">
        <v>90</v>
      </c>
      <c r="G6" s="1">
        <v>91</v>
      </c>
      <c r="H6" s="84">
        <v>92</v>
      </c>
      <c r="I6" s="70"/>
    </row>
    <row r="7">
      <c r="A7" s="3"/>
      <c r="B7" s="3"/>
      <c r="C7" s="3"/>
      <c r="D7" s="3"/>
      <c r="E7" s="3"/>
      <c r="F7" s="3"/>
      <c r="G7" s="3"/>
      <c r="H7" s="57"/>
      <c r="I7" s="39"/>
    </row>
    <row r="8">
      <c r="A8" s="3"/>
      <c r="B8" s="56" t="s">
        <v>472</v>
      </c>
      <c r="C8" s="10"/>
      <c r="D8" s="10"/>
      <c r="E8" s="10"/>
      <c r="F8" s="10"/>
      <c r="G8" s="10"/>
      <c r="H8" s="50"/>
      <c r="I8" s="39"/>
    </row>
    <row r="9" ht="26.25">
      <c r="A9" s="3"/>
      <c r="B9" s="38" t="s">
        <v>314</v>
      </c>
      <c r="C9" s="43">
        <f>Inputs!E284-Inputs!D284</f>
        <v>265</v>
      </c>
      <c r="D9" s="43">
        <f>Inputs!F284-Inputs!E284</f>
        <v>266</v>
      </c>
      <c r="E9" s="43">
        <f>Inputs!D284+C9+D9</f>
        <v>998</v>
      </c>
      <c r="F9" s="43">
        <f>Inputs!G284</f>
        <v>266</v>
      </c>
      <c r="G9" s="43">
        <f>Inputs!H284-Inputs!G284</f>
        <v>275</v>
      </c>
      <c r="H9" s="73">
        <f>'Income Statement'!H77</f>
        <v>265.00086932054825</v>
      </c>
      <c r="I9" s="168" t="s">
        <v>473</v>
      </c>
    </row>
    <row r="10">
      <c r="A10" s="3"/>
      <c r="B10" s="38" t="s">
        <v>225</v>
      </c>
      <c r="C10" s="43">
        <f>Inputs!E285-Inputs!D285</f>
        <v>-5</v>
      </c>
      <c r="D10" s="43">
        <f>Inputs!F285-Inputs!E285</f>
        <v>0</v>
      </c>
      <c r="E10" s="43">
        <f>Inputs!D285+C10+D10</f>
        <v>65</v>
      </c>
      <c r="F10" s="43">
        <f>Inputs!G285</f>
        <v>15</v>
      </c>
      <c r="G10" s="43">
        <f>Inputs!H285-Inputs!G285</f>
        <v>15</v>
      </c>
      <c r="H10" s="73">
        <f>'Income Statement'!H69</f>
        <v>20</v>
      </c>
      <c r="I10" s="39"/>
    </row>
    <row r="11">
      <c r="A11" s="3"/>
      <c r="B11" s="38" t="s">
        <v>474</v>
      </c>
      <c r="C11" s="43">
        <f>Inputs!E286-Inputs!D286</f>
        <v>36</v>
      </c>
      <c r="D11" s="43">
        <f>Inputs!F286-Inputs!E286</f>
        <v>-7</v>
      </c>
      <c r="E11" s="43">
        <f>Inputs!D286+C11+D11</f>
        <v>49</v>
      </c>
      <c r="F11" s="43">
        <f>Inputs!G286</f>
        <v>25</v>
      </c>
      <c r="G11" s="43">
        <f>Inputs!H286-Inputs!G286</f>
        <v>44</v>
      </c>
      <c r="H11" s="40">
        <v>0</v>
      </c>
      <c r="I11" s="39" t="s">
        <v>475</v>
      </c>
    </row>
    <row r="12">
      <c r="A12" s="3"/>
      <c r="B12" s="38" t="s">
        <v>476</v>
      </c>
      <c r="C12" s="43">
        <f>Inputs!E287-Inputs!D287</f>
        <v>14</v>
      </c>
      <c r="D12" s="43">
        <f>Inputs!F287-Inputs!E287</f>
        <v>14</v>
      </c>
      <c r="E12" s="43">
        <f>Inputs!D287+C12+D12</f>
        <v>56</v>
      </c>
      <c r="F12" s="43">
        <f>Inputs!G287</f>
        <v>14</v>
      </c>
      <c r="G12" s="43">
        <f>Inputs!H287-Inputs!G287</f>
        <v>13</v>
      </c>
      <c r="H12" s="40">
        <v>14</v>
      </c>
      <c r="I12" s="39" t="s">
        <v>477</v>
      </c>
    </row>
    <row r="13">
      <c r="A13" s="3"/>
      <c r="B13" s="38" t="s">
        <v>305</v>
      </c>
      <c r="C13" s="43">
        <f>Inputs!E288-Inputs!D288</f>
        <v>9</v>
      </c>
      <c r="D13" s="43">
        <f>Inputs!F288-Inputs!E288</f>
        <v>9</v>
      </c>
      <c r="E13" s="43">
        <f>Inputs!D288+C13+D13</f>
        <v>38</v>
      </c>
      <c r="F13" s="43">
        <f>Inputs!G288</f>
        <v>8</v>
      </c>
      <c r="G13" s="43">
        <f>Inputs!H288-Inputs!G288</f>
        <v>8</v>
      </c>
      <c r="H13" s="73">
        <f>'Income Statement'!H54</f>
        <v>8</v>
      </c>
      <c r="I13" s="39"/>
    </row>
    <row r="14">
      <c r="A14" s="3"/>
      <c r="B14" s="38" t="s">
        <v>478</v>
      </c>
      <c r="C14" s="43">
        <f>Inputs!E289-Inputs!D289</f>
        <v>-17</v>
      </c>
      <c r="D14" s="43">
        <f>Inputs!F289-Inputs!E289</f>
        <v>-6</v>
      </c>
      <c r="E14" s="43">
        <f>Inputs!D289+C14+D14</f>
        <v>-30</v>
      </c>
      <c r="F14" s="43">
        <f>Inputs!G289</f>
        <v>0</v>
      </c>
      <c r="G14" s="43">
        <f>Inputs!H289-Inputs!G289</f>
        <v>-2</v>
      </c>
      <c r="H14" s="40">
        <v>0</v>
      </c>
      <c r="I14" s="39" t="s">
        <v>475</v>
      </c>
    </row>
    <row r="15">
      <c r="A15" s="3"/>
      <c r="B15" s="38" t="s">
        <v>479</v>
      </c>
      <c r="C15" s="43">
        <f>Inputs!E290-Inputs!D290</f>
        <v>-451</v>
      </c>
      <c r="D15" s="43">
        <f>Inputs!F290-Inputs!E290</f>
        <v>548</v>
      </c>
      <c r="E15" s="43">
        <f>Inputs!D290+C15+D15</f>
        <v>530</v>
      </c>
      <c r="F15" s="43">
        <f>Inputs!G290</f>
        <v>363</v>
      </c>
      <c r="G15" s="43">
        <f>Inputs!H290-Inputs!G290</f>
        <v>726</v>
      </c>
      <c r="H15" s="73">
        <f>-('Balance Sheet'!H40-'Balance Sheet'!G40)</f>
        <v>0</v>
      </c>
      <c r="I15" s="39"/>
    </row>
    <row r="16">
      <c r="A16" s="3"/>
      <c r="B16" s="38" t="s">
        <v>480</v>
      </c>
      <c r="C16" s="43">
        <f>Inputs!E291-Inputs!D291</f>
        <v>6</v>
      </c>
      <c r="D16" s="43">
        <f>Inputs!F291-Inputs!E291</f>
        <v>9</v>
      </c>
      <c r="E16" s="43">
        <f>Inputs!D291+C16+D16</f>
        <v>5</v>
      </c>
      <c r="F16" s="43">
        <f>Inputs!G291</f>
        <v>-12</v>
      </c>
      <c r="G16" s="43">
        <f>Inputs!H291-Inputs!G291</f>
        <v>17</v>
      </c>
      <c r="H16" s="40">
        <v>0</v>
      </c>
      <c r="I16" s="39" t="s">
        <v>475</v>
      </c>
    </row>
    <row r="17">
      <c r="A17" s="3"/>
      <c r="B17" s="38" t="s">
        <v>481</v>
      </c>
      <c r="C17" s="43">
        <f>Inputs!E292-Inputs!D292</f>
        <v>15</v>
      </c>
      <c r="D17" s="43">
        <f>Inputs!F292-Inputs!E292</f>
        <v>13</v>
      </c>
      <c r="E17" s="43">
        <f>Inputs!D292+C17+D17</f>
        <v>61</v>
      </c>
      <c r="F17" s="43">
        <f>Inputs!G292</f>
        <v>13</v>
      </c>
      <c r="G17" s="43">
        <f>Inputs!H292-Inputs!G292</f>
        <v>14</v>
      </c>
      <c r="H17" s="40">
        <v>13</v>
      </c>
      <c r="I17" s="39" t="s">
        <v>482</v>
      </c>
    </row>
    <row r="18">
      <c r="A18" s="3"/>
      <c r="B18" s="38" t="s">
        <v>483</v>
      </c>
      <c r="C18" s="43">
        <f>Inputs!E293-Inputs!D293</f>
        <v>-1</v>
      </c>
      <c r="D18" s="43">
        <f>Inputs!F293-Inputs!E293</f>
        <v>0</v>
      </c>
      <c r="E18" s="43">
        <f>Inputs!D293+C18+D18</f>
        <v>-1</v>
      </c>
      <c r="F18" s="43">
        <f>Inputs!G293</f>
        <v>1</v>
      </c>
      <c r="G18" s="43">
        <f>Inputs!H293-Inputs!G293</f>
        <v>-1</v>
      </c>
      <c r="H18" s="73">
        <f>-'Income Statement'!H26</f>
        <v>0</v>
      </c>
      <c r="I18" s="39"/>
    </row>
    <row r="19">
      <c r="A19" s="3"/>
      <c r="B19" s="38" t="s">
        <v>484</v>
      </c>
      <c r="C19" s="43">
        <f>Inputs!E294-Inputs!D294</f>
        <v>-907</v>
      </c>
      <c r="D19" s="43">
        <f>Inputs!F294-Inputs!E294</f>
        <v>-929</v>
      </c>
      <c r="E19" s="43">
        <f>Inputs!D294+C19+D19</f>
        <v>-3077</v>
      </c>
      <c r="F19" s="43">
        <f>Inputs!G294</f>
        <v>-1047</v>
      </c>
      <c r="G19" s="43">
        <f>Inputs!H294-Inputs!G294</f>
        <v>-1064</v>
      </c>
      <c r="H19" s="141" t="s">
        <v>485</v>
      </c>
      <c r="I19" s="39" t="s">
        <v>486</v>
      </c>
    </row>
    <row r="20">
      <c r="A20" s="3"/>
      <c r="B20" s="38" t="s">
        <v>487</v>
      </c>
      <c r="C20" s="43">
        <f>Inputs!E295-Inputs!D295</f>
        <v>608</v>
      </c>
      <c r="D20" s="43">
        <f>Inputs!F295-Inputs!E295</f>
        <v>663</v>
      </c>
      <c r="E20" s="43">
        <f>Inputs!D295+C20+D20</f>
        <v>2187</v>
      </c>
      <c r="F20" s="43">
        <f>Inputs!G295</f>
        <v>592</v>
      </c>
      <c r="G20" s="43">
        <f>Inputs!H295-Inputs!G295</f>
        <v>772</v>
      </c>
      <c r="H20" s="141" t="s">
        <v>485</v>
      </c>
      <c r="I20" s="39" t="s">
        <v>486</v>
      </c>
    </row>
    <row r="21" ht="26.25">
      <c r="A21" s="3"/>
      <c r="B21" s="38" t="s">
        <v>488</v>
      </c>
      <c r="C21" s="43">
        <f>Inputs!E296-Inputs!D296</f>
        <v>9</v>
      </c>
      <c r="D21" s="43">
        <f>Inputs!F296-Inputs!E296</f>
        <v>-21</v>
      </c>
      <c r="E21" s="43">
        <f>Inputs!D296+C21+D21</f>
        <v>-19</v>
      </c>
      <c r="F21" s="43">
        <f>Inputs!G296</f>
        <v>26</v>
      </c>
      <c r="G21" s="43">
        <f>Inputs!H296-Inputs!G296</f>
        <v>17</v>
      </c>
      <c r="H21" s="73">
        <f>-('Balance Sheet'!H34-'Balance Sheet'!G34)</f>
        <v>0</v>
      </c>
      <c r="I21" s="159" t="s">
        <v>489</v>
      </c>
    </row>
    <row r="22">
      <c r="A22" s="3"/>
      <c r="B22" s="38" t="s">
        <v>490</v>
      </c>
      <c r="C22" s="43">
        <f>Inputs!E297-Inputs!D297</f>
        <v>219</v>
      </c>
      <c r="D22" s="43">
        <f>Inputs!F297-Inputs!E297</f>
        <v>-163</v>
      </c>
      <c r="E22" s="43">
        <f>Inputs!D297+C22+D22</f>
        <v>-234</v>
      </c>
      <c r="F22" s="43">
        <f>Inputs!G297</f>
        <v>14</v>
      </c>
      <c r="G22" s="43">
        <f>Inputs!H297-Inputs!G297</f>
        <v>-249</v>
      </c>
      <c r="H22" s="73">
        <f>-('Balance Sheet'!H63-'Balance Sheet'!G63)+('Balance Sheet'!H98-'Balance Sheet'!G98)+('Balance Sheet'!H81-'Balance Sheet'!G81)</f>
        <v>0</v>
      </c>
      <c r="I22" s="39" t="s">
        <v>491</v>
      </c>
    </row>
    <row r="23">
      <c r="A23" s="3"/>
      <c r="B23" s="56" t="s">
        <v>492</v>
      </c>
      <c r="C23" s="45">
        <f>SUM(C9:C22)</f>
        <v>-200</v>
      </c>
      <c r="D23" s="45">
        <f>SUM(D9:D22)</f>
        <v>396</v>
      </c>
      <c r="E23" s="45">
        <f>SUM(E9:E22)</f>
        <v>628</v>
      </c>
      <c r="F23" s="45">
        <f>SUM(F9:F22)</f>
        <v>278</v>
      </c>
      <c r="G23" s="45">
        <f>SUM(G9:G22)</f>
        <v>585</v>
      </c>
      <c r="H23" s="68">
        <f>SUM(H9:H22)</f>
        <v>320.00086932054825</v>
      </c>
      <c r="I23" s="39"/>
    </row>
    <row r="24">
      <c r="A24" s="3"/>
      <c r="B24" s="71" t="s">
        <v>493</v>
      </c>
      <c r="C24" s="80">
        <f>Inputs!E320-Inputs!D320</f>
        <v>-200</v>
      </c>
      <c r="D24" s="80">
        <f>Inputs!F320-Inputs!E320</f>
        <v>396</v>
      </c>
      <c r="E24" s="80">
        <f>Inputs!D320+C24+D24</f>
        <v>628</v>
      </c>
      <c r="F24" s="80">
        <f>Inputs!G320</f>
        <v>278</v>
      </c>
      <c r="G24" s="80">
        <f>Inputs!H320-Inputs!G320</f>
        <v>585</v>
      </c>
      <c r="H24" s="82" t="s">
        <v>44</v>
      </c>
      <c r="I24" s="39" t="s">
        <v>494</v>
      </c>
    </row>
    <row r="25">
      <c r="A25" s="3"/>
      <c r="B25" s="71" t="s">
        <v>495</v>
      </c>
      <c r="C25" s="66">
        <f>C23-C24</f>
        <v>0</v>
      </c>
      <c r="D25" s="66">
        <f>D23-D24</f>
        <v>0</v>
      </c>
      <c r="E25" s="66">
        <f>E23-E24</f>
        <v>0</v>
      </c>
      <c r="F25" s="66">
        <f>F23-F24</f>
        <v>0</v>
      </c>
      <c r="G25" s="66">
        <f>G23-G24</f>
        <v>0</v>
      </c>
      <c r="H25" s="82"/>
      <c r="I25" s="39"/>
    </row>
    <row r="26">
      <c r="A26" s="3"/>
      <c r="B26" s="3"/>
      <c r="C26" s="10"/>
      <c r="D26" s="10"/>
      <c r="E26" s="10"/>
      <c r="F26" s="10"/>
      <c r="G26" s="10"/>
      <c r="H26" s="50"/>
      <c r="I26" s="39"/>
    </row>
    <row r="27">
      <c r="A27" s="3"/>
      <c r="B27" s="56" t="s">
        <v>496</v>
      </c>
      <c r="C27" s="10"/>
      <c r="D27" s="10"/>
      <c r="E27" s="10"/>
      <c r="F27" s="10"/>
      <c r="G27" s="10"/>
      <c r="H27" s="50"/>
      <c r="I27" s="39"/>
    </row>
    <row r="28">
      <c r="A28" s="3"/>
      <c r="B28" s="38" t="s">
        <v>497</v>
      </c>
      <c r="C28" s="43">
        <f>Inputs!E298-Inputs!D298</f>
        <v>0</v>
      </c>
      <c r="D28" s="43">
        <f>Inputs!F298-Inputs!E298</f>
        <v>0</v>
      </c>
      <c r="E28" s="43">
        <f>Inputs!D298+C28+D28</f>
        <v>0</v>
      </c>
      <c r="F28" s="43">
        <f>Inputs!G298</f>
        <v>0</v>
      </c>
      <c r="G28" s="43">
        <f>Inputs!H298-Inputs!G298</f>
        <v>0</v>
      </c>
      <c r="H28" s="40">
        <v>0</v>
      </c>
      <c r="I28" s="39" t="s">
        <v>498</v>
      </c>
    </row>
    <row r="29">
      <c r="A29" s="3"/>
      <c r="B29" s="38" t="s">
        <v>499</v>
      </c>
      <c r="C29" s="43">
        <f>Inputs!E299-Inputs!D299</f>
        <v>254</v>
      </c>
      <c r="D29" s="43">
        <f>Inputs!F299-Inputs!E299</f>
        <v>246</v>
      </c>
      <c r="E29" s="43">
        <f>Inputs!D299+C29+D29</f>
        <v>957</v>
      </c>
      <c r="F29" s="43">
        <f>Inputs!G299</f>
        <v>261</v>
      </c>
      <c r="G29" s="43">
        <f>Inputs!H299-Inputs!G299</f>
        <v>283</v>
      </c>
      <c r="H29" s="40">
        <v>260</v>
      </c>
      <c r="I29" s="39" t="s">
        <v>482</v>
      </c>
    </row>
    <row r="30">
      <c r="A30" s="3"/>
      <c r="B30" s="38" t="s">
        <v>500</v>
      </c>
      <c r="C30" s="43">
        <f>Inputs!E300-Inputs!D300</f>
        <v>-167</v>
      </c>
      <c r="D30" s="43">
        <f>Inputs!F300-Inputs!E300</f>
        <v>-250</v>
      </c>
      <c r="E30" s="43">
        <f>Inputs!D300+C30+D30</f>
        <v>-874</v>
      </c>
      <c r="F30" s="43">
        <f>Inputs!G300</f>
        <v>-262</v>
      </c>
      <c r="G30" s="43">
        <f>Inputs!H300-Inputs!G300</f>
        <v>-22</v>
      </c>
      <c r="H30" s="73">
        <f>-(H29+('Balance Sheet'!H37-'Balance Sheet'!G37))</f>
        <v>-248</v>
      </c>
      <c r="I30" s="39"/>
    </row>
    <row r="31">
      <c r="A31" s="3"/>
      <c r="B31" s="38" t="s">
        <v>501</v>
      </c>
      <c r="C31" s="43">
        <f>Inputs!E301-Inputs!D301</f>
        <v>16</v>
      </c>
      <c r="D31" s="43">
        <f>Inputs!F301-Inputs!E301</f>
        <v>14</v>
      </c>
      <c r="E31" s="43">
        <f>Inputs!D301+C31+D31</f>
        <v>57</v>
      </c>
      <c r="F31" s="43">
        <f>Inputs!G301</f>
        <v>13</v>
      </c>
      <c r="G31" s="43">
        <f>Inputs!H301-Inputs!G301</f>
        <v>16</v>
      </c>
      <c r="H31" s="40">
        <v>0</v>
      </c>
      <c r="I31" s="39" t="s">
        <v>502</v>
      </c>
    </row>
    <row r="32">
      <c r="A32" s="3"/>
      <c r="B32" s="38" t="s">
        <v>503</v>
      </c>
      <c r="C32" s="43">
        <f>Inputs!E302-Inputs!D302</f>
        <v>3</v>
      </c>
      <c r="D32" s="43">
        <f>Inputs!F302-Inputs!E302</f>
        <v>0</v>
      </c>
      <c r="E32" s="43">
        <f>Inputs!D302+C32+D32</f>
        <v>3</v>
      </c>
      <c r="F32" s="43">
        <f>Inputs!G302</f>
        <v>0</v>
      </c>
      <c r="G32" s="43">
        <f>Inputs!H302-Inputs!G302</f>
        <v>0</v>
      </c>
      <c r="H32" s="40">
        <v>0</v>
      </c>
      <c r="I32" s="39" t="s">
        <v>475</v>
      </c>
    </row>
    <row r="33">
      <c r="A33" s="3"/>
      <c r="B33" s="38" t="s">
        <v>504</v>
      </c>
      <c r="C33" s="43">
        <f>Inputs!E303-Inputs!D303</f>
        <v>-8</v>
      </c>
      <c r="D33" s="43">
        <f>Inputs!F303-Inputs!E303</f>
        <v>-7</v>
      </c>
      <c r="E33" s="43">
        <f>Inputs!D303+C33+D33</f>
        <v>-33</v>
      </c>
      <c r="F33" s="43">
        <f>Inputs!G303</f>
        <v>-8</v>
      </c>
      <c r="G33" s="43">
        <f>Inputs!H303-Inputs!G303</f>
        <v>-19</v>
      </c>
      <c r="H33" s="73">
        <f>-(('Balance Sheet'!H57-'Balance Sheet'!G57)+H12)</f>
        <v>-14</v>
      </c>
      <c r="I33" s="39" t="s">
        <v>505</v>
      </c>
    </row>
    <row r="34">
      <c r="A34" s="3"/>
      <c r="B34" s="38" t="s">
        <v>506</v>
      </c>
      <c r="C34" s="43">
        <f>Inputs!E304-Inputs!D304</f>
        <v>0</v>
      </c>
      <c r="D34" s="43">
        <f>Inputs!F304-Inputs!E304</f>
        <v>24</v>
      </c>
      <c r="E34" s="43">
        <f>Inputs!D304+C34+D34</f>
        <v>24</v>
      </c>
      <c r="F34" s="43">
        <f>Inputs!G304</f>
        <v>0</v>
      </c>
      <c r="G34" s="43">
        <f>Inputs!H304-Inputs!G304</f>
        <v>0</v>
      </c>
      <c r="H34" s="40">
        <v>0</v>
      </c>
      <c r="I34" s="39" t="s">
        <v>475</v>
      </c>
    </row>
    <row r="35">
      <c r="A35" s="3"/>
      <c r="B35" s="38" t="s">
        <v>507</v>
      </c>
      <c r="C35" s="43">
        <f>Inputs!E305-Inputs!D305</f>
        <v>198</v>
      </c>
      <c r="D35" s="43">
        <f>Inputs!F305-Inputs!E305</f>
        <v>-1113</v>
      </c>
      <c r="E35" s="43">
        <f>Inputs!D305+C35+D35</f>
        <v>-1647</v>
      </c>
      <c r="F35" s="43">
        <f>Inputs!G305</f>
        <v>-240</v>
      </c>
      <c r="G35" s="43">
        <f>Inputs!H305-Inputs!G305</f>
        <v>-974</v>
      </c>
      <c r="H35" s="73">
        <f>-(('Balance Sheet'!H31-'Balance Sheet'!G31)-'Balance Sheet'!H149)</f>
        <v>-163.9677589041096</v>
      </c>
      <c r="I35" s="39"/>
    </row>
    <row r="36">
      <c r="A36" s="3"/>
      <c r="B36" s="38" t="s">
        <v>508</v>
      </c>
      <c r="C36" s="43">
        <f>Inputs!E306-Inputs!D306</f>
        <v>-316</v>
      </c>
      <c r="D36" s="43">
        <f>Inputs!F306-Inputs!E306</f>
        <v>103</v>
      </c>
      <c r="E36" s="43">
        <f>Inputs!D306+C36+D36</f>
        <v>413</v>
      </c>
      <c r="F36" s="43">
        <f>Inputs!G306</f>
        <v>9</v>
      </c>
      <c r="G36" s="43">
        <f>Inputs!H306-Inputs!G306</f>
        <v>-42</v>
      </c>
      <c r="H36" s="73">
        <f>-('Balance Sheet'!H43-'Balance Sheet'!G43)</f>
        <v>0</v>
      </c>
      <c r="I36" s="39"/>
    </row>
    <row r="37">
      <c r="A37" s="3"/>
      <c r="B37" s="38" t="s">
        <v>509</v>
      </c>
      <c r="C37" s="43">
        <f>Inputs!E307-Inputs!D307</f>
        <v>4</v>
      </c>
      <c r="D37" s="43">
        <f>Inputs!F307-Inputs!E307</f>
        <v>-12</v>
      </c>
      <c r="E37" s="43">
        <f>Inputs!D307+C37+D37</f>
        <v>6</v>
      </c>
      <c r="F37" s="43">
        <f>Inputs!G307</f>
        <v>3</v>
      </c>
      <c r="G37" s="43">
        <f>Inputs!H307-Inputs!G307</f>
        <v>5</v>
      </c>
      <c r="H37" s="40">
        <v>0</v>
      </c>
      <c r="I37" s="39" t="s">
        <v>475</v>
      </c>
    </row>
    <row r="38">
      <c r="A38" s="3"/>
      <c r="B38" s="56" t="s">
        <v>510</v>
      </c>
      <c r="C38" s="45">
        <f>SUM(C28:C37)</f>
        <v>-16</v>
      </c>
      <c r="D38" s="45">
        <f>SUM(D28:D37)</f>
        <v>-995</v>
      </c>
      <c r="E38" s="45">
        <f>SUM(E28:E37)</f>
        <v>-1094</v>
      </c>
      <c r="F38" s="45">
        <f>SUM(F28:F37)</f>
        <v>-224</v>
      </c>
      <c r="G38" s="45">
        <f>SUM(G28:G37)</f>
        <v>-753</v>
      </c>
      <c r="H38" s="68">
        <f>SUM(H28:H37)</f>
        <v>-165.9677589041096</v>
      </c>
      <c r="I38" s="39"/>
    </row>
    <row r="39">
      <c r="A39" s="3"/>
      <c r="B39" s="71" t="s">
        <v>493</v>
      </c>
      <c r="C39" s="80">
        <f>Inputs!E321-Inputs!D321</f>
        <v>-16</v>
      </c>
      <c r="D39" s="80">
        <f>Inputs!F321-Inputs!E321</f>
        <v>-995</v>
      </c>
      <c r="E39" s="80">
        <f>Inputs!D321+C39+D39</f>
        <v>-1094</v>
      </c>
      <c r="F39" s="80">
        <f>Inputs!G321</f>
        <v>-224</v>
      </c>
      <c r="G39" s="80">
        <f>Inputs!H321-Inputs!G321</f>
        <v>-753</v>
      </c>
      <c r="H39" s="82" t="s">
        <v>44</v>
      </c>
      <c r="I39" s="39" t="s">
        <v>494</v>
      </c>
    </row>
    <row r="40">
      <c r="A40" s="3"/>
      <c r="B40" s="71" t="s">
        <v>495</v>
      </c>
      <c r="C40" s="66">
        <f>C38-C39</f>
        <v>0</v>
      </c>
      <c r="D40" s="66">
        <f>D38-D39</f>
        <v>0</v>
      </c>
      <c r="E40" s="66">
        <f>E38-E39</f>
        <v>0</v>
      </c>
      <c r="F40" s="66">
        <f>F38-F39</f>
        <v>0</v>
      </c>
      <c r="G40" s="66">
        <f>G38-G39</f>
        <v>0</v>
      </c>
      <c r="H40" s="82"/>
      <c r="I40" s="39"/>
    </row>
    <row r="41">
      <c r="A41" s="3"/>
      <c r="B41" s="3"/>
      <c r="C41" s="10"/>
      <c r="D41" s="10"/>
      <c r="E41" s="10"/>
      <c r="F41" s="10"/>
      <c r="G41" s="10"/>
      <c r="H41" s="50"/>
      <c r="I41" s="39"/>
    </row>
    <row r="42">
      <c r="A42" s="3"/>
      <c r="B42" s="56" t="s">
        <v>511</v>
      </c>
      <c r="C42" s="10"/>
      <c r="D42" s="10"/>
      <c r="E42" s="10"/>
      <c r="F42" s="10"/>
      <c r="G42" s="10"/>
      <c r="H42" s="50"/>
      <c r="I42" s="39"/>
    </row>
    <row r="43">
      <c r="A43" s="3"/>
      <c r="B43" s="38" t="s">
        <v>512</v>
      </c>
      <c r="C43" s="43">
        <f>Inputs!E308-Inputs!D308</f>
        <v>2</v>
      </c>
      <c r="D43" s="43">
        <f>Inputs!F308-Inputs!E308</f>
        <v>1</v>
      </c>
      <c r="E43" s="43">
        <f>Inputs!D308+C43+D43</f>
        <v>6</v>
      </c>
      <c r="F43" s="43">
        <f>Inputs!G308</f>
        <v>3</v>
      </c>
      <c r="G43" s="43">
        <f>Inputs!H308-Inputs!G308</f>
        <v>1</v>
      </c>
      <c r="H43" s="40">
        <v>0</v>
      </c>
      <c r="I43" s="39" t="s">
        <v>475</v>
      </c>
    </row>
    <row r="44">
      <c r="A44" s="3"/>
      <c r="B44" s="38" t="s">
        <v>513</v>
      </c>
      <c r="C44" s="43">
        <f>Inputs!E309-Inputs!D309</f>
        <v>-76</v>
      </c>
      <c r="D44" s="43">
        <f>Inputs!F309-Inputs!E309</f>
        <v>-76</v>
      </c>
      <c r="E44" s="43">
        <f>Inputs!D309+C44+D44</f>
        <v>-314</v>
      </c>
      <c r="F44" s="43">
        <f>Inputs!G309</f>
        <v>-73</v>
      </c>
      <c r="G44" s="43">
        <f>Inputs!H309-Inputs!G309</f>
        <v>-87</v>
      </c>
      <c r="H44" s="73">
        <f>-'Share Count'!H45</f>
        <v>-80.25133333333333</v>
      </c>
      <c r="I44" s="39"/>
    </row>
    <row r="45">
      <c r="A45" s="3"/>
      <c r="B45" s="38" t="s">
        <v>514</v>
      </c>
      <c r="C45" s="43">
        <f>Inputs!E310-Inputs!D310</f>
        <v>-190</v>
      </c>
      <c r="D45" s="43">
        <f>Inputs!F310-Inputs!E310</f>
        <v>-335</v>
      </c>
      <c r="E45" s="43">
        <f>Inputs!D310+C45+D45</f>
        <v>-918</v>
      </c>
      <c r="F45" s="43">
        <f>Inputs!G310</f>
        <v>-235</v>
      </c>
      <c r="G45" s="43">
        <f>Inputs!H310-Inputs!G310</f>
        <v>-121</v>
      </c>
      <c r="H45" s="73">
        <f>-'Share Count'!H12</f>
        <v>-100</v>
      </c>
      <c r="I45" s="39"/>
    </row>
    <row r="46">
      <c r="A46" s="3"/>
      <c r="B46" s="38" t="s">
        <v>515</v>
      </c>
      <c r="C46" s="43">
        <f>Inputs!E311-Inputs!D311</f>
        <v>-80</v>
      </c>
      <c r="D46" s="43">
        <f>Inputs!F311-Inputs!E311</f>
        <v>0</v>
      </c>
      <c r="E46" s="43">
        <f>Inputs!D311+C46+D46</f>
        <v>-80</v>
      </c>
      <c r="F46" s="43">
        <f>Inputs!G311</f>
        <v>0</v>
      </c>
      <c r="G46" s="43">
        <f>Inputs!H311-Inputs!G311</f>
        <v>-57</v>
      </c>
      <c r="H46" s="40">
        <v>0</v>
      </c>
      <c r="I46" s="39" t="s">
        <v>516</v>
      </c>
    </row>
    <row r="47">
      <c r="A47" s="3"/>
      <c r="B47" s="38" t="s">
        <v>517</v>
      </c>
      <c r="C47" s="43">
        <f>Inputs!E312-Inputs!D312</f>
        <v>0</v>
      </c>
      <c r="D47" s="43">
        <f>Inputs!F312-Inputs!E312</f>
        <v>0</v>
      </c>
      <c r="E47" s="43">
        <f>Inputs!D312+C47+D47</f>
        <v>0</v>
      </c>
      <c r="F47" s="43">
        <f>Inputs!G312</f>
        <v>392</v>
      </c>
      <c r="G47" s="43">
        <f>Inputs!H312-Inputs!G312</f>
        <v>0</v>
      </c>
      <c r="H47" s="40">
        <v>0</v>
      </c>
      <c r="I47" s="39" t="s">
        <v>518</v>
      </c>
    </row>
    <row r="48">
      <c r="A48" s="3"/>
      <c r="B48" s="38" t="s">
        <v>519</v>
      </c>
      <c r="C48" s="43">
        <f>Inputs!E313-Inputs!D313</f>
        <v>-4</v>
      </c>
      <c r="D48" s="43">
        <f>Inputs!F313-Inputs!E313</f>
        <v>-4</v>
      </c>
      <c r="E48" s="43">
        <f>Inputs!D313+C48+D48</f>
        <v>-16</v>
      </c>
      <c r="F48" s="43">
        <f>Inputs!G313</f>
        <v>-4</v>
      </c>
      <c r="G48" s="43">
        <f>Inputs!H313-Inputs!G313</f>
        <v>-3</v>
      </c>
      <c r="H48" s="73">
        <f>-'Income Statement'!H78</f>
        <v>-4</v>
      </c>
      <c r="I48" s="39"/>
    </row>
    <row r="49" ht="37.875">
      <c r="A49" s="3"/>
      <c r="B49" s="38" t="s">
        <v>520</v>
      </c>
      <c r="C49" s="43">
        <f>Inputs!E314-Inputs!D314</f>
        <v>-8</v>
      </c>
      <c r="D49" s="43">
        <f>Inputs!F314-Inputs!E314</f>
        <v>-5</v>
      </c>
      <c r="E49" s="43">
        <f>Inputs!D314+C49+D49</f>
        <v>-26</v>
      </c>
      <c r="F49" s="43">
        <f>Inputs!G314</f>
        <v>-5</v>
      </c>
      <c r="G49" s="43">
        <f>Inputs!H314-Inputs!G314</f>
        <v>-5</v>
      </c>
      <c r="H49" s="73">
        <f>-'Income Statement'!H83</f>
        <v>-10.95</v>
      </c>
      <c r="I49" s="149" t="s">
        <v>521</v>
      </c>
    </row>
    <row r="50">
      <c r="A50" s="3"/>
      <c r="B50" s="38" t="s">
        <v>522</v>
      </c>
      <c r="C50" s="43">
        <f>Inputs!E315-Inputs!D315</f>
        <v>-52</v>
      </c>
      <c r="D50" s="43">
        <f>Inputs!F315-Inputs!E315</f>
        <v>1951</v>
      </c>
      <c r="E50" s="43">
        <f>Inputs!D315+C50+D50</f>
        <v>1894</v>
      </c>
      <c r="F50" s="43">
        <f>Inputs!G315</f>
        <v>-995</v>
      </c>
      <c r="G50" s="43">
        <f>Inputs!H315-Inputs!G315</f>
        <v>1588</v>
      </c>
      <c r="H50" s="73">
        <f>('Balance Sheet'!H80-'Balance Sheet'!G80)+('Balance Sheet'!H95-'Balance Sheet'!G95)</f>
        <v>328</v>
      </c>
      <c r="I50" s="39"/>
    </row>
    <row r="51">
      <c r="A51" s="3"/>
      <c r="B51" s="38" t="s">
        <v>523</v>
      </c>
      <c r="C51" s="43">
        <f>Inputs!E316-Inputs!D316</f>
        <v>810</v>
      </c>
      <c r="D51" s="43">
        <f>Inputs!F316-Inputs!E316</f>
        <v>-1017</v>
      </c>
      <c r="E51" s="43">
        <f>Inputs!D316+C51+D51</f>
        <v>-146</v>
      </c>
      <c r="F51" s="43">
        <f>Inputs!G316</f>
        <v>914</v>
      </c>
      <c r="G51" s="43">
        <f>Inputs!H316-Inputs!G316</f>
        <v>-1165</v>
      </c>
      <c r="H51" s="73">
        <f>('Balance Sheet'!H87-'Balance Sheet'!G87)+('Balance Sheet'!H84-'Balance Sheet'!G84)</f>
        <v>-242</v>
      </c>
      <c r="I51" s="39" t="s">
        <v>524</v>
      </c>
    </row>
    <row r="52">
      <c r="A52" s="3"/>
      <c r="B52" s="38" t="s">
        <v>525</v>
      </c>
      <c r="C52" s="43">
        <f>Inputs!E317-Inputs!D317</f>
        <v>7</v>
      </c>
      <c r="D52" s="43">
        <f>Inputs!F317-Inputs!E317</f>
        <v>9</v>
      </c>
      <c r="E52" s="43">
        <f>Inputs!D317+C52+D52</f>
        <v>513</v>
      </c>
      <c r="F52" s="43">
        <f>Inputs!G317</f>
        <v>0</v>
      </c>
      <c r="G52" s="43">
        <f>Inputs!H317-Inputs!G317</f>
        <v>0</v>
      </c>
      <c r="H52" s="73">
        <f>('Balance Sheet'!H90-'Balance Sheet'!G90)</f>
        <v>0</v>
      </c>
      <c r="I52" s="39"/>
    </row>
    <row r="53">
      <c r="A53" s="3"/>
      <c r="B53" s="38" t="s">
        <v>526</v>
      </c>
      <c r="C53" s="43">
        <f>Inputs!E318-Inputs!D318</f>
        <v>0</v>
      </c>
      <c r="D53" s="43">
        <f>Inputs!F318-Inputs!E318</f>
        <v>-16</v>
      </c>
      <c r="E53" s="43">
        <f>Inputs!D318+C53+D53</f>
        <v>-366</v>
      </c>
      <c r="F53" s="43">
        <f>Inputs!G318</f>
        <v>0</v>
      </c>
      <c r="G53" s="43">
        <f>Inputs!H318-Inputs!G318</f>
        <v>0</v>
      </c>
      <c r="H53" s="40">
        <v>0</v>
      </c>
      <c r="I53" s="39" t="s">
        <v>475</v>
      </c>
    </row>
    <row r="54">
      <c r="A54" s="3"/>
      <c r="B54" s="38" t="s">
        <v>527</v>
      </c>
      <c r="C54" s="43">
        <f>Inputs!E319-Inputs!D319</f>
        <v>-22</v>
      </c>
      <c r="D54" s="43">
        <f>Inputs!F319-Inputs!E319</f>
        <v>0</v>
      </c>
      <c r="E54" s="43">
        <f>Inputs!D319+C54+D54</f>
        <v>-23</v>
      </c>
      <c r="F54" s="43">
        <f>Inputs!G319</f>
        <v>-3</v>
      </c>
      <c r="G54" s="43">
        <f>Inputs!H319-Inputs!G319</f>
        <v>2</v>
      </c>
      <c r="H54" s="40">
        <v>0</v>
      </c>
      <c r="I54" s="39" t="s">
        <v>475</v>
      </c>
    </row>
    <row r="55">
      <c r="A55" s="3"/>
      <c r="B55" s="56" t="s">
        <v>528</v>
      </c>
      <c r="C55" s="45">
        <f>SUM(C43:C54)</f>
        <v>387</v>
      </c>
      <c r="D55" s="45">
        <f>SUM(D43:D54)</f>
        <v>508</v>
      </c>
      <c r="E55" s="45">
        <f>SUM(E43:E54)</f>
        <v>524</v>
      </c>
      <c r="F55" s="45">
        <f>SUM(F43:F54)</f>
        <v>-6</v>
      </c>
      <c r="G55" s="45">
        <f>SUM(G43:G54)</f>
        <v>153</v>
      </c>
      <c r="H55" s="68">
        <f>SUM(H43:H54)</f>
        <v>-109.20133333333334</v>
      </c>
      <c r="I55" s="39"/>
    </row>
    <row r="56">
      <c r="A56" s="3"/>
      <c r="B56" s="71" t="s">
        <v>493</v>
      </c>
      <c r="C56" s="80">
        <f>Inputs!E322-Inputs!D322</f>
        <v>387</v>
      </c>
      <c r="D56" s="80">
        <f>Inputs!F322-Inputs!E322</f>
        <v>508</v>
      </c>
      <c r="E56" s="80">
        <f>Inputs!D322+C56+D56</f>
        <v>524</v>
      </c>
      <c r="F56" s="80">
        <f>Inputs!G322</f>
        <v>-6</v>
      </c>
      <c r="G56" s="80">
        <f>Inputs!H322-Inputs!G322</f>
        <v>153</v>
      </c>
      <c r="H56" s="82" t="s">
        <v>44</v>
      </c>
      <c r="I56" s="39" t="s">
        <v>494</v>
      </c>
    </row>
    <row r="57">
      <c r="A57" s="3"/>
      <c r="B57" s="71" t="s">
        <v>495</v>
      </c>
      <c r="C57" s="66">
        <f>C55-C56</f>
        <v>0</v>
      </c>
      <c r="D57" s="66">
        <f>D55-D56</f>
        <v>0</v>
      </c>
      <c r="E57" s="66">
        <f>E55-E56</f>
        <v>0</v>
      </c>
      <c r="F57" s="66">
        <f>F55-F56</f>
        <v>0</v>
      </c>
      <c r="G57" s="66">
        <f>G55-G56</f>
        <v>0</v>
      </c>
      <c r="H57" s="82"/>
      <c r="I57" s="39"/>
    </row>
    <row r="58">
      <c r="A58" s="3"/>
      <c r="B58" s="3"/>
      <c r="C58" s="10"/>
      <c r="D58" s="10"/>
      <c r="E58" s="10"/>
      <c r="F58" s="10"/>
      <c r="G58" s="10"/>
      <c r="H58" s="50"/>
      <c r="I58" s="39"/>
    </row>
    <row r="59">
      <c r="A59" s="3"/>
      <c r="B59" s="56" t="s">
        <v>529</v>
      </c>
      <c r="C59" s="45">
        <f>C23+C38+C55</f>
        <v>171</v>
      </c>
      <c r="D59" s="45">
        <f>D23+D38+D55</f>
        <v>-91</v>
      </c>
      <c r="E59" s="45">
        <f>E23+E38+E55</f>
        <v>58</v>
      </c>
      <c r="F59" s="45">
        <f>F23+F38+F55</f>
        <v>48</v>
      </c>
      <c r="G59" s="45">
        <f>G23+G38+G55</f>
        <v>-15</v>
      </c>
      <c r="H59" s="68">
        <f>H23+H38+H55</f>
        <v>44.83177708310532</v>
      </c>
      <c r="I59" s="39"/>
    </row>
    <row r="60">
      <c r="A60" s="3"/>
      <c r="B60" s="38" t="s">
        <v>530</v>
      </c>
      <c r="C60" s="43">
        <f>Inputs!D324</f>
        <v>1515</v>
      </c>
      <c r="D60" s="43">
        <f>Inputs!E324</f>
        <v>1686</v>
      </c>
      <c r="E60" s="43">
        <f>Inputs!F323</f>
        <v>1537</v>
      </c>
      <c r="F60" s="43">
        <f>Inputs!G323</f>
        <v>1595</v>
      </c>
      <c r="G60" s="43">
        <f>Inputs!G324</f>
        <v>1643</v>
      </c>
      <c r="H60" s="46">
        <f>G61</f>
        <v>1628</v>
      </c>
      <c r="I60" s="39"/>
    </row>
    <row r="61">
      <c r="A61" s="3"/>
      <c r="B61" s="56" t="s">
        <v>531</v>
      </c>
      <c r="C61" s="45">
        <f>C60+C59</f>
        <v>1686</v>
      </c>
      <c r="D61" s="45">
        <f>D60+D59</f>
        <v>1595</v>
      </c>
      <c r="E61" s="45">
        <f>E60+E59</f>
        <v>1595</v>
      </c>
      <c r="F61" s="45">
        <f>F60+F59</f>
        <v>1643</v>
      </c>
      <c r="G61" s="45">
        <f>G60+G59</f>
        <v>1628</v>
      </c>
      <c r="H61" s="68">
        <f>H60+H59</f>
        <v>1672.8317770831054</v>
      </c>
      <c r="I61" s="39"/>
    </row>
    <row r="62">
      <c r="A62" s="3"/>
      <c r="B62" s="38" t="s">
        <v>532</v>
      </c>
      <c r="C62" s="43">
        <f>'Balance Sheet'!C51+'Balance Sheet'!C46</f>
        <v>1686</v>
      </c>
      <c r="D62" s="43">
        <f>'Balance Sheet'!D51+'Balance Sheet'!D46</f>
        <v>1595</v>
      </c>
      <c r="E62" s="43">
        <f>'Balance Sheet'!E51+'Balance Sheet'!E46</f>
        <v>1595</v>
      </c>
      <c r="F62" s="43">
        <f>'Balance Sheet'!F51+'Balance Sheet'!F46</f>
        <v>1643</v>
      </c>
      <c r="G62" s="43">
        <f>'Balance Sheet'!G51+'Balance Sheet'!G46</f>
        <v>1628</v>
      </c>
      <c r="H62" s="73">
        <f>'Balance Sheet'!H51+'Balance Sheet'!H46</f>
        <v>1672.8317770831054</v>
      </c>
      <c r="I62" s="39"/>
    </row>
    <row r="63">
      <c r="A63" s="3"/>
      <c r="B63" s="56" t="s">
        <v>533</v>
      </c>
      <c r="C63" s="45">
        <f>C61-C62</f>
        <v>0</v>
      </c>
      <c r="D63" s="45">
        <f>D61-D62</f>
        <v>0</v>
      </c>
      <c r="E63" s="45">
        <f>E61-E62</f>
        <v>0</v>
      </c>
      <c r="F63" s="45">
        <f>F61-F62</f>
        <v>0</v>
      </c>
      <c r="G63" s="45">
        <f>G61-G62</f>
        <v>0</v>
      </c>
      <c r="H63" s="68">
        <f>H61-H62</f>
        <v>0</v>
      </c>
      <c r="I63" s="39"/>
    </row>
    <row r="64">
      <c r="A64" s="3"/>
      <c r="B64" s="3"/>
      <c r="C64" s="10"/>
      <c r="D64" s="10"/>
      <c r="E64" s="10"/>
      <c r="F64" s="10"/>
      <c r="G64" s="10"/>
      <c r="H64" s="50"/>
      <c r="I64" s="39"/>
    </row>
    <row r="65">
      <c r="A65" s="3"/>
      <c r="B65" s="56" t="s">
        <v>534</v>
      </c>
      <c r="C65" s="10"/>
      <c r="D65" s="10"/>
      <c r="E65" s="10"/>
      <c r="F65" s="10"/>
      <c r="G65" s="10"/>
      <c r="H65" s="50"/>
      <c r="I65" s="39"/>
    </row>
    <row r="66" ht="26.25">
      <c r="A66" s="3"/>
      <c r="B66" s="38" t="s">
        <v>535</v>
      </c>
      <c r="C66" s="18">
        <f>C23</f>
        <v>-200</v>
      </c>
      <c r="D66" s="18">
        <f>D23</f>
        <v>396</v>
      </c>
      <c r="E66" s="18">
        <f>E23</f>
        <v>628</v>
      </c>
      <c r="F66" s="18">
        <f>F23</f>
        <v>278</v>
      </c>
      <c r="G66" s="18">
        <f>G23</f>
        <v>585</v>
      </c>
      <c r="H66" s="46">
        <f>H23</f>
        <v>320.00086932054825</v>
      </c>
      <c r="I66" s="149" t="s">
        <v>536</v>
      </c>
    </row>
    <row r="67">
      <c r="A67" s="3"/>
      <c r="B67" s="38" t="s">
        <v>537</v>
      </c>
      <c r="C67" s="18">
        <f>-C33</f>
        <v>8</v>
      </c>
      <c r="D67" s="18">
        <f>-D33</f>
        <v>7</v>
      </c>
      <c r="E67" s="18">
        <f>-E33</f>
        <v>33</v>
      </c>
      <c r="F67" s="18">
        <f>-F33</f>
        <v>8</v>
      </c>
      <c r="G67" s="18">
        <f>-G33</f>
        <v>19</v>
      </c>
      <c r="H67" s="46">
        <f>-H33</f>
        <v>14</v>
      </c>
      <c r="I67" s="39" t="s">
        <v>538</v>
      </c>
    </row>
    <row r="68">
      <c r="A68" s="3"/>
      <c r="B68" s="32" t="s">
        <v>539</v>
      </c>
      <c r="C68" s="30"/>
      <c r="D68" s="30"/>
      <c r="E68" s="30"/>
      <c r="F68" s="30"/>
      <c r="G68" s="30"/>
      <c r="H68" s="85"/>
      <c r="I68" s="39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I4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90" customWidth="1"/>
  </cols>
  <sheetData>
    <row r="1">
      <c r="A1" s="3"/>
      <c r="B1" s="37" t="s">
        <v>0</v>
      </c>
      <c r="C1" s="3"/>
      <c r="D1" s="3"/>
      <c r="E1" s="3"/>
      <c r="F1" s="3"/>
      <c r="G1" s="3"/>
      <c r="H1" s="3"/>
      <c r="I1" s="3"/>
    </row>
    <row r="2">
      <c r="A2" s="3"/>
      <c r="B2" s="56" t="s">
        <v>540</v>
      </c>
      <c r="C2" s="3"/>
      <c r="D2" s="3"/>
      <c r="E2" s="3"/>
      <c r="F2" s="3"/>
      <c r="G2" s="3"/>
      <c r="H2" s="3"/>
      <c r="I2" s="3"/>
    </row>
    <row r="3">
      <c r="A3" s="3"/>
      <c r="B3" s="32" t="s">
        <v>2</v>
      </c>
      <c r="C3" s="3"/>
      <c r="D3" s="3"/>
      <c r="E3" s="3"/>
      <c r="F3" s="3"/>
      <c r="G3" s="3"/>
      <c r="H3" s="3"/>
      <c r="I3" s="3"/>
    </row>
    <row r="4">
      <c r="A4" s="3"/>
      <c r="B4" s="24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8" t="s">
        <v>9</v>
      </c>
      <c r="I4" s="24" t="s">
        <v>75</v>
      </c>
    </row>
    <row r="5">
      <c r="A5" s="3"/>
      <c r="B5" s="13" t="s">
        <v>10</v>
      </c>
      <c r="C5" s="34">
        <v>45930</v>
      </c>
      <c r="D5" s="34">
        <v>46022</v>
      </c>
      <c r="E5" s="34">
        <v>46022</v>
      </c>
      <c r="F5" s="34">
        <v>46112</v>
      </c>
      <c r="G5" s="34">
        <v>46203</v>
      </c>
      <c r="H5" s="81">
        <v>46295</v>
      </c>
      <c r="I5" s="79"/>
    </row>
    <row r="6">
      <c r="A6" s="3"/>
      <c r="B6" s="23" t="s">
        <v>11</v>
      </c>
      <c r="C6" s="1">
        <v>92</v>
      </c>
      <c r="D6" s="1">
        <v>92</v>
      </c>
      <c r="E6" s="1">
        <v>365</v>
      </c>
      <c r="F6" s="1">
        <v>90</v>
      </c>
      <c r="G6" s="1">
        <v>91</v>
      </c>
      <c r="H6" s="84">
        <v>92</v>
      </c>
      <c r="I6" s="70"/>
    </row>
    <row r="7">
      <c r="A7" s="3"/>
      <c r="B7" s="3"/>
      <c r="C7" s="3"/>
      <c r="D7" s="3"/>
      <c r="E7" s="3"/>
      <c r="F7" s="3"/>
      <c r="G7" s="3"/>
      <c r="H7" s="57"/>
      <c r="I7" s="39"/>
    </row>
    <row r="8">
      <c r="A8" s="3"/>
      <c r="B8" s="56" t="s">
        <v>541</v>
      </c>
      <c r="C8" s="10"/>
      <c r="D8" s="10"/>
      <c r="E8" s="10"/>
      <c r="F8" s="10"/>
      <c r="G8" s="10"/>
      <c r="H8" s="50"/>
      <c r="I8" s="39"/>
    </row>
    <row r="9">
      <c r="A9" s="3"/>
      <c r="B9" s="42" t="s">
        <v>542</v>
      </c>
      <c r="C9" s="41">
        <v>500</v>
      </c>
      <c r="D9" s="41">
        <v>485</v>
      </c>
      <c r="E9" s="45">
        <f>D9</f>
        <v>485</v>
      </c>
      <c r="F9" s="41">
        <v>476</v>
      </c>
      <c r="G9" s="41">
        <v>474</v>
      </c>
      <c r="H9" s="68">
        <f>G9-H21+H24</f>
        <v>470.1333333333333</v>
      </c>
      <c r="I9" s="39"/>
    </row>
    <row r="10">
      <c r="A10" s="3"/>
      <c r="B10" s="48" t="s">
        <v>543</v>
      </c>
      <c r="C10" s="18"/>
      <c r="D10" s="18"/>
      <c r="E10" s="18"/>
      <c r="F10" s="18" t="s">
        <v>236</v>
      </c>
      <c r="G10" s="43">
        <f>(G9-Inputs!D276)</f>
        <v>-35</v>
      </c>
      <c r="H10" s="46">
        <f>(H9-C9)</f>
        <v>-29.866666666666674</v>
      </c>
      <c r="I10" s="39"/>
    </row>
    <row r="11">
      <c r="A11" s="3"/>
      <c r="B11" s="48" t="s">
        <v>544</v>
      </c>
      <c r="C11" s="18"/>
      <c r="D11" s="18">
        <f>(D9-C9)</f>
        <v>-15</v>
      </c>
      <c r="E11" s="18"/>
      <c r="F11" s="18">
        <f>(F9-D9)</f>
        <v>-9</v>
      </c>
      <c r="G11" s="18">
        <f>(G9-F9)</f>
        <v>-2</v>
      </c>
      <c r="H11" s="46">
        <f>(H9-G9)</f>
        <v>-3.8666666666666742</v>
      </c>
      <c r="I11" s="39"/>
    </row>
    <row r="12">
      <c r="A12" s="3"/>
      <c r="B12" s="38" t="s">
        <v>545</v>
      </c>
      <c r="C12" s="18" t="s">
        <v>236</v>
      </c>
      <c r="D12" s="18" t="s">
        <v>236</v>
      </c>
      <c r="E12" s="62">
        <v>894</v>
      </c>
      <c r="F12" s="18" t="s">
        <v>236</v>
      </c>
      <c r="G12" s="62">
        <v>100</v>
      </c>
      <c r="H12" s="40">
        <v>100</v>
      </c>
      <c r="I12" s="39" t="s">
        <v>546</v>
      </c>
    </row>
    <row r="13">
      <c r="A13" s="3"/>
      <c r="B13" s="48" t="s">
        <v>547</v>
      </c>
      <c r="C13" s="18"/>
      <c r="D13" s="18" t="str">
        <f>IFERROR(D12-C12,"n/d")</f>
        <v>n/d</v>
      </c>
      <c r="E13" s="18"/>
      <c r="F13" s="18" t="str">
        <f>IFERROR(F12-D12,"n/d")</f>
        <v>n/d</v>
      </c>
      <c r="G13" s="18" t="str">
        <f>IFERROR(G12-F12,"n/d")</f>
        <v>n/d</v>
      </c>
      <c r="H13" s="46">
        <f>IFERROR(H12-G12,"n/d")</f>
        <v>0</v>
      </c>
      <c r="I13" s="39"/>
    </row>
    <row r="14">
      <c r="A14" s="3"/>
      <c r="B14" s="48" t="s">
        <v>548</v>
      </c>
      <c r="C14" s="18"/>
      <c r="D14" s="18"/>
      <c r="E14" s="18"/>
      <c r="F14" s="18" t="s">
        <v>236</v>
      </c>
      <c r="G14" s="18" t="s">
        <v>236</v>
      </c>
      <c r="H14" s="46" t="str">
        <f>IFERROR(H12-C12,"n/d")</f>
        <v>n/d</v>
      </c>
      <c r="I14" s="39" t="s">
        <v>549</v>
      </c>
    </row>
    <row r="15">
      <c r="A15" s="3"/>
      <c r="B15" s="38" t="s">
        <v>550</v>
      </c>
      <c r="C15" s="43">
        <f>-'Cash Flow Statement'!C45</f>
        <v>190</v>
      </c>
      <c r="D15" s="43">
        <f>-'Cash Flow Statement'!D45</f>
        <v>335</v>
      </c>
      <c r="E15" s="43">
        <f>-'Cash Flow Statement'!E45</f>
        <v>918</v>
      </c>
      <c r="F15" s="43">
        <f>-'Cash Flow Statement'!F45</f>
        <v>235</v>
      </c>
      <c r="G15" s="43">
        <f>-'Cash Flow Statement'!G45</f>
        <v>121</v>
      </c>
      <c r="H15" s="73">
        <f>-'Cash Flow Statement'!H45</f>
        <v>100</v>
      </c>
      <c r="I15" s="39" t="s">
        <v>551</v>
      </c>
    </row>
    <row r="16">
      <c r="A16" s="3"/>
      <c r="B16" s="48" t="s">
        <v>552</v>
      </c>
      <c r="C16" s="18"/>
      <c r="D16" s="18">
        <f>IFERROR(D15-C15,"n/d")</f>
        <v>145</v>
      </c>
      <c r="E16" s="18"/>
      <c r="F16" s="18">
        <f>IFERROR(F15-D15,"n/d")</f>
        <v>-100</v>
      </c>
      <c r="G16" s="18">
        <f>IFERROR(G15-F15,"n/d")</f>
        <v>-114</v>
      </c>
      <c r="H16" s="46">
        <f>IFERROR(H15-G15,"n/d")</f>
        <v>-21</v>
      </c>
      <c r="I16" s="39"/>
    </row>
    <row r="17">
      <c r="A17" s="3"/>
      <c r="B17" s="48" t="s">
        <v>553</v>
      </c>
      <c r="C17" s="18"/>
      <c r="D17" s="18"/>
      <c r="E17" s="18"/>
      <c r="F17" s="18" t="s">
        <v>236</v>
      </c>
      <c r="G17" s="18" t="s">
        <v>236</v>
      </c>
      <c r="H17" s="46">
        <f>IFERROR(H15-C15,"n/d")</f>
        <v>-90</v>
      </c>
      <c r="I17" s="39" t="s">
        <v>549</v>
      </c>
    </row>
    <row r="18">
      <c r="A18" s="3"/>
      <c r="B18" s="38" t="s">
        <v>554</v>
      </c>
      <c r="C18" s="142" t="s">
        <v>236</v>
      </c>
      <c r="D18" s="142" t="s">
        <v>236</v>
      </c>
      <c r="E18" s="145">
        <v>21.16</v>
      </c>
      <c r="F18" s="142" t="s">
        <v>236</v>
      </c>
      <c r="G18" s="145">
        <v>24.52</v>
      </c>
      <c r="H18" s="147">
        <v>24</v>
      </c>
      <c r="I18" s="39" t="s">
        <v>555</v>
      </c>
    </row>
    <row r="19">
      <c r="A19" s="3"/>
      <c r="B19" s="48" t="s">
        <v>556</v>
      </c>
      <c r="C19" s="142"/>
      <c r="D19" s="142" t="str">
        <f>IFERROR(D18-C18,"n/d")</f>
        <v>n/d</v>
      </c>
      <c r="E19" s="142"/>
      <c r="F19" s="142" t="str">
        <f>IFERROR(F18-D18,"n/d")</f>
        <v>n/d</v>
      </c>
      <c r="G19" s="142" t="str">
        <f>IFERROR(G18-F18,"n/d")</f>
        <v>n/d</v>
      </c>
      <c r="H19" s="148">
        <f>IFERROR(H18-G18,"n/d")</f>
        <v>-0.5199999999999996</v>
      </c>
      <c r="I19" s="39"/>
    </row>
    <row r="20">
      <c r="A20" s="3"/>
      <c r="B20" s="48" t="s">
        <v>557</v>
      </c>
      <c r="C20" s="142"/>
      <c r="D20" s="142"/>
      <c r="E20" s="142"/>
      <c r="F20" s="142" t="s">
        <v>236</v>
      </c>
      <c r="G20" s="142" t="s">
        <v>236</v>
      </c>
      <c r="H20" s="148" t="str">
        <f>IFERROR(H18-C18,"n/d")</f>
        <v>n/d</v>
      </c>
      <c r="I20" s="39" t="s">
        <v>549</v>
      </c>
    </row>
    <row r="21">
      <c r="A21" s="3"/>
      <c r="B21" s="38" t="s">
        <v>558</v>
      </c>
      <c r="C21" s="18" t="s">
        <v>236</v>
      </c>
      <c r="D21" s="18" t="s">
        <v>236</v>
      </c>
      <c r="E21" s="18">
        <f>E12/E18</f>
        <v>42.24952741020794</v>
      </c>
      <c r="F21" s="18" t="s">
        <v>236</v>
      </c>
      <c r="G21" s="18">
        <f>G12/G18</f>
        <v>4.078303425774878</v>
      </c>
      <c r="H21" s="46">
        <f>H12/H18</f>
        <v>4.166666666666667</v>
      </c>
      <c r="I21" s="39" t="s">
        <v>559</v>
      </c>
    </row>
    <row r="22" ht="14.624267578125">
      <c r="A22" s="3"/>
      <c r="B22" s="72" t="s">
        <v>560</v>
      </c>
      <c r="C22" s="18"/>
      <c r="D22" s="18" t="str">
        <f>IFERROR(D21-C21,"n/d")</f>
        <v>n/d</v>
      </c>
      <c r="E22" s="18"/>
      <c r="F22" s="18" t="str">
        <f>IFERROR(F21-D21,"n/d")</f>
        <v>n/d</v>
      </c>
      <c r="G22" s="18" t="str">
        <f>IFERROR(G21-F21,"n/d")</f>
        <v>n/d</v>
      </c>
      <c r="H22" s="46">
        <f>IFERROR(H21-G21,"n/d")</f>
        <v>0.08836324089178937</v>
      </c>
      <c r="I22" s="39"/>
    </row>
    <row r="23" ht="14.624267578125">
      <c r="A23" s="3"/>
      <c r="B23" s="72" t="s">
        <v>561</v>
      </c>
      <c r="C23" s="18"/>
      <c r="D23" s="18"/>
      <c r="E23" s="18"/>
      <c r="F23" s="18" t="s">
        <v>236</v>
      </c>
      <c r="G23" s="18" t="s">
        <v>236</v>
      </c>
      <c r="H23" s="46" t="str">
        <f>IFERROR(H21-C21,"n/d")</f>
        <v>n/d</v>
      </c>
      <c r="I23" s="39" t="s">
        <v>549</v>
      </c>
    </row>
    <row r="24">
      <c r="A24" s="3"/>
      <c r="B24" s="38" t="s">
        <v>562</v>
      </c>
      <c r="C24" s="18"/>
      <c r="D24" s="18"/>
      <c r="E24" s="18"/>
      <c r="F24" s="18"/>
      <c r="G24" s="18">
        <f>G9-F9+G21</f>
        <v>2.0783034257748776</v>
      </c>
      <c r="H24" s="40">
        <v>0.3</v>
      </c>
      <c r="I24" s="39" t="s">
        <v>563</v>
      </c>
    </row>
    <row r="25">
      <c r="A25" s="3"/>
      <c r="B25" s="48" t="s">
        <v>564</v>
      </c>
      <c r="C25" s="18"/>
      <c r="D25" s="18" t="str">
        <f>IF(OR(D24="",C24=""),"n/d",D24-C24)</f>
        <v>n/d</v>
      </c>
      <c r="E25" s="18"/>
      <c r="F25" s="18" t="str">
        <f>IF(OR(F24="",D24=""),"n/d",F24-D24)</f>
        <v>n/d</v>
      </c>
      <c r="G25" s="18" t="str">
        <f>IF(OR(G24="",F24=""),"n/d",G24-F24)</f>
        <v>n/d</v>
      </c>
      <c r="H25" s="46">
        <f>IFERROR(H24-G24,"n/d")</f>
        <v>-1.7783034257748775</v>
      </c>
      <c r="I25" s="39"/>
    </row>
    <row r="26">
      <c r="A26" s="3"/>
      <c r="B26" s="48" t="s">
        <v>565</v>
      </c>
      <c r="C26" s="18"/>
      <c r="D26" s="18"/>
      <c r="E26" s="18"/>
      <c r="F26" s="18" t="s">
        <v>236</v>
      </c>
      <c r="G26" s="18" t="s">
        <v>236</v>
      </c>
      <c r="H26" s="46" t="str">
        <f>IF(OR(H24="",C24=""),"n/d",H24-C24)</f>
        <v>n/d</v>
      </c>
      <c r="I26" s="39" t="s">
        <v>549</v>
      </c>
    </row>
    <row r="27">
      <c r="A27" s="3"/>
      <c r="B27" s="3"/>
      <c r="C27" s="10"/>
      <c r="D27" s="10"/>
      <c r="E27" s="10"/>
      <c r="F27" s="10"/>
      <c r="G27" s="10"/>
      <c r="H27" s="50"/>
      <c r="I27" s="39"/>
    </row>
    <row r="28">
      <c r="A28" s="3"/>
      <c r="B28" s="56" t="s">
        <v>566</v>
      </c>
      <c r="C28" s="10"/>
      <c r="D28" s="10"/>
      <c r="E28" s="10"/>
      <c r="F28" s="10"/>
      <c r="G28" s="10"/>
      <c r="H28" s="50"/>
      <c r="I28" s="39"/>
    </row>
    <row r="29">
      <c r="A29" s="3"/>
      <c r="B29" s="42" t="s">
        <v>567</v>
      </c>
      <c r="C29" s="41">
        <v>505</v>
      </c>
      <c r="D29" s="41">
        <v>491</v>
      </c>
      <c r="E29" s="41">
        <v>505</v>
      </c>
      <c r="F29" s="41">
        <v>480</v>
      </c>
      <c r="G29" s="41">
        <v>475</v>
      </c>
      <c r="H29" s="68">
        <f>AVERAGE(G9,H9)</f>
        <v>472.06666666666666</v>
      </c>
      <c r="I29" s="39"/>
    </row>
    <row r="30">
      <c r="A30" s="3"/>
      <c r="B30" s="48" t="s">
        <v>543</v>
      </c>
      <c r="C30" s="18"/>
      <c r="D30" s="18"/>
      <c r="E30" s="18"/>
      <c r="F30" s="43">
        <f>(F29-Inputs!C277)</f>
        <v>-37</v>
      </c>
      <c r="G30" s="43">
        <f>(G29-Inputs!D277)</f>
        <v>-33</v>
      </c>
      <c r="H30" s="46">
        <f>(H29-C29)</f>
        <v>-32.93333333333334</v>
      </c>
      <c r="I30" s="39"/>
    </row>
    <row r="31">
      <c r="A31" s="3"/>
      <c r="B31" s="48" t="s">
        <v>544</v>
      </c>
      <c r="C31" s="18"/>
      <c r="D31" s="18">
        <f>(D29-C29)</f>
        <v>-14</v>
      </c>
      <c r="E31" s="18"/>
      <c r="F31" s="18">
        <f>(F29-D29)</f>
        <v>-11</v>
      </c>
      <c r="G31" s="18">
        <f>(G29-F29)</f>
        <v>-5</v>
      </c>
      <c r="H31" s="46">
        <f>(H29-G29)</f>
        <v>-2.933333333333337</v>
      </c>
      <c r="I31" s="39"/>
    </row>
    <row r="32">
      <c r="A32" s="3"/>
      <c r="B32" s="38" t="s">
        <v>568</v>
      </c>
      <c r="C32" s="18">
        <f>C35-C29</f>
        <v>5</v>
      </c>
      <c r="D32" s="18">
        <f>D35-D29</f>
        <v>5</v>
      </c>
      <c r="E32" s="18">
        <f>E35-E29</f>
        <v>6</v>
      </c>
      <c r="F32" s="18">
        <f>F35-F29</f>
        <v>7</v>
      </c>
      <c r="G32" s="18">
        <f>G35-G29</f>
        <v>5</v>
      </c>
      <c r="H32" s="46">
        <f>G32</f>
        <v>5</v>
      </c>
      <c r="I32" s="39" t="s">
        <v>569</v>
      </c>
    </row>
    <row r="33">
      <c r="A33" s="3"/>
      <c r="B33" s="48" t="s">
        <v>570</v>
      </c>
      <c r="C33" s="18"/>
      <c r="D33" s="18">
        <f>D32-C32</f>
        <v>0</v>
      </c>
      <c r="E33" s="18"/>
      <c r="F33" s="18">
        <f>F32-D32</f>
        <v>2</v>
      </c>
      <c r="G33" s="18">
        <f>G32-F32</f>
        <v>-2</v>
      </c>
      <c r="H33" s="46">
        <f>H32-G32</f>
        <v>0</v>
      </c>
      <c r="I33" s="39"/>
    </row>
    <row r="34">
      <c r="A34" s="3"/>
      <c r="B34" s="48" t="s">
        <v>571</v>
      </c>
      <c r="C34" s="18"/>
      <c r="D34" s="18"/>
      <c r="E34" s="18"/>
      <c r="F34" s="43">
        <f>F32-(Inputs!C278-Inputs!C277)</f>
        <v>1</v>
      </c>
      <c r="G34" s="43">
        <f>G32-(Inputs!D278-Inputs!D277)</f>
        <v>-1</v>
      </c>
      <c r="H34" s="46">
        <f>H32-C32</f>
        <v>0</v>
      </c>
      <c r="I34" s="39"/>
    </row>
    <row r="35">
      <c r="A35" s="3"/>
      <c r="B35" s="42" t="s">
        <v>572</v>
      </c>
      <c r="C35" s="41">
        <v>510</v>
      </c>
      <c r="D35" s="41">
        <v>496</v>
      </c>
      <c r="E35" s="41">
        <v>511</v>
      </c>
      <c r="F35" s="41">
        <v>487</v>
      </c>
      <c r="G35" s="41">
        <v>480</v>
      </c>
      <c r="H35" s="68">
        <f>H29+H32</f>
        <v>477.06666666666666</v>
      </c>
      <c r="I35" s="39"/>
    </row>
    <row r="36">
      <c r="A36" s="3"/>
      <c r="B36" s="48" t="s">
        <v>543</v>
      </c>
      <c r="C36" s="18"/>
      <c r="D36" s="18"/>
      <c r="E36" s="18"/>
      <c r="F36" s="43">
        <f>(F35-Inputs!C278)</f>
        <v>-36</v>
      </c>
      <c r="G36" s="43">
        <f>(G35-Inputs!D278)</f>
        <v>-34</v>
      </c>
      <c r="H36" s="46">
        <f>(H35-C35)</f>
        <v>-32.93333333333334</v>
      </c>
      <c r="I36" s="39"/>
    </row>
    <row r="37">
      <c r="A37" s="3"/>
      <c r="B37" s="48" t="s">
        <v>544</v>
      </c>
      <c r="C37" s="18"/>
      <c r="D37" s="18">
        <f>(D35-C35)</f>
        <v>-14</v>
      </c>
      <c r="E37" s="18"/>
      <c r="F37" s="18">
        <f>(F35-D35)</f>
        <v>-9</v>
      </c>
      <c r="G37" s="18">
        <f>(G35-F35)</f>
        <v>-7</v>
      </c>
      <c r="H37" s="46">
        <f>(H35-G35)</f>
        <v>-2.933333333333337</v>
      </c>
      <c r="I37" s="39"/>
    </row>
    <row r="38">
      <c r="A38" s="3"/>
      <c r="B38" s="53" t="s">
        <v>79</v>
      </c>
      <c r="C38" s="12"/>
      <c r="D38" s="12"/>
      <c r="E38" s="12"/>
      <c r="F38" s="47">
        <f>F35/Inputs!C278-1</f>
        <v>-0.06883365200764824</v>
      </c>
      <c r="G38" s="47">
        <f>G35/Inputs!D278-1</f>
        <v>-0.06614785992217898</v>
      </c>
      <c r="H38" s="67">
        <f>H35/C35-1</f>
        <v>-0.06457516339869285</v>
      </c>
      <c r="I38" s="39"/>
    </row>
    <row r="39">
      <c r="A39" s="3"/>
      <c r="B39" s="56" t="s">
        <v>573</v>
      </c>
      <c r="C39" s="45"/>
      <c r="D39" s="45"/>
      <c r="E39" s="45"/>
      <c r="F39" s="45"/>
      <c r="G39" s="45"/>
      <c r="H39" s="68">
        <f>H35</f>
        <v>477.06666666666666</v>
      </c>
      <c r="I39" s="39"/>
    </row>
    <row r="40">
      <c r="A40" s="3"/>
      <c r="B40" s="3"/>
      <c r="C40" s="10"/>
      <c r="D40" s="10"/>
      <c r="E40" s="10"/>
      <c r="F40" s="10"/>
      <c r="G40" s="10"/>
      <c r="H40" s="50"/>
      <c r="I40" s="39"/>
    </row>
    <row r="41">
      <c r="A41" s="3"/>
      <c r="B41" s="56" t="s">
        <v>574</v>
      </c>
      <c r="C41" s="10"/>
      <c r="D41" s="10"/>
      <c r="E41" s="10"/>
      <c r="F41" s="10"/>
      <c r="G41" s="10"/>
      <c r="H41" s="50"/>
      <c r="I41" s="39"/>
    </row>
    <row r="42">
      <c r="A42" s="3"/>
      <c r="B42" s="38" t="s">
        <v>575</v>
      </c>
      <c r="C42" s="145">
        <v>0.15</v>
      </c>
      <c r="D42" s="145">
        <v>0.15</v>
      </c>
      <c r="E42" s="143">
        <f>C42+D42+Inputs!C279+Inputs!D279</f>
        <v>0.6</v>
      </c>
      <c r="F42" s="145">
        <v>0.17</v>
      </c>
      <c r="G42" s="145">
        <v>0.17</v>
      </c>
      <c r="H42" s="147">
        <v>0.17</v>
      </c>
      <c r="I42" s="39" t="s">
        <v>576</v>
      </c>
    </row>
    <row r="43">
      <c r="A43" s="3"/>
      <c r="B43" s="48" t="s">
        <v>577</v>
      </c>
      <c r="C43" s="142"/>
      <c r="D43" s="142"/>
      <c r="E43" s="142"/>
      <c r="F43" s="143">
        <f>(F42-Inputs!C279)</f>
        <v>0.020000000000000018</v>
      </c>
      <c r="G43" s="143">
        <f>(G42-Inputs!D279)</f>
        <v>0.020000000000000018</v>
      </c>
      <c r="H43" s="148">
        <f>(H42-C42)</f>
        <v>0.020000000000000018</v>
      </c>
      <c r="I43" s="39"/>
    </row>
    <row r="44">
      <c r="A44" s="3"/>
      <c r="B44" s="48" t="s">
        <v>578</v>
      </c>
      <c r="C44" s="142"/>
      <c r="D44" s="142">
        <f>(D42-C42)</f>
        <v>0</v>
      </c>
      <c r="E44" s="142"/>
      <c r="F44" s="142">
        <f>(F42-D42)</f>
        <v>0.020000000000000018</v>
      </c>
      <c r="G44" s="142">
        <f>(G42-F42)</f>
        <v>0</v>
      </c>
      <c r="H44" s="148">
        <f>(H42-G42)</f>
        <v>0</v>
      </c>
      <c r="I44" s="39"/>
    </row>
    <row r="45" ht="26.25">
      <c r="A45" s="3"/>
      <c r="B45" s="38" t="s">
        <v>579</v>
      </c>
      <c r="C45" s="18">
        <f>C42*C29</f>
        <v>75.75</v>
      </c>
      <c r="D45" s="18">
        <f>D42*D29</f>
        <v>73.64999999999999</v>
      </c>
      <c r="E45" s="18">
        <f>E42*E29</f>
        <v>303</v>
      </c>
      <c r="F45" s="18">
        <f>F42*F29</f>
        <v>81.60000000000001</v>
      </c>
      <c r="G45" s="18">
        <f>G42*G29</f>
        <v>80.75</v>
      </c>
      <c r="H45" s="46">
        <f>H42*H29</f>
        <v>80.25133333333333</v>
      </c>
      <c r="I45" s="149" t="s">
        <v>580</v>
      </c>
    </row>
    <row r="46">
      <c r="A46" s="3"/>
      <c r="B46" s="38" t="s">
        <v>581</v>
      </c>
      <c r="C46" s="142"/>
      <c r="D46" s="142"/>
      <c r="E46" s="142"/>
      <c r="F46" s="142"/>
      <c r="G46" s="142"/>
      <c r="H46" s="147">
        <v>0.625</v>
      </c>
      <c r="I46" s="39" t="s">
        <v>582</v>
      </c>
    </row>
    <row r="47" ht="26.25">
      <c r="A47" s="3"/>
      <c r="B47" s="38" t="s">
        <v>583</v>
      </c>
      <c r="C47" s="18"/>
      <c r="D47" s="18"/>
      <c r="E47" s="18"/>
      <c r="F47" s="18"/>
      <c r="G47" s="43">
        <f>Inputs!C74*G9</f>
        <v>10939.92</v>
      </c>
      <c r="H47" s="46"/>
      <c r="I47" s="149" t="s">
        <v>584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K22"/>
  <sheetViews>
    <sheetView showGridLines="0" workbookViewId="0"/>
  </sheetViews>
  <sheetFormatPr defaultColWidth="8.42578125" defaultRowHeight="15"/>
  <cols>
    <col min="1" max="1" width="2" customWidth="1"/>
    <col min="2" max="2" width="14" customWidth="1"/>
    <col min="3" max="3" width="12" customWidth="1"/>
    <col min="4" max="4" width="34" customWidth="1"/>
    <col min="5" max="8" width="12" customWidth="1"/>
    <col min="9" max="9" width="34" customWidth="1"/>
    <col min="10" max="10" width="14" customWidth="1"/>
    <col min="11" max="11" width="34" customWidth="1"/>
  </cols>
  <sheetData>
    <row r="1">
      <c r="A1" s="3"/>
      <c r="B1" s="37" t="s">
        <v>0</v>
      </c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56" t="s">
        <v>585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2" t="s">
        <v>2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24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24"/>
      <c r="J4" s="24"/>
      <c r="K4" s="24"/>
    </row>
    <row r="5">
      <c r="A5" s="3"/>
      <c r="B5" s="13" t="s">
        <v>10</v>
      </c>
      <c r="C5" s="34">
        <v>45930</v>
      </c>
      <c r="D5" s="34">
        <v>46022</v>
      </c>
      <c r="E5" s="34">
        <v>46022</v>
      </c>
      <c r="F5" s="34">
        <v>46112</v>
      </c>
      <c r="G5" s="34">
        <v>46203</v>
      </c>
      <c r="H5" s="34">
        <v>46295</v>
      </c>
      <c r="I5" s="13"/>
      <c r="J5" s="13"/>
      <c r="K5" s="13"/>
    </row>
    <row r="6">
      <c r="A6" s="3"/>
      <c r="B6" s="23" t="s">
        <v>11</v>
      </c>
      <c r="C6" s="1">
        <v>92</v>
      </c>
      <c r="D6" s="1">
        <v>92</v>
      </c>
      <c r="E6" s="1">
        <v>365</v>
      </c>
      <c r="F6" s="1">
        <v>90</v>
      </c>
      <c r="G6" s="1">
        <v>91</v>
      </c>
      <c r="H6" s="1">
        <v>92</v>
      </c>
      <c r="I6" s="23"/>
      <c r="J6" s="23"/>
      <c r="K6" s="23"/>
    </row>
    <row r="7">
      <c r="A7" s="3"/>
      <c r="B7" s="115" t="s">
        <v>586</v>
      </c>
      <c r="C7" s="3"/>
      <c r="D7" s="3"/>
      <c r="E7" s="3"/>
      <c r="F7" s="3"/>
      <c r="G7" s="3"/>
      <c r="H7" s="3"/>
      <c r="I7" s="3"/>
      <c r="J7" s="3"/>
      <c r="K7" s="3"/>
    </row>
    <row r="8">
      <c r="A8" s="3"/>
      <c r="B8" s="119" t="s">
        <v>587</v>
      </c>
      <c r="C8" s="14" t="s">
        <v>3</v>
      </c>
      <c r="D8" s="14" t="s">
        <v>588</v>
      </c>
      <c r="E8" s="117" t="s">
        <v>589</v>
      </c>
      <c r="F8" s="117" t="s">
        <v>590</v>
      </c>
      <c r="G8" s="117" t="s">
        <v>591</v>
      </c>
      <c r="H8" s="117" t="s">
        <v>592</v>
      </c>
      <c r="I8" s="14" t="s">
        <v>593</v>
      </c>
      <c r="J8" s="117" t="s">
        <v>594</v>
      </c>
      <c r="K8" s="14" t="s">
        <v>595</v>
      </c>
    </row>
    <row r="9" ht="36">
      <c r="A9" s="3"/>
      <c r="B9" s="27">
        <v>46037</v>
      </c>
      <c r="C9" s="11" t="s">
        <v>596</v>
      </c>
      <c r="D9" s="11" t="s">
        <v>597</v>
      </c>
      <c r="E9" s="8">
        <v>0.03</v>
      </c>
      <c r="F9" s="8">
        <v>0.07</v>
      </c>
      <c r="G9" s="16">
        <f>AVERAGE(E9,F9)</f>
        <v>0.05</v>
      </c>
      <c r="H9" s="9">
        <f>('Revenue summary'!F128+'Revenue summary'!G128)/(Inputs!C219-Inputs!C108+Inputs!D219-Inputs!D108)-1</f>
        <v>0.0608642726719415</v>
      </c>
      <c r="I9" s="11" t="str">
        <f>IF(H9&gt;=G9,"1H26 tracking at/above midpoint (FY pending)","1H26 tracking below midpoint (FY pending)")</f>
        <v>1H26 tracking at/above midpoint (FY pending)</v>
      </c>
      <c r="J9" s="19">
        <v>3420</v>
      </c>
      <c r="K9" s="11" t="s">
        <v>598</v>
      </c>
    </row>
    <row r="10" ht="24.75">
      <c r="A10" s="3"/>
      <c r="B10" s="27">
        <v>46127</v>
      </c>
      <c r="C10" s="11" t="s">
        <v>596</v>
      </c>
      <c r="D10" s="11" t="s">
        <v>597</v>
      </c>
      <c r="E10" s="8">
        <v>0.03</v>
      </c>
      <c r="F10" s="8">
        <v>0.07</v>
      </c>
      <c r="G10" s="16">
        <f>AVERAGE(E10,F10)</f>
        <v>0.05</v>
      </c>
      <c r="H10" s="9">
        <f>('Revenue summary'!F128+'Revenue summary'!G128)/(Inputs!C219-Inputs!C108+Inputs!D219-Inputs!D108)-1</f>
        <v>0.0608642726719415</v>
      </c>
      <c r="I10" s="11" t="str">
        <f>IF(H10&gt;=G10,"1H26 tracking at/above midpoint (FY pending)","1H26 tracking below midpoint (FY pending)")</f>
        <v>1H26 tracking at/above midpoint (FY pending)</v>
      </c>
      <c r="J10" s="19">
        <v>3420</v>
      </c>
      <c r="K10" s="11" t="s">
        <v>599</v>
      </c>
    </row>
    <row r="11" ht="24.75">
      <c r="A11" s="3"/>
      <c r="B11" s="27">
        <v>46218</v>
      </c>
      <c r="C11" s="11" t="s">
        <v>596</v>
      </c>
      <c r="D11" s="11" t="s">
        <v>597</v>
      </c>
      <c r="E11" s="8">
        <v>0.03</v>
      </c>
      <c r="F11" s="8">
        <v>0.07</v>
      </c>
      <c r="G11" s="16">
        <f>AVERAGE(E11,F11)</f>
        <v>0.05</v>
      </c>
      <c r="H11" s="9">
        <f>('Revenue summary'!F128+'Revenue summary'!G128)/(Inputs!C219-Inputs!C108+Inputs!D219-Inputs!D108)-1</f>
        <v>0.0608642726719415</v>
      </c>
      <c r="I11" s="11" t="str">
        <f>IF(H11&gt;=G11,"1H26 tracking at/above midpoint (FY pending)","1H26 tracking below midpoint (FY pending)")</f>
        <v>1H26 tracking at/above midpoint (FY pending)</v>
      </c>
      <c r="J11" s="19">
        <v>3420</v>
      </c>
      <c r="K11" s="11" t="s">
        <v>600</v>
      </c>
    </row>
    <row r="12" ht="36">
      <c r="A12" s="3"/>
      <c r="B12" s="27">
        <v>46037</v>
      </c>
      <c r="C12" s="11" t="s">
        <v>596</v>
      </c>
      <c r="D12" s="11" t="s">
        <v>601</v>
      </c>
      <c r="E12" s="137">
        <v>0</v>
      </c>
      <c r="F12" s="137">
        <v>0</v>
      </c>
      <c r="G12" s="136">
        <f>AVERAGE(E12,F12)</f>
        <v>0</v>
      </c>
      <c r="H12" s="9">
        <f>('Income Statement'!F123+'Income Statement'!G123)*2/J12-1</f>
        <v>-0.004878048780487809</v>
      </c>
      <c r="I12" s="11" t="str">
        <f>IF(H12&lt;=G12,"1H26 run-rate at/below flat guide (FY pending)","1H26 run-rate above flat guide (FY pending)")</f>
        <v>1H26 run-rate at/below flat guide (FY pending)</v>
      </c>
      <c r="J12" s="19">
        <v>2050</v>
      </c>
      <c r="K12" s="11" t="s">
        <v>602</v>
      </c>
    </row>
    <row r="13" ht="24.75">
      <c r="A13" s="3"/>
      <c r="B13" s="27">
        <v>46037</v>
      </c>
      <c r="C13" s="11" t="s">
        <v>596</v>
      </c>
      <c r="D13" s="11" t="s">
        <v>603</v>
      </c>
      <c r="E13" s="116">
        <v>0.0015</v>
      </c>
      <c r="F13" s="116">
        <v>0.0025</v>
      </c>
      <c r="G13" s="114">
        <f>AVERAGE(E13,F13)</f>
        <v>0.002</v>
      </c>
      <c r="H13" s="125">
        <f>-('Balance Sheet'!F149+'Balance Sheet'!G149)/(('Revenue summary'!F156*'Revenue summary'!F335+'Revenue summary'!G156*'Revenue summary'!G335)/('Revenue summary'!F335+'Revenue summary'!G335))*365/('Revenue summary'!F335+'Revenue summary'!G335)</f>
        <v>0.0019551558271289748</v>
      </c>
      <c r="I13" s="11" t="str">
        <f>IF(H13&lt;=G13,"1H26 better than/at midpoint","1H26 worse than midpoint")</f>
        <v>1H26 better than/at midpoint</v>
      </c>
      <c r="J13" s="116">
        <v>0.0019</v>
      </c>
      <c r="K13" s="11" t="s">
        <v>604</v>
      </c>
    </row>
    <row r="14" ht="24.75">
      <c r="A14" s="3"/>
      <c r="B14" s="27">
        <v>46037</v>
      </c>
      <c r="C14" s="11" t="s">
        <v>596</v>
      </c>
      <c r="D14" s="11" t="s">
        <v>356</v>
      </c>
      <c r="E14" s="8">
        <v>0.21</v>
      </c>
      <c r="F14" s="8">
        <v>0.23</v>
      </c>
      <c r="G14" s="16">
        <f>AVERAGE(E14,F14)</f>
        <v>0.22</v>
      </c>
      <c r="H14" s="9">
        <f>('Income Statement'!F75+'Income Statement'!G75)/('Income Statement'!F72+'Income Statement'!G72)</f>
        <v>0.20790629575402636</v>
      </c>
      <c r="I14" s="11" t="str">
        <f>IF(H14&lt;=G14,"1H26 below midpoint","1H26 above midpoint")</f>
        <v>1H26 below midpoint</v>
      </c>
      <c r="J14" s="8">
        <v>0.221</v>
      </c>
      <c r="K14" s="11" t="s">
        <v>605</v>
      </c>
    </row>
    <row r="15" ht="24.75">
      <c r="A15" s="3"/>
      <c r="B15" s="27">
        <v>46037</v>
      </c>
      <c r="C15" s="11" t="s">
        <v>596</v>
      </c>
      <c r="D15" s="11" t="s">
        <v>606</v>
      </c>
      <c r="E15" s="158">
        <v>0.105</v>
      </c>
      <c r="F15" s="158">
        <v>0.105</v>
      </c>
      <c r="G15" s="157">
        <f>AVERAGE(E15,F15)</f>
        <v>0.105</v>
      </c>
      <c r="H15" s="156">
        <f>'Balance Sheet'!G163</f>
        <v>0.105</v>
      </c>
      <c r="I15" s="11" t="str">
        <f>IF(ROUND(H15,3)=ROUND(G15,3),"In line","Off target")</f>
        <v>In line</v>
      </c>
      <c r="J15" s="158">
        <v>0.1063</v>
      </c>
      <c r="K15" s="11" t="s">
        <v>607</v>
      </c>
    </row>
    <row r="16" ht="24.75">
      <c r="A16" s="3"/>
      <c r="B16" s="27">
        <v>46218</v>
      </c>
      <c r="C16" s="11" t="s">
        <v>608</v>
      </c>
      <c r="D16" s="11" t="s">
        <v>609</v>
      </c>
      <c r="E16" s="25">
        <f>'Income Statement'!G123</f>
        <v>513</v>
      </c>
      <c r="F16" s="25">
        <f>'Income Statement'!G123</f>
        <v>513</v>
      </c>
      <c r="G16" s="54">
        <f>AVERAGE(E16,F16)</f>
        <v>513</v>
      </c>
      <c r="H16" s="25">
        <f>'Income Statement'!H123</f>
        <v>516</v>
      </c>
      <c r="I16" s="11" t="s">
        <v>610</v>
      </c>
      <c r="J16" s="11"/>
      <c r="K16" s="11" t="s">
        <v>611</v>
      </c>
    </row>
    <row r="17" ht="24.75">
      <c r="A17" s="3"/>
      <c r="B17" s="27">
        <v>46218</v>
      </c>
      <c r="C17" s="11" t="s">
        <v>612</v>
      </c>
      <c r="D17" s="11" t="s">
        <v>613</v>
      </c>
      <c r="E17" s="116">
        <v>0.0345</v>
      </c>
      <c r="F17" s="116">
        <v>0.0349</v>
      </c>
      <c r="G17" s="114">
        <f>AVERAGE(E17,F17)</f>
        <v>0.0347</v>
      </c>
      <c r="H17" s="125">
        <f>'Revenue summary'!H326</f>
        <v>0.0348118689252277</v>
      </c>
      <c r="I17" s="11" t="s">
        <v>610</v>
      </c>
      <c r="J17" s="11"/>
      <c r="K17" s="11" t="s">
        <v>614</v>
      </c>
    </row>
    <row r="18" ht="36">
      <c r="A18" s="3"/>
      <c r="B18" s="118" t="s">
        <v>615</v>
      </c>
      <c r="C18" s="11" t="s">
        <v>616</v>
      </c>
      <c r="D18" s="11" t="s">
        <v>617</v>
      </c>
      <c r="E18" s="25">
        <f>((1+E11)*J11-('Revenue summary'!F128+'Revenue summary'!G128))/2+'Revenue summary'!H104</f>
        <v>893.8</v>
      </c>
      <c r="F18" s="25">
        <f>((1+F11)*J11-('Revenue summary'!F128+'Revenue summary'!G128))/2+'Revenue summary'!H104</f>
        <v>962.2</v>
      </c>
      <c r="G18" s="25">
        <f>((1+G11)*J11-('Revenue summary'!F128+'Revenue summary'!G128))/2+'Revenue summary'!H104</f>
        <v>928</v>
      </c>
      <c r="H18" s="25">
        <f>'Income Statement'!H35</f>
        <v>888.8371309589045</v>
      </c>
      <c r="I18" s="11" t="str">
        <f>IF(H18&gt;=G18,"Shortcut 3Q26E above implied midpoint","Shortcut 3Q26E below implied midpoint")</f>
        <v>Shortcut 3Q26E below implied midpoint</v>
      </c>
      <c r="J18" s="11"/>
      <c r="K18" s="11" t="s">
        <v>618</v>
      </c>
    </row>
    <row r="19">
      <c r="A19" s="3"/>
      <c r="B19" s="118" t="s">
        <v>44</v>
      </c>
      <c r="C19" s="11" t="s">
        <v>616</v>
      </c>
      <c r="D19" s="11" t="s">
        <v>619</v>
      </c>
      <c r="E19" s="135" t="s">
        <v>43</v>
      </c>
      <c r="F19" s="135" t="s">
        <v>43</v>
      </c>
      <c r="G19" s="135" t="s">
        <v>43</v>
      </c>
      <c r="H19" s="135" t="s">
        <v>44</v>
      </c>
      <c r="I19" s="11" t="s">
        <v>44</v>
      </c>
      <c r="J19" s="11"/>
      <c r="K19" s="11" t="s">
        <v>620</v>
      </c>
    </row>
    <row r="20" ht="24.75">
      <c r="A20" s="3"/>
      <c r="B20" s="27">
        <v>45673</v>
      </c>
      <c r="C20" s="11" t="s">
        <v>621</v>
      </c>
      <c r="D20" s="11" t="s">
        <v>622</v>
      </c>
      <c r="E20" s="135" t="s">
        <v>83</v>
      </c>
      <c r="F20" s="135" t="s">
        <v>83</v>
      </c>
      <c r="G20" s="135" t="s">
        <v>83</v>
      </c>
      <c r="H20" s="135" t="s">
        <v>623</v>
      </c>
      <c r="I20" s="11" t="s">
        <v>83</v>
      </c>
      <c r="J20" s="11"/>
      <c r="K20" s="11" t="s">
        <v>624</v>
      </c>
    </row>
    <row r="21">
      <c r="A21" s="3"/>
      <c r="B21" s="5"/>
      <c r="C21" s="11"/>
      <c r="D21" s="11"/>
      <c r="E21" s="11"/>
      <c r="F21" s="11"/>
      <c r="G21" s="11"/>
      <c r="H21" s="11"/>
      <c r="I21" s="11"/>
      <c r="J21" s="11"/>
      <c r="K21" s="11"/>
    </row>
    <row r="22">
      <c r="A22" s="3"/>
      <c r="B22" s="122" t="s">
        <v>625</v>
      </c>
      <c r="C22" s="21"/>
      <c r="D22" s="21"/>
      <c r="E22" s="21"/>
      <c r="F22" s="21"/>
      <c r="G22" s="21"/>
      <c r="H22" s="21"/>
      <c r="I22" s="21"/>
      <c r="J22" s="21"/>
      <c r="K22" s="2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H34"/>
  <sheetViews>
    <sheetView showGridLines="0" workbookViewId="0"/>
  </sheetViews>
  <sheetFormatPr defaultColWidth="8.42578125" defaultRowHeight="15"/>
  <cols>
    <col min="1" max="1" width="2" customWidth="1"/>
    <col min="2" max="2" width="14" customWidth="1"/>
    <col min="3" max="3" width="12" customWidth="1"/>
    <col min="4" max="4" width="30" customWidth="1"/>
    <col min="5" max="6" width="60" customWidth="1"/>
    <col min="7" max="7" width="14" customWidth="1"/>
    <col min="8" max="8" width="12" customWidth="1"/>
  </cols>
  <sheetData>
    <row r="1">
      <c r="A1" s="3"/>
      <c r="B1" s="37" t="s">
        <v>0</v>
      </c>
      <c r="C1" s="3"/>
      <c r="D1" s="3"/>
      <c r="E1" s="3"/>
      <c r="F1" s="3"/>
      <c r="G1" s="3"/>
      <c r="H1" s="3"/>
    </row>
    <row r="2">
      <c r="A2" s="3"/>
      <c r="B2" s="56" t="s">
        <v>626</v>
      </c>
      <c r="C2" s="3"/>
      <c r="D2" s="3"/>
      <c r="E2" s="3"/>
      <c r="F2" s="3"/>
      <c r="G2" s="3"/>
      <c r="H2" s="3"/>
    </row>
    <row r="3">
      <c r="A3" s="3"/>
      <c r="B3" s="32" t="s">
        <v>2</v>
      </c>
      <c r="C3" s="3"/>
      <c r="D3" s="3"/>
      <c r="E3" s="3"/>
      <c r="F3" s="3"/>
      <c r="G3" s="3"/>
      <c r="H3" s="3"/>
    </row>
    <row r="4">
      <c r="A4" s="3"/>
      <c r="B4" s="24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</row>
    <row r="5">
      <c r="A5" s="3"/>
      <c r="B5" s="13" t="s">
        <v>10</v>
      </c>
      <c r="C5" s="34">
        <v>45930</v>
      </c>
      <c r="D5" s="34">
        <v>46022</v>
      </c>
      <c r="E5" s="34">
        <v>46022</v>
      </c>
      <c r="F5" s="34">
        <v>46112</v>
      </c>
      <c r="G5" s="34">
        <v>46203</v>
      </c>
      <c r="H5" s="34">
        <v>46295</v>
      </c>
    </row>
    <row r="6">
      <c r="A6" s="3"/>
      <c r="B6" s="23" t="s">
        <v>11</v>
      </c>
      <c r="C6" s="1">
        <v>92</v>
      </c>
      <c r="D6" s="1">
        <v>92</v>
      </c>
      <c r="E6" s="1">
        <v>365</v>
      </c>
      <c r="F6" s="1">
        <v>90</v>
      </c>
      <c r="G6" s="1">
        <v>91</v>
      </c>
      <c r="H6" s="1">
        <v>92</v>
      </c>
    </row>
    <row r="7">
      <c r="A7" s="3"/>
      <c r="B7" s="115" t="s">
        <v>586</v>
      </c>
      <c r="C7" s="3"/>
      <c r="D7" s="3"/>
      <c r="E7" s="3"/>
      <c r="F7" s="3"/>
      <c r="G7" s="3"/>
      <c r="H7" s="3"/>
    </row>
    <row r="8">
      <c r="A8" s="3"/>
      <c r="B8" s="44" t="s">
        <v>627</v>
      </c>
      <c r="C8" s="117" t="s">
        <v>628</v>
      </c>
      <c r="D8" s="14" t="s">
        <v>629</v>
      </c>
      <c r="E8" s="14" t="s">
        <v>630</v>
      </c>
      <c r="F8" s="14" t="s">
        <v>631</v>
      </c>
      <c r="G8" s="117" t="s">
        <v>632</v>
      </c>
      <c r="H8" s="14"/>
    </row>
    <row r="9" ht="24.75">
      <c r="A9" s="3"/>
      <c r="B9" s="5" t="s">
        <v>633</v>
      </c>
      <c r="C9" s="2">
        <v>46218</v>
      </c>
      <c r="D9" s="4" t="s">
        <v>634</v>
      </c>
      <c r="E9" s="4" t="s">
        <v>635</v>
      </c>
      <c r="F9" s="4" t="s">
        <v>636</v>
      </c>
      <c r="G9" s="2">
        <v>46307</v>
      </c>
      <c r="H9" s="4"/>
    </row>
    <row r="10" ht="24.75">
      <c r="A10" s="3"/>
      <c r="B10" s="5" t="s">
        <v>637</v>
      </c>
      <c r="C10" s="2">
        <v>46218</v>
      </c>
      <c r="D10" s="4" t="s">
        <v>638</v>
      </c>
      <c r="E10" s="4" t="s">
        <v>639</v>
      </c>
      <c r="F10" s="4" t="s">
        <v>640</v>
      </c>
      <c r="G10" s="2">
        <v>46307</v>
      </c>
      <c r="H10" s="4"/>
    </row>
    <row r="11" ht="24.75">
      <c r="A11" s="3"/>
      <c r="B11" s="5" t="s">
        <v>641</v>
      </c>
      <c r="C11" s="2">
        <v>46127</v>
      </c>
      <c r="D11" s="4" t="s">
        <v>634</v>
      </c>
      <c r="E11" s="4" t="s">
        <v>642</v>
      </c>
      <c r="F11" s="4" t="s">
        <v>643</v>
      </c>
      <c r="G11" s="2">
        <v>46307</v>
      </c>
      <c r="H11" s="4"/>
    </row>
    <row r="12" ht="24.75">
      <c r="A12" s="3"/>
      <c r="B12" s="5" t="s">
        <v>644</v>
      </c>
      <c r="C12" s="2">
        <v>46037</v>
      </c>
      <c r="D12" s="4" t="s">
        <v>634</v>
      </c>
      <c r="E12" s="4" t="s">
        <v>645</v>
      </c>
      <c r="F12" s="4" t="s">
        <v>646</v>
      </c>
      <c r="G12" s="2">
        <v>46307</v>
      </c>
      <c r="H12" s="4"/>
    </row>
    <row r="13" ht="24.75">
      <c r="A13" s="3"/>
      <c r="B13" s="5" t="s">
        <v>647</v>
      </c>
      <c r="C13" s="2">
        <v>46240</v>
      </c>
      <c r="D13" s="4" t="s">
        <v>648</v>
      </c>
      <c r="E13" s="4" t="s">
        <v>649</v>
      </c>
      <c r="F13" s="4" t="s">
        <v>650</v>
      </c>
      <c r="G13" s="2">
        <v>46307</v>
      </c>
      <c r="H13" s="4"/>
    </row>
    <row r="14" ht="24.75">
      <c r="A14" s="3"/>
      <c r="B14" s="5" t="s">
        <v>651</v>
      </c>
      <c r="C14" s="2">
        <v>46149</v>
      </c>
      <c r="D14" s="4" t="s">
        <v>652</v>
      </c>
      <c r="E14" s="4" t="s">
        <v>653</v>
      </c>
      <c r="F14" s="4" t="s">
        <v>654</v>
      </c>
      <c r="G14" s="2">
        <v>46307</v>
      </c>
      <c r="H14" s="4"/>
    </row>
    <row r="15" ht="24.75">
      <c r="A15" s="3"/>
      <c r="B15" s="5" t="s">
        <v>655</v>
      </c>
      <c r="C15" s="2">
        <v>45967</v>
      </c>
      <c r="D15" s="4" t="s">
        <v>656</v>
      </c>
      <c r="E15" s="4" t="s">
        <v>657</v>
      </c>
      <c r="F15" s="4" t="s">
        <v>658</v>
      </c>
      <c r="G15" s="2">
        <v>46307</v>
      </c>
      <c r="H15" s="4"/>
    </row>
    <row r="16" ht="24.75">
      <c r="A16" s="3"/>
      <c r="B16" s="5" t="s">
        <v>659</v>
      </c>
      <c r="C16" s="2">
        <v>46079</v>
      </c>
      <c r="D16" s="4" t="s">
        <v>660</v>
      </c>
      <c r="E16" s="4" t="s">
        <v>661</v>
      </c>
      <c r="F16" s="4" t="s">
        <v>662</v>
      </c>
      <c r="G16" s="2">
        <v>46307</v>
      </c>
      <c r="H16" s="4"/>
    </row>
    <row r="17" ht="24.75">
      <c r="A17" s="3"/>
      <c r="B17" s="5" t="s">
        <v>663</v>
      </c>
      <c r="C17" s="2">
        <v>46218</v>
      </c>
      <c r="D17" s="4" t="s">
        <v>664</v>
      </c>
      <c r="E17" s="4" t="s">
        <v>665</v>
      </c>
      <c r="F17" s="4" t="s">
        <v>666</v>
      </c>
      <c r="G17" s="2">
        <v>46307</v>
      </c>
      <c r="H17" s="4"/>
    </row>
    <row r="18" ht="36">
      <c r="A18" s="3"/>
      <c r="B18" s="5" t="s">
        <v>667</v>
      </c>
      <c r="C18" s="2">
        <v>46280</v>
      </c>
      <c r="D18" s="4" t="s">
        <v>668</v>
      </c>
      <c r="E18" s="4" t="s">
        <v>669</v>
      </c>
      <c r="F18" s="4" t="s">
        <v>670</v>
      </c>
      <c r="G18" s="2">
        <v>46307</v>
      </c>
      <c r="H18" s="4"/>
    </row>
    <row r="19" ht="24.75">
      <c r="A19" s="3"/>
      <c r="B19" s="5" t="s">
        <v>671</v>
      </c>
      <c r="C19" s="2">
        <v>46086</v>
      </c>
      <c r="D19" s="4" t="s">
        <v>672</v>
      </c>
      <c r="E19" s="4" t="s">
        <v>673</v>
      </c>
      <c r="F19" s="4" t="s">
        <v>674</v>
      </c>
      <c r="G19" s="2">
        <v>46307</v>
      </c>
      <c r="H19" s="4"/>
    </row>
    <row r="20" ht="24.75">
      <c r="A20" s="3"/>
      <c r="B20" s="5" t="s">
        <v>675</v>
      </c>
      <c r="C20" s="2">
        <v>46231</v>
      </c>
      <c r="D20" s="4" t="s">
        <v>676</v>
      </c>
      <c r="E20" s="4" t="s">
        <v>677</v>
      </c>
      <c r="F20" s="4" t="s">
        <v>678</v>
      </c>
      <c r="G20" s="2">
        <v>46307</v>
      </c>
      <c r="H20" s="4"/>
    </row>
    <row r="21" ht="24.75">
      <c r="A21" s="3"/>
      <c r="B21" s="5" t="s">
        <v>679</v>
      </c>
      <c r="C21" s="2">
        <v>46240</v>
      </c>
      <c r="D21" s="4" t="s">
        <v>680</v>
      </c>
      <c r="E21" s="4" t="s">
        <v>681</v>
      </c>
      <c r="F21" s="4" t="s">
        <v>682</v>
      </c>
      <c r="G21" s="2">
        <v>46307</v>
      </c>
      <c r="H21" s="4"/>
    </row>
    <row r="22" ht="36">
      <c r="A22" s="3"/>
      <c r="B22" s="5" t="s">
        <v>683</v>
      </c>
      <c r="C22" s="2">
        <v>46287</v>
      </c>
      <c r="D22" s="4" t="s">
        <v>684</v>
      </c>
      <c r="E22" s="4" t="s">
        <v>685</v>
      </c>
      <c r="F22" s="4" t="s">
        <v>686</v>
      </c>
      <c r="G22" s="2">
        <v>46307</v>
      </c>
      <c r="H22" s="4"/>
    </row>
    <row r="23" ht="24.75">
      <c r="A23" s="3"/>
      <c r="B23" s="5" t="s">
        <v>687</v>
      </c>
      <c r="C23" s="2">
        <v>46291</v>
      </c>
      <c r="D23" s="4" t="s">
        <v>688</v>
      </c>
      <c r="E23" s="4" t="s">
        <v>689</v>
      </c>
      <c r="F23" s="4" t="s">
        <v>690</v>
      </c>
      <c r="G23" s="2">
        <v>46307</v>
      </c>
      <c r="H23" s="4"/>
    </row>
    <row r="24" ht="24.75">
      <c r="A24" s="3"/>
      <c r="B24" s="5" t="s">
        <v>691</v>
      </c>
      <c r="C24" s="2">
        <v>46295</v>
      </c>
      <c r="D24" s="4" t="s">
        <v>692</v>
      </c>
      <c r="E24" s="4" t="s">
        <v>693</v>
      </c>
      <c r="F24" s="4" t="s">
        <v>694</v>
      </c>
      <c r="G24" s="2">
        <v>46307</v>
      </c>
      <c r="H24" s="4"/>
    </row>
    <row r="25">
      <c r="A25" s="3"/>
      <c r="B25" s="5" t="s">
        <v>695</v>
      </c>
      <c r="C25" s="2">
        <v>46302</v>
      </c>
      <c r="D25" s="4" t="s">
        <v>696</v>
      </c>
      <c r="E25" s="4" t="s">
        <v>697</v>
      </c>
      <c r="F25" s="4" t="s">
        <v>698</v>
      </c>
      <c r="G25" s="2">
        <v>46307</v>
      </c>
      <c r="H25" s="4"/>
    </row>
    <row r="26" ht="24.75">
      <c r="A26" s="3"/>
      <c r="B26" s="5" t="s">
        <v>699</v>
      </c>
      <c r="C26" s="2">
        <v>46303</v>
      </c>
      <c r="D26" s="4" t="s">
        <v>700</v>
      </c>
      <c r="E26" s="4" t="s">
        <v>701</v>
      </c>
      <c r="F26" s="4" t="s">
        <v>702</v>
      </c>
      <c r="G26" s="2">
        <v>46307</v>
      </c>
      <c r="H26" s="4"/>
    </row>
    <row r="27" ht="24.75">
      <c r="A27" s="3"/>
      <c r="B27" s="5" t="s">
        <v>703</v>
      </c>
      <c r="C27" s="2">
        <v>46306</v>
      </c>
      <c r="D27" s="4" t="s">
        <v>704</v>
      </c>
      <c r="E27" s="4" t="s">
        <v>705</v>
      </c>
      <c r="F27" s="4" t="s">
        <v>706</v>
      </c>
      <c r="G27" s="2">
        <v>46307</v>
      </c>
      <c r="H27" s="4"/>
    </row>
    <row r="28" ht="24.75">
      <c r="A28" s="3"/>
      <c r="B28" s="5" t="s">
        <v>707</v>
      </c>
      <c r="C28" s="2">
        <v>46294</v>
      </c>
      <c r="D28" s="4" t="s">
        <v>708</v>
      </c>
      <c r="E28" s="4" t="s">
        <v>709</v>
      </c>
      <c r="F28" s="4" t="s">
        <v>710</v>
      </c>
      <c r="G28" s="2">
        <v>46307</v>
      </c>
      <c r="H28" s="4"/>
    </row>
    <row r="29" ht="24.75">
      <c r="A29" s="3"/>
      <c r="B29" s="5" t="s">
        <v>711</v>
      </c>
      <c r="C29" s="2">
        <v>46306</v>
      </c>
      <c r="D29" s="4" t="s">
        <v>712</v>
      </c>
      <c r="E29" s="4" t="s">
        <v>713</v>
      </c>
      <c r="F29" s="4" t="s">
        <v>714</v>
      </c>
      <c r="G29" s="2">
        <v>46307</v>
      </c>
      <c r="H29" s="4"/>
    </row>
    <row r="30">
      <c r="A30" s="3"/>
      <c r="B30" s="5" t="s">
        <v>715</v>
      </c>
      <c r="C30" s="2">
        <v>46306</v>
      </c>
      <c r="D30" s="4" t="s">
        <v>712</v>
      </c>
      <c r="E30" s="4" t="s">
        <v>716</v>
      </c>
      <c r="F30" s="4" t="s">
        <v>717</v>
      </c>
      <c r="G30" s="2">
        <v>46307</v>
      </c>
      <c r="H30" s="4"/>
    </row>
    <row r="31" ht="24.75">
      <c r="A31" s="3"/>
      <c r="B31" s="5" t="s">
        <v>718</v>
      </c>
      <c r="C31" s="2">
        <v>46234</v>
      </c>
      <c r="D31" s="4" t="s">
        <v>719</v>
      </c>
      <c r="E31" s="4" t="s">
        <v>720</v>
      </c>
      <c r="F31" s="4" t="s">
        <v>721</v>
      </c>
      <c r="G31" s="2">
        <v>46307</v>
      </c>
      <c r="H31" s="4"/>
    </row>
    <row r="32" ht="36">
      <c r="A32" s="3"/>
      <c r="B32" s="5" t="s">
        <v>722</v>
      </c>
      <c r="C32" s="22"/>
      <c r="D32" s="4" t="s">
        <v>723</v>
      </c>
      <c r="E32" s="4" t="s">
        <v>724</v>
      </c>
      <c r="F32" s="4" t="s">
        <v>725</v>
      </c>
      <c r="G32" s="22"/>
      <c r="H32" s="4"/>
    </row>
    <row r="33" ht="24.75">
      <c r="A33" s="3"/>
      <c r="B33" s="5" t="s">
        <v>722</v>
      </c>
      <c r="C33" s="22"/>
      <c r="D33" s="4" t="s">
        <v>723</v>
      </c>
      <c r="E33" s="4" t="s">
        <v>726</v>
      </c>
      <c r="F33" s="4" t="s">
        <v>727</v>
      </c>
      <c r="G33" s="22"/>
      <c r="H33" s="4"/>
    </row>
    <row r="34">
      <c r="B34" s="123" t="s">
        <v>722</v>
      </c>
      <c r="C34" s="124"/>
      <c r="D34" s="121" t="s">
        <v>723</v>
      </c>
      <c r="E34" s="121" t="s">
        <v>728</v>
      </c>
      <c r="F34" s="121" t="s">
        <v>729</v>
      </c>
      <c r="G34" s="124"/>
      <c r="H34" s="12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K324"/>
  <sheetViews>
    <sheetView showGridLines="0" workbookViewId="0"/>
  </sheetViews>
  <sheetFormatPr defaultColWidth="8.42578125" defaultRowHeight="15"/>
  <cols>
    <col min="1" max="1" width="2" customWidth="1"/>
    <col min="2" max="2" width="55" customWidth="1"/>
    <col min="3" max="4" width="14" customWidth="1"/>
    <col min="5" max="9" width="12" customWidth="1"/>
    <col min="10" max="11" width="14" customWidth="1"/>
  </cols>
  <sheetData>
    <row r="1">
      <c r="A1" s="3"/>
      <c r="B1" s="37" t="s">
        <v>0</v>
      </c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56" t="s">
        <v>730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2" t="s">
        <v>2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24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24"/>
      <c r="J4" s="24"/>
      <c r="K4" s="24"/>
    </row>
    <row r="5">
      <c r="A5" s="3"/>
      <c r="B5" s="13" t="s">
        <v>10</v>
      </c>
      <c r="C5" s="34">
        <v>45930</v>
      </c>
      <c r="D5" s="34">
        <v>46022</v>
      </c>
      <c r="E5" s="34">
        <v>46022</v>
      </c>
      <c r="F5" s="34">
        <v>46112</v>
      </c>
      <c r="G5" s="34">
        <v>46203</v>
      </c>
      <c r="H5" s="34">
        <v>46295</v>
      </c>
      <c r="I5" s="13"/>
      <c r="J5" s="13"/>
      <c r="K5" s="13"/>
    </row>
    <row r="6">
      <c r="A6" s="3"/>
      <c r="B6" s="23" t="s">
        <v>11</v>
      </c>
      <c r="C6" s="1">
        <v>92</v>
      </c>
      <c r="D6" s="1">
        <v>92</v>
      </c>
      <c r="E6" s="1">
        <v>365</v>
      </c>
      <c r="F6" s="1">
        <v>90</v>
      </c>
      <c r="G6" s="1">
        <v>91</v>
      </c>
      <c r="H6" s="1">
        <v>92</v>
      </c>
      <c r="I6" s="23"/>
      <c r="J6" s="23"/>
      <c r="K6" s="23"/>
    </row>
    <row r="7">
      <c r="A7" s="3"/>
      <c r="B7" s="115" t="s">
        <v>586</v>
      </c>
      <c r="C7" s="3"/>
      <c r="D7" s="3"/>
      <c r="E7" s="3"/>
      <c r="F7" s="3"/>
      <c r="G7" s="3"/>
      <c r="H7" s="3"/>
      <c r="I7" s="3"/>
      <c r="J7" s="3"/>
      <c r="K7" s="3"/>
    </row>
    <row r="8">
      <c r="A8" s="3"/>
      <c r="B8" s="56" t="s">
        <v>731</v>
      </c>
      <c r="C8" s="101"/>
      <c r="D8" s="101"/>
      <c r="E8" s="101"/>
      <c r="F8" s="101"/>
      <c r="G8" s="101"/>
      <c r="H8" s="101"/>
      <c r="I8" s="101"/>
      <c r="J8" s="101"/>
      <c r="K8" s="101"/>
    </row>
    <row r="9">
      <c r="A9" s="3"/>
      <c r="B9" s="56" t="s">
        <v>732</v>
      </c>
      <c r="C9" s="102" t="s">
        <v>733</v>
      </c>
      <c r="D9" s="102" t="s">
        <v>734</v>
      </c>
      <c r="E9" s="102"/>
      <c r="F9" s="102"/>
      <c r="G9" s="102"/>
      <c r="H9" s="102"/>
      <c r="I9" s="102"/>
      <c r="J9" s="102"/>
      <c r="K9" s="102"/>
    </row>
    <row r="10">
      <c r="A10" s="3"/>
      <c r="B10" s="38" t="s">
        <v>735</v>
      </c>
      <c r="C10" s="101" t="s">
        <v>18</v>
      </c>
      <c r="D10" s="101"/>
      <c r="E10" s="101"/>
      <c r="F10" s="101"/>
      <c r="G10" s="101"/>
      <c r="H10" s="101"/>
      <c r="I10" s="101"/>
      <c r="J10" s="101"/>
      <c r="K10" s="101"/>
    </row>
    <row r="11">
      <c r="A11" s="3"/>
      <c r="B11" s="38" t="s">
        <v>736</v>
      </c>
      <c r="C11" s="101" t="s">
        <v>16</v>
      </c>
      <c r="D11" s="101"/>
      <c r="E11" s="101"/>
      <c r="F11" s="101"/>
      <c r="G11" s="101"/>
      <c r="H11" s="101"/>
      <c r="I11" s="101"/>
      <c r="J11" s="101"/>
      <c r="K11" s="101"/>
    </row>
    <row r="12">
      <c r="A12" s="3"/>
      <c r="B12" s="38" t="s">
        <v>737</v>
      </c>
      <c r="C12" s="101" t="s">
        <v>738</v>
      </c>
      <c r="D12" s="101"/>
      <c r="E12" s="101"/>
      <c r="F12" s="101"/>
      <c r="G12" s="101"/>
      <c r="H12" s="101"/>
      <c r="I12" s="101"/>
      <c r="J12" s="101"/>
      <c r="K12" s="101"/>
    </row>
    <row r="13">
      <c r="A13" s="3"/>
      <c r="B13" s="38" t="s">
        <v>739</v>
      </c>
      <c r="C13" s="109">
        <v>272721</v>
      </c>
      <c r="D13" s="101"/>
      <c r="E13" s="101"/>
      <c r="F13" s="101"/>
      <c r="G13" s="101"/>
      <c r="H13" s="101"/>
      <c r="I13" s="101"/>
      <c r="J13" s="101"/>
      <c r="K13" s="101"/>
    </row>
    <row r="14">
      <c r="A14" s="3"/>
      <c r="B14" s="38" t="s">
        <v>740</v>
      </c>
      <c r="C14" s="101" t="s">
        <v>741</v>
      </c>
      <c r="D14" s="101" t="s">
        <v>742</v>
      </c>
      <c r="E14" s="101"/>
      <c r="F14" s="101"/>
      <c r="G14" s="101"/>
      <c r="H14" s="101"/>
      <c r="I14" s="101"/>
      <c r="J14" s="101"/>
      <c r="K14" s="101"/>
    </row>
    <row r="15">
      <c r="A15" s="3"/>
      <c r="B15" s="38" t="s">
        <v>743</v>
      </c>
      <c r="C15" s="18"/>
      <c r="D15" s="101" t="s">
        <v>744</v>
      </c>
      <c r="E15" s="101"/>
      <c r="F15" s="101"/>
      <c r="G15" s="101"/>
      <c r="H15" s="101"/>
      <c r="I15" s="101"/>
      <c r="J15" s="101"/>
      <c r="K15" s="101"/>
    </row>
    <row r="16">
      <c r="A16" s="3"/>
      <c r="B16" s="38" t="s">
        <v>745</v>
      </c>
      <c r="C16" s="101" t="s">
        <v>746</v>
      </c>
      <c r="D16" s="101"/>
      <c r="E16" s="101"/>
      <c r="F16" s="101"/>
      <c r="G16" s="101"/>
      <c r="H16" s="101"/>
      <c r="I16" s="101"/>
      <c r="J16" s="101"/>
      <c r="K16" s="101"/>
    </row>
    <row r="17">
      <c r="A17" s="3"/>
      <c r="B17" s="38" t="s">
        <v>747</v>
      </c>
      <c r="C17" s="106">
        <v>46295</v>
      </c>
      <c r="D17" s="101" t="s">
        <v>748</v>
      </c>
      <c r="E17" s="101"/>
      <c r="F17" s="101"/>
      <c r="G17" s="101"/>
      <c r="H17" s="101"/>
      <c r="I17" s="101"/>
      <c r="J17" s="101"/>
      <c r="K17" s="101"/>
    </row>
    <row r="18">
      <c r="A18" s="3"/>
      <c r="B18" s="38" t="s">
        <v>749</v>
      </c>
      <c r="C18" s="106">
        <v>46309</v>
      </c>
      <c r="D18" s="101" t="s">
        <v>750</v>
      </c>
      <c r="E18" s="101"/>
      <c r="F18" s="101"/>
      <c r="G18" s="101"/>
      <c r="H18" s="101"/>
      <c r="I18" s="101"/>
      <c r="J18" s="101"/>
      <c r="K18" s="101"/>
    </row>
    <row r="19">
      <c r="A19" s="3"/>
      <c r="B19" s="38" t="s">
        <v>751</v>
      </c>
      <c r="C19" s="101" t="s">
        <v>752</v>
      </c>
      <c r="D19" s="101"/>
      <c r="E19" s="101"/>
      <c r="F19" s="101"/>
      <c r="G19" s="101"/>
      <c r="H19" s="101"/>
      <c r="I19" s="101"/>
      <c r="J19" s="101"/>
      <c r="K19" s="101"/>
    </row>
    <row r="20">
      <c r="A20" s="3"/>
      <c r="B20" s="38" t="s">
        <v>753</v>
      </c>
      <c r="C20" s="77">
        <v>21</v>
      </c>
      <c r="D20" s="101"/>
      <c r="E20" s="101"/>
      <c r="F20" s="101"/>
      <c r="G20" s="101"/>
      <c r="H20" s="101"/>
      <c r="I20" s="101"/>
      <c r="J20" s="101"/>
      <c r="K20" s="101"/>
    </row>
    <row r="21">
      <c r="A21" s="3"/>
      <c r="B21" s="38" t="s">
        <v>754</v>
      </c>
      <c r="C21" s="145">
        <v>0.52</v>
      </c>
      <c r="D21" s="101" t="s">
        <v>755</v>
      </c>
      <c r="E21" s="101"/>
      <c r="F21" s="101"/>
      <c r="G21" s="101"/>
      <c r="H21" s="101"/>
      <c r="I21" s="101"/>
      <c r="J21" s="101"/>
      <c r="K21" s="101"/>
    </row>
    <row r="22">
      <c r="A22" s="3"/>
      <c r="B22" s="38" t="s">
        <v>756</v>
      </c>
      <c r="C22" s="145">
        <v>0.52</v>
      </c>
      <c r="D22" s="101"/>
      <c r="E22" s="101"/>
      <c r="F22" s="101"/>
      <c r="G22" s="101"/>
      <c r="H22" s="101"/>
      <c r="I22" s="101"/>
      <c r="J22" s="101"/>
      <c r="K22" s="101"/>
    </row>
    <row r="23">
      <c r="A23" s="3"/>
      <c r="B23" s="38" t="s">
        <v>757</v>
      </c>
      <c r="C23" s="145">
        <v>0.55</v>
      </c>
      <c r="D23" s="101"/>
      <c r="E23" s="101"/>
      <c r="F23" s="101"/>
      <c r="G23" s="101"/>
      <c r="H23" s="101"/>
      <c r="I23" s="101"/>
      <c r="J23" s="101"/>
      <c r="K23" s="101"/>
    </row>
    <row r="24">
      <c r="A24" s="3"/>
      <c r="B24" s="38" t="s">
        <v>758</v>
      </c>
      <c r="C24" s="145">
        <v>0.5</v>
      </c>
      <c r="D24" s="101"/>
      <c r="E24" s="101"/>
      <c r="F24" s="101"/>
      <c r="G24" s="101"/>
      <c r="H24" s="101"/>
      <c r="I24" s="101"/>
      <c r="J24" s="101"/>
      <c r="K24" s="101"/>
    </row>
    <row r="25">
      <c r="A25" s="3"/>
      <c r="B25" s="38" t="s">
        <v>759</v>
      </c>
      <c r="C25" s="145">
        <v>0.01</v>
      </c>
      <c r="D25" s="101"/>
      <c r="E25" s="101"/>
      <c r="F25" s="101"/>
      <c r="G25" s="101"/>
      <c r="H25" s="101"/>
      <c r="I25" s="101"/>
      <c r="J25" s="101"/>
      <c r="K25" s="101"/>
    </row>
    <row r="26">
      <c r="A26" s="3"/>
      <c r="B26" s="38" t="s">
        <v>760</v>
      </c>
      <c r="C26" s="77">
        <v>18</v>
      </c>
      <c r="D26" s="101" t="s">
        <v>761</v>
      </c>
      <c r="E26" s="101"/>
      <c r="F26" s="101"/>
      <c r="G26" s="101"/>
      <c r="H26" s="101"/>
      <c r="I26" s="101"/>
      <c r="J26" s="101"/>
      <c r="K26" s="101"/>
    </row>
    <row r="27">
      <c r="A27" s="3"/>
      <c r="B27" s="38" t="s">
        <v>762</v>
      </c>
      <c r="C27" s="142"/>
      <c r="D27" s="101" t="s">
        <v>763</v>
      </c>
      <c r="E27" s="101"/>
      <c r="F27" s="101"/>
      <c r="G27" s="101"/>
      <c r="H27" s="101"/>
      <c r="I27" s="101"/>
      <c r="J27" s="101"/>
      <c r="K27" s="101"/>
    </row>
    <row r="28">
      <c r="A28" s="3"/>
      <c r="B28" s="38" t="s">
        <v>764</v>
      </c>
      <c r="C28" s="142"/>
      <c r="D28" s="101" t="s">
        <v>763</v>
      </c>
      <c r="E28" s="101"/>
      <c r="F28" s="101"/>
      <c r="G28" s="101"/>
      <c r="H28" s="101"/>
      <c r="I28" s="101"/>
      <c r="J28" s="101"/>
      <c r="K28" s="101"/>
    </row>
    <row r="29">
      <c r="A29" s="3"/>
      <c r="B29" s="38" t="s">
        <v>765</v>
      </c>
      <c r="C29" s="142"/>
      <c r="D29" s="101" t="s">
        <v>763</v>
      </c>
      <c r="E29" s="101"/>
      <c r="F29" s="101"/>
      <c r="G29" s="101"/>
      <c r="H29" s="101"/>
      <c r="I29" s="101"/>
      <c r="J29" s="101"/>
      <c r="K29" s="101"/>
    </row>
    <row r="30">
      <c r="A30" s="3"/>
      <c r="B30" s="38" t="s">
        <v>766</v>
      </c>
      <c r="C30" s="145">
        <v>0.52</v>
      </c>
      <c r="D30" s="101" t="s">
        <v>767</v>
      </c>
      <c r="E30" s="101"/>
      <c r="F30" s="101"/>
      <c r="G30" s="101"/>
      <c r="H30" s="101"/>
      <c r="I30" s="101"/>
      <c r="J30" s="101"/>
      <c r="K30" s="101"/>
    </row>
    <row r="31">
      <c r="A31" s="3"/>
      <c r="B31" s="38" t="s">
        <v>768</v>
      </c>
      <c r="C31" s="145">
        <v>0.52</v>
      </c>
      <c r="D31" s="101"/>
      <c r="E31" s="101"/>
      <c r="F31" s="101"/>
      <c r="G31" s="101"/>
      <c r="H31" s="101"/>
      <c r="I31" s="101"/>
      <c r="J31" s="101"/>
      <c r="K31" s="101"/>
    </row>
    <row r="32">
      <c r="A32" s="3"/>
      <c r="B32" s="38" t="s">
        <v>769</v>
      </c>
      <c r="C32" s="145">
        <v>0.55</v>
      </c>
      <c r="D32" s="101"/>
      <c r="E32" s="101"/>
      <c r="F32" s="101"/>
      <c r="G32" s="101"/>
      <c r="H32" s="101"/>
      <c r="I32" s="101"/>
      <c r="J32" s="101"/>
      <c r="K32" s="101"/>
    </row>
    <row r="33">
      <c r="A33" s="3"/>
      <c r="B33" s="38" t="s">
        <v>770</v>
      </c>
      <c r="C33" s="145">
        <v>0.5</v>
      </c>
      <c r="D33" s="101"/>
      <c r="E33" s="101"/>
      <c r="F33" s="101"/>
      <c r="G33" s="101"/>
      <c r="H33" s="101"/>
      <c r="I33" s="101"/>
      <c r="J33" s="101"/>
      <c r="K33" s="101"/>
    </row>
    <row r="34">
      <c r="A34" s="3"/>
      <c r="B34" s="38" t="s">
        <v>771</v>
      </c>
      <c r="C34" s="145">
        <v>0.01</v>
      </c>
      <c r="D34" s="101"/>
      <c r="E34" s="101"/>
      <c r="F34" s="101"/>
      <c r="G34" s="101"/>
      <c r="H34" s="101"/>
      <c r="I34" s="101"/>
      <c r="J34" s="101"/>
      <c r="K34" s="101"/>
    </row>
    <row r="35">
      <c r="A35" s="3"/>
      <c r="B35" s="38" t="s">
        <v>772</v>
      </c>
      <c r="C35" s="77">
        <v>18</v>
      </c>
      <c r="D35" s="101"/>
      <c r="E35" s="101"/>
      <c r="F35" s="101"/>
      <c r="G35" s="101"/>
      <c r="H35" s="101"/>
      <c r="I35" s="101"/>
      <c r="J35" s="101"/>
      <c r="K35" s="101"/>
    </row>
    <row r="36">
      <c r="A36" s="3"/>
      <c r="B36" s="38" t="s">
        <v>773</v>
      </c>
      <c r="C36" s="142"/>
      <c r="D36" s="101" t="s">
        <v>763</v>
      </c>
      <c r="E36" s="101"/>
      <c r="F36" s="101"/>
      <c r="G36" s="101"/>
      <c r="H36" s="101"/>
      <c r="I36" s="101"/>
      <c r="J36" s="101"/>
      <c r="K36" s="101"/>
    </row>
    <row r="37">
      <c r="A37" s="3"/>
      <c r="B37" s="38" t="s">
        <v>774</v>
      </c>
      <c r="C37" s="62">
        <v>889.99</v>
      </c>
      <c r="D37" s="101" t="s">
        <v>775</v>
      </c>
      <c r="E37" s="101"/>
      <c r="F37" s="101"/>
      <c r="G37" s="101"/>
      <c r="H37" s="101"/>
      <c r="I37" s="101"/>
      <c r="J37" s="101"/>
      <c r="K37" s="101"/>
    </row>
    <row r="38">
      <c r="A38" s="3"/>
      <c r="B38" s="38" t="s">
        <v>776</v>
      </c>
      <c r="C38" s="62">
        <v>891</v>
      </c>
      <c r="D38" s="101"/>
      <c r="E38" s="101"/>
      <c r="F38" s="101"/>
      <c r="G38" s="101"/>
      <c r="H38" s="101"/>
      <c r="I38" s="101"/>
      <c r="J38" s="101"/>
      <c r="K38" s="101"/>
    </row>
    <row r="39">
      <c r="A39" s="3"/>
      <c r="B39" s="38" t="s">
        <v>777</v>
      </c>
      <c r="C39" s="62">
        <v>899</v>
      </c>
      <c r="D39" s="101"/>
      <c r="E39" s="101"/>
      <c r="F39" s="101"/>
      <c r="G39" s="101"/>
      <c r="H39" s="101"/>
      <c r="I39" s="101"/>
      <c r="J39" s="101"/>
      <c r="K39" s="101"/>
    </row>
    <row r="40">
      <c r="A40" s="3"/>
      <c r="B40" s="38" t="s">
        <v>778</v>
      </c>
      <c r="C40" s="62">
        <v>873</v>
      </c>
      <c r="D40" s="101"/>
      <c r="E40" s="101"/>
      <c r="F40" s="101"/>
      <c r="G40" s="101"/>
      <c r="H40" s="101"/>
      <c r="I40" s="101"/>
      <c r="J40" s="101"/>
      <c r="K40" s="101"/>
    </row>
    <row r="41">
      <c r="A41" s="3"/>
      <c r="B41" s="38" t="s">
        <v>779</v>
      </c>
      <c r="C41" s="62">
        <v>6.27</v>
      </c>
      <c r="D41" s="101"/>
      <c r="E41" s="101"/>
      <c r="F41" s="101"/>
      <c r="G41" s="101"/>
      <c r="H41" s="101"/>
      <c r="I41" s="101"/>
      <c r="J41" s="101"/>
      <c r="K41" s="101"/>
    </row>
    <row r="42">
      <c r="A42" s="3"/>
      <c r="B42" s="38" t="s">
        <v>780</v>
      </c>
      <c r="C42" s="62">
        <v>13</v>
      </c>
      <c r="D42" s="101"/>
      <c r="E42" s="101"/>
      <c r="F42" s="101"/>
      <c r="G42" s="101"/>
      <c r="H42" s="101"/>
      <c r="I42" s="101"/>
      <c r="J42" s="101"/>
      <c r="K42" s="101"/>
    </row>
    <row r="43">
      <c r="A43" s="3"/>
      <c r="B43" s="38" t="s">
        <v>781</v>
      </c>
      <c r="C43" s="18"/>
      <c r="D43" s="101" t="s">
        <v>763</v>
      </c>
      <c r="E43" s="101"/>
      <c r="F43" s="101"/>
      <c r="G43" s="101"/>
      <c r="H43" s="101"/>
      <c r="I43" s="101"/>
      <c r="J43" s="101"/>
      <c r="K43" s="101"/>
    </row>
    <row r="44">
      <c r="A44" s="3"/>
      <c r="B44" s="38" t="s">
        <v>782</v>
      </c>
      <c r="C44" s="18"/>
      <c r="D44" s="101" t="s">
        <v>763</v>
      </c>
      <c r="E44" s="101"/>
      <c r="F44" s="101"/>
      <c r="G44" s="101"/>
      <c r="H44" s="101"/>
      <c r="I44" s="101"/>
      <c r="J44" s="101"/>
      <c r="K44" s="101"/>
    </row>
    <row r="45">
      <c r="A45" s="3"/>
      <c r="B45" s="38" t="s">
        <v>783</v>
      </c>
      <c r="C45" s="18"/>
      <c r="D45" s="101" t="s">
        <v>763</v>
      </c>
      <c r="E45" s="101"/>
      <c r="F45" s="101"/>
      <c r="G45" s="101"/>
      <c r="H45" s="101"/>
      <c r="I45" s="101"/>
      <c r="J45" s="101"/>
      <c r="K45" s="101"/>
    </row>
    <row r="46">
      <c r="A46" s="3"/>
      <c r="B46" s="38" t="s">
        <v>784</v>
      </c>
      <c r="C46" s="18"/>
      <c r="D46" s="101" t="s">
        <v>763</v>
      </c>
      <c r="E46" s="101"/>
      <c r="F46" s="101"/>
      <c r="G46" s="101"/>
      <c r="H46" s="101"/>
      <c r="I46" s="101"/>
      <c r="J46" s="101"/>
      <c r="K46" s="101"/>
    </row>
    <row r="47">
      <c r="A47" s="3"/>
      <c r="B47" s="38" t="s">
        <v>785</v>
      </c>
      <c r="C47" s="62">
        <v>370.24</v>
      </c>
      <c r="D47" s="101"/>
      <c r="E47" s="101"/>
      <c r="F47" s="101"/>
      <c r="G47" s="101"/>
      <c r="H47" s="101"/>
      <c r="I47" s="101"/>
      <c r="J47" s="101"/>
      <c r="K47" s="101"/>
    </row>
    <row r="48">
      <c r="A48" s="3"/>
      <c r="B48" s="38" t="s">
        <v>786</v>
      </c>
      <c r="C48" s="62">
        <v>334.67</v>
      </c>
      <c r="D48" s="101"/>
      <c r="E48" s="101"/>
      <c r="F48" s="101"/>
      <c r="G48" s="101"/>
      <c r="H48" s="101"/>
      <c r="I48" s="101"/>
      <c r="J48" s="101"/>
      <c r="K48" s="101"/>
    </row>
    <row r="49">
      <c r="A49" s="3"/>
      <c r="B49" s="38" t="s">
        <v>787</v>
      </c>
      <c r="C49" s="62">
        <v>338.03</v>
      </c>
      <c r="D49" s="101"/>
      <c r="E49" s="101"/>
      <c r="F49" s="101"/>
      <c r="G49" s="101"/>
      <c r="H49" s="101"/>
      <c r="I49" s="101"/>
      <c r="J49" s="101"/>
      <c r="K49" s="101"/>
    </row>
    <row r="50">
      <c r="A50" s="3"/>
      <c r="B50" s="38" t="s">
        <v>788</v>
      </c>
      <c r="C50" s="62">
        <v>247.89</v>
      </c>
      <c r="D50" s="101" t="s">
        <v>789</v>
      </c>
      <c r="E50" s="101"/>
      <c r="F50" s="101"/>
      <c r="G50" s="101"/>
      <c r="H50" s="101"/>
      <c r="I50" s="101"/>
      <c r="J50" s="101"/>
      <c r="K50" s="101"/>
    </row>
    <row r="51">
      <c r="A51" s="3"/>
      <c r="B51" s="38" t="s">
        <v>790</v>
      </c>
      <c r="C51" s="62">
        <v>246.48</v>
      </c>
      <c r="D51" s="101" t="s">
        <v>791</v>
      </c>
      <c r="E51" s="101"/>
      <c r="F51" s="101"/>
      <c r="G51" s="101"/>
      <c r="H51" s="101"/>
      <c r="I51" s="101"/>
      <c r="J51" s="101"/>
      <c r="K51" s="101"/>
    </row>
    <row r="52">
      <c r="A52" s="3"/>
      <c r="B52" s="38" t="s">
        <v>792</v>
      </c>
      <c r="C52" s="108">
        <v>3.47</v>
      </c>
      <c r="D52" s="101"/>
      <c r="E52" s="101"/>
      <c r="F52" s="101"/>
      <c r="G52" s="101"/>
      <c r="H52" s="101"/>
      <c r="I52" s="101"/>
      <c r="J52" s="101"/>
      <c r="K52" s="101"/>
    </row>
    <row r="53">
      <c r="A53" s="3"/>
      <c r="B53" s="38" t="s">
        <v>793</v>
      </c>
      <c r="C53" s="108">
        <v>22.24</v>
      </c>
      <c r="D53" s="101"/>
      <c r="E53" s="101"/>
      <c r="F53" s="101"/>
      <c r="G53" s="101"/>
      <c r="H53" s="101"/>
      <c r="I53" s="101"/>
      <c r="J53" s="101"/>
      <c r="K53" s="101"/>
    </row>
    <row r="54">
      <c r="A54" s="3"/>
      <c r="B54" s="38" t="s">
        <v>794</v>
      </c>
      <c r="C54" s="18"/>
      <c r="D54" s="101" t="s">
        <v>763</v>
      </c>
      <c r="E54" s="101"/>
      <c r="F54" s="101"/>
      <c r="G54" s="101"/>
      <c r="H54" s="101"/>
      <c r="I54" s="101"/>
      <c r="J54" s="101"/>
      <c r="K54" s="101"/>
    </row>
    <row r="55">
      <c r="A55" s="3"/>
      <c r="B55" s="38" t="s">
        <v>795</v>
      </c>
      <c r="C55" s="18"/>
      <c r="D55" s="101" t="s">
        <v>763</v>
      </c>
      <c r="E55" s="101"/>
      <c r="F55" s="101"/>
      <c r="G55" s="101"/>
      <c r="H55" s="101"/>
      <c r="I55" s="101"/>
      <c r="J55" s="101"/>
      <c r="K55" s="101"/>
    </row>
    <row r="56">
      <c r="A56" s="3"/>
      <c r="B56" s="38" t="s">
        <v>796</v>
      </c>
      <c r="C56" s="18"/>
      <c r="D56" s="101" t="s">
        <v>763</v>
      </c>
      <c r="E56" s="101"/>
      <c r="F56" s="101"/>
      <c r="G56" s="101"/>
      <c r="H56" s="101"/>
      <c r="I56" s="101"/>
      <c r="J56" s="101"/>
      <c r="K56" s="101"/>
    </row>
    <row r="57">
      <c r="A57" s="3"/>
      <c r="B57" s="38" t="s">
        <v>797</v>
      </c>
      <c r="C57" s="18"/>
      <c r="D57" s="101" t="s">
        <v>763</v>
      </c>
      <c r="E57" s="101"/>
      <c r="F57" s="101"/>
      <c r="G57" s="101"/>
      <c r="H57" s="101"/>
      <c r="I57" s="101"/>
      <c r="J57" s="101"/>
      <c r="K57" s="101"/>
    </row>
    <row r="58">
      <c r="A58" s="3"/>
      <c r="B58" s="38" t="s">
        <v>798</v>
      </c>
      <c r="C58" s="18"/>
      <c r="D58" s="101" t="s">
        <v>763</v>
      </c>
      <c r="E58" s="101"/>
      <c r="F58" s="101"/>
      <c r="G58" s="101"/>
      <c r="H58" s="101"/>
      <c r="I58" s="101"/>
      <c r="J58" s="101"/>
      <c r="K58" s="101"/>
    </row>
    <row r="59">
      <c r="A59" s="3"/>
      <c r="B59" s="38" t="s">
        <v>799</v>
      </c>
      <c r="C59" s="18"/>
      <c r="D59" s="101" t="s">
        <v>763</v>
      </c>
      <c r="E59" s="101"/>
      <c r="F59" s="101"/>
      <c r="G59" s="101"/>
      <c r="H59" s="101"/>
      <c r="I59" s="101"/>
      <c r="J59" s="101"/>
      <c r="K59" s="101"/>
    </row>
    <row r="60">
      <c r="A60" s="3"/>
      <c r="B60" s="38" t="s">
        <v>800</v>
      </c>
      <c r="C60" s="142"/>
      <c r="D60" s="101" t="s">
        <v>763</v>
      </c>
      <c r="E60" s="101"/>
      <c r="F60" s="101"/>
      <c r="G60" s="101"/>
      <c r="H60" s="101"/>
      <c r="I60" s="101"/>
      <c r="J60" s="101"/>
      <c r="K60" s="101"/>
    </row>
    <row r="61">
      <c r="A61" s="3"/>
      <c r="B61" s="38" t="s">
        <v>801</v>
      </c>
      <c r="C61" s="142"/>
      <c r="D61" s="101" t="s">
        <v>763</v>
      </c>
      <c r="E61" s="101"/>
      <c r="F61" s="101"/>
      <c r="G61" s="101"/>
      <c r="H61" s="101"/>
      <c r="I61" s="101"/>
      <c r="J61" s="101"/>
      <c r="K61" s="101"/>
    </row>
    <row r="62">
      <c r="A62" s="3"/>
      <c r="B62" s="38" t="s">
        <v>802</v>
      </c>
      <c r="C62" s="142"/>
      <c r="D62" s="101" t="s">
        <v>763</v>
      </c>
      <c r="E62" s="101"/>
      <c r="F62" s="101"/>
      <c r="G62" s="101"/>
      <c r="H62" s="101"/>
      <c r="I62" s="101"/>
      <c r="J62" s="101"/>
      <c r="K62" s="101"/>
    </row>
    <row r="63">
      <c r="A63" s="3"/>
      <c r="B63" s="38" t="s">
        <v>803</v>
      </c>
      <c r="C63" s="62">
        <v>7103.25</v>
      </c>
      <c r="D63" s="101"/>
      <c r="E63" s="101"/>
      <c r="F63" s="101"/>
      <c r="G63" s="101"/>
      <c r="H63" s="101"/>
      <c r="I63" s="101"/>
      <c r="J63" s="101"/>
      <c r="K63" s="101"/>
    </row>
    <row r="64">
      <c r="A64" s="3"/>
      <c r="B64" s="38" t="s">
        <v>804</v>
      </c>
      <c r="C64" s="142"/>
      <c r="D64" s="101" t="s">
        <v>763</v>
      </c>
      <c r="E64" s="101"/>
      <c r="F64" s="101"/>
      <c r="G64" s="101"/>
      <c r="H64" s="101"/>
      <c r="I64" s="101"/>
      <c r="J64" s="101"/>
      <c r="K64" s="101"/>
    </row>
    <row r="65">
      <c r="A65" s="3"/>
      <c r="B65" s="38" t="s">
        <v>805</v>
      </c>
      <c r="C65" s="108">
        <v>11.53</v>
      </c>
      <c r="D65" s="101"/>
      <c r="E65" s="101"/>
      <c r="F65" s="101"/>
      <c r="G65" s="101"/>
      <c r="H65" s="101"/>
      <c r="I65" s="101"/>
      <c r="J65" s="101"/>
      <c r="K65" s="101"/>
    </row>
    <row r="66">
      <c r="A66" s="3"/>
      <c r="B66" s="38" t="s">
        <v>806</v>
      </c>
      <c r="C66" s="145">
        <v>27.17</v>
      </c>
      <c r="D66" s="101"/>
      <c r="E66" s="101"/>
      <c r="F66" s="101"/>
      <c r="G66" s="101"/>
      <c r="H66" s="101"/>
      <c r="I66" s="101"/>
      <c r="J66" s="101"/>
      <c r="K66" s="101"/>
    </row>
    <row r="67">
      <c r="A67" s="3"/>
      <c r="B67" s="38" t="s">
        <v>807</v>
      </c>
      <c r="C67" s="145">
        <v>27</v>
      </c>
      <c r="D67" s="101"/>
      <c r="E67" s="101"/>
      <c r="F67" s="101"/>
      <c r="G67" s="101"/>
      <c r="H67" s="101"/>
      <c r="I67" s="101"/>
      <c r="J67" s="101"/>
      <c r="K67" s="101"/>
    </row>
    <row r="68">
      <c r="A68" s="3"/>
      <c r="B68" s="38" t="s">
        <v>808</v>
      </c>
      <c r="C68" s="145">
        <v>30</v>
      </c>
      <c r="D68" s="101"/>
      <c r="E68" s="101"/>
      <c r="F68" s="101"/>
      <c r="G68" s="101"/>
      <c r="H68" s="101"/>
      <c r="I68" s="101"/>
      <c r="J68" s="101"/>
      <c r="K68" s="101"/>
    </row>
    <row r="69">
      <c r="A69" s="3"/>
      <c r="B69" s="38" t="s">
        <v>809</v>
      </c>
      <c r="C69" s="145">
        <v>25</v>
      </c>
      <c r="D69" s="101"/>
      <c r="E69" s="101"/>
      <c r="F69" s="101"/>
      <c r="G69" s="101"/>
      <c r="H69" s="101"/>
      <c r="I69" s="101"/>
      <c r="J69" s="101"/>
      <c r="K69" s="101"/>
    </row>
    <row r="70">
      <c r="A70" s="3"/>
      <c r="B70" s="38" t="s">
        <v>810</v>
      </c>
      <c r="C70" s="145">
        <v>1.75</v>
      </c>
      <c r="D70" s="101"/>
      <c r="E70" s="101"/>
      <c r="F70" s="101"/>
      <c r="G70" s="101"/>
      <c r="H70" s="101"/>
      <c r="I70" s="101"/>
      <c r="J70" s="101"/>
      <c r="K70" s="101"/>
    </row>
    <row r="71">
      <c r="A71" s="3"/>
      <c r="B71" s="38" t="s">
        <v>811</v>
      </c>
      <c r="C71" s="77">
        <v>21</v>
      </c>
      <c r="D71" s="101"/>
      <c r="E71" s="101"/>
      <c r="F71" s="101"/>
      <c r="G71" s="101"/>
      <c r="H71" s="101"/>
      <c r="I71" s="101"/>
      <c r="J71" s="101"/>
      <c r="K71" s="101"/>
    </row>
    <row r="72">
      <c r="A72" s="3"/>
      <c r="B72" s="38" t="s">
        <v>812</v>
      </c>
      <c r="C72" s="101" t="s">
        <v>813</v>
      </c>
      <c r="D72" s="101"/>
      <c r="E72" s="101"/>
      <c r="F72" s="101"/>
      <c r="G72" s="101"/>
      <c r="H72" s="101"/>
      <c r="I72" s="101"/>
      <c r="J72" s="101"/>
      <c r="K72" s="101"/>
    </row>
    <row r="73">
      <c r="A73" s="3"/>
      <c r="B73" s="38" t="s">
        <v>814</v>
      </c>
      <c r="C73" s="108">
        <v>2.38</v>
      </c>
      <c r="D73" s="101"/>
      <c r="E73" s="101"/>
      <c r="F73" s="101"/>
      <c r="G73" s="101"/>
      <c r="H73" s="101"/>
      <c r="I73" s="101"/>
      <c r="J73" s="101"/>
      <c r="K73" s="101"/>
    </row>
    <row r="74">
      <c r="A74" s="3"/>
      <c r="B74" s="38" t="s">
        <v>815</v>
      </c>
      <c r="C74" s="145">
        <v>23.08</v>
      </c>
      <c r="D74" s="101" t="s">
        <v>816</v>
      </c>
      <c r="E74" s="101"/>
      <c r="F74" s="101"/>
      <c r="G74" s="101"/>
      <c r="H74" s="101"/>
      <c r="I74" s="101"/>
      <c r="J74" s="101"/>
      <c r="K74" s="101"/>
    </row>
    <row r="75">
      <c r="A75" s="3"/>
      <c r="B75" s="38" t="s">
        <v>817</v>
      </c>
      <c r="C75" s="101" t="s">
        <v>818</v>
      </c>
      <c r="D75" s="101"/>
      <c r="E75" s="101"/>
      <c r="F75" s="101"/>
      <c r="G75" s="101"/>
      <c r="H75" s="101"/>
      <c r="I75" s="101"/>
      <c r="J75" s="101"/>
      <c r="K75" s="101"/>
    </row>
    <row r="76">
      <c r="A76" s="3"/>
      <c r="B76" s="38" t="s">
        <v>819</v>
      </c>
      <c r="C76" s="101" t="s">
        <v>24</v>
      </c>
      <c r="D76" s="101"/>
      <c r="E76" s="101"/>
      <c r="F76" s="101"/>
      <c r="G76" s="101"/>
      <c r="H76" s="101"/>
      <c r="I76" s="101"/>
      <c r="J76" s="101"/>
      <c r="K76" s="101"/>
    </row>
    <row r="77">
      <c r="A77" s="3"/>
      <c r="B77" s="38" t="s">
        <v>820</v>
      </c>
      <c r="C77" s="101" t="s">
        <v>821</v>
      </c>
      <c r="D77" s="101"/>
      <c r="E77" s="101"/>
      <c r="F77" s="101"/>
      <c r="G77" s="101"/>
      <c r="H77" s="101"/>
      <c r="I77" s="101"/>
      <c r="J77" s="101"/>
      <c r="K77" s="101"/>
    </row>
    <row r="78">
      <c r="A78" s="3"/>
      <c r="B78" s="38" t="s">
        <v>822</v>
      </c>
      <c r="C78" s="106">
        <v>46306</v>
      </c>
      <c r="D78" s="101"/>
      <c r="E78" s="101"/>
      <c r="F78" s="101"/>
      <c r="G78" s="101"/>
      <c r="H78" s="101"/>
      <c r="I78" s="101"/>
      <c r="J78" s="101"/>
      <c r="K78" s="101"/>
    </row>
    <row r="79">
      <c r="A79" s="3"/>
      <c r="B79" s="38" t="s">
        <v>823</v>
      </c>
      <c r="C79" s="101"/>
      <c r="D79" s="101" t="s">
        <v>763</v>
      </c>
      <c r="E79" s="101"/>
      <c r="F79" s="101"/>
      <c r="G79" s="101"/>
      <c r="H79" s="101"/>
      <c r="I79" s="101"/>
      <c r="J79" s="101"/>
      <c r="K79" s="101"/>
    </row>
    <row r="80">
      <c r="A80" s="3"/>
      <c r="B80" s="3"/>
      <c r="C80" s="101"/>
      <c r="D80" s="101"/>
      <c r="E80" s="101"/>
      <c r="F80" s="101"/>
      <c r="G80" s="101"/>
      <c r="H80" s="101"/>
      <c r="I80" s="101"/>
      <c r="J80" s="101"/>
      <c r="K80" s="101"/>
    </row>
    <row r="81">
      <c r="A81" s="3"/>
      <c r="B81" s="56" t="s">
        <v>824</v>
      </c>
      <c r="C81" s="101"/>
      <c r="D81" s="101"/>
      <c r="E81" s="101"/>
      <c r="F81" s="101"/>
      <c r="G81" s="101"/>
      <c r="H81" s="101"/>
      <c r="I81" s="101"/>
      <c r="J81" s="101"/>
      <c r="K81" s="101"/>
    </row>
    <row r="82">
      <c r="A82" s="3"/>
      <c r="B82" s="38" t="s">
        <v>825</v>
      </c>
      <c r="C82" s="101" t="s">
        <v>826</v>
      </c>
      <c r="D82" s="101"/>
      <c r="E82" s="101"/>
      <c r="F82" s="101"/>
      <c r="G82" s="101"/>
      <c r="H82" s="101"/>
      <c r="I82" s="101"/>
      <c r="J82" s="101"/>
      <c r="K82" s="101"/>
    </row>
    <row r="83">
      <c r="A83" s="3"/>
      <c r="B83" s="38" t="s">
        <v>827</v>
      </c>
      <c r="C83" s="106">
        <v>46306</v>
      </c>
      <c r="D83" s="101"/>
      <c r="E83" s="101"/>
      <c r="F83" s="101"/>
      <c r="G83" s="101"/>
      <c r="H83" s="101"/>
      <c r="I83" s="101"/>
      <c r="J83" s="101"/>
      <c r="K83" s="101"/>
    </row>
    <row r="84">
      <c r="A84" s="3"/>
      <c r="B84" s="38" t="s">
        <v>828</v>
      </c>
      <c r="C84" s="77">
        <v>18</v>
      </c>
      <c r="D84" s="101"/>
      <c r="E84" s="101"/>
      <c r="F84" s="101"/>
      <c r="G84" s="101"/>
      <c r="H84" s="101"/>
      <c r="I84" s="101"/>
      <c r="J84" s="101"/>
      <c r="K84" s="101"/>
    </row>
    <row r="85">
      <c r="A85" s="3"/>
      <c r="B85" s="38" t="s">
        <v>829</v>
      </c>
      <c r="C85" s="145">
        <v>0.52</v>
      </c>
      <c r="D85" s="101"/>
      <c r="E85" s="101"/>
      <c r="F85" s="101"/>
      <c r="G85" s="101"/>
      <c r="H85" s="101"/>
      <c r="I85" s="101"/>
      <c r="J85" s="101"/>
      <c r="K85" s="101"/>
    </row>
    <row r="86">
      <c r="A86" s="3"/>
      <c r="B86" s="38" t="s">
        <v>830</v>
      </c>
      <c r="C86" s="101" t="s">
        <v>831</v>
      </c>
      <c r="D86" s="101"/>
      <c r="E86" s="101"/>
      <c r="F86" s="101"/>
      <c r="G86" s="101"/>
      <c r="H86" s="101"/>
      <c r="I86" s="101"/>
      <c r="J86" s="101"/>
      <c r="K86" s="101"/>
    </row>
    <row r="87">
      <c r="A87" s="3"/>
      <c r="B87" s="38" t="s">
        <v>832</v>
      </c>
      <c r="C87" s="62">
        <v>889.99</v>
      </c>
      <c r="D87" s="101"/>
      <c r="E87" s="101"/>
      <c r="F87" s="101"/>
      <c r="G87" s="101"/>
      <c r="H87" s="101"/>
      <c r="I87" s="101"/>
      <c r="J87" s="101"/>
      <c r="K87" s="101"/>
    </row>
    <row r="88">
      <c r="A88" s="3"/>
      <c r="B88" s="38" t="s">
        <v>833</v>
      </c>
      <c r="C88" s="101" t="s">
        <v>834</v>
      </c>
      <c r="D88" s="101"/>
      <c r="E88" s="101"/>
      <c r="F88" s="101"/>
      <c r="G88" s="101"/>
      <c r="H88" s="101"/>
      <c r="I88" s="101"/>
      <c r="J88" s="101"/>
      <c r="K88" s="101"/>
    </row>
    <row r="89">
      <c r="A89" s="3"/>
      <c r="B89" s="38" t="s">
        <v>835</v>
      </c>
      <c r="C89" s="101" t="s">
        <v>836</v>
      </c>
      <c r="D89" s="101"/>
      <c r="E89" s="101"/>
      <c r="F89" s="101"/>
      <c r="G89" s="101"/>
      <c r="H89" s="101"/>
      <c r="I89" s="101"/>
      <c r="J89" s="101"/>
      <c r="K89" s="101"/>
    </row>
    <row r="90">
      <c r="A90" s="3"/>
      <c r="B90" s="38" t="s">
        <v>837</v>
      </c>
      <c r="C90" s="101" t="s">
        <v>821</v>
      </c>
      <c r="D90" s="101"/>
      <c r="E90" s="101"/>
      <c r="F90" s="101"/>
      <c r="G90" s="101"/>
      <c r="H90" s="101"/>
      <c r="I90" s="101"/>
      <c r="J90" s="101"/>
      <c r="K90" s="101"/>
    </row>
    <row r="91">
      <c r="A91" s="3"/>
      <c r="B91" s="3"/>
      <c r="C91" s="101"/>
      <c r="D91" s="101"/>
      <c r="E91" s="101"/>
      <c r="F91" s="101"/>
      <c r="G91" s="101"/>
      <c r="H91" s="101"/>
      <c r="I91" s="101"/>
      <c r="J91" s="101"/>
      <c r="K91" s="101"/>
    </row>
    <row r="92">
      <c r="A92" s="3"/>
      <c r="B92" s="56" t="s">
        <v>838</v>
      </c>
      <c r="C92" s="101"/>
      <c r="D92" s="101"/>
      <c r="E92" s="101"/>
      <c r="F92" s="101"/>
      <c r="G92" s="101"/>
      <c r="H92" s="101"/>
      <c r="I92" s="101"/>
      <c r="J92" s="101"/>
      <c r="K92" s="101"/>
    </row>
    <row r="93" ht="33">
      <c r="A93" s="3"/>
      <c r="B93" s="131" t="s">
        <v>839</v>
      </c>
      <c r="C93" s="127" t="s">
        <v>840</v>
      </c>
      <c r="D93" s="127" t="s">
        <v>841</v>
      </c>
      <c r="E93" s="127" t="s">
        <v>842</v>
      </c>
      <c r="F93" s="127" t="s">
        <v>843</v>
      </c>
      <c r="G93" s="127" t="s">
        <v>844</v>
      </c>
      <c r="H93" s="127" t="s">
        <v>845</v>
      </c>
      <c r="I93" s="127" t="s">
        <v>846</v>
      </c>
      <c r="J93" s="127" t="s">
        <v>847</v>
      </c>
      <c r="K93" s="127" t="s">
        <v>848</v>
      </c>
    </row>
    <row r="94">
      <c r="A94" s="3"/>
      <c r="B94" s="107">
        <v>45747</v>
      </c>
      <c r="C94" s="106">
        <v>45763</v>
      </c>
      <c r="D94" s="145">
        <v>0.4</v>
      </c>
      <c r="E94" s="145">
        <v>0.42</v>
      </c>
      <c r="F94" s="145">
        <v>0.4</v>
      </c>
      <c r="G94" s="145">
        <v>0.41</v>
      </c>
      <c r="H94" s="62">
        <v>821.85</v>
      </c>
      <c r="I94" s="62">
        <v>816</v>
      </c>
      <c r="J94" s="126" t="b">
        <f>E94&gt;D94</f>
        <v>1</v>
      </c>
      <c r="K94" s="142">
        <f>E94-D94</f>
        <v>0.019999999999999962</v>
      </c>
    </row>
    <row r="95">
      <c r="A95" s="3"/>
      <c r="B95" s="107">
        <v>45838</v>
      </c>
      <c r="C95" s="106">
        <v>45854</v>
      </c>
      <c r="D95" s="145">
        <v>0.42</v>
      </c>
      <c r="E95" s="145">
        <v>0.45</v>
      </c>
      <c r="F95" s="145">
        <v>0.42</v>
      </c>
      <c r="G95" s="145">
        <v>0.45</v>
      </c>
      <c r="H95" s="62">
        <v>834.12</v>
      </c>
      <c r="I95" s="62">
        <v>833</v>
      </c>
      <c r="J95" s="126" t="b">
        <f>E95&gt;D95</f>
        <v>1</v>
      </c>
      <c r="K95" s="142">
        <f>E95-D95</f>
        <v>0.030000000000000027</v>
      </c>
    </row>
    <row r="96">
      <c r="A96" s="3"/>
      <c r="B96" s="107">
        <v>45930</v>
      </c>
      <c r="C96" s="106">
        <v>45945</v>
      </c>
      <c r="D96" s="145">
        <v>0.45</v>
      </c>
      <c r="E96" s="145">
        <v>0.51</v>
      </c>
      <c r="F96" s="145">
        <v>0.44</v>
      </c>
      <c r="G96" s="145">
        <v>0.5</v>
      </c>
      <c r="H96" s="62">
        <v>847.99</v>
      </c>
      <c r="I96" s="62">
        <v>893</v>
      </c>
      <c r="J96" s="126" t="b">
        <f>E96&gt;D96</f>
        <v>1</v>
      </c>
      <c r="K96" s="142">
        <f>E96-D96</f>
        <v>0.06</v>
      </c>
    </row>
    <row r="97">
      <c r="A97" s="3"/>
      <c r="B97" s="107">
        <v>46022</v>
      </c>
      <c r="C97" s="106">
        <v>46037</v>
      </c>
      <c r="D97" s="145">
        <v>0.46</v>
      </c>
      <c r="E97" s="145">
        <v>0.52</v>
      </c>
      <c r="F97" s="145">
        <v>0.46</v>
      </c>
      <c r="G97" s="145">
        <v>0.52</v>
      </c>
      <c r="H97" s="62">
        <v>862.84</v>
      </c>
      <c r="I97" s="62">
        <v>892</v>
      </c>
      <c r="J97" s="126" t="b">
        <f>E97&gt;D97</f>
        <v>1</v>
      </c>
      <c r="K97" s="142">
        <f>E97-D97</f>
        <v>0.06</v>
      </c>
    </row>
    <row r="98">
      <c r="A98" s="3"/>
      <c r="B98" s="107">
        <v>46112</v>
      </c>
      <c r="C98" s="106">
        <v>46127</v>
      </c>
      <c r="D98" s="145">
        <v>0.5</v>
      </c>
      <c r="E98" s="145">
        <v>0.53</v>
      </c>
      <c r="F98" s="145">
        <v>0.5</v>
      </c>
      <c r="G98" s="145">
        <v>0.53</v>
      </c>
      <c r="H98" s="62">
        <v>869.85</v>
      </c>
      <c r="I98" s="62">
        <v>865</v>
      </c>
      <c r="J98" s="126" t="b">
        <f>E98&gt;D98</f>
        <v>1</v>
      </c>
      <c r="K98" s="142">
        <f>E98-D98</f>
        <v>0.030000000000000027</v>
      </c>
    </row>
    <row r="99">
      <c r="A99" s="3"/>
      <c r="B99" s="107">
        <v>46203</v>
      </c>
      <c r="C99" s="106">
        <v>46218</v>
      </c>
      <c r="D99" s="145">
        <v>0.52</v>
      </c>
      <c r="E99" s="145">
        <v>0.54</v>
      </c>
      <c r="F99" s="145">
        <v>0.52</v>
      </c>
      <c r="G99" s="145">
        <v>0.54</v>
      </c>
      <c r="H99" s="62">
        <v>879.55</v>
      </c>
      <c r="I99" s="62">
        <v>890</v>
      </c>
      <c r="J99" s="126" t="b">
        <f>E99&gt;D99</f>
        <v>1</v>
      </c>
      <c r="K99" s="142">
        <f>E99-D99</f>
        <v>0.020000000000000018</v>
      </c>
    </row>
    <row r="100">
      <c r="A100" s="3"/>
      <c r="B100" s="3"/>
      <c r="C100" s="101"/>
      <c r="D100" s="101"/>
      <c r="E100" s="101"/>
      <c r="F100" s="101"/>
      <c r="G100" s="101"/>
      <c r="H100" s="101"/>
      <c r="I100" s="101"/>
      <c r="J100" s="101"/>
      <c r="K100" s="101"/>
    </row>
    <row r="101">
      <c r="A101" s="3"/>
      <c r="B101" s="56" t="s">
        <v>849</v>
      </c>
      <c r="C101" s="101"/>
      <c r="D101" s="101"/>
      <c r="E101" s="101"/>
      <c r="F101" s="101"/>
      <c r="G101" s="101"/>
      <c r="H101" s="101"/>
      <c r="I101" s="101"/>
      <c r="J101" s="101"/>
      <c r="K101" s="101"/>
    </row>
    <row r="102">
      <c r="A102" s="3"/>
      <c r="B102" s="56" t="s">
        <v>850</v>
      </c>
      <c r="C102" s="129" t="s">
        <v>851</v>
      </c>
      <c r="D102" s="129" t="s">
        <v>852</v>
      </c>
      <c r="E102" s="102" t="s">
        <v>853</v>
      </c>
      <c r="F102" s="102"/>
      <c r="G102" s="102"/>
      <c r="H102" s="102"/>
      <c r="I102" s="102"/>
      <c r="J102" s="102"/>
      <c r="K102" s="102"/>
    </row>
    <row r="103">
      <c r="A103" s="3"/>
      <c r="B103" s="38" t="s">
        <v>854</v>
      </c>
      <c r="C103" s="62">
        <v>49</v>
      </c>
      <c r="D103" s="62">
        <v>42</v>
      </c>
      <c r="E103" s="101" t="s">
        <v>855</v>
      </c>
      <c r="F103" s="101"/>
      <c r="G103" s="101"/>
      <c r="H103" s="101"/>
      <c r="I103" s="101"/>
      <c r="J103" s="101"/>
      <c r="K103" s="101"/>
    </row>
    <row r="104">
      <c r="A104" s="3"/>
      <c r="B104" s="38" t="s">
        <v>856</v>
      </c>
      <c r="C104" s="62">
        <v>8</v>
      </c>
      <c r="D104" s="62">
        <v>10</v>
      </c>
      <c r="E104" s="101" t="s">
        <v>855</v>
      </c>
      <c r="F104" s="101"/>
      <c r="G104" s="101"/>
      <c r="H104" s="101"/>
      <c r="I104" s="101"/>
      <c r="J104" s="101"/>
      <c r="K104" s="101"/>
    </row>
    <row r="105">
      <c r="A105" s="3"/>
      <c r="B105" s="38" t="s">
        <v>857</v>
      </c>
      <c r="C105" s="62">
        <v>38</v>
      </c>
      <c r="D105" s="62">
        <v>39</v>
      </c>
      <c r="E105" s="101" t="s">
        <v>855</v>
      </c>
      <c r="F105" s="101"/>
      <c r="G105" s="101"/>
      <c r="H105" s="101"/>
      <c r="I105" s="101"/>
      <c r="J105" s="101"/>
      <c r="K105" s="101"/>
    </row>
    <row r="106">
      <c r="A106" s="3"/>
      <c r="B106" s="38" t="s">
        <v>858</v>
      </c>
      <c r="C106" s="62">
        <v>52</v>
      </c>
      <c r="D106" s="62">
        <v>55</v>
      </c>
      <c r="E106" s="101" t="s">
        <v>855</v>
      </c>
      <c r="F106" s="101"/>
      <c r="G106" s="101"/>
      <c r="H106" s="101"/>
      <c r="I106" s="101"/>
      <c r="J106" s="101"/>
      <c r="K106" s="101"/>
    </row>
    <row r="107">
      <c r="A107" s="3"/>
      <c r="B107" s="38" t="s">
        <v>859</v>
      </c>
      <c r="C107" s="62">
        <v>18</v>
      </c>
      <c r="D107" s="62">
        <v>19</v>
      </c>
      <c r="E107" s="101" t="s">
        <v>855</v>
      </c>
      <c r="F107" s="101"/>
      <c r="G107" s="101"/>
      <c r="H107" s="101"/>
      <c r="I107" s="101"/>
      <c r="J107" s="101"/>
      <c r="K107" s="101"/>
    </row>
    <row r="108">
      <c r="A108" s="3"/>
      <c r="B108" s="38" t="s">
        <v>860</v>
      </c>
      <c r="C108" s="62">
        <v>-3</v>
      </c>
      <c r="D108" s="62">
        <v>8</v>
      </c>
      <c r="E108" s="101" t="s">
        <v>855</v>
      </c>
      <c r="F108" s="101"/>
      <c r="G108" s="101"/>
      <c r="H108" s="101"/>
      <c r="I108" s="101"/>
      <c r="J108" s="101"/>
      <c r="K108" s="101"/>
    </row>
    <row r="109">
      <c r="A109" s="3"/>
      <c r="B109" s="38" t="s">
        <v>861</v>
      </c>
      <c r="C109" s="62">
        <v>0</v>
      </c>
      <c r="D109" s="62">
        <v>0</v>
      </c>
      <c r="E109" s="101" t="s">
        <v>855</v>
      </c>
      <c r="F109" s="101"/>
      <c r="G109" s="101"/>
      <c r="H109" s="101"/>
      <c r="I109" s="101"/>
      <c r="J109" s="101"/>
      <c r="K109" s="101"/>
    </row>
    <row r="110">
      <c r="A110" s="3"/>
      <c r="B110" s="38" t="s">
        <v>862</v>
      </c>
      <c r="C110" s="62">
        <v>18</v>
      </c>
      <c r="D110" s="62">
        <v>16</v>
      </c>
      <c r="E110" s="101" t="s">
        <v>855</v>
      </c>
      <c r="F110" s="101"/>
      <c r="G110" s="101"/>
      <c r="H110" s="101"/>
      <c r="I110" s="101"/>
      <c r="J110" s="101"/>
      <c r="K110" s="101"/>
    </row>
    <row r="111">
      <c r="A111" s="3"/>
      <c r="B111" s="38" t="s">
        <v>863</v>
      </c>
      <c r="C111" s="62">
        <v>181</v>
      </c>
      <c r="D111" s="62">
        <v>189</v>
      </c>
      <c r="E111" s="101" t="s">
        <v>855</v>
      </c>
      <c r="F111" s="101"/>
      <c r="G111" s="101"/>
      <c r="H111" s="101"/>
      <c r="I111" s="101"/>
      <c r="J111" s="101"/>
      <c r="K111" s="101"/>
    </row>
    <row r="112">
      <c r="A112" s="3"/>
      <c r="B112" s="38" t="s">
        <v>864</v>
      </c>
      <c r="C112" s="62">
        <v>32632</v>
      </c>
      <c r="D112" s="62">
        <v>33634</v>
      </c>
      <c r="E112" s="101" t="s">
        <v>855</v>
      </c>
      <c r="F112" s="101"/>
      <c r="G112" s="101"/>
      <c r="H112" s="101"/>
      <c r="I112" s="101"/>
      <c r="J112" s="101"/>
      <c r="K112" s="101"/>
    </row>
    <row r="113">
      <c r="A113" s="3"/>
      <c r="B113" s="38" t="s">
        <v>865</v>
      </c>
      <c r="C113" s="62">
        <v>2819</v>
      </c>
      <c r="D113" s="62">
        <v>3533</v>
      </c>
      <c r="E113" s="101" t="s">
        <v>855</v>
      </c>
      <c r="F113" s="101"/>
      <c r="G113" s="101"/>
      <c r="H113" s="101"/>
      <c r="I113" s="101"/>
      <c r="J113" s="101"/>
      <c r="K113" s="101"/>
    </row>
    <row r="114">
      <c r="A114" s="3"/>
      <c r="B114" s="38" t="s">
        <v>866</v>
      </c>
      <c r="C114" s="62">
        <v>29813</v>
      </c>
      <c r="D114" s="62">
        <v>30101</v>
      </c>
      <c r="E114" s="101" t="s">
        <v>855</v>
      </c>
      <c r="F114" s="101"/>
      <c r="G114" s="101"/>
      <c r="H114" s="101"/>
      <c r="I114" s="101"/>
      <c r="J114" s="101"/>
      <c r="K114" s="101"/>
    </row>
    <row r="115">
      <c r="A115" s="3"/>
      <c r="B115" s="38" t="s">
        <v>867</v>
      </c>
      <c r="C115" s="62">
        <v>14318</v>
      </c>
      <c r="D115" s="62">
        <v>14070</v>
      </c>
      <c r="E115" s="101" t="s">
        <v>855</v>
      </c>
      <c r="F115" s="101"/>
      <c r="G115" s="101"/>
      <c r="H115" s="101"/>
      <c r="I115" s="101"/>
      <c r="J115" s="101"/>
      <c r="K115" s="101"/>
    </row>
    <row r="116">
      <c r="A116" s="3"/>
      <c r="B116" s="38" t="s">
        <v>868</v>
      </c>
      <c r="C116" s="62">
        <v>46951</v>
      </c>
      <c r="D116" s="62">
        <v>47704</v>
      </c>
      <c r="E116" s="101" t="s">
        <v>855</v>
      </c>
      <c r="F116" s="101"/>
      <c r="G116" s="101"/>
      <c r="H116" s="101"/>
      <c r="I116" s="101"/>
      <c r="J116" s="101"/>
      <c r="K116" s="101"/>
    </row>
    <row r="117">
      <c r="A117" s="3"/>
      <c r="B117" s="38" t="s">
        <v>869</v>
      </c>
      <c r="C117" s="62">
        <v>14046</v>
      </c>
      <c r="D117" s="62">
        <v>14224</v>
      </c>
      <c r="E117" s="101" t="s">
        <v>855</v>
      </c>
      <c r="F117" s="101"/>
      <c r="G117" s="101"/>
      <c r="H117" s="101"/>
      <c r="I117" s="101"/>
      <c r="J117" s="101"/>
      <c r="K117" s="101"/>
    </row>
    <row r="118">
      <c r="A118" s="3"/>
      <c r="B118" s="38" t="s">
        <v>870</v>
      </c>
      <c r="C118" s="62">
        <v>649</v>
      </c>
      <c r="D118" s="62">
        <v>623</v>
      </c>
      <c r="E118" s="101" t="s">
        <v>855</v>
      </c>
      <c r="F118" s="101"/>
      <c r="G118" s="101"/>
      <c r="H118" s="101"/>
      <c r="I118" s="101"/>
      <c r="J118" s="101"/>
      <c r="K118" s="101"/>
    </row>
    <row r="119">
      <c r="A119" s="3"/>
      <c r="B119" s="38" t="s">
        <v>871</v>
      </c>
      <c r="C119" s="62">
        <v>14694</v>
      </c>
      <c r="D119" s="62">
        <v>14847</v>
      </c>
      <c r="E119" s="101" t="s">
        <v>855</v>
      </c>
      <c r="F119" s="101"/>
      <c r="G119" s="101"/>
      <c r="H119" s="101"/>
      <c r="I119" s="101"/>
      <c r="J119" s="101"/>
      <c r="K119" s="101"/>
    </row>
    <row r="120">
      <c r="A120" s="3"/>
      <c r="B120" s="38" t="s">
        <v>872</v>
      </c>
      <c r="C120" s="62">
        <v>61645</v>
      </c>
      <c r="D120" s="62">
        <v>62551</v>
      </c>
      <c r="E120" s="101" t="s">
        <v>855</v>
      </c>
      <c r="F120" s="101"/>
      <c r="G120" s="101"/>
      <c r="H120" s="101"/>
      <c r="I120" s="101"/>
      <c r="J120" s="101"/>
      <c r="K120" s="101"/>
    </row>
    <row r="121">
      <c r="A121" s="3"/>
      <c r="B121" s="38" t="s">
        <v>873</v>
      </c>
      <c r="C121" s="62">
        <v>519</v>
      </c>
      <c r="D121" s="62">
        <v>501</v>
      </c>
      <c r="E121" s="101" t="s">
        <v>855</v>
      </c>
      <c r="F121" s="101"/>
      <c r="G121" s="101"/>
      <c r="H121" s="101"/>
      <c r="I121" s="101"/>
      <c r="J121" s="101"/>
      <c r="K121" s="101"/>
    </row>
    <row r="122">
      <c r="A122" s="3"/>
      <c r="B122" s="38" t="s">
        <v>874</v>
      </c>
      <c r="C122" s="62">
        <v>9209</v>
      </c>
      <c r="D122" s="62">
        <v>9330</v>
      </c>
      <c r="E122" s="101" t="s">
        <v>855</v>
      </c>
      <c r="F122" s="101"/>
      <c r="G122" s="101"/>
      <c r="H122" s="101"/>
      <c r="I122" s="101"/>
      <c r="J122" s="101"/>
      <c r="K122" s="101"/>
    </row>
    <row r="123">
      <c r="A123" s="3"/>
      <c r="B123" s="38" t="s">
        <v>875</v>
      </c>
      <c r="C123" s="62">
        <v>1442</v>
      </c>
      <c r="D123" s="62">
        <v>1609</v>
      </c>
      <c r="E123" s="101" t="s">
        <v>855</v>
      </c>
      <c r="F123" s="101"/>
      <c r="G123" s="101"/>
      <c r="H123" s="101"/>
      <c r="I123" s="101"/>
      <c r="J123" s="101"/>
      <c r="K123" s="101"/>
    </row>
    <row r="124">
      <c r="A124" s="3"/>
      <c r="B124" s="38" t="s">
        <v>876</v>
      </c>
      <c r="C124" s="62">
        <v>1265</v>
      </c>
      <c r="D124" s="62">
        <v>1259</v>
      </c>
      <c r="E124" s="101" t="s">
        <v>855</v>
      </c>
      <c r="F124" s="101"/>
      <c r="G124" s="101"/>
      <c r="H124" s="101"/>
      <c r="I124" s="101"/>
      <c r="J124" s="101"/>
      <c r="K124" s="101"/>
    </row>
    <row r="125">
      <c r="A125" s="3"/>
      <c r="B125" s="38" t="s">
        <v>877</v>
      </c>
      <c r="C125" s="62">
        <v>713</v>
      </c>
      <c r="D125" s="62">
        <v>636</v>
      </c>
      <c r="E125" s="101" t="s">
        <v>855</v>
      </c>
      <c r="F125" s="101"/>
      <c r="G125" s="101"/>
      <c r="H125" s="101"/>
      <c r="I125" s="101"/>
      <c r="J125" s="101"/>
      <c r="K125" s="101"/>
    </row>
    <row r="126">
      <c r="A126" s="3"/>
      <c r="B126" s="38" t="s">
        <v>878</v>
      </c>
      <c r="C126" s="62">
        <v>74793</v>
      </c>
      <c r="D126" s="62">
        <v>75887</v>
      </c>
      <c r="E126" s="101" t="s">
        <v>855</v>
      </c>
      <c r="F126" s="101"/>
      <c r="G126" s="101"/>
      <c r="H126" s="101"/>
      <c r="I126" s="101"/>
      <c r="J126" s="101"/>
      <c r="K126" s="101"/>
    </row>
    <row r="127">
      <c r="A127" s="3"/>
      <c r="B127" s="38" t="s">
        <v>879</v>
      </c>
      <c r="C127" s="161">
        <v>0.0618</v>
      </c>
      <c r="D127" s="161">
        <v>0.0621</v>
      </c>
      <c r="E127" s="101" t="s">
        <v>855</v>
      </c>
      <c r="F127" s="101"/>
      <c r="G127" s="101"/>
      <c r="H127" s="101"/>
      <c r="I127" s="101"/>
      <c r="J127" s="101"/>
      <c r="K127" s="101"/>
    </row>
    <row r="128">
      <c r="A128" s="3"/>
      <c r="B128" s="38" t="s">
        <v>880</v>
      </c>
      <c r="C128" s="161">
        <v>0.0496</v>
      </c>
      <c r="D128" s="161">
        <v>0.0499</v>
      </c>
      <c r="E128" s="101" t="s">
        <v>855</v>
      </c>
      <c r="F128" s="101"/>
      <c r="G128" s="101"/>
      <c r="H128" s="101"/>
      <c r="I128" s="101"/>
      <c r="J128" s="101"/>
      <c r="K128" s="101"/>
    </row>
    <row r="129">
      <c r="A129" s="3"/>
      <c r="B129" s="38" t="s">
        <v>881</v>
      </c>
      <c r="C129" s="161">
        <v>0.0709</v>
      </c>
      <c r="D129" s="161">
        <v>0.0676</v>
      </c>
      <c r="E129" s="101" t="s">
        <v>855</v>
      </c>
      <c r="F129" s="101"/>
      <c r="G129" s="101"/>
      <c r="H129" s="101"/>
      <c r="I129" s="101"/>
      <c r="J129" s="101"/>
      <c r="K129" s="101"/>
    </row>
    <row r="130">
      <c r="A130" s="3"/>
      <c r="B130" s="38" t="s">
        <v>882</v>
      </c>
      <c r="C130" s="161">
        <v>0.0302</v>
      </c>
      <c r="D130" s="161">
        <v>0.0306</v>
      </c>
      <c r="E130" s="101" t="s">
        <v>855</v>
      </c>
      <c r="F130" s="101"/>
      <c r="G130" s="101"/>
      <c r="H130" s="101"/>
      <c r="I130" s="101"/>
      <c r="J130" s="101"/>
      <c r="K130" s="101"/>
    </row>
    <row r="131">
      <c r="A131" s="3"/>
      <c r="B131" s="38" t="s">
        <v>883</v>
      </c>
      <c r="C131" s="161">
        <v>0.0557</v>
      </c>
      <c r="D131" s="161">
        <v>0.0572</v>
      </c>
      <c r="E131" s="101" t="s">
        <v>855</v>
      </c>
      <c r="F131" s="101"/>
      <c r="G131" s="101"/>
      <c r="H131" s="101"/>
      <c r="I131" s="101"/>
      <c r="J131" s="101"/>
      <c r="K131" s="101"/>
    </row>
    <row r="132">
      <c r="A132" s="3"/>
      <c r="B132" s="38" t="s">
        <v>884</v>
      </c>
      <c r="C132" s="161">
        <v>0.0444</v>
      </c>
      <c r="D132" s="161">
        <v>0.0445</v>
      </c>
      <c r="E132" s="101" t="s">
        <v>855</v>
      </c>
      <c r="F132" s="101"/>
      <c r="G132" s="101"/>
      <c r="H132" s="101"/>
      <c r="I132" s="101"/>
      <c r="J132" s="101"/>
      <c r="K132" s="101"/>
    </row>
    <row r="133">
      <c r="A133" s="3"/>
      <c r="B133" s="38" t="s">
        <v>885</v>
      </c>
      <c r="C133" s="161">
        <v>0.0424</v>
      </c>
      <c r="D133" s="161">
        <v>0.0424</v>
      </c>
      <c r="E133" s="101" t="s">
        <v>855</v>
      </c>
      <c r="F133" s="101"/>
      <c r="G133" s="101"/>
      <c r="H133" s="101"/>
      <c r="I133" s="101"/>
      <c r="J133" s="101"/>
      <c r="K133" s="101"/>
    </row>
    <row r="134">
      <c r="A134" s="3"/>
      <c r="B134" s="38" t="s">
        <v>886</v>
      </c>
      <c r="C134" s="62">
        <v>715</v>
      </c>
      <c r="D134" s="62">
        <v>738</v>
      </c>
      <c r="E134" s="101" t="s">
        <v>855</v>
      </c>
      <c r="F134" s="101"/>
      <c r="G134" s="101"/>
      <c r="H134" s="101"/>
      <c r="I134" s="101"/>
      <c r="J134" s="101"/>
      <c r="K134" s="101"/>
    </row>
    <row r="135">
      <c r="A135" s="3"/>
      <c r="B135" s="38" t="s">
        <v>887</v>
      </c>
      <c r="C135" s="62">
        <v>182</v>
      </c>
      <c r="D135" s="62">
        <v>186</v>
      </c>
      <c r="E135" s="101" t="s">
        <v>855</v>
      </c>
      <c r="F135" s="101"/>
      <c r="G135" s="101"/>
      <c r="H135" s="101"/>
      <c r="I135" s="101"/>
      <c r="J135" s="101"/>
      <c r="K135" s="101"/>
    </row>
    <row r="136">
      <c r="A136" s="3"/>
      <c r="B136" s="38" t="s">
        <v>873</v>
      </c>
      <c r="C136" s="62">
        <v>9</v>
      </c>
      <c r="D136" s="62">
        <v>8</v>
      </c>
      <c r="E136" s="101" t="s">
        <v>855</v>
      </c>
      <c r="F136" s="101"/>
      <c r="G136" s="101"/>
      <c r="H136" s="101"/>
      <c r="I136" s="101"/>
      <c r="J136" s="101"/>
      <c r="K136" s="101"/>
    </row>
    <row r="137">
      <c r="A137" s="3"/>
      <c r="B137" s="38" t="s">
        <v>874</v>
      </c>
      <c r="C137" s="62">
        <v>69</v>
      </c>
      <c r="D137" s="62">
        <v>71</v>
      </c>
      <c r="E137" s="101" t="s">
        <v>855</v>
      </c>
      <c r="F137" s="101"/>
      <c r="G137" s="101"/>
      <c r="H137" s="101"/>
      <c r="I137" s="101"/>
      <c r="J137" s="101"/>
      <c r="K137" s="101"/>
    </row>
    <row r="138">
      <c r="A138" s="3"/>
      <c r="B138" s="38" t="s">
        <v>875</v>
      </c>
      <c r="C138" s="62">
        <v>20</v>
      </c>
      <c r="D138" s="62">
        <v>23</v>
      </c>
      <c r="E138" s="101" t="s">
        <v>855</v>
      </c>
      <c r="F138" s="101"/>
      <c r="G138" s="101"/>
      <c r="H138" s="101"/>
      <c r="I138" s="101"/>
      <c r="J138" s="101"/>
      <c r="K138" s="101"/>
    </row>
    <row r="139">
      <c r="A139" s="3"/>
      <c r="B139" s="38" t="s">
        <v>876</v>
      </c>
      <c r="C139" s="62">
        <v>14</v>
      </c>
      <c r="D139" s="62">
        <v>14</v>
      </c>
      <c r="E139" s="101" t="s">
        <v>855</v>
      </c>
      <c r="F139" s="101"/>
      <c r="G139" s="101"/>
      <c r="H139" s="101"/>
      <c r="I139" s="101"/>
      <c r="J139" s="101"/>
      <c r="K139" s="101"/>
    </row>
    <row r="140">
      <c r="A140" s="3"/>
      <c r="B140" s="38" t="s">
        <v>877</v>
      </c>
      <c r="C140" s="62">
        <v>7</v>
      </c>
      <c r="D140" s="62">
        <v>7</v>
      </c>
      <c r="E140" s="101" t="s">
        <v>855</v>
      </c>
      <c r="F140" s="101"/>
      <c r="G140" s="101"/>
      <c r="H140" s="101"/>
      <c r="I140" s="101"/>
      <c r="J140" s="101"/>
      <c r="K140" s="101"/>
    </row>
    <row r="141">
      <c r="A141" s="3"/>
      <c r="B141" s="38" t="s">
        <v>888</v>
      </c>
      <c r="C141" s="62">
        <v>1017</v>
      </c>
      <c r="D141" s="62">
        <v>1047</v>
      </c>
      <c r="E141" s="101" t="s">
        <v>855</v>
      </c>
      <c r="F141" s="101"/>
      <c r="G141" s="101"/>
      <c r="H141" s="101"/>
      <c r="I141" s="101"/>
      <c r="J141" s="101"/>
      <c r="K141" s="101"/>
    </row>
    <row r="142">
      <c r="A142" s="3"/>
      <c r="B142" s="38" t="s">
        <v>889</v>
      </c>
      <c r="C142" s="161">
        <v>0.055</v>
      </c>
      <c r="D142" s="161">
        <v>0.0553</v>
      </c>
      <c r="E142" s="101" t="s">
        <v>855</v>
      </c>
      <c r="F142" s="101"/>
      <c r="G142" s="101"/>
      <c r="H142" s="101"/>
      <c r="I142" s="101"/>
      <c r="J142" s="101"/>
      <c r="K142" s="101"/>
    </row>
    <row r="143">
      <c r="A143" s="3"/>
      <c r="B143" s="38" t="s">
        <v>890</v>
      </c>
      <c r="C143" s="161">
        <v>0.0589</v>
      </c>
      <c r="D143" s="161">
        <v>0.0592</v>
      </c>
      <c r="E143" s="101" t="s">
        <v>855</v>
      </c>
      <c r="F143" s="101"/>
      <c r="G143" s="101"/>
      <c r="H143" s="101"/>
      <c r="I143" s="101"/>
      <c r="J143" s="101"/>
      <c r="K143" s="101"/>
    </row>
    <row r="144">
      <c r="A144" s="3"/>
      <c r="B144" s="38" t="s">
        <v>891</v>
      </c>
      <c r="C144" s="62">
        <v>26544</v>
      </c>
      <c r="D144" s="62">
        <v>25899</v>
      </c>
      <c r="E144" s="101" t="s">
        <v>855</v>
      </c>
      <c r="F144" s="101"/>
      <c r="G144" s="101"/>
      <c r="H144" s="101"/>
      <c r="I144" s="101"/>
      <c r="J144" s="101"/>
      <c r="K144" s="101"/>
    </row>
    <row r="145">
      <c r="A145" s="3"/>
      <c r="B145" s="38" t="s">
        <v>892</v>
      </c>
      <c r="C145" s="62">
        <v>6329</v>
      </c>
      <c r="D145" s="62">
        <v>6630</v>
      </c>
      <c r="E145" s="101" t="s">
        <v>855</v>
      </c>
      <c r="F145" s="101"/>
      <c r="G145" s="101"/>
      <c r="H145" s="101"/>
      <c r="I145" s="101"/>
      <c r="J145" s="101"/>
      <c r="K145" s="101"/>
    </row>
    <row r="146">
      <c r="A146" s="3"/>
      <c r="B146" s="38" t="s">
        <v>893</v>
      </c>
      <c r="C146" s="62">
        <v>16096</v>
      </c>
      <c r="D146" s="62">
        <v>16362</v>
      </c>
      <c r="E146" s="101" t="s">
        <v>855</v>
      </c>
      <c r="F146" s="101"/>
      <c r="G146" s="101"/>
      <c r="H146" s="101"/>
      <c r="I146" s="101"/>
      <c r="J146" s="101"/>
      <c r="K146" s="101"/>
    </row>
    <row r="147">
      <c r="A147" s="3"/>
      <c r="B147" s="38" t="s">
        <v>894</v>
      </c>
      <c r="C147" s="62">
        <v>48970</v>
      </c>
      <c r="D147" s="62">
        <v>48891</v>
      </c>
      <c r="E147" s="101" t="s">
        <v>855</v>
      </c>
      <c r="F147" s="101"/>
      <c r="G147" s="101"/>
      <c r="H147" s="101"/>
      <c r="I147" s="101"/>
      <c r="J147" s="101"/>
      <c r="K147" s="101"/>
    </row>
    <row r="148">
      <c r="A148" s="3"/>
      <c r="B148" s="38" t="s">
        <v>895</v>
      </c>
      <c r="C148" s="62">
        <v>15535</v>
      </c>
      <c r="D148" s="62">
        <v>15851</v>
      </c>
      <c r="E148" s="101" t="s">
        <v>855</v>
      </c>
      <c r="F148" s="101"/>
      <c r="G148" s="101"/>
      <c r="H148" s="101"/>
      <c r="I148" s="101"/>
      <c r="J148" s="101"/>
      <c r="K148" s="101"/>
    </row>
    <row r="149">
      <c r="A149" s="3"/>
      <c r="B149" s="38" t="s">
        <v>896</v>
      </c>
      <c r="C149" s="62">
        <v>64504</v>
      </c>
      <c r="D149" s="62">
        <v>64742</v>
      </c>
      <c r="E149" s="101" t="s">
        <v>855</v>
      </c>
      <c r="F149" s="101"/>
      <c r="G149" s="101"/>
      <c r="H149" s="101"/>
      <c r="I149" s="101"/>
      <c r="J149" s="101"/>
      <c r="K149" s="101"/>
    </row>
    <row r="150">
      <c r="A150" s="3"/>
      <c r="B150" s="38" t="s">
        <v>897</v>
      </c>
      <c r="C150" s="62">
        <v>692</v>
      </c>
      <c r="D150" s="62">
        <v>613</v>
      </c>
      <c r="E150" s="101" t="s">
        <v>855</v>
      </c>
      <c r="F150" s="101"/>
      <c r="G150" s="101"/>
      <c r="H150" s="101"/>
      <c r="I150" s="101"/>
      <c r="J150" s="101"/>
      <c r="K150" s="101"/>
    </row>
    <row r="151">
      <c r="A151" s="3"/>
      <c r="B151" s="38" t="s">
        <v>898</v>
      </c>
      <c r="C151" s="62">
        <v>2479</v>
      </c>
      <c r="D151" s="62">
        <v>2692</v>
      </c>
      <c r="E151" s="101" t="s">
        <v>855</v>
      </c>
      <c r="F151" s="101"/>
      <c r="G151" s="101"/>
      <c r="H151" s="101"/>
      <c r="I151" s="101"/>
      <c r="J151" s="101"/>
      <c r="K151" s="101"/>
    </row>
    <row r="152">
      <c r="A152" s="3"/>
      <c r="B152" s="38" t="s">
        <v>899</v>
      </c>
      <c r="C152" s="62">
        <v>681</v>
      </c>
      <c r="D152" s="62">
        <v>1208</v>
      </c>
      <c r="E152" s="101" t="s">
        <v>855</v>
      </c>
      <c r="F152" s="101"/>
      <c r="G152" s="101"/>
      <c r="H152" s="101"/>
      <c r="I152" s="101"/>
      <c r="J152" s="101"/>
      <c r="K152" s="101"/>
    </row>
    <row r="153">
      <c r="A153" s="3"/>
      <c r="B153" s="38" t="s">
        <v>900</v>
      </c>
      <c r="C153" s="62">
        <v>1332</v>
      </c>
      <c r="D153" s="62">
        <v>1556</v>
      </c>
      <c r="E153" s="101" t="s">
        <v>855</v>
      </c>
      <c r="F153" s="101"/>
      <c r="G153" s="101"/>
      <c r="H153" s="101"/>
      <c r="I153" s="101"/>
      <c r="J153" s="101"/>
      <c r="K153" s="101"/>
    </row>
    <row r="154">
      <c r="A154" s="3"/>
      <c r="B154" s="38" t="s">
        <v>901</v>
      </c>
      <c r="C154" s="62">
        <v>54154</v>
      </c>
      <c r="D154" s="62">
        <v>54960</v>
      </c>
      <c r="E154" s="101" t="s">
        <v>855</v>
      </c>
      <c r="F154" s="101"/>
      <c r="G154" s="101"/>
      <c r="H154" s="101"/>
      <c r="I154" s="101"/>
      <c r="J154" s="101"/>
      <c r="K154" s="101"/>
    </row>
    <row r="155">
      <c r="A155" s="3"/>
      <c r="B155" s="38" t="s">
        <v>902</v>
      </c>
      <c r="C155" s="161">
        <v>0.0267</v>
      </c>
      <c r="D155" s="161">
        <v>0.0273</v>
      </c>
      <c r="E155" s="101" t="s">
        <v>855</v>
      </c>
      <c r="F155" s="101"/>
      <c r="G155" s="101"/>
      <c r="H155" s="101"/>
      <c r="I155" s="101"/>
      <c r="J155" s="101"/>
      <c r="K155" s="101"/>
    </row>
    <row r="156">
      <c r="A156" s="3"/>
      <c r="B156" s="38" t="s">
        <v>903</v>
      </c>
      <c r="C156" s="161">
        <v>0.04</v>
      </c>
      <c r="D156" s="161">
        <v>0.0388</v>
      </c>
      <c r="E156" s="101" t="s">
        <v>855</v>
      </c>
      <c r="F156" s="101"/>
      <c r="G156" s="101"/>
      <c r="H156" s="101"/>
      <c r="I156" s="101"/>
      <c r="J156" s="101"/>
      <c r="K156" s="101"/>
    </row>
    <row r="157">
      <c r="A157" s="3"/>
      <c r="B157" s="38" t="s">
        <v>904</v>
      </c>
      <c r="C157" s="161">
        <v>0.0231</v>
      </c>
      <c r="D157" s="161">
        <v>0.0236</v>
      </c>
      <c r="E157" s="101" t="s">
        <v>855</v>
      </c>
      <c r="F157" s="101"/>
      <c r="G157" s="101"/>
      <c r="H157" s="101"/>
      <c r="I157" s="101"/>
      <c r="J157" s="101"/>
      <c r="K157" s="101"/>
    </row>
    <row r="158">
      <c r="A158" s="3"/>
      <c r="B158" s="38" t="s">
        <v>905</v>
      </c>
      <c r="C158" s="161">
        <v>0.0429</v>
      </c>
      <c r="D158" s="161">
        <v>0.0407</v>
      </c>
      <c r="E158" s="101" t="s">
        <v>855</v>
      </c>
      <c r="F158" s="101"/>
      <c r="G158" s="101"/>
      <c r="H158" s="101"/>
      <c r="I158" s="101"/>
      <c r="J158" s="101"/>
      <c r="K158" s="101"/>
    </row>
    <row r="159">
      <c r="A159" s="3"/>
      <c r="B159" s="38" t="s">
        <v>906</v>
      </c>
      <c r="C159" s="161">
        <v>0.0347</v>
      </c>
      <c r="D159" s="161">
        <v>0.0361</v>
      </c>
      <c r="E159" s="101" t="s">
        <v>855</v>
      </c>
      <c r="F159" s="101"/>
      <c r="G159" s="101"/>
      <c r="H159" s="101"/>
      <c r="I159" s="101"/>
      <c r="J159" s="101"/>
      <c r="K159" s="101"/>
    </row>
    <row r="160">
      <c r="A160" s="3"/>
      <c r="B160" s="38" t="s">
        <v>907</v>
      </c>
      <c r="C160" s="161">
        <v>0.044</v>
      </c>
      <c r="D160" s="161">
        <v>0.0447</v>
      </c>
      <c r="E160" s="101" t="s">
        <v>855</v>
      </c>
      <c r="F160" s="101"/>
      <c r="G160" s="101"/>
      <c r="H160" s="101"/>
      <c r="I160" s="101"/>
      <c r="J160" s="101"/>
      <c r="K160" s="101"/>
    </row>
    <row r="161">
      <c r="A161" s="3"/>
      <c r="B161" s="38" t="s">
        <v>908</v>
      </c>
      <c r="C161" s="161">
        <v>0.0541</v>
      </c>
      <c r="D161" s="161">
        <v>0.056</v>
      </c>
      <c r="E161" s="101" t="s">
        <v>855</v>
      </c>
      <c r="F161" s="101"/>
      <c r="G161" s="101"/>
      <c r="H161" s="101"/>
      <c r="I161" s="101"/>
      <c r="J161" s="101"/>
      <c r="K161" s="101"/>
    </row>
    <row r="162">
      <c r="A162" s="3"/>
      <c r="B162" s="38" t="s">
        <v>909</v>
      </c>
      <c r="C162" s="62">
        <v>175</v>
      </c>
      <c r="D162" s="62">
        <v>177</v>
      </c>
      <c r="E162" s="101" t="s">
        <v>855</v>
      </c>
      <c r="F162" s="101"/>
      <c r="G162" s="101"/>
      <c r="H162" s="101"/>
      <c r="I162" s="101"/>
      <c r="J162" s="101"/>
      <c r="K162" s="101"/>
    </row>
    <row r="163">
      <c r="A163" s="3"/>
      <c r="B163" s="38" t="s">
        <v>892</v>
      </c>
      <c r="C163" s="62">
        <v>62</v>
      </c>
      <c r="D163" s="62">
        <v>64</v>
      </c>
      <c r="E163" s="101" t="s">
        <v>855</v>
      </c>
      <c r="F163" s="101"/>
      <c r="G163" s="101"/>
      <c r="H163" s="101"/>
      <c r="I163" s="101"/>
      <c r="J163" s="101"/>
      <c r="K163" s="101"/>
    </row>
    <row r="164">
      <c r="A164" s="3"/>
      <c r="B164" s="38" t="s">
        <v>893</v>
      </c>
      <c r="C164" s="62">
        <v>92</v>
      </c>
      <c r="D164" s="62">
        <v>96</v>
      </c>
      <c r="E164" s="101" t="s">
        <v>855</v>
      </c>
      <c r="F164" s="101"/>
      <c r="G164" s="101"/>
      <c r="H164" s="101"/>
      <c r="I164" s="101"/>
      <c r="J164" s="101"/>
      <c r="K164" s="101"/>
    </row>
    <row r="165">
      <c r="A165" s="3"/>
      <c r="B165" s="38" t="s">
        <v>897</v>
      </c>
      <c r="C165" s="62">
        <v>7</v>
      </c>
      <c r="D165" s="62">
        <v>6</v>
      </c>
      <c r="E165" s="101" t="s">
        <v>855</v>
      </c>
      <c r="F165" s="101"/>
      <c r="G165" s="101"/>
      <c r="H165" s="101"/>
      <c r="I165" s="101"/>
      <c r="J165" s="101"/>
      <c r="K165" s="101"/>
    </row>
    <row r="166">
      <c r="A166" s="3"/>
      <c r="B166" s="38" t="s">
        <v>898</v>
      </c>
      <c r="C166" s="62">
        <v>21</v>
      </c>
      <c r="D166" s="62">
        <v>24</v>
      </c>
      <c r="E166" s="101" t="s">
        <v>855</v>
      </c>
      <c r="F166" s="101"/>
      <c r="G166" s="101"/>
      <c r="H166" s="101"/>
      <c r="I166" s="101"/>
      <c r="J166" s="101"/>
      <c r="K166" s="101"/>
    </row>
    <row r="167">
      <c r="A167" s="3"/>
      <c r="B167" s="38" t="s">
        <v>899</v>
      </c>
      <c r="C167" s="62">
        <v>7</v>
      </c>
      <c r="D167" s="62">
        <v>13</v>
      </c>
      <c r="E167" s="101" t="s">
        <v>855</v>
      </c>
      <c r="F167" s="101"/>
      <c r="G167" s="101"/>
      <c r="H167" s="101"/>
      <c r="I167" s="101"/>
      <c r="J167" s="101"/>
      <c r="K167" s="101"/>
    </row>
    <row r="168">
      <c r="A168" s="3"/>
      <c r="B168" s="38" t="s">
        <v>900</v>
      </c>
      <c r="C168" s="62">
        <v>18</v>
      </c>
      <c r="D168" s="62">
        <v>22</v>
      </c>
      <c r="E168" s="101" t="s">
        <v>855</v>
      </c>
      <c r="F168" s="101"/>
      <c r="G168" s="101"/>
      <c r="H168" s="101"/>
      <c r="I168" s="101"/>
      <c r="J168" s="101"/>
      <c r="K168" s="101"/>
    </row>
    <row r="169">
      <c r="A169" s="3"/>
      <c r="B169" s="38" t="s">
        <v>910</v>
      </c>
      <c r="C169" s="62">
        <v>383</v>
      </c>
      <c r="D169" s="62">
        <v>403</v>
      </c>
      <c r="E169" s="101" t="s">
        <v>855</v>
      </c>
      <c r="F169" s="101"/>
      <c r="G169" s="101"/>
      <c r="H169" s="101"/>
      <c r="I169" s="101"/>
      <c r="J169" s="101"/>
      <c r="K169" s="101"/>
    </row>
    <row r="170">
      <c r="A170" s="3"/>
      <c r="B170" s="38" t="s">
        <v>911</v>
      </c>
      <c r="C170" s="161">
        <v>0.0272</v>
      </c>
      <c r="D170" s="161">
        <v>0.0276</v>
      </c>
      <c r="E170" s="101" t="s">
        <v>855</v>
      </c>
      <c r="F170" s="101"/>
      <c r="G170" s="101"/>
      <c r="H170" s="101"/>
      <c r="I170" s="101"/>
      <c r="J170" s="101"/>
      <c r="K170" s="101"/>
    </row>
    <row r="171">
      <c r="A171" s="3"/>
      <c r="B171" s="38" t="s">
        <v>912</v>
      </c>
      <c r="C171" s="161">
        <v>0.0207</v>
      </c>
      <c r="D171" s="161">
        <v>0.0209</v>
      </c>
      <c r="E171" s="101" t="s">
        <v>855</v>
      </c>
      <c r="F171" s="101"/>
      <c r="G171" s="101"/>
      <c r="H171" s="101"/>
      <c r="I171" s="101"/>
      <c r="J171" s="101"/>
      <c r="K171" s="101"/>
    </row>
    <row r="172">
      <c r="A172" s="3"/>
      <c r="B172" s="38" t="s">
        <v>913</v>
      </c>
      <c r="C172" s="62">
        <v>634</v>
      </c>
      <c r="D172" s="62">
        <v>645</v>
      </c>
      <c r="E172" s="101" t="s">
        <v>855</v>
      </c>
      <c r="F172" s="101"/>
      <c r="G172" s="101"/>
      <c r="H172" s="101"/>
      <c r="I172" s="101"/>
      <c r="J172" s="101"/>
      <c r="K172" s="101"/>
    </row>
    <row r="173">
      <c r="A173" s="3"/>
      <c r="B173" s="38" t="s">
        <v>914</v>
      </c>
      <c r="C173" s="161">
        <v>0.0342</v>
      </c>
      <c r="D173" s="161">
        <v>0.034</v>
      </c>
      <c r="E173" s="101" t="s">
        <v>855</v>
      </c>
      <c r="F173" s="101"/>
      <c r="G173" s="101"/>
      <c r="H173" s="101"/>
      <c r="I173" s="101"/>
      <c r="J173" s="101"/>
      <c r="K173" s="101"/>
    </row>
    <row r="174">
      <c r="A174" s="3"/>
      <c r="B174" s="38" t="s">
        <v>915</v>
      </c>
      <c r="C174" s="161">
        <v>0.0263</v>
      </c>
      <c r="D174" s="161">
        <v>0.0259</v>
      </c>
      <c r="E174" s="101" t="s">
        <v>855</v>
      </c>
      <c r="F174" s="101"/>
      <c r="G174" s="101"/>
      <c r="H174" s="101"/>
      <c r="I174" s="101"/>
      <c r="J174" s="101"/>
      <c r="K174" s="101"/>
    </row>
    <row r="175">
      <c r="A175" s="3"/>
      <c r="B175" s="38" t="s">
        <v>916</v>
      </c>
      <c r="C175" s="62">
        <v>633</v>
      </c>
      <c r="D175" s="62">
        <v>643</v>
      </c>
      <c r="E175" s="101" t="s">
        <v>917</v>
      </c>
      <c r="F175" s="101"/>
      <c r="G175" s="101"/>
      <c r="H175" s="101"/>
      <c r="I175" s="101"/>
      <c r="J175" s="101"/>
      <c r="K175" s="101"/>
    </row>
    <row r="176">
      <c r="A176" s="3"/>
      <c r="B176" s="38" t="s">
        <v>918</v>
      </c>
      <c r="C176" s="62">
        <v>110</v>
      </c>
      <c r="D176" s="62">
        <v>113</v>
      </c>
      <c r="E176" s="101" t="s">
        <v>917</v>
      </c>
      <c r="F176" s="101"/>
      <c r="G176" s="101"/>
      <c r="H176" s="101"/>
      <c r="I176" s="101"/>
      <c r="J176" s="101"/>
      <c r="K176" s="101"/>
    </row>
    <row r="177">
      <c r="A177" s="3"/>
      <c r="B177" s="38" t="s">
        <v>919</v>
      </c>
      <c r="C177" s="62">
        <v>743</v>
      </c>
      <c r="D177" s="62">
        <v>757</v>
      </c>
      <c r="E177" s="101" t="s">
        <v>855</v>
      </c>
      <c r="F177" s="101"/>
      <c r="G177" s="101"/>
      <c r="H177" s="101"/>
      <c r="I177" s="101"/>
      <c r="J177" s="101"/>
      <c r="K177" s="101"/>
    </row>
    <row r="178">
      <c r="A178" s="3"/>
      <c r="B178" s="38" t="s">
        <v>920</v>
      </c>
      <c r="C178" s="62">
        <v>344</v>
      </c>
      <c r="D178" s="62">
        <v>355</v>
      </c>
      <c r="E178" s="101" t="s">
        <v>917</v>
      </c>
      <c r="F178" s="101"/>
      <c r="G178" s="101"/>
      <c r="H178" s="101"/>
      <c r="I178" s="101"/>
      <c r="J178" s="101"/>
      <c r="K178" s="101"/>
    </row>
    <row r="179">
      <c r="A179" s="3"/>
      <c r="B179" s="38" t="s">
        <v>921</v>
      </c>
      <c r="C179" s="62">
        <v>398</v>
      </c>
      <c r="D179" s="62">
        <v>402</v>
      </c>
      <c r="E179" s="101" t="s">
        <v>855</v>
      </c>
      <c r="F179" s="101"/>
      <c r="G179" s="101"/>
      <c r="H179" s="101"/>
      <c r="I179" s="101"/>
      <c r="J179" s="101"/>
      <c r="K179" s="101"/>
    </row>
    <row r="180">
      <c r="A180" s="3"/>
      <c r="B180" s="38" t="s">
        <v>922</v>
      </c>
      <c r="C180" s="62">
        <v>38</v>
      </c>
      <c r="D180" s="62">
        <v>13</v>
      </c>
      <c r="E180" s="101" t="s">
        <v>917</v>
      </c>
      <c r="F180" s="101"/>
      <c r="G180" s="101"/>
      <c r="H180" s="101"/>
      <c r="I180" s="101"/>
      <c r="J180" s="101"/>
      <c r="K180" s="101"/>
    </row>
    <row r="181">
      <c r="A181" s="3"/>
      <c r="B181" s="38" t="s">
        <v>923</v>
      </c>
      <c r="C181" s="62">
        <v>360</v>
      </c>
      <c r="D181" s="62">
        <v>389</v>
      </c>
      <c r="E181" s="101" t="s">
        <v>855</v>
      </c>
      <c r="F181" s="101"/>
      <c r="G181" s="101"/>
      <c r="H181" s="101"/>
      <c r="I181" s="101"/>
      <c r="J181" s="101"/>
      <c r="K181" s="101"/>
    </row>
    <row r="182">
      <c r="A182" s="3"/>
      <c r="B182" s="38" t="s">
        <v>924</v>
      </c>
      <c r="C182" s="62">
        <v>86</v>
      </c>
      <c r="D182" s="62">
        <v>92</v>
      </c>
      <c r="E182" s="101" t="s">
        <v>917</v>
      </c>
      <c r="F182" s="101"/>
      <c r="G182" s="101"/>
      <c r="H182" s="101"/>
      <c r="I182" s="101"/>
      <c r="J182" s="101"/>
      <c r="K182" s="101"/>
    </row>
    <row r="183">
      <c r="A183" s="3"/>
      <c r="B183" s="38" t="s">
        <v>925</v>
      </c>
      <c r="C183" s="62">
        <v>275</v>
      </c>
      <c r="D183" s="62">
        <v>296</v>
      </c>
      <c r="E183" s="101" t="s">
        <v>855</v>
      </c>
      <c r="F183" s="101"/>
      <c r="G183" s="101"/>
      <c r="H183" s="101"/>
      <c r="I183" s="101"/>
      <c r="J183" s="101"/>
      <c r="K183" s="101"/>
    </row>
    <row r="184">
      <c r="A184" s="3"/>
      <c r="B184" s="38" t="s">
        <v>926</v>
      </c>
      <c r="C184" s="62">
        <v>56.2</v>
      </c>
      <c r="D184" s="62">
        <v>56.3</v>
      </c>
      <c r="E184" s="101" t="s">
        <v>917</v>
      </c>
      <c r="F184" s="101"/>
      <c r="G184" s="101"/>
      <c r="H184" s="101"/>
      <c r="I184" s="101"/>
      <c r="J184" s="101"/>
      <c r="K184" s="101"/>
    </row>
    <row r="185">
      <c r="A185" s="3"/>
      <c r="B185" s="38" t="s">
        <v>927</v>
      </c>
      <c r="C185" s="62">
        <v>56.2</v>
      </c>
      <c r="D185" s="62">
        <v>56.3</v>
      </c>
      <c r="E185" s="101" t="s">
        <v>917</v>
      </c>
      <c r="F185" s="101"/>
      <c r="G185" s="101"/>
      <c r="H185" s="101"/>
      <c r="I185" s="101"/>
      <c r="J185" s="101"/>
      <c r="K185" s="101"/>
    </row>
    <row r="186">
      <c r="A186" s="3"/>
      <c r="B186" s="38" t="s">
        <v>928</v>
      </c>
      <c r="C186" s="62">
        <v>58.7</v>
      </c>
      <c r="D186" s="62">
        <v>58.7</v>
      </c>
      <c r="E186" s="101" t="s">
        <v>917</v>
      </c>
      <c r="F186" s="101"/>
      <c r="G186" s="101"/>
      <c r="H186" s="101"/>
      <c r="I186" s="101"/>
      <c r="J186" s="101"/>
      <c r="K186" s="101"/>
    </row>
    <row r="187">
      <c r="A187" s="3"/>
      <c r="B187" s="38" t="s">
        <v>929</v>
      </c>
      <c r="C187" s="62">
        <v>59.1</v>
      </c>
      <c r="D187" s="62">
        <v>58.9</v>
      </c>
      <c r="E187" s="101" t="s">
        <v>917</v>
      </c>
      <c r="F187" s="101"/>
      <c r="G187" s="101"/>
      <c r="H187" s="101"/>
      <c r="I187" s="101"/>
      <c r="J187" s="101"/>
      <c r="K187" s="101"/>
    </row>
    <row r="188">
      <c r="A188" s="3"/>
      <c r="B188" s="38" t="s">
        <v>930</v>
      </c>
      <c r="C188" s="161">
        <v>0.0458</v>
      </c>
      <c r="D188" s="161">
        <v>0.046</v>
      </c>
      <c r="E188" s="101" t="s">
        <v>917</v>
      </c>
      <c r="F188" s="101"/>
      <c r="G188" s="101"/>
      <c r="H188" s="101"/>
      <c r="I188" s="101"/>
      <c r="J188" s="101"/>
      <c r="K188" s="101"/>
    </row>
    <row r="189">
      <c r="A189" s="3"/>
      <c r="B189" s="38" t="s">
        <v>931</v>
      </c>
      <c r="C189" s="62">
        <v>50</v>
      </c>
      <c r="D189" s="62">
        <v>57</v>
      </c>
      <c r="E189" s="101" t="s">
        <v>917</v>
      </c>
      <c r="F189" s="101"/>
      <c r="G189" s="101"/>
      <c r="H189" s="101"/>
      <c r="I189" s="101"/>
      <c r="J189" s="101"/>
      <c r="K189" s="101"/>
    </row>
    <row r="190">
      <c r="A190" s="3"/>
      <c r="B190" s="38" t="s">
        <v>932</v>
      </c>
      <c r="C190" s="62">
        <v>59</v>
      </c>
      <c r="D190" s="62">
        <v>53</v>
      </c>
      <c r="E190" s="101" t="s">
        <v>917</v>
      </c>
      <c r="F190" s="101"/>
      <c r="G190" s="101"/>
      <c r="H190" s="101"/>
      <c r="I190" s="101"/>
      <c r="J190" s="101"/>
      <c r="K190" s="101"/>
    </row>
    <row r="191">
      <c r="A191" s="3"/>
      <c r="B191" s="38" t="s">
        <v>933</v>
      </c>
      <c r="C191" s="62">
        <v>109</v>
      </c>
      <c r="D191" s="62">
        <v>111</v>
      </c>
      <c r="E191" s="101" t="s">
        <v>855</v>
      </c>
      <c r="F191" s="101"/>
      <c r="G191" s="101"/>
      <c r="H191" s="101"/>
      <c r="I191" s="101"/>
      <c r="J191" s="101"/>
      <c r="K191" s="101"/>
    </row>
    <row r="192">
      <c r="A192" s="3"/>
      <c r="B192" s="38" t="s">
        <v>934</v>
      </c>
      <c r="C192" s="62">
        <v>75</v>
      </c>
      <c r="D192" s="62">
        <v>75</v>
      </c>
      <c r="E192" s="101" t="s">
        <v>917</v>
      </c>
      <c r="F192" s="101"/>
      <c r="G192" s="101"/>
      <c r="H192" s="101"/>
      <c r="I192" s="101"/>
      <c r="J192" s="101"/>
      <c r="K192" s="101"/>
    </row>
    <row r="193">
      <c r="A193" s="3"/>
      <c r="B193" s="38" t="s">
        <v>935</v>
      </c>
      <c r="C193" s="62">
        <v>34</v>
      </c>
      <c r="D193" s="62">
        <v>36</v>
      </c>
      <c r="E193" s="101" t="s">
        <v>855</v>
      </c>
      <c r="F193" s="101"/>
      <c r="G193" s="101"/>
      <c r="H193" s="101"/>
      <c r="I193" s="101"/>
      <c r="J193" s="101"/>
      <c r="K193" s="101"/>
    </row>
    <row r="194">
      <c r="A194" s="3"/>
      <c r="B194" s="38" t="s">
        <v>936</v>
      </c>
      <c r="C194" s="62">
        <v>3</v>
      </c>
      <c r="D194" s="62">
        <v>6</v>
      </c>
      <c r="E194" s="101" t="s">
        <v>917</v>
      </c>
      <c r="F194" s="101"/>
      <c r="G194" s="101"/>
      <c r="H194" s="101"/>
      <c r="I194" s="101"/>
      <c r="J194" s="101"/>
      <c r="K194" s="101"/>
    </row>
    <row r="195">
      <c r="A195" s="3"/>
      <c r="B195" s="38" t="s">
        <v>937</v>
      </c>
      <c r="C195" s="62">
        <v>31</v>
      </c>
      <c r="D195" s="62">
        <v>30</v>
      </c>
      <c r="E195" s="101" t="s">
        <v>855</v>
      </c>
      <c r="F195" s="101"/>
      <c r="G195" s="101"/>
      <c r="H195" s="101"/>
      <c r="I195" s="101"/>
      <c r="J195" s="101"/>
      <c r="K195" s="101"/>
    </row>
    <row r="196">
      <c r="A196" s="3"/>
      <c r="B196" s="38" t="s">
        <v>938</v>
      </c>
      <c r="C196" s="62">
        <v>7</v>
      </c>
      <c r="D196" s="62">
        <v>7</v>
      </c>
      <c r="E196" s="101" t="s">
        <v>917</v>
      </c>
      <c r="F196" s="101"/>
      <c r="G196" s="101"/>
      <c r="H196" s="101"/>
      <c r="I196" s="101"/>
      <c r="J196" s="101"/>
      <c r="K196" s="101"/>
    </row>
    <row r="197">
      <c r="A197" s="3"/>
      <c r="B197" s="38" t="s">
        <v>939</v>
      </c>
      <c r="C197" s="62">
        <v>23</v>
      </c>
      <c r="D197" s="62">
        <v>23</v>
      </c>
      <c r="E197" s="101" t="s">
        <v>855</v>
      </c>
      <c r="F197" s="101"/>
      <c r="G197" s="101"/>
      <c r="H197" s="101"/>
      <c r="I197" s="101"/>
      <c r="J197" s="101"/>
      <c r="K197" s="101"/>
    </row>
    <row r="198">
      <c r="A198" s="3"/>
      <c r="B198" s="38" t="s">
        <v>940</v>
      </c>
      <c r="C198" s="62">
        <v>5</v>
      </c>
      <c r="D198" s="62">
        <v>5.8</v>
      </c>
      <c r="E198" s="101" t="s">
        <v>917</v>
      </c>
      <c r="F198" s="101"/>
      <c r="G198" s="101"/>
      <c r="H198" s="101"/>
      <c r="I198" s="101"/>
      <c r="J198" s="101"/>
      <c r="K198" s="101"/>
    </row>
    <row r="199">
      <c r="A199" s="3"/>
      <c r="B199" s="38" t="s">
        <v>941</v>
      </c>
      <c r="C199" s="62">
        <v>7.8</v>
      </c>
      <c r="D199" s="62">
        <v>8.6</v>
      </c>
      <c r="E199" s="101" t="s">
        <v>917</v>
      </c>
      <c r="F199" s="101"/>
      <c r="G199" s="101"/>
      <c r="H199" s="101"/>
      <c r="I199" s="101"/>
      <c r="J199" s="101"/>
      <c r="K199" s="101"/>
    </row>
    <row r="200">
      <c r="A200" s="3"/>
      <c r="B200" s="38" t="s">
        <v>942</v>
      </c>
      <c r="C200" s="62">
        <v>8.5</v>
      </c>
      <c r="D200" s="62">
        <v>9.3</v>
      </c>
      <c r="E200" s="101" t="s">
        <v>917</v>
      </c>
      <c r="F200" s="101"/>
      <c r="G200" s="101"/>
      <c r="H200" s="101"/>
      <c r="I200" s="101"/>
      <c r="J200" s="101"/>
      <c r="K200" s="101"/>
    </row>
    <row r="201">
      <c r="A201" s="3"/>
      <c r="B201" s="38" t="s">
        <v>943</v>
      </c>
      <c r="C201" s="62">
        <v>2</v>
      </c>
      <c r="D201" s="62">
        <v>2.1</v>
      </c>
      <c r="E201" s="101" t="s">
        <v>917</v>
      </c>
      <c r="F201" s="101"/>
      <c r="G201" s="101"/>
      <c r="H201" s="101"/>
      <c r="I201" s="101"/>
      <c r="J201" s="101"/>
      <c r="K201" s="101"/>
    </row>
    <row r="202">
      <c r="A202" s="3"/>
      <c r="B202" s="38" t="s">
        <v>944</v>
      </c>
      <c r="C202" s="161">
        <v>0.0259</v>
      </c>
      <c r="D202" s="161">
        <v>0.0267</v>
      </c>
      <c r="E202" s="101" t="s">
        <v>917</v>
      </c>
      <c r="F202" s="101"/>
      <c r="G202" s="101"/>
      <c r="H202" s="101"/>
      <c r="I202" s="101"/>
      <c r="J202" s="101"/>
      <c r="K202" s="101"/>
    </row>
    <row r="203">
      <c r="A203" s="3"/>
      <c r="B203" s="38" t="s">
        <v>945</v>
      </c>
      <c r="C203" s="62">
        <v>586</v>
      </c>
      <c r="D203" s="62">
        <v>550</v>
      </c>
      <c r="E203" s="101" t="s">
        <v>917</v>
      </c>
      <c r="F203" s="101"/>
      <c r="G203" s="101"/>
      <c r="H203" s="101"/>
      <c r="I203" s="101"/>
      <c r="J203" s="101"/>
      <c r="K203" s="101"/>
    </row>
    <row r="204">
      <c r="A204" s="3"/>
      <c r="B204" s="38" t="s">
        <v>946</v>
      </c>
      <c r="C204" s="103">
        <v>61</v>
      </c>
      <c r="D204" s="103">
        <v>62</v>
      </c>
      <c r="E204" s="101" t="s">
        <v>723</v>
      </c>
      <c r="F204" s="101"/>
      <c r="G204" s="101"/>
      <c r="H204" s="101"/>
      <c r="I204" s="101"/>
      <c r="J204" s="101"/>
      <c r="K204" s="101"/>
    </row>
    <row r="205">
      <c r="A205" s="3"/>
      <c r="B205" s="38" t="s">
        <v>947</v>
      </c>
      <c r="C205" s="128">
        <v>-51</v>
      </c>
      <c r="D205" s="128">
        <v>-60</v>
      </c>
      <c r="E205" s="101" t="s">
        <v>917</v>
      </c>
      <c r="F205" s="101"/>
      <c r="G205" s="101"/>
      <c r="H205" s="101"/>
      <c r="I205" s="101"/>
      <c r="J205" s="101"/>
      <c r="K205" s="101"/>
    </row>
    <row r="206">
      <c r="A206" s="3"/>
      <c r="B206" s="38" t="s">
        <v>948</v>
      </c>
      <c r="C206" s="128">
        <v>12</v>
      </c>
      <c r="D206" s="128">
        <v>22</v>
      </c>
      <c r="E206" s="101" t="s">
        <v>917</v>
      </c>
      <c r="F206" s="101"/>
      <c r="G206" s="101"/>
      <c r="H206" s="101"/>
      <c r="I206" s="101"/>
      <c r="J206" s="101"/>
      <c r="K206" s="101"/>
    </row>
    <row r="207">
      <c r="A207" s="3"/>
      <c r="B207" s="38" t="s">
        <v>949</v>
      </c>
      <c r="C207" s="128">
        <v>-40</v>
      </c>
      <c r="D207" s="128">
        <v>-38</v>
      </c>
      <c r="E207" s="101" t="s">
        <v>855</v>
      </c>
      <c r="F207" s="101"/>
      <c r="G207" s="101"/>
      <c r="H207" s="101"/>
      <c r="I207" s="101"/>
      <c r="J207" s="101"/>
      <c r="K207" s="101"/>
    </row>
    <row r="208">
      <c r="A208" s="3"/>
      <c r="B208" s="38" t="s">
        <v>950</v>
      </c>
      <c r="C208" s="128">
        <v>68</v>
      </c>
      <c r="D208" s="128">
        <v>61</v>
      </c>
      <c r="E208" s="101" t="s">
        <v>917</v>
      </c>
      <c r="F208" s="101"/>
      <c r="G208" s="101"/>
      <c r="H208" s="101"/>
      <c r="I208" s="101"/>
      <c r="J208" s="101"/>
      <c r="K208" s="101"/>
    </row>
    <row r="209">
      <c r="A209" s="3"/>
      <c r="B209" s="38" t="s">
        <v>951</v>
      </c>
      <c r="C209" s="128">
        <v>-108</v>
      </c>
      <c r="D209" s="128">
        <v>-99</v>
      </c>
      <c r="E209" s="101" t="s">
        <v>855</v>
      </c>
      <c r="F209" s="101"/>
      <c r="G209" s="101"/>
      <c r="H209" s="101"/>
      <c r="I209" s="101"/>
      <c r="J209" s="101"/>
      <c r="K209" s="101"/>
    </row>
    <row r="210">
      <c r="A210" s="3"/>
      <c r="B210" s="38" t="s">
        <v>952</v>
      </c>
      <c r="C210" s="128">
        <v>-1</v>
      </c>
      <c r="D210" s="128">
        <v>11</v>
      </c>
      <c r="E210" s="101" t="s">
        <v>917</v>
      </c>
      <c r="F210" s="101"/>
      <c r="G210" s="101"/>
      <c r="H210" s="101"/>
      <c r="I210" s="101"/>
      <c r="J210" s="101"/>
      <c r="K210" s="101"/>
    </row>
    <row r="211">
      <c r="A211" s="3"/>
      <c r="B211" s="38" t="s">
        <v>953</v>
      </c>
      <c r="C211" s="128">
        <v>-106</v>
      </c>
      <c r="D211" s="128">
        <v>-110</v>
      </c>
      <c r="E211" s="101" t="s">
        <v>855</v>
      </c>
      <c r="F211" s="101"/>
      <c r="G211" s="101"/>
      <c r="H211" s="101"/>
      <c r="I211" s="101"/>
      <c r="J211" s="101"/>
      <c r="K211" s="101"/>
    </row>
    <row r="212">
      <c r="A212" s="3"/>
      <c r="B212" s="38" t="s">
        <v>954</v>
      </c>
      <c r="C212" s="128">
        <v>-31</v>
      </c>
      <c r="D212" s="128">
        <v>-35</v>
      </c>
      <c r="E212" s="101" t="s">
        <v>917</v>
      </c>
      <c r="F212" s="101"/>
      <c r="G212" s="101"/>
      <c r="H212" s="101"/>
      <c r="I212" s="101"/>
      <c r="J212" s="101"/>
      <c r="K212" s="101"/>
    </row>
    <row r="213">
      <c r="A213" s="3"/>
      <c r="B213" s="38" t="s">
        <v>955</v>
      </c>
      <c r="C213" s="128">
        <v>-76</v>
      </c>
      <c r="D213" s="128">
        <v>-75</v>
      </c>
      <c r="E213" s="101" t="s">
        <v>855</v>
      </c>
      <c r="F213" s="101"/>
      <c r="G213" s="101"/>
      <c r="H213" s="101"/>
      <c r="I213" s="101"/>
      <c r="J213" s="101"/>
      <c r="K213" s="101"/>
    </row>
    <row r="214">
      <c r="A214" s="3"/>
      <c r="B214" s="38" t="s">
        <v>956</v>
      </c>
      <c r="C214" s="128">
        <v>10.8</v>
      </c>
      <c r="D214" s="128">
        <v>11</v>
      </c>
      <c r="E214" s="101" t="s">
        <v>917</v>
      </c>
      <c r="F214" s="101"/>
      <c r="G214" s="101"/>
      <c r="H214" s="101"/>
      <c r="I214" s="101"/>
      <c r="J214" s="101"/>
      <c r="K214" s="101"/>
    </row>
    <row r="215">
      <c r="A215" s="3"/>
      <c r="B215" s="38" t="s">
        <v>957</v>
      </c>
      <c r="C215" s="128">
        <v>13.8</v>
      </c>
      <c r="D215" s="128">
        <v>13.9</v>
      </c>
      <c r="E215" s="101" t="s">
        <v>917</v>
      </c>
      <c r="F215" s="101"/>
      <c r="G215" s="101"/>
      <c r="H215" s="101"/>
      <c r="I215" s="101"/>
      <c r="J215" s="101"/>
      <c r="K215" s="101"/>
    </row>
    <row r="216">
      <c r="A216" s="3"/>
      <c r="B216" s="38" t="s">
        <v>958</v>
      </c>
      <c r="C216" s="62">
        <v>3</v>
      </c>
      <c r="D216" s="62">
        <v>4</v>
      </c>
      <c r="E216" s="101" t="s">
        <v>855</v>
      </c>
      <c r="F216" s="101"/>
      <c r="G216" s="101"/>
      <c r="H216" s="101"/>
      <c r="I216" s="101"/>
      <c r="J216" s="101"/>
      <c r="K216" s="101"/>
    </row>
    <row r="217">
      <c r="A217" s="3"/>
      <c r="B217" s="38" t="s">
        <v>959</v>
      </c>
      <c r="C217" s="62">
        <v>631</v>
      </c>
      <c r="D217" s="62">
        <v>641</v>
      </c>
      <c r="E217" s="101" t="s">
        <v>855</v>
      </c>
      <c r="F217" s="101"/>
      <c r="G217" s="101"/>
      <c r="H217" s="101"/>
      <c r="I217" s="101"/>
      <c r="J217" s="101"/>
      <c r="K217" s="101"/>
    </row>
    <row r="218">
      <c r="A218" s="3"/>
      <c r="B218" s="38" t="s">
        <v>960</v>
      </c>
      <c r="C218" s="62">
        <v>812</v>
      </c>
      <c r="D218" s="62">
        <v>830</v>
      </c>
      <c r="E218" s="101" t="s">
        <v>855</v>
      </c>
      <c r="F218" s="101"/>
      <c r="G218" s="101"/>
      <c r="H218" s="101"/>
      <c r="I218" s="101"/>
      <c r="J218" s="101"/>
      <c r="K218" s="101"/>
    </row>
    <row r="219">
      <c r="A219" s="3"/>
      <c r="B219" s="38" t="s">
        <v>961</v>
      </c>
      <c r="C219" s="62">
        <v>815</v>
      </c>
      <c r="D219" s="62">
        <v>833</v>
      </c>
      <c r="E219" s="101" t="s">
        <v>855</v>
      </c>
      <c r="F219" s="115" t="s">
        <v>962</v>
      </c>
      <c r="G219" s="101"/>
      <c r="H219" s="101"/>
      <c r="I219" s="101"/>
      <c r="J219" s="101"/>
      <c r="K219" s="101"/>
    </row>
    <row r="220">
      <c r="A220" s="3"/>
      <c r="B220" s="38" t="s">
        <v>963</v>
      </c>
      <c r="C220" s="62">
        <v>201</v>
      </c>
      <c r="D220" s="62">
        <v>206</v>
      </c>
      <c r="E220" s="101" t="s">
        <v>855</v>
      </c>
      <c r="F220" s="101"/>
      <c r="G220" s="101"/>
      <c r="H220" s="101"/>
      <c r="I220" s="101"/>
      <c r="J220" s="101"/>
      <c r="K220" s="101"/>
    </row>
    <row r="221">
      <c r="A221" s="3"/>
      <c r="B221" s="38" t="s">
        <v>964</v>
      </c>
      <c r="C221" s="62">
        <v>81</v>
      </c>
      <c r="D221" s="62">
        <v>73</v>
      </c>
      <c r="E221" s="101" t="s">
        <v>855</v>
      </c>
      <c r="F221" s="101"/>
      <c r="G221" s="101"/>
      <c r="H221" s="101"/>
      <c r="I221" s="101"/>
      <c r="J221" s="101"/>
      <c r="K221" s="101"/>
    </row>
    <row r="222">
      <c r="A222" s="3"/>
      <c r="B222" s="38" t="s">
        <v>965</v>
      </c>
      <c r="C222" s="62">
        <v>-3</v>
      </c>
      <c r="D222" s="62">
        <v>3</v>
      </c>
      <c r="E222" s="101" t="s">
        <v>855</v>
      </c>
      <c r="F222" s="101"/>
      <c r="G222" s="101"/>
      <c r="H222" s="101"/>
      <c r="I222" s="101"/>
      <c r="J222" s="101"/>
      <c r="K222" s="101"/>
    </row>
    <row r="223">
      <c r="A223" s="3"/>
      <c r="B223" s="38" t="s">
        <v>966</v>
      </c>
      <c r="C223" s="62">
        <v>279</v>
      </c>
      <c r="D223" s="62">
        <v>282</v>
      </c>
      <c r="E223" s="101" t="s">
        <v>855</v>
      </c>
      <c r="F223" s="101"/>
      <c r="G223" s="101"/>
      <c r="H223" s="101"/>
      <c r="I223" s="101"/>
      <c r="J223" s="101"/>
      <c r="K223" s="101"/>
    </row>
    <row r="224">
      <c r="A224" s="3"/>
      <c r="B224" s="38" t="s">
        <v>967</v>
      </c>
      <c r="C224" s="62">
        <v>78</v>
      </c>
      <c r="D224" s="62">
        <v>79</v>
      </c>
      <c r="E224" s="101" t="s">
        <v>855</v>
      </c>
      <c r="F224" s="101"/>
      <c r="G224" s="101"/>
      <c r="H224" s="101"/>
      <c r="I224" s="101"/>
      <c r="J224" s="101"/>
      <c r="K224" s="101"/>
    </row>
    <row r="225">
      <c r="A225" s="3"/>
      <c r="B225" s="38" t="s">
        <v>968</v>
      </c>
      <c r="C225" s="62">
        <v>63</v>
      </c>
      <c r="D225" s="62">
        <v>71</v>
      </c>
      <c r="E225" s="101" t="s">
        <v>855</v>
      </c>
      <c r="F225" s="101"/>
      <c r="G225" s="101"/>
      <c r="H225" s="101"/>
      <c r="I225" s="101"/>
      <c r="J225" s="101"/>
      <c r="K225" s="101"/>
    </row>
    <row r="226">
      <c r="A226" s="3"/>
      <c r="B226" s="38" t="s">
        <v>969</v>
      </c>
      <c r="C226" s="62">
        <v>10</v>
      </c>
      <c r="D226" s="62">
        <v>10</v>
      </c>
      <c r="E226" s="101" t="s">
        <v>855</v>
      </c>
      <c r="F226" s="101"/>
      <c r="G226" s="101"/>
      <c r="H226" s="101"/>
      <c r="I226" s="101"/>
      <c r="J226" s="101"/>
      <c r="K226" s="101"/>
    </row>
    <row r="227">
      <c r="A227" s="3"/>
      <c r="B227" s="38" t="s">
        <v>970</v>
      </c>
      <c r="C227" s="62">
        <v>58</v>
      </c>
      <c r="D227" s="62">
        <v>50</v>
      </c>
      <c r="E227" s="101" t="s">
        <v>855</v>
      </c>
      <c r="F227" s="101"/>
      <c r="G227" s="101"/>
      <c r="H227" s="101"/>
      <c r="I227" s="101"/>
      <c r="J227" s="101"/>
      <c r="K227" s="101"/>
    </row>
    <row r="228">
      <c r="A228" s="3"/>
      <c r="B228" s="38" t="s">
        <v>971</v>
      </c>
      <c r="C228" s="62">
        <v>488</v>
      </c>
      <c r="D228" s="62">
        <v>491</v>
      </c>
      <c r="E228" s="101" t="s">
        <v>855</v>
      </c>
      <c r="F228" s="101"/>
      <c r="G228" s="101"/>
      <c r="H228" s="101"/>
      <c r="I228" s="101"/>
      <c r="J228" s="101"/>
      <c r="K228" s="101"/>
    </row>
    <row r="229">
      <c r="A229" s="3"/>
      <c r="B229" s="38" t="s">
        <v>972</v>
      </c>
      <c r="C229" s="62">
        <v>325</v>
      </c>
      <c r="D229" s="62">
        <v>339</v>
      </c>
      <c r="E229" s="101" t="s">
        <v>855</v>
      </c>
      <c r="F229" s="101"/>
      <c r="G229" s="101"/>
      <c r="H229" s="101"/>
      <c r="I229" s="101"/>
      <c r="J229" s="101"/>
      <c r="K229" s="101"/>
    </row>
    <row r="230">
      <c r="A230" s="3"/>
      <c r="B230" s="38" t="s">
        <v>973</v>
      </c>
      <c r="C230" s="62">
        <v>40</v>
      </c>
      <c r="D230" s="62">
        <v>30</v>
      </c>
      <c r="E230" s="101" t="s">
        <v>855</v>
      </c>
      <c r="F230" s="101"/>
      <c r="G230" s="101"/>
      <c r="H230" s="101"/>
      <c r="I230" s="101"/>
      <c r="J230" s="101"/>
      <c r="K230" s="101"/>
    </row>
    <row r="231">
      <c r="A231" s="3"/>
      <c r="B231" s="38" t="s">
        <v>974</v>
      </c>
      <c r="C231" s="62">
        <v>285</v>
      </c>
      <c r="D231" s="62">
        <v>309</v>
      </c>
      <c r="E231" s="101" t="s">
        <v>855</v>
      </c>
      <c r="F231" s="101"/>
      <c r="G231" s="101"/>
      <c r="H231" s="101"/>
      <c r="I231" s="101"/>
      <c r="J231" s="101"/>
      <c r="K231" s="101"/>
    </row>
    <row r="232">
      <c r="A232" s="3"/>
      <c r="B232" s="38" t="s">
        <v>975</v>
      </c>
      <c r="C232" s="62">
        <v>63</v>
      </c>
      <c r="D232" s="62">
        <v>64</v>
      </c>
      <c r="E232" s="101" t="s">
        <v>855</v>
      </c>
      <c r="F232" s="101"/>
      <c r="G232" s="101"/>
      <c r="H232" s="101"/>
      <c r="I232" s="101"/>
      <c r="J232" s="101"/>
      <c r="K232" s="101"/>
    </row>
    <row r="233">
      <c r="A233" s="3"/>
      <c r="B233" s="38" t="s">
        <v>976</v>
      </c>
      <c r="C233" s="62">
        <v>222</v>
      </c>
      <c r="D233" s="62">
        <v>244</v>
      </c>
      <c r="E233" s="101" t="s">
        <v>855</v>
      </c>
      <c r="F233" s="101"/>
      <c r="G233" s="101"/>
      <c r="H233" s="101"/>
      <c r="I233" s="101"/>
      <c r="J233" s="101"/>
      <c r="K233" s="101"/>
    </row>
    <row r="234">
      <c r="A234" s="3"/>
      <c r="B234" s="38" t="s">
        <v>977</v>
      </c>
      <c r="C234" s="62">
        <v>4</v>
      </c>
      <c r="D234" s="62">
        <v>4</v>
      </c>
      <c r="E234" s="101" t="s">
        <v>855</v>
      </c>
      <c r="F234" s="101"/>
      <c r="G234" s="101"/>
      <c r="H234" s="101"/>
      <c r="I234" s="101"/>
      <c r="J234" s="101"/>
      <c r="K234" s="101"/>
    </row>
    <row r="235">
      <c r="A235" s="3"/>
      <c r="B235" s="38" t="s">
        <v>978</v>
      </c>
      <c r="C235" s="62">
        <v>218</v>
      </c>
      <c r="D235" s="62">
        <v>240</v>
      </c>
      <c r="E235" s="101" t="s">
        <v>855</v>
      </c>
      <c r="F235" s="101"/>
      <c r="G235" s="101"/>
      <c r="H235" s="101"/>
      <c r="I235" s="101"/>
      <c r="J235" s="101"/>
      <c r="K235" s="101"/>
    </row>
    <row r="236">
      <c r="A236" s="3"/>
      <c r="B236" s="38" t="s">
        <v>979</v>
      </c>
      <c r="C236" s="62">
        <v>5</v>
      </c>
      <c r="D236" s="62">
        <v>8</v>
      </c>
      <c r="E236" s="101" t="s">
        <v>855</v>
      </c>
      <c r="F236" s="101"/>
      <c r="G236" s="101"/>
      <c r="H236" s="101"/>
      <c r="I236" s="101"/>
      <c r="J236" s="101"/>
      <c r="K236" s="101"/>
    </row>
    <row r="237">
      <c r="A237" s="3"/>
      <c r="B237" s="38" t="s">
        <v>980</v>
      </c>
      <c r="C237" s="62">
        <v>213</v>
      </c>
      <c r="D237" s="62">
        <v>233</v>
      </c>
      <c r="E237" s="101" t="s">
        <v>855</v>
      </c>
      <c r="F237" s="101"/>
      <c r="G237" s="101"/>
      <c r="H237" s="101"/>
      <c r="I237" s="101"/>
      <c r="J237" s="101"/>
      <c r="K237" s="101"/>
    </row>
    <row r="238">
      <c r="A238" s="3"/>
      <c r="B238" s="38" t="s">
        <v>981</v>
      </c>
      <c r="C238" s="145">
        <v>0.41</v>
      </c>
      <c r="D238" s="145">
        <v>0.45</v>
      </c>
      <c r="E238" s="101" t="s">
        <v>855</v>
      </c>
      <c r="F238" s="101"/>
      <c r="G238" s="101"/>
      <c r="H238" s="101"/>
      <c r="I238" s="101"/>
      <c r="J238" s="101"/>
      <c r="K238" s="101"/>
    </row>
    <row r="239">
      <c r="A239" s="3"/>
      <c r="B239" s="38" t="s">
        <v>982</v>
      </c>
      <c r="C239" s="62">
        <v>0</v>
      </c>
      <c r="D239" s="62">
        <v>-4</v>
      </c>
      <c r="E239" s="101" t="s">
        <v>644</v>
      </c>
      <c r="F239" s="101"/>
      <c r="G239" s="101"/>
      <c r="H239" s="101"/>
      <c r="I239" s="101"/>
      <c r="J239" s="101"/>
      <c r="K239" s="101"/>
    </row>
    <row r="240">
      <c r="A240" s="3"/>
      <c r="B240" s="38" t="s">
        <v>983</v>
      </c>
      <c r="C240" s="62">
        <v>1</v>
      </c>
      <c r="D240" s="62">
        <v>-1</v>
      </c>
      <c r="E240" s="101" t="s">
        <v>644</v>
      </c>
      <c r="F240" s="101"/>
      <c r="G240" s="101"/>
      <c r="H240" s="101"/>
      <c r="I240" s="101"/>
      <c r="J240" s="101"/>
      <c r="K240" s="101"/>
    </row>
    <row r="241">
      <c r="A241" s="3"/>
      <c r="B241" s="38" t="s">
        <v>984</v>
      </c>
      <c r="C241" s="62">
        <v>5</v>
      </c>
      <c r="D241" s="62">
        <v>0</v>
      </c>
      <c r="E241" s="101" t="s">
        <v>644</v>
      </c>
      <c r="F241" s="101"/>
      <c r="G241" s="101"/>
      <c r="H241" s="101"/>
      <c r="I241" s="101"/>
      <c r="J241" s="101"/>
      <c r="K241" s="101"/>
    </row>
    <row r="242">
      <c r="A242" s="3"/>
      <c r="B242" s="38" t="s">
        <v>985</v>
      </c>
      <c r="C242" s="62">
        <v>6</v>
      </c>
      <c r="D242" s="62">
        <v>-4</v>
      </c>
      <c r="E242" s="101" t="s">
        <v>855</v>
      </c>
      <c r="F242" s="101"/>
      <c r="G242" s="101"/>
      <c r="H242" s="101"/>
      <c r="I242" s="101"/>
      <c r="J242" s="101"/>
      <c r="K242" s="101"/>
    </row>
    <row r="243">
      <c r="A243" s="3"/>
      <c r="B243" s="38" t="s">
        <v>986</v>
      </c>
      <c r="C243" s="62">
        <v>-1</v>
      </c>
      <c r="D243" s="62">
        <v>1</v>
      </c>
      <c r="E243" s="101" t="s">
        <v>644</v>
      </c>
      <c r="F243" s="101"/>
      <c r="G243" s="101"/>
      <c r="H243" s="101"/>
      <c r="I243" s="101"/>
      <c r="J243" s="101"/>
      <c r="K243" s="101"/>
    </row>
    <row r="244">
      <c r="A244" s="3"/>
      <c r="B244" s="38" t="s">
        <v>987</v>
      </c>
      <c r="C244" s="62">
        <v>0</v>
      </c>
      <c r="D244" s="62">
        <v>0</v>
      </c>
      <c r="E244" s="101" t="s">
        <v>633</v>
      </c>
      <c r="F244" s="101"/>
      <c r="G244" s="101"/>
      <c r="H244" s="101"/>
      <c r="I244" s="101"/>
      <c r="J244" s="101"/>
      <c r="K244" s="101"/>
    </row>
    <row r="245">
      <c r="A245" s="3"/>
      <c r="B245" s="38" t="s">
        <v>988</v>
      </c>
      <c r="C245" s="62">
        <v>217</v>
      </c>
      <c r="D245" s="62">
        <v>229</v>
      </c>
      <c r="E245" s="101" t="s">
        <v>855</v>
      </c>
      <c r="F245" s="101"/>
      <c r="G245" s="101"/>
      <c r="H245" s="101"/>
      <c r="I245" s="101"/>
      <c r="J245" s="101"/>
      <c r="K245" s="101"/>
    </row>
    <row r="246">
      <c r="A246" s="3"/>
      <c r="B246" s="38" t="s">
        <v>989</v>
      </c>
      <c r="C246" s="145">
        <v>0.42</v>
      </c>
      <c r="D246" s="145">
        <v>0.45</v>
      </c>
      <c r="E246" s="101" t="s">
        <v>855</v>
      </c>
      <c r="F246" s="101"/>
      <c r="G246" s="101"/>
      <c r="H246" s="101"/>
      <c r="I246" s="101"/>
      <c r="J246" s="101"/>
      <c r="K246" s="101"/>
    </row>
    <row r="247">
      <c r="A247" s="3"/>
      <c r="B247" s="38" t="s">
        <v>990</v>
      </c>
      <c r="C247" s="62">
        <v>33354</v>
      </c>
      <c r="D247" s="62">
        <v>34359</v>
      </c>
      <c r="E247" s="101" t="s">
        <v>991</v>
      </c>
      <c r="F247" s="101"/>
      <c r="G247" s="101"/>
      <c r="H247" s="101"/>
      <c r="I247" s="101"/>
      <c r="J247" s="101"/>
      <c r="K247" s="101"/>
    </row>
    <row r="248">
      <c r="A248" s="3"/>
      <c r="B248" s="38" t="s">
        <v>992</v>
      </c>
      <c r="C248" s="62">
        <v>3369</v>
      </c>
      <c r="D248" s="62">
        <v>4058</v>
      </c>
      <c r="E248" s="101" t="s">
        <v>991</v>
      </c>
      <c r="F248" s="101"/>
      <c r="G248" s="101"/>
      <c r="H248" s="101"/>
      <c r="I248" s="101"/>
      <c r="J248" s="101"/>
      <c r="K248" s="101"/>
    </row>
    <row r="249">
      <c r="A249" s="3"/>
      <c r="B249" s="38" t="s">
        <v>993</v>
      </c>
      <c r="C249" s="62">
        <v>14139</v>
      </c>
      <c r="D249" s="62">
        <v>13936</v>
      </c>
      <c r="E249" s="101" t="s">
        <v>991</v>
      </c>
      <c r="F249" s="101"/>
      <c r="G249" s="101"/>
      <c r="H249" s="101"/>
      <c r="I249" s="101"/>
      <c r="J249" s="101"/>
      <c r="K249" s="101"/>
    </row>
    <row r="250">
      <c r="A250" s="3"/>
      <c r="B250" s="38" t="s">
        <v>994</v>
      </c>
      <c r="C250" s="62">
        <v>14089</v>
      </c>
      <c r="D250" s="62">
        <v>14368</v>
      </c>
      <c r="E250" s="101" t="s">
        <v>991</v>
      </c>
      <c r="F250" s="101"/>
      <c r="G250" s="101"/>
      <c r="H250" s="101"/>
      <c r="I250" s="101"/>
      <c r="J250" s="101"/>
      <c r="K250" s="101"/>
    </row>
    <row r="251">
      <c r="A251" s="3"/>
      <c r="B251" s="38" t="s">
        <v>995</v>
      </c>
      <c r="C251" s="62">
        <v>633</v>
      </c>
      <c r="D251" s="62">
        <v>597</v>
      </c>
      <c r="E251" s="101" t="s">
        <v>991</v>
      </c>
      <c r="F251" s="101"/>
      <c r="G251" s="101"/>
      <c r="H251" s="101"/>
      <c r="I251" s="101"/>
      <c r="J251" s="101"/>
      <c r="K251" s="101"/>
    </row>
    <row r="252">
      <c r="A252" s="3"/>
      <c r="B252" s="38" t="s">
        <v>996</v>
      </c>
      <c r="C252" s="62">
        <v>62215</v>
      </c>
      <c r="D252" s="62">
        <v>63260</v>
      </c>
      <c r="E252" s="101" t="s">
        <v>991</v>
      </c>
      <c r="F252" s="101"/>
      <c r="G252" s="101"/>
      <c r="H252" s="101"/>
      <c r="I252" s="101"/>
      <c r="J252" s="101"/>
      <c r="K252" s="101"/>
    </row>
    <row r="253">
      <c r="A253" s="3"/>
      <c r="B253" s="38" t="s">
        <v>997</v>
      </c>
      <c r="C253" s="62">
        <v>510</v>
      </c>
      <c r="D253" s="62">
        <v>402</v>
      </c>
      <c r="E253" s="101" t="s">
        <v>991</v>
      </c>
      <c r="F253" s="101"/>
      <c r="G253" s="101"/>
      <c r="H253" s="101"/>
      <c r="I253" s="101"/>
      <c r="J253" s="101"/>
      <c r="K253" s="101"/>
    </row>
    <row r="254">
      <c r="A254" s="3"/>
      <c r="B254" s="38" t="s">
        <v>998</v>
      </c>
      <c r="C254" s="62">
        <v>9333</v>
      </c>
      <c r="D254" s="62">
        <v>9362</v>
      </c>
      <c r="E254" s="101" t="s">
        <v>991</v>
      </c>
      <c r="F254" s="101"/>
      <c r="G254" s="101"/>
      <c r="H254" s="101"/>
      <c r="I254" s="101"/>
      <c r="J254" s="101"/>
      <c r="K254" s="101"/>
    </row>
    <row r="255">
      <c r="A255" s="3"/>
      <c r="B255" s="38" t="s">
        <v>999</v>
      </c>
      <c r="C255" s="62">
        <v>1376</v>
      </c>
      <c r="D255" s="62">
        <v>1430</v>
      </c>
      <c r="E255" s="101" t="s">
        <v>991</v>
      </c>
      <c r="F255" s="101"/>
      <c r="G255" s="101"/>
      <c r="H255" s="101"/>
      <c r="I255" s="101"/>
      <c r="J255" s="101"/>
      <c r="K255" s="101"/>
    </row>
    <row r="256">
      <c r="A256" s="3"/>
      <c r="B256" s="38" t="s">
        <v>1000</v>
      </c>
      <c r="C256" s="62">
        <v>1164</v>
      </c>
      <c r="D256" s="62">
        <v>911</v>
      </c>
      <c r="E256" s="101" t="s">
        <v>991</v>
      </c>
      <c r="F256" s="101"/>
      <c r="G256" s="101"/>
      <c r="H256" s="101"/>
      <c r="I256" s="101"/>
      <c r="J256" s="101"/>
      <c r="K256" s="101"/>
    </row>
    <row r="257">
      <c r="A257" s="3"/>
      <c r="B257" s="38" t="s">
        <v>1001</v>
      </c>
      <c r="C257" s="62">
        <v>728</v>
      </c>
      <c r="D257" s="62">
        <v>527</v>
      </c>
      <c r="E257" s="101" t="s">
        <v>991</v>
      </c>
      <c r="F257" s="101"/>
      <c r="G257" s="101"/>
      <c r="H257" s="101"/>
      <c r="I257" s="101"/>
      <c r="J257" s="101"/>
      <c r="K257" s="101"/>
    </row>
    <row r="258">
      <c r="A258" s="3"/>
      <c r="B258" s="38" t="s">
        <v>1002</v>
      </c>
      <c r="C258" s="62">
        <v>915</v>
      </c>
      <c r="D258" s="62">
        <v>988</v>
      </c>
      <c r="E258" s="101" t="s">
        <v>991</v>
      </c>
      <c r="F258" s="101"/>
      <c r="G258" s="101"/>
      <c r="H258" s="101"/>
      <c r="I258" s="101"/>
      <c r="J258" s="101"/>
      <c r="K258" s="101"/>
    </row>
    <row r="259">
      <c r="A259" s="3"/>
      <c r="B259" s="38" t="s">
        <v>1003</v>
      </c>
      <c r="C259" s="62">
        <v>1643</v>
      </c>
      <c r="D259" s="62">
        <v>1633</v>
      </c>
      <c r="E259" s="101" t="s">
        <v>991</v>
      </c>
      <c r="F259" s="101"/>
      <c r="G259" s="101"/>
      <c r="H259" s="101"/>
      <c r="I259" s="101"/>
      <c r="J259" s="101"/>
      <c r="K259" s="101"/>
    </row>
    <row r="260">
      <c r="A260" s="3"/>
      <c r="B260" s="38" t="s">
        <v>1004</v>
      </c>
      <c r="C260" s="62">
        <v>569</v>
      </c>
      <c r="D260" s="62">
        <v>561</v>
      </c>
      <c r="E260" s="101" t="s">
        <v>991</v>
      </c>
      <c r="F260" s="101"/>
      <c r="G260" s="101"/>
      <c r="H260" s="101"/>
      <c r="I260" s="101"/>
      <c r="J260" s="101"/>
      <c r="K260" s="101"/>
    </row>
    <row r="261">
      <c r="A261" s="3"/>
      <c r="B261" s="38" t="s">
        <v>1005</v>
      </c>
      <c r="C261" s="62">
        <v>-822</v>
      </c>
      <c r="D261" s="62">
        <v>-814</v>
      </c>
      <c r="E261" s="101" t="s">
        <v>991</v>
      </c>
      <c r="F261" s="101"/>
      <c r="G261" s="101"/>
      <c r="H261" s="101"/>
      <c r="I261" s="101"/>
      <c r="J261" s="101"/>
      <c r="K261" s="101"/>
    </row>
    <row r="262">
      <c r="A262" s="3"/>
      <c r="B262" s="38" t="s">
        <v>1006</v>
      </c>
      <c r="C262" s="62">
        <v>3861</v>
      </c>
      <c r="D262" s="62">
        <v>3823</v>
      </c>
      <c r="E262" s="101" t="s">
        <v>991</v>
      </c>
      <c r="F262" s="101"/>
      <c r="G262" s="101"/>
      <c r="H262" s="101"/>
      <c r="I262" s="101"/>
      <c r="J262" s="101"/>
      <c r="K262" s="101"/>
    </row>
    <row r="263">
      <c r="A263" s="3"/>
      <c r="B263" s="38" t="s">
        <v>1007</v>
      </c>
      <c r="C263" s="62">
        <v>26242</v>
      </c>
      <c r="D263" s="62">
        <v>25939</v>
      </c>
      <c r="E263" s="101" t="s">
        <v>991</v>
      </c>
      <c r="F263" s="101"/>
      <c r="G263" s="101"/>
      <c r="H263" s="101"/>
      <c r="I263" s="101"/>
      <c r="J263" s="101"/>
      <c r="K263" s="101"/>
    </row>
    <row r="264">
      <c r="A264" s="3"/>
      <c r="B264" s="38" t="s">
        <v>1008</v>
      </c>
      <c r="C264" s="62">
        <v>5918</v>
      </c>
      <c r="D264" s="62">
        <v>7270</v>
      </c>
      <c r="E264" s="101" t="s">
        <v>991</v>
      </c>
      <c r="F264" s="101"/>
      <c r="G264" s="101"/>
      <c r="H264" s="101"/>
      <c r="I264" s="101"/>
      <c r="J264" s="101"/>
      <c r="K264" s="101"/>
    </row>
    <row r="265">
      <c r="A265" s="3"/>
      <c r="B265" s="38" t="s">
        <v>1009</v>
      </c>
      <c r="C265" s="62">
        <v>16213</v>
      </c>
      <c r="D265" s="62">
        <v>16477</v>
      </c>
      <c r="E265" s="101" t="s">
        <v>991</v>
      </c>
      <c r="F265" s="101"/>
      <c r="G265" s="101"/>
      <c r="H265" s="101"/>
      <c r="I265" s="101"/>
      <c r="J265" s="101"/>
      <c r="K265" s="101"/>
    </row>
    <row r="266">
      <c r="A266" s="3"/>
      <c r="B266" s="38" t="s">
        <v>1010</v>
      </c>
      <c r="C266" s="62">
        <v>670</v>
      </c>
      <c r="D266" s="62">
        <v>469</v>
      </c>
      <c r="E266" s="101" t="s">
        <v>991</v>
      </c>
      <c r="F266" s="101"/>
      <c r="G266" s="101"/>
      <c r="H266" s="101"/>
      <c r="I266" s="101"/>
      <c r="J266" s="101"/>
      <c r="K266" s="101"/>
    </row>
    <row r="267">
      <c r="A267" s="3"/>
      <c r="B267" s="38" t="s">
        <v>1011</v>
      </c>
      <c r="C267" s="62">
        <v>2572</v>
      </c>
      <c r="D267" s="62">
        <v>3201</v>
      </c>
      <c r="E267" s="101" t="s">
        <v>991</v>
      </c>
      <c r="F267" s="101"/>
      <c r="G267" s="101"/>
      <c r="H267" s="101"/>
      <c r="I267" s="101"/>
      <c r="J267" s="101"/>
      <c r="K267" s="101"/>
    </row>
    <row r="268">
      <c r="A268" s="3"/>
      <c r="B268" s="38" t="s">
        <v>1012</v>
      </c>
      <c r="C268" s="62">
        <v>1223</v>
      </c>
      <c r="D268" s="62">
        <v>260</v>
      </c>
      <c r="E268" s="101" t="s">
        <v>991</v>
      </c>
      <c r="F268" s="101"/>
      <c r="G268" s="101"/>
      <c r="H268" s="101"/>
      <c r="I268" s="101"/>
      <c r="J268" s="101"/>
      <c r="K268" s="101"/>
    </row>
    <row r="269">
      <c r="A269" s="3"/>
      <c r="B269" s="38" t="s">
        <v>1013</v>
      </c>
      <c r="C269" s="62">
        <v>1691</v>
      </c>
      <c r="D269" s="62">
        <v>1342</v>
      </c>
      <c r="E269" s="101" t="s">
        <v>991</v>
      </c>
      <c r="F269" s="101"/>
      <c r="G269" s="101"/>
      <c r="H269" s="101"/>
      <c r="I269" s="101"/>
      <c r="J269" s="101"/>
      <c r="K269" s="101"/>
    </row>
    <row r="270">
      <c r="A270" s="3"/>
      <c r="B270" s="38" t="s">
        <v>1014</v>
      </c>
      <c r="C270" s="62">
        <v>15835</v>
      </c>
      <c r="D270" s="62">
        <v>15892</v>
      </c>
      <c r="E270" s="101" t="s">
        <v>991</v>
      </c>
      <c r="F270" s="101"/>
      <c r="G270" s="101"/>
      <c r="H270" s="101"/>
      <c r="I270" s="101"/>
      <c r="J270" s="101"/>
      <c r="K270" s="101"/>
    </row>
    <row r="271">
      <c r="A271" s="3"/>
      <c r="B271" s="38" t="s">
        <v>1015</v>
      </c>
      <c r="C271" s="62">
        <v>2084</v>
      </c>
      <c r="D271" s="62">
        <v>1978</v>
      </c>
      <c r="E271" s="101" t="s">
        <v>991</v>
      </c>
      <c r="F271" s="101"/>
      <c r="G271" s="101"/>
      <c r="H271" s="101"/>
      <c r="I271" s="101"/>
      <c r="J271" s="101"/>
      <c r="K271" s="101"/>
    </row>
    <row r="272">
      <c r="A272" s="3"/>
      <c r="B272" s="38" t="s">
        <v>1016</v>
      </c>
      <c r="C272" s="62">
        <v>64208</v>
      </c>
      <c r="D272" s="62">
        <v>65576</v>
      </c>
      <c r="E272" s="101" t="s">
        <v>991</v>
      </c>
      <c r="F272" s="101"/>
      <c r="G272" s="101"/>
      <c r="H272" s="101"/>
      <c r="I272" s="101"/>
      <c r="J272" s="101"/>
      <c r="K272" s="101"/>
    </row>
    <row r="273">
      <c r="A273" s="3"/>
      <c r="B273" s="38" t="s">
        <v>1017</v>
      </c>
      <c r="C273" s="18"/>
      <c r="D273" s="62">
        <v>901</v>
      </c>
      <c r="E273" s="101" t="s">
        <v>633</v>
      </c>
      <c r="F273" s="101"/>
      <c r="G273" s="101"/>
      <c r="H273" s="101"/>
      <c r="I273" s="101"/>
      <c r="J273" s="101"/>
      <c r="K273" s="101"/>
    </row>
    <row r="274">
      <c r="A274" s="3"/>
      <c r="B274" s="38" t="s">
        <v>1018</v>
      </c>
      <c r="C274" s="134"/>
      <c r="D274" s="130">
        <v>0.0022</v>
      </c>
      <c r="E274" s="101" t="s">
        <v>633</v>
      </c>
      <c r="F274" s="101"/>
      <c r="G274" s="101"/>
      <c r="H274" s="101"/>
      <c r="I274" s="101"/>
      <c r="J274" s="101"/>
      <c r="K274" s="101"/>
    </row>
    <row r="275">
      <c r="A275" s="3"/>
      <c r="B275" s="38" t="s">
        <v>1019</v>
      </c>
      <c r="C275" s="12"/>
      <c r="D275" s="33">
        <v>0.11</v>
      </c>
      <c r="E275" s="101" t="s">
        <v>633</v>
      </c>
      <c r="F275" s="101"/>
      <c r="G275" s="101"/>
      <c r="H275" s="101"/>
      <c r="I275" s="101"/>
      <c r="J275" s="101"/>
      <c r="K275" s="101"/>
    </row>
    <row r="276">
      <c r="A276" s="3"/>
      <c r="B276" s="38" t="s">
        <v>1020</v>
      </c>
      <c r="C276" s="18"/>
      <c r="D276" s="62">
        <v>509</v>
      </c>
      <c r="E276" s="101" t="s">
        <v>633</v>
      </c>
      <c r="F276" s="101"/>
      <c r="G276" s="101"/>
      <c r="H276" s="101"/>
      <c r="I276" s="101"/>
      <c r="J276" s="101"/>
      <c r="K276" s="101"/>
    </row>
    <row r="277">
      <c r="A277" s="3"/>
      <c r="B277" s="38" t="s">
        <v>1021</v>
      </c>
      <c r="C277" s="62">
        <v>517</v>
      </c>
      <c r="D277" s="62">
        <v>508</v>
      </c>
      <c r="E277" s="101" t="s">
        <v>855</v>
      </c>
      <c r="F277" s="101"/>
      <c r="G277" s="101"/>
      <c r="H277" s="101"/>
      <c r="I277" s="101"/>
      <c r="J277" s="101"/>
      <c r="K277" s="101"/>
    </row>
    <row r="278">
      <c r="A278" s="3"/>
      <c r="B278" s="38" t="s">
        <v>1022</v>
      </c>
      <c r="C278" s="62">
        <v>523</v>
      </c>
      <c r="D278" s="62">
        <v>514</v>
      </c>
      <c r="E278" s="101" t="s">
        <v>855</v>
      </c>
      <c r="F278" s="101"/>
      <c r="G278" s="101"/>
      <c r="H278" s="101"/>
      <c r="I278" s="101"/>
      <c r="J278" s="101"/>
      <c r="K278" s="101"/>
    </row>
    <row r="279">
      <c r="A279" s="3"/>
      <c r="B279" s="38" t="s">
        <v>1023</v>
      </c>
      <c r="C279" s="145">
        <v>0.15</v>
      </c>
      <c r="D279" s="145">
        <v>0.15</v>
      </c>
      <c r="E279" s="101" t="s">
        <v>644</v>
      </c>
      <c r="F279" s="101"/>
      <c r="G279" s="101"/>
      <c r="H279" s="101"/>
      <c r="I279" s="101"/>
      <c r="J279" s="101"/>
      <c r="K279" s="101"/>
    </row>
    <row r="280">
      <c r="A280" s="3"/>
      <c r="B280" s="38" t="s">
        <v>1024</v>
      </c>
      <c r="C280" s="103">
        <v>90</v>
      </c>
      <c r="D280" s="103">
        <v>91</v>
      </c>
      <c r="E280" s="101" t="s">
        <v>1025</v>
      </c>
      <c r="F280" s="101"/>
      <c r="G280" s="101"/>
      <c r="H280" s="101"/>
      <c r="I280" s="101"/>
      <c r="J280" s="101"/>
      <c r="K280" s="101"/>
    </row>
    <row r="281">
      <c r="A281" s="3"/>
      <c r="B281" s="3"/>
      <c r="C281" s="101"/>
      <c r="D281" s="101"/>
      <c r="E281" s="101"/>
      <c r="F281" s="101"/>
      <c r="G281" s="101"/>
      <c r="H281" s="101"/>
      <c r="I281" s="101"/>
      <c r="J281" s="101"/>
      <c r="K281" s="101"/>
    </row>
    <row r="282">
      <c r="A282" s="3"/>
      <c r="B282" s="56" t="s">
        <v>1026</v>
      </c>
      <c r="C282" s="101"/>
      <c r="D282" s="101"/>
      <c r="E282" s="101"/>
      <c r="F282" s="101"/>
      <c r="G282" s="101"/>
      <c r="H282" s="101"/>
      <c r="I282" s="101"/>
      <c r="J282" s="101"/>
      <c r="K282" s="101"/>
    </row>
    <row r="283">
      <c r="A283" s="3"/>
      <c r="B283" s="56" t="s">
        <v>850</v>
      </c>
      <c r="C283" s="129" t="s">
        <v>1027</v>
      </c>
      <c r="D283" s="129" t="s">
        <v>1028</v>
      </c>
      <c r="E283" s="129" t="s">
        <v>1029</v>
      </c>
      <c r="F283" s="129" t="s">
        <v>1030</v>
      </c>
      <c r="G283" s="129" t="s">
        <v>1031</v>
      </c>
      <c r="H283" s="129" t="s">
        <v>1032</v>
      </c>
      <c r="I283" s="102" t="s">
        <v>853</v>
      </c>
      <c r="J283" s="102"/>
      <c r="K283" s="102"/>
    </row>
    <row r="284">
      <c r="A284" s="3"/>
      <c r="B284" s="38" t="s">
        <v>314</v>
      </c>
      <c r="C284" s="62">
        <v>222</v>
      </c>
      <c r="D284" s="62">
        <v>467</v>
      </c>
      <c r="E284" s="62">
        <v>732</v>
      </c>
      <c r="F284" s="62">
        <v>998</v>
      </c>
      <c r="G284" s="62">
        <v>266</v>
      </c>
      <c r="H284" s="62">
        <v>541</v>
      </c>
      <c r="I284" s="101" t="s">
        <v>1033</v>
      </c>
      <c r="J284" s="101"/>
      <c r="K284" s="101"/>
    </row>
    <row r="285">
      <c r="A285" s="3"/>
      <c r="B285" s="38" t="s">
        <v>225</v>
      </c>
      <c r="C285" s="62">
        <v>40</v>
      </c>
      <c r="D285" s="62">
        <v>70</v>
      </c>
      <c r="E285" s="62">
        <v>65</v>
      </c>
      <c r="F285" s="62">
        <v>65</v>
      </c>
      <c r="G285" s="62">
        <v>15</v>
      </c>
      <c r="H285" s="62">
        <v>30</v>
      </c>
      <c r="I285" s="101" t="s">
        <v>1033</v>
      </c>
      <c r="J285" s="101"/>
      <c r="K285" s="101"/>
    </row>
    <row r="286">
      <c r="A286" s="3"/>
      <c r="B286" s="38" t="s">
        <v>474</v>
      </c>
      <c r="C286" s="62">
        <v>2</v>
      </c>
      <c r="D286" s="62">
        <v>20</v>
      </c>
      <c r="E286" s="62">
        <v>56</v>
      </c>
      <c r="F286" s="62">
        <v>49</v>
      </c>
      <c r="G286" s="62">
        <v>25</v>
      </c>
      <c r="H286" s="62">
        <v>69</v>
      </c>
      <c r="I286" s="101" t="s">
        <v>1033</v>
      </c>
      <c r="J286" s="101"/>
      <c r="K286" s="101"/>
    </row>
    <row r="287">
      <c r="A287" s="3"/>
      <c r="B287" s="38" t="s">
        <v>476</v>
      </c>
      <c r="C287" s="62">
        <v>14</v>
      </c>
      <c r="D287" s="62">
        <v>28</v>
      </c>
      <c r="E287" s="62">
        <v>42</v>
      </c>
      <c r="F287" s="62">
        <v>56</v>
      </c>
      <c r="G287" s="62">
        <v>14</v>
      </c>
      <c r="H287" s="62">
        <v>27</v>
      </c>
      <c r="I287" s="101" t="s">
        <v>1033</v>
      </c>
      <c r="J287" s="101"/>
      <c r="K287" s="101"/>
    </row>
    <row r="288">
      <c r="A288" s="3"/>
      <c r="B288" s="38" t="s">
        <v>305</v>
      </c>
      <c r="C288" s="62">
        <v>10</v>
      </c>
      <c r="D288" s="62">
        <v>20</v>
      </c>
      <c r="E288" s="62">
        <v>29</v>
      </c>
      <c r="F288" s="62">
        <v>38</v>
      </c>
      <c r="G288" s="62">
        <v>8</v>
      </c>
      <c r="H288" s="62">
        <v>16</v>
      </c>
      <c r="I288" s="101" t="s">
        <v>1033</v>
      </c>
      <c r="J288" s="101"/>
      <c r="K288" s="101"/>
    </row>
    <row r="289">
      <c r="A289" s="3"/>
      <c r="B289" s="38" t="s">
        <v>478</v>
      </c>
      <c r="C289" s="62">
        <v>-2</v>
      </c>
      <c r="D289" s="62">
        <v>-7</v>
      </c>
      <c r="E289" s="62">
        <v>-24</v>
      </c>
      <c r="F289" s="62">
        <v>-30</v>
      </c>
      <c r="G289" s="62">
        <v>0</v>
      </c>
      <c r="H289" s="62">
        <v>-2</v>
      </c>
      <c r="I289" s="101" t="s">
        <v>1033</v>
      </c>
      <c r="J289" s="101"/>
      <c r="K289" s="101"/>
    </row>
    <row r="290">
      <c r="A290" s="3"/>
      <c r="B290" s="38" t="s">
        <v>479</v>
      </c>
      <c r="C290" s="62">
        <v>237</v>
      </c>
      <c r="D290" s="62">
        <v>433</v>
      </c>
      <c r="E290" s="62">
        <v>-18</v>
      </c>
      <c r="F290" s="62">
        <v>530</v>
      </c>
      <c r="G290" s="62">
        <v>363</v>
      </c>
      <c r="H290" s="62">
        <v>1089</v>
      </c>
      <c r="I290" s="101" t="s">
        <v>1033</v>
      </c>
      <c r="J290" s="101"/>
      <c r="K290" s="101"/>
    </row>
    <row r="291">
      <c r="A291" s="3"/>
      <c r="B291" s="38" t="s">
        <v>480</v>
      </c>
      <c r="C291" s="62">
        <v>-3</v>
      </c>
      <c r="D291" s="62">
        <v>-10</v>
      </c>
      <c r="E291" s="62">
        <v>-4</v>
      </c>
      <c r="F291" s="62">
        <v>5</v>
      </c>
      <c r="G291" s="62">
        <v>-12</v>
      </c>
      <c r="H291" s="62">
        <v>5</v>
      </c>
      <c r="I291" s="101" t="s">
        <v>1033</v>
      </c>
      <c r="J291" s="101"/>
      <c r="K291" s="101"/>
    </row>
    <row r="292">
      <c r="A292" s="3"/>
      <c r="B292" s="38" t="s">
        <v>481</v>
      </c>
      <c r="C292" s="62">
        <v>18</v>
      </c>
      <c r="D292" s="62">
        <v>33</v>
      </c>
      <c r="E292" s="62">
        <v>48</v>
      </c>
      <c r="F292" s="62">
        <v>61</v>
      </c>
      <c r="G292" s="62">
        <v>13</v>
      </c>
      <c r="H292" s="62">
        <v>27</v>
      </c>
      <c r="I292" s="101" t="s">
        <v>1033</v>
      </c>
      <c r="J292" s="101"/>
      <c r="K292" s="101"/>
    </row>
    <row r="293">
      <c r="A293" s="3"/>
      <c r="B293" s="38" t="s">
        <v>483</v>
      </c>
      <c r="C293" s="62">
        <v>0</v>
      </c>
      <c r="D293" s="62">
        <v>0</v>
      </c>
      <c r="E293" s="62">
        <v>-1</v>
      </c>
      <c r="F293" s="62">
        <v>-1</v>
      </c>
      <c r="G293" s="62">
        <v>1</v>
      </c>
      <c r="H293" s="62">
        <v>0</v>
      </c>
      <c r="I293" s="101" t="s">
        <v>1033</v>
      </c>
      <c r="J293" s="101"/>
      <c r="K293" s="101"/>
    </row>
    <row r="294">
      <c r="A294" s="3"/>
      <c r="B294" s="38" t="s">
        <v>484</v>
      </c>
      <c r="C294" s="62">
        <v>-558</v>
      </c>
      <c r="D294" s="62">
        <v>-1241</v>
      </c>
      <c r="E294" s="62">
        <v>-2148</v>
      </c>
      <c r="F294" s="62">
        <v>-3077</v>
      </c>
      <c r="G294" s="62">
        <v>-1047</v>
      </c>
      <c r="H294" s="62">
        <v>-2111</v>
      </c>
      <c r="I294" s="101" t="s">
        <v>1033</v>
      </c>
      <c r="J294" s="101"/>
      <c r="K294" s="101"/>
    </row>
    <row r="295">
      <c r="A295" s="3"/>
      <c r="B295" s="38" t="s">
        <v>487</v>
      </c>
      <c r="C295" s="62">
        <v>372</v>
      </c>
      <c r="D295" s="62">
        <v>916</v>
      </c>
      <c r="E295" s="62">
        <v>1524</v>
      </c>
      <c r="F295" s="62">
        <v>2187</v>
      </c>
      <c r="G295" s="62">
        <v>592</v>
      </c>
      <c r="H295" s="62">
        <v>1364</v>
      </c>
      <c r="I295" s="101" t="s">
        <v>1033</v>
      </c>
      <c r="J295" s="101"/>
      <c r="K295" s="101"/>
    </row>
    <row r="296">
      <c r="A296" s="3"/>
      <c r="B296" s="38" t="s">
        <v>488</v>
      </c>
      <c r="C296" s="62">
        <v>-1</v>
      </c>
      <c r="D296" s="62">
        <v>-7</v>
      </c>
      <c r="E296" s="62">
        <v>2</v>
      </c>
      <c r="F296" s="62">
        <v>-19</v>
      </c>
      <c r="G296" s="62">
        <v>26</v>
      </c>
      <c r="H296" s="62">
        <v>43</v>
      </c>
      <c r="I296" s="101" t="s">
        <v>1033</v>
      </c>
      <c r="J296" s="101"/>
      <c r="K296" s="101"/>
    </row>
    <row r="297">
      <c r="A297" s="3"/>
      <c r="B297" s="38" t="s">
        <v>490</v>
      </c>
      <c r="C297" s="62">
        <v>-2</v>
      </c>
      <c r="D297" s="62">
        <v>-290</v>
      </c>
      <c r="E297" s="62">
        <v>-71</v>
      </c>
      <c r="F297" s="62">
        <v>-234</v>
      </c>
      <c r="G297" s="62">
        <v>14</v>
      </c>
      <c r="H297" s="62">
        <v>-235</v>
      </c>
      <c r="I297" s="101" t="s">
        <v>1033</v>
      </c>
      <c r="J297" s="101"/>
      <c r="K297" s="101"/>
    </row>
    <row r="298">
      <c r="A298" s="3"/>
      <c r="B298" s="38" t="s">
        <v>497</v>
      </c>
      <c r="C298" s="62">
        <v>0</v>
      </c>
      <c r="D298" s="62">
        <v>0</v>
      </c>
      <c r="E298" s="62">
        <v>0</v>
      </c>
      <c r="F298" s="62">
        <v>0</v>
      </c>
      <c r="G298" s="62">
        <v>0</v>
      </c>
      <c r="H298" s="62">
        <v>0</v>
      </c>
      <c r="I298" s="101" t="s">
        <v>1033</v>
      </c>
      <c r="J298" s="101"/>
      <c r="K298" s="101"/>
    </row>
    <row r="299">
      <c r="A299" s="3"/>
      <c r="B299" s="38" t="s">
        <v>499</v>
      </c>
      <c r="C299" s="62">
        <v>217</v>
      </c>
      <c r="D299" s="62">
        <v>457</v>
      </c>
      <c r="E299" s="62">
        <v>711</v>
      </c>
      <c r="F299" s="62">
        <v>957</v>
      </c>
      <c r="G299" s="62">
        <v>261</v>
      </c>
      <c r="H299" s="62">
        <v>544</v>
      </c>
      <c r="I299" s="101" t="s">
        <v>1033</v>
      </c>
      <c r="J299" s="101"/>
      <c r="K299" s="101"/>
    </row>
    <row r="300">
      <c r="A300" s="3"/>
      <c r="B300" s="38" t="s">
        <v>500</v>
      </c>
      <c r="C300" s="62">
        <v>-245</v>
      </c>
      <c r="D300" s="62">
        <v>-457</v>
      </c>
      <c r="E300" s="62">
        <v>-624</v>
      </c>
      <c r="F300" s="62">
        <v>-874</v>
      </c>
      <c r="G300" s="62">
        <v>-262</v>
      </c>
      <c r="H300" s="62">
        <v>-284</v>
      </c>
      <c r="I300" s="101" t="s">
        <v>1033</v>
      </c>
      <c r="J300" s="101"/>
      <c r="K300" s="101"/>
    </row>
    <row r="301">
      <c r="A301" s="3"/>
      <c r="B301" s="38" t="s">
        <v>501</v>
      </c>
      <c r="C301" s="62">
        <v>13</v>
      </c>
      <c r="D301" s="62">
        <v>27</v>
      </c>
      <c r="E301" s="62">
        <v>43</v>
      </c>
      <c r="F301" s="62">
        <v>57</v>
      </c>
      <c r="G301" s="62">
        <v>13</v>
      </c>
      <c r="H301" s="62">
        <v>29</v>
      </c>
      <c r="I301" s="101" t="s">
        <v>1033</v>
      </c>
      <c r="J301" s="101"/>
      <c r="K301" s="101"/>
    </row>
    <row r="302">
      <c r="A302" s="3"/>
      <c r="B302" s="38" t="s">
        <v>503</v>
      </c>
      <c r="C302" s="62">
        <v>0</v>
      </c>
      <c r="D302" s="62">
        <v>0</v>
      </c>
      <c r="E302" s="62">
        <v>3</v>
      </c>
      <c r="F302" s="62">
        <v>3</v>
      </c>
      <c r="G302" s="62">
        <v>0</v>
      </c>
      <c r="H302" s="62">
        <v>0</v>
      </c>
      <c r="I302" s="101" t="s">
        <v>1033</v>
      </c>
      <c r="J302" s="101"/>
      <c r="K302" s="101"/>
    </row>
    <row r="303">
      <c r="A303" s="3"/>
      <c r="B303" s="38" t="s">
        <v>504</v>
      </c>
      <c r="C303" s="62">
        <v>-9</v>
      </c>
      <c r="D303" s="62">
        <v>-18</v>
      </c>
      <c r="E303" s="62">
        <v>-26</v>
      </c>
      <c r="F303" s="62">
        <v>-33</v>
      </c>
      <c r="G303" s="62">
        <v>-8</v>
      </c>
      <c r="H303" s="62">
        <v>-27</v>
      </c>
      <c r="I303" s="101" t="s">
        <v>1033</v>
      </c>
      <c r="J303" s="101"/>
      <c r="K303" s="101"/>
    </row>
    <row r="304">
      <c r="A304" s="3"/>
      <c r="B304" s="38" t="s">
        <v>506</v>
      </c>
      <c r="C304" s="62">
        <v>0</v>
      </c>
      <c r="D304" s="62">
        <v>0</v>
      </c>
      <c r="E304" s="62">
        <v>0</v>
      </c>
      <c r="F304" s="62">
        <v>24</v>
      </c>
      <c r="G304" s="62">
        <v>0</v>
      </c>
      <c r="H304" s="62">
        <v>0</v>
      </c>
      <c r="I304" s="101" t="s">
        <v>1033</v>
      </c>
      <c r="J304" s="101"/>
      <c r="K304" s="101"/>
    </row>
    <row r="305">
      <c r="A305" s="3"/>
      <c r="B305" s="38" t="s">
        <v>507</v>
      </c>
      <c r="C305" s="62">
        <v>333</v>
      </c>
      <c r="D305" s="62">
        <v>-732</v>
      </c>
      <c r="E305" s="62">
        <v>-534</v>
      </c>
      <c r="F305" s="62">
        <v>-1647</v>
      </c>
      <c r="G305" s="62">
        <v>-240</v>
      </c>
      <c r="H305" s="62">
        <v>-1214</v>
      </c>
      <c r="I305" s="101" t="s">
        <v>1033</v>
      </c>
      <c r="J305" s="101"/>
      <c r="K305" s="101"/>
    </row>
    <row r="306">
      <c r="A306" s="3"/>
      <c r="B306" s="38" t="s">
        <v>508</v>
      </c>
      <c r="C306" s="62">
        <v>373</v>
      </c>
      <c r="D306" s="62">
        <v>626</v>
      </c>
      <c r="E306" s="62">
        <v>310</v>
      </c>
      <c r="F306" s="62">
        <v>413</v>
      </c>
      <c r="G306" s="62">
        <v>9</v>
      </c>
      <c r="H306" s="62">
        <v>-33</v>
      </c>
      <c r="I306" s="101" t="s">
        <v>1033</v>
      </c>
      <c r="J306" s="101"/>
      <c r="K306" s="101"/>
    </row>
    <row r="307">
      <c r="A307" s="3"/>
      <c r="B307" s="38" t="s">
        <v>509</v>
      </c>
      <c r="C307" s="62">
        <v>11</v>
      </c>
      <c r="D307" s="62">
        <v>14</v>
      </c>
      <c r="E307" s="62">
        <v>18</v>
      </c>
      <c r="F307" s="62">
        <v>6</v>
      </c>
      <c r="G307" s="62">
        <v>3</v>
      </c>
      <c r="H307" s="62">
        <v>8</v>
      </c>
      <c r="I307" s="101" t="s">
        <v>1033</v>
      </c>
      <c r="J307" s="101"/>
      <c r="K307" s="101"/>
    </row>
    <row r="308">
      <c r="A308" s="3"/>
      <c r="B308" s="38" t="s">
        <v>512</v>
      </c>
      <c r="C308" s="62">
        <v>3</v>
      </c>
      <c r="D308" s="62">
        <v>3</v>
      </c>
      <c r="E308" s="62">
        <v>5</v>
      </c>
      <c r="F308" s="62">
        <v>6</v>
      </c>
      <c r="G308" s="62">
        <v>3</v>
      </c>
      <c r="H308" s="62">
        <v>4</v>
      </c>
      <c r="I308" s="101" t="s">
        <v>1033</v>
      </c>
      <c r="J308" s="101"/>
      <c r="K308" s="101"/>
    </row>
    <row r="309">
      <c r="A309" s="3"/>
      <c r="B309" s="38" t="s">
        <v>513</v>
      </c>
      <c r="C309" s="62">
        <v>-80</v>
      </c>
      <c r="D309" s="62">
        <v>-162</v>
      </c>
      <c r="E309" s="62">
        <v>-238</v>
      </c>
      <c r="F309" s="62">
        <v>-314</v>
      </c>
      <c r="G309" s="62">
        <v>-73</v>
      </c>
      <c r="H309" s="62">
        <v>-160</v>
      </c>
      <c r="I309" s="101" t="s">
        <v>1033</v>
      </c>
      <c r="J309" s="101"/>
      <c r="K309" s="101"/>
    </row>
    <row r="310">
      <c r="A310" s="3"/>
      <c r="B310" s="38" t="s">
        <v>514</v>
      </c>
      <c r="C310" s="62">
        <v>-365</v>
      </c>
      <c r="D310" s="62">
        <v>-393</v>
      </c>
      <c r="E310" s="62">
        <v>-583</v>
      </c>
      <c r="F310" s="62">
        <v>-918</v>
      </c>
      <c r="G310" s="62">
        <v>-235</v>
      </c>
      <c r="H310" s="62">
        <v>-356</v>
      </c>
      <c r="I310" s="101" t="s">
        <v>1033</v>
      </c>
      <c r="J310" s="101"/>
      <c r="K310" s="101"/>
    </row>
    <row r="311">
      <c r="A311" s="3"/>
      <c r="B311" s="38" t="s">
        <v>515</v>
      </c>
      <c r="C311" s="62">
        <v>0</v>
      </c>
      <c r="D311" s="62">
        <v>0</v>
      </c>
      <c r="E311" s="62">
        <v>-80</v>
      </c>
      <c r="F311" s="62">
        <v>-80</v>
      </c>
      <c r="G311" s="62">
        <v>0</v>
      </c>
      <c r="H311" s="62">
        <v>-57</v>
      </c>
      <c r="I311" s="101" t="s">
        <v>1033</v>
      </c>
      <c r="J311" s="101"/>
      <c r="K311" s="101"/>
    </row>
    <row r="312">
      <c r="A312" s="3"/>
      <c r="B312" s="38" t="s">
        <v>517</v>
      </c>
      <c r="C312" s="62">
        <v>0</v>
      </c>
      <c r="D312" s="62">
        <v>0</v>
      </c>
      <c r="E312" s="62">
        <v>0</v>
      </c>
      <c r="F312" s="62">
        <v>0</v>
      </c>
      <c r="G312" s="62">
        <v>392</v>
      </c>
      <c r="H312" s="62">
        <v>392</v>
      </c>
      <c r="I312" s="101" t="s">
        <v>1033</v>
      </c>
      <c r="J312" s="101"/>
      <c r="K312" s="101"/>
    </row>
    <row r="313">
      <c r="A313" s="3"/>
      <c r="B313" s="38" t="s">
        <v>519</v>
      </c>
      <c r="C313" s="62">
        <v>-4</v>
      </c>
      <c r="D313" s="62">
        <v>-8</v>
      </c>
      <c r="E313" s="62">
        <v>-12</v>
      </c>
      <c r="F313" s="62">
        <v>-16</v>
      </c>
      <c r="G313" s="62">
        <v>-4</v>
      </c>
      <c r="H313" s="62">
        <v>-7</v>
      </c>
      <c r="I313" s="101" t="s">
        <v>1033</v>
      </c>
      <c r="J313" s="101"/>
      <c r="K313" s="101"/>
    </row>
    <row r="314">
      <c r="A314" s="3"/>
      <c r="B314" s="38" t="s">
        <v>520</v>
      </c>
      <c r="C314" s="62">
        <v>-8</v>
      </c>
      <c r="D314" s="62">
        <v>-13</v>
      </c>
      <c r="E314" s="62">
        <v>-21</v>
      </c>
      <c r="F314" s="62">
        <v>-26</v>
      </c>
      <c r="G314" s="62">
        <v>-5</v>
      </c>
      <c r="H314" s="62">
        <v>-10</v>
      </c>
      <c r="I314" s="101" t="s">
        <v>1033</v>
      </c>
      <c r="J314" s="101"/>
      <c r="K314" s="101"/>
    </row>
    <row r="315">
      <c r="A315" s="3"/>
      <c r="B315" s="38" t="s">
        <v>522</v>
      </c>
      <c r="C315" s="62">
        <v>-1373</v>
      </c>
      <c r="D315" s="62">
        <v>-5</v>
      </c>
      <c r="E315" s="62">
        <v>-57</v>
      </c>
      <c r="F315" s="62">
        <v>1894</v>
      </c>
      <c r="G315" s="62">
        <v>-995</v>
      </c>
      <c r="H315" s="62">
        <v>593</v>
      </c>
      <c r="I315" s="101" t="s">
        <v>1033</v>
      </c>
      <c r="J315" s="101"/>
      <c r="K315" s="101"/>
    </row>
    <row r="316">
      <c r="A316" s="3"/>
      <c r="B316" s="38" t="s">
        <v>523</v>
      </c>
      <c r="C316" s="62">
        <v>395</v>
      </c>
      <c r="D316" s="62">
        <v>61</v>
      </c>
      <c r="E316" s="62">
        <v>871</v>
      </c>
      <c r="F316" s="62">
        <v>-146</v>
      </c>
      <c r="G316" s="62">
        <v>914</v>
      </c>
      <c r="H316" s="62">
        <v>-251</v>
      </c>
      <c r="I316" s="101" t="s">
        <v>1033</v>
      </c>
      <c r="J316" s="101"/>
      <c r="K316" s="101"/>
    </row>
    <row r="317">
      <c r="A317" s="3"/>
      <c r="B317" s="38" t="s">
        <v>525</v>
      </c>
      <c r="C317" s="62">
        <v>497</v>
      </c>
      <c r="D317" s="62">
        <v>497</v>
      </c>
      <c r="E317" s="62">
        <v>504</v>
      </c>
      <c r="F317" s="62">
        <v>513</v>
      </c>
      <c r="G317" s="62">
        <v>0</v>
      </c>
      <c r="H317" s="62">
        <v>0</v>
      </c>
      <c r="I317" s="101" t="s">
        <v>1033</v>
      </c>
      <c r="J317" s="101"/>
      <c r="K317" s="101"/>
    </row>
    <row r="318">
      <c r="A318" s="3"/>
      <c r="B318" s="38" t="s">
        <v>526</v>
      </c>
      <c r="C318" s="62">
        <v>0</v>
      </c>
      <c r="D318" s="62">
        <v>-350</v>
      </c>
      <c r="E318" s="62">
        <v>-350</v>
      </c>
      <c r="F318" s="62">
        <v>-366</v>
      </c>
      <c r="G318" s="62">
        <v>0</v>
      </c>
      <c r="H318" s="62">
        <v>0</v>
      </c>
      <c r="I318" s="101" t="s">
        <v>1033</v>
      </c>
      <c r="J318" s="101"/>
      <c r="K318" s="101"/>
    </row>
    <row r="319">
      <c r="A319" s="3"/>
      <c r="B319" s="38" t="s">
        <v>527</v>
      </c>
      <c r="C319" s="62">
        <v>-1</v>
      </c>
      <c r="D319" s="62">
        <v>-1</v>
      </c>
      <c r="E319" s="62">
        <v>-23</v>
      </c>
      <c r="F319" s="62">
        <v>-23</v>
      </c>
      <c r="G319" s="62">
        <v>-3</v>
      </c>
      <c r="H319" s="62">
        <v>-1</v>
      </c>
      <c r="I319" s="101" t="s">
        <v>1033</v>
      </c>
      <c r="J319" s="101"/>
      <c r="K319" s="101"/>
    </row>
    <row r="320">
      <c r="A320" s="3"/>
      <c r="B320" s="71" t="s">
        <v>1034</v>
      </c>
      <c r="C320" s="65">
        <v>349</v>
      </c>
      <c r="D320" s="65">
        <v>432</v>
      </c>
      <c r="E320" s="65">
        <v>232</v>
      </c>
      <c r="F320" s="65">
        <v>628</v>
      </c>
      <c r="G320" s="65">
        <v>278</v>
      </c>
      <c r="H320" s="65">
        <v>863</v>
      </c>
      <c r="I320" s="105" t="s">
        <v>1033</v>
      </c>
      <c r="J320" s="105"/>
      <c r="K320" s="105"/>
    </row>
    <row r="321">
      <c r="A321" s="3"/>
      <c r="B321" s="71" t="s">
        <v>1035</v>
      </c>
      <c r="C321" s="65">
        <v>693</v>
      </c>
      <c r="D321" s="65">
        <v>-83</v>
      </c>
      <c r="E321" s="65">
        <v>-99</v>
      </c>
      <c r="F321" s="65">
        <v>-1094</v>
      </c>
      <c r="G321" s="65">
        <v>-224</v>
      </c>
      <c r="H321" s="65">
        <v>-977</v>
      </c>
      <c r="I321" s="105" t="s">
        <v>1033</v>
      </c>
      <c r="J321" s="105"/>
      <c r="K321" s="105"/>
    </row>
    <row r="322">
      <c r="A322" s="3"/>
      <c r="B322" s="71" t="s">
        <v>1036</v>
      </c>
      <c r="C322" s="65">
        <v>-936</v>
      </c>
      <c r="D322" s="65">
        <v>-371</v>
      </c>
      <c r="E322" s="65">
        <v>16</v>
      </c>
      <c r="F322" s="65">
        <v>524</v>
      </c>
      <c r="G322" s="65">
        <v>-6</v>
      </c>
      <c r="H322" s="65">
        <v>147</v>
      </c>
      <c r="I322" s="105" t="s">
        <v>1033</v>
      </c>
      <c r="J322" s="105"/>
      <c r="K322" s="105"/>
    </row>
    <row r="323">
      <c r="A323" s="3"/>
      <c r="B323" s="71" t="s">
        <v>1037</v>
      </c>
      <c r="C323" s="65">
        <v>1537</v>
      </c>
      <c r="D323" s="65">
        <v>1537</v>
      </c>
      <c r="E323" s="65">
        <v>1537</v>
      </c>
      <c r="F323" s="65">
        <v>1537</v>
      </c>
      <c r="G323" s="65">
        <v>1595</v>
      </c>
      <c r="H323" s="65">
        <v>1595</v>
      </c>
      <c r="I323" s="105" t="s">
        <v>1033</v>
      </c>
      <c r="J323" s="105"/>
      <c r="K323" s="105"/>
    </row>
    <row r="324">
      <c r="A324" s="3"/>
      <c r="B324" s="71" t="s">
        <v>1038</v>
      </c>
      <c r="C324" s="65">
        <v>1643</v>
      </c>
      <c r="D324" s="65">
        <v>1515</v>
      </c>
      <c r="E324" s="65">
        <v>1686</v>
      </c>
      <c r="F324" s="65">
        <v>1595</v>
      </c>
      <c r="G324" s="65">
        <v>1643</v>
      </c>
      <c r="H324" s="65">
        <v>1628</v>
      </c>
      <c r="I324" s="105" t="s">
        <v>1033</v>
      </c>
      <c r="J324" s="105"/>
      <c r="K324" s="105"/>
    </row>
  </sheetData>
</worksheet>
</file>