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Banking &amp; Markets" sheetId="3" r:id="rId4"/>
    <sheet name="Segment - Asset &amp; Wealth Mgmt" sheetId="4" r:id="rId5"/>
    <sheet name="Income Statement" sheetId="5" r:id="rId6"/>
    <sheet name="Balance Sheet" sheetId="6" r:id="rId7"/>
    <sheet name="Cash Flow Statement" sheetId="7" r:id="rId8"/>
    <sheet name="Geo" sheetId="8" r:id="rId9"/>
    <sheet name="Share Count" sheetId="9" r:id="rId10"/>
    <sheet name="Guidance" sheetId="10" r:id="rId11"/>
    <sheet name="Sources" sheetId="11" r:id="rId12"/>
    <sheet name="Inputs" sheetId="12" r:id="rId13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C24" authorId="0">
      <text>
        <t>CapIQ net_income_excl_excep_m (4,002.55); CapIQ GAAP net income mean 4,026.34. Both appear to be on a to-common basis (4,002.55 / 13.18 = 303.7m shares).</t>
      </text>
    </comment>
    <comment ref="E22" authorId="0">
      <text>
        <t>GS gives no revenue, net income or EPS guidance; CapIQ guidance fields are blank. See Guidance tab.</t>
      </text>
    </comment>
    <comment ref="A4" authorId="0">
      <text>
        <t>Built by Shortcut. Independent model; not affiliated with or endorsed by the issuer.</t>
      </text>
    </comment>
    <comment ref="A57" authorId="0">
      <text>
        <t>CapIQ normalized EPS median / high / low</t>
      </text>
    </comment>
    <comment ref="A58" authorId="0">
      <text>
        <t>CapIQ contributors: normalized EPS / revenue (n)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C24" authorId="0">
      <text>
        <t>4Q25 includes a $2.26bn reduction from markdowns on the Apple Card portfolio transferred to held for sale and contract termination obligations (S1).</t>
      </text>
    </comment>
    <comment ref="G24" authorId="0">
      <text>
        <t>Linked to Guidance: CFO 14-Jul-26 expects Platform Solutions quarterly revenues "broadly consistent with the second quarter" (S10). Street $213m (S24).</t>
      </text>
    </comment>
    <comment ref="A14" authorId="0">
      <text>
        <t>M&amp;A / scope impact on growth: not disclosed by the issuer (n.d.).</t>
      </text>
    </comment>
    <comment ref="A16" authorId="0">
      <text>
        <t>Organic growth = (1+Y/Y)/((1+M&amp;A)(1+FX))-1; n.a. where M&amp;A or FX impacts are not disclosed.</t>
      </text>
    </comment>
    <comment ref="A21" authorId="0">
      <text>
        <t>M&amp;A / scope impact on growth: not disclosed by the issuer (n.d.).</t>
      </text>
    </comment>
    <comment ref="A23" authorId="0">
      <text>
        <t>Organic growth = (1+Y/Y)/((1+M&amp;A)(1+FX))-1; n.a. where M&amp;A or FX impacts are not disclosed.</t>
      </text>
    </comment>
    <comment ref="A28" authorId="0">
      <text>
        <t>M&amp;A / scope impact on growth: not disclosed by the issuer (n.d.).</t>
      </text>
    </comment>
    <comment ref="A30" authorId="0">
      <text>
        <t>Organic growth = (1+Y/Y)/((1+M&amp;A)(1+FX))-1; n.a. where M&amp;A or FX impacts are not disclosed.</t>
      </text>
    </comment>
    <comment ref="A36" authorId="0">
      <text>
        <t>M&amp;A / scope impact on growth: not disclosed by the issuer (n.d.).</t>
      </text>
    </comment>
    <comment ref="A38" authorId="0">
      <text>
        <t>Organic growth = (1+Y/Y)/((1+M&amp;A)(1+FX))-1; n.a. where M&amp;A or FX impacts are not disclosed.</t>
      </text>
    </comment>
    <comment ref="A41" authorId="0">
      <text>
        <t>Global Banking &amp; Markets % of total</t>
      </text>
    </comment>
    <comment ref="A43" authorId="0">
      <text>
        <t>Asset &amp; Wealth Management % of total</t>
      </text>
    </comment>
    <comment ref="A49" authorId="0">
      <text>
        <t>Check: segments sum to total = Income Statement total net revenues (0)</t>
      </text>
    </comment>
    <comment ref="A50" authorId="0">
      <text>
        <t>CapIQ revenue actual (Inputs, GS_history.csv)</t>
      </text>
    </comment>
    <comment ref="A51" authorId="0">
      <text>
        <t>Check: model total less CapIQ actual (0)</t>
      </text>
    </comment>
    <comment ref="A52" authorId="0">
      <text>
        <t>CapIQ revenue consensus (history: at report; 3Q26: frozen Oct 11, 2026)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G11" authorId="0">
      <text>
        <t>Assumption -2% Y/Y: completions supported by record advisory backlog (2Q26 call, S10) but Q3 global announced M&amp;A fell 41% Q/Q to $993bn (LSEG, S16); industry IB revenue -11% Y/Y to Sep 15 (Dealogic via Reuters, S12); JPM guided IB +mid/high-teens, BAC -10%+, Citi +LSD (S13-S15).</t>
      </text>
    </comment>
    <comment ref="G18" authorId="0">
      <text>
        <t>Assumption +45% Y/Y: 3Q26 global ECM volume $342.8bn, well above 3Q25 (Dealogic, S18); follow-ons/blocks ~$50bn vs ~$34bn and record converts (ICR, S19); IPO volume -8% Y/Y. 2Q26 ECM was +130% Y/Y.</t>
      </text>
    </comment>
    <comment ref="G25" authorId="0">
      <text>
        <t>Assumption -8% Y/Y: debt issuance slowed in Q3 (Dealogic via Reuters S12; Citi: DCM healthy but moderated, S14); 10-yr UST +87bp in Q3 and Fed hike Sep 16 (S20).</t>
      </text>
    </comment>
    <comment ref="G41" authorId="0">
      <text>
        <t>Assumption +6% Y/Y: CEO Sep 16: FICC "a little bit softer on a relative basis" (S11); JPM markets +mid/high-teens, Citi +MSD, BAC flat (S13-S15); oil +29% and rates volatility in Q3 (S20).</t>
      </text>
    </comment>
    <comment ref="G49" authorId="0">
      <text>
        <t>Assumption +1% Q/Q: record FICC financing in 2Q26 with continued growth in other collateralized loans (2Q26 call, S10).</t>
      </text>
    </comment>
    <comment ref="G64" authorId="0">
      <text>
        <t>Assumption +17.5% Y/Y: CEO Sep 16 "equity business continues to be very strong" (S11); elevated single-stock volatility; Street GS equities ~$5.0-5.1bn (Zacks S24, Bloomberg via GuruFocus S27).</t>
      </text>
    </comment>
    <comment ref="G72" authorId="0">
      <text>
        <t>Assumption -3.5% Q/Q from record 2Q26: prime balances driven by market levels (S&amp;P 500 +2.0% in Q3, S21) and Asia expansion (S10); allows for September de-grossing.</t>
      </text>
    </comment>
    <comment ref="G85" authorId="0">
      <text>
        <t>Assumption $240m: volatile line (4-qtr avg $345m); in line with Street $241m (Zacks, S24).</t>
      </text>
    </comment>
    <comment ref="G150" authorId="0">
      <text>
        <t>GS #1 in announced/completed M&amp;A (S16) with record advisory backlog entering Q3 (S10); completions lag announcements.</t>
      </text>
    </comment>
    <comment ref="G153" authorId="0">
      <text>
        <t>IPO volumes -8% Y/Y (S18) partly offset by GS lead roles in mega-deals.</t>
      </text>
    </comment>
    <comment ref="G156" authorId="0">
      <text>
        <t>GS #1 leveraged lending (S10) cushions the industry debt slowdown.</t>
      </text>
    </comment>
    <comment ref="G159" authorId="0">
      <text>
        <t>CEO: FICC "a little bit softer on a relative basis" (S11).</t>
      </text>
    </comment>
    <comment ref="G162" authorId="0">
      <text>
        <t>CEO: equities "very strong on a relative basis" (S11); record Asia share gains (S10).</t>
      </text>
    </comment>
    <comment ref="G166" authorId="0">
      <text>
        <t>Spread/mix: slight compression as balances grow in other collateralized lending (S10).</t>
      </text>
    </comment>
    <comment ref="G171" authorId="0">
      <text>
        <t>Client de-grossing in the September sell-off and spread normalisation from record 2Q26 (S11, S21).</t>
      </text>
    </comment>
    <comment ref="G175" authorId="0">
      <text>
        <t>Brings Other to ~$240m, in line with Street $241m (S24); 2Q26 was $117m after lower relationship lending.</t>
      </text>
    </comment>
    <comment ref="A14" authorId="0">
      <text>
        <t>M&amp;A / scope impact on growth: not disclosed by the issuer (n.d.).</t>
      </text>
    </comment>
    <comment ref="A16" authorId="0">
      <text>
        <t>Organic growth = (1+Y/Y)/((1+M&amp;A)(1+FX))-1; n.a. where M&amp;A or FX impacts are not disclosed.</t>
      </text>
    </comment>
    <comment ref="A21" authorId="0">
      <text>
        <t>M&amp;A / scope impact on growth: not disclosed by the issuer (n.d.).</t>
      </text>
    </comment>
    <comment ref="A23" authorId="0">
      <text>
        <t>Organic growth = (1+Y/Y)/((1+M&amp;A)(1+FX))-1; n.a. where M&amp;A or FX impacts are not disclosed.</t>
      </text>
    </comment>
    <comment ref="A28" authorId="0">
      <text>
        <t>M&amp;A / scope impact on growth: not disclosed by the issuer (n.d.).</t>
      </text>
    </comment>
    <comment ref="A30" authorId="0">
      <text>
        <t>Organic growth = (1+Y/Y)/((1+M&amp;A)(1+FX))-1; n.a. where M&amp;A or FX impacts are not disclosed.</t>
      </text>
    </comment>
    <comment ref="A35" authorId="0">
      <text>
        <t>M&amp;A / scope impact on growth: not disclosed by the issuer (n.d.).</t>
      </text>
    </comment>
    <comment ref="A37" authorId="0">
      <text>
        <t>Organic growth = (1+Y/Y)/((1+M&amp;A)(1+FX))-1; n.a. where M&amp;A or FX impacts are not disclosed.</t>
      </text>
    </comment>
    <comment ref="A44" authorId="0">
      <text>
        <t>M&amp;A / scope impact on growth: not disclosed by the issuer (n.d.).</t>
      </text>
    </comment>
    <comment ref="A46" authorId="0">
      <text>
        <t>Organic growth = (1+Y/Y)/((1+M&amp;A)(1+FX))-1; n.a. where M&amp;A or FX impacts are not disclosed.</t>
      </text>
    </comment>
    <comment ref="A51" authorId="0">
      <text>
        <t>M&amp;A / scope impact on growth: not disclosed by the issuer (n.d.).</t>
      </text>
    </comment>
    <comment ref="A53" authorId="0">
      <text>
        <t>Organic growth = (1+Y/Y)/((1+M&amp;A)(1+FX))-1; n.a. where M&amp;A or FX impacts are not disclosed.</t>
      </text>
    </comment>
    <comment ref="A58" authorId="0">
      <text>
        <t>M&amp;A / scope impact on growth: not disclosed by the issuer (n.d.).</t>
      </text>
    </comment>
    <comment ref="A60" authorId="0">
      <text>
        <t>Organic growth = (1+Y/Y)/((1+M&amp;A)(1+FX))-1; n.a. where M&amp;A or FX impacts are not disclosed.</t>
      </text>
    </comment>
    <comment ref="A67" authorId="0">
      <text>
        <t>M&amp;A / scope impact on growth: not disclosed by the issuer (n.d.).</t>
      </text>
    </comment>
    <comment ref="A69" authorId="0">
      <text>
        <t>Organic growth = (1+Y/Y)/((1+M&amp;A)(1+FX))-1; n.a. where M&amp;A or FX impacts are not disclosed.</t>
      </text>
    </comment>
    <comment ref="A74" authorId="0">
      <text>
        <t>M&amp;A / scope impact on growth: not disclosed by the issuer (n.d.).</t>
      </text>
    </comment>
    <comment ref="A76" authorId="0">
      <text>
        <t>Organic growth = (1+Y/Y)/((1+M&amp;A)(1+FX))-1; n.a. where M&amp;A or FX impacts are not disclosed.</t>
      </text>
    </comment>
    <comment ref="A81" authorId="0">
      <text>
        <t>M&amp;A / scope impact on growth: not disclosed by the issuer (n.d.).</t>
      </text>
    </comment>
    <comment ref="A83" authorId="0">
      <text>
        <t>Organic growth = (1+Y/Y)/((1+M&amp;A)(1+FX))-1; n.a. where M&amp;A or FX impacts are not disclosed.</t>
      </text>
    </comment>
    <comment ref="A85" authorId="0">
      <text>
        <t>Other (relationship lending, transaction banking)</t>
      </text>
    </comment>
    <comment ref="A89" authorId="0">
      <text>
        <t>M&amp;A / scope impact on growth: not disclosed by the issuer (n.d.).</t>
      </text>
    </comment>
    <comment ref="A91" authorId="0">
      <text>
        <t>Organic growth = (1+Y/Y)/((1+M&amp;A)(1+FX))-1; n.a. where M&amp;A or FX impacts are not disclosed.</t>
      </text>
    </comment>
    <comment ref="A93" authorId="0">
      <text>
        <t>Global Banking &amp; Markets net revenues</t>
      </text>
    </comment>
    <comment ref="A97" authorId="0">
      <text>
        <t>M&amp;A / scope impact on growth: not disclosed by the issuer (n.d.).</t>
      </text>
    </comment>
    <comment ref="A99" authorId="0">
      <text>
        <t>Organic growth = (1+Y/Y)/((1+M&amp;A)(1+FX))-1; n.a. where M&amp;A or FX impacts are not disclosed.</t>
      </text>
    </comment>
    <comment ref="A138" authorId="0">
      <text>
        <t>Dealogic global IB revenue, Jul 1 - Sep 15, 2026 ($bn), via Reuters (S12).</t>
      </text>
    </comment>
    <comment ref="A139" authorId="0">
      <text>
        <t>Dealogic global IB revenue, Jul 1 - Sep 15, 2025 ($bn), via Reuters (S12).</t>
      </text>
    </comment>
    <comment ref="A141" authorId="0">
      <text>
        <t>Follow-ons and blocks, 3Q26 ($bn, ICR)</t>
      </text>
    </comment>
    <comment ref="A142" authorId="0">
      <text>
        <t>Follow-ons and blocks, 3Q25 ($bn, ICR)</t>
      </text>
    </comment>
    <comment ref="A144" authorId="0">
      <text>
        <t>Peer markets revenue guide: JPM (mid/high teens midpoint)</t>
      </text>
    </comment>
    <comment ref="A145" authorId="0">
      <text>
        <t>Peer markets revenue guide: Citi (mid single digit)</t>
      </text>
    </comment>
    <comment ref="A146" authorId="0">
      <text>
        <t>Peer markets revenue guide: BAC (roughly flat)</t>
      </text>
    </comment>
    <comment ref="A147" authorId="0">
      <text>
        <t>Peer markets proxy, % Y/Y (simple average)</t>
      </text>
    </comment>
    <comment ref="A148" authorId="0">
      <text>
        <t>S&amp;P 500 change in quarter (financing balance proxy)</t>
      </text>
    </comment>
    <comment ref="A152" authorId="0">
      <text>
        <t>Equity underwriting: industry / market proxy</t>
      </text>
    </comment>
    <comment ref="A155" authorId="0">
      <text>
        <t>Debt underwriting: industry / market proxy</t>
      </text>
    </comment>
    <comment ref="A158" authorId="0">
      <text>
        <t>FICC intermediation: industry / market proxy</t>
      </text>
    </comment>
    <comment ref="A161" authorId="0">
      <text>
        <t>Equities intermediation: industry / market proxy</t>
      </text>
    </comment>
    <comment ref="A164" authorId="0">
      <text>
        <t>FICC financing: opening run-rate (2Q26A)</t>
      </text>
    </comment>
    <comment ref="A169" authorId="0">
      <text>
        <t>Equities financing: opening run-rate (2Q26A)</t>
      </text>
    </comment>
    <comment ref="A174" authorId="0">
      <text>
        <t>Other: trailing four-quarter average (3Q25A-2Q26A)</t>
      </text>
    </comment>
    <comment ref="A151" authorId="0">
      <text>
        <t>Implied % Y/Y = (1 + proxy) x (1 + relative performance) - 1</t>
      </text>
    </comment>
    <comment ref="A154" authorId="0">
      <text>
        <t>Implied % Y/Y = (1 + proxy) x (1 + relative performance) - 1</t>
      </text>
    </comment>
    <comment ref="A157" authorId="0">
      <text>
        <t>Implied % Y/Y = (1 + proxy) x (1 + relative performance) - 1</t>
      </text>
    </comment>
    <comment ref="A160" authorId="0">
      <text>
        <t>Implied % Y/Y = (1 + proxy) x (1 + relative performance) - 1</t>
      </text>
    </comment>
    <comment ref="A163" authorId="0">
      <text>
        <t>Implied % Y/Y = (1 + proxy) x (1 + relative performance) - 1</t>
      </text>
    </comment>
    <comment ref="A167" authorId="0">
      <text>
        <t>Implied % Q/Q = (1 + balance growth) x (1 + spread effect) - 1</t>
      </text>
    </comment>
    <comment ref="A172" authorId="0">
      <text>
        <t>Implied % Q/Q = (1 + balance growth) x (1 + spread effect) - 1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G11" authorId="0">
      <text>
        <t>Assumption $20bn: record alts fundraising, FY26 &gt;$125bn guided (S10, S11); 3Q25 $12bn.</t>
      </text>
    </comment>
    <comment ref="G16" authorId="0">
      <text>
        <t>Assumption +1.0%.</t>
      </text>
    </comment>
    <comment ref="G23" authorId="0">
      <text>
        <t>Assumption $15bn (2Q26 $46bn incl. $31bn Innovator acquisition).</t>
      </text>
    </comment>
    <comment ref="G28" authorId="0">
      <text>
        <t>Assumption +2.5%: S&amp;P 500 +2.0%, Nasdaq +2.6% in Q3 2026 (S21).</t>
      </text>
    </comment>
    <comment ref="G35" authorId="0">
      <text>
        <t>Assumption $25bn (4-qtr avg $30bn).</t>
      </text>
    </comment>
    <comment ref="G40" authorId="0">
      <text>
        <t>Assumption -1.5%: 10-yr UST yield +87bp in Q3 2026 (S21).</t>
      </text>
    </comment>
    <comment ref="G47" authorId="0">
      <text>
        <t>Assumption $30bn (volatile; 2Q26 +$139bn).</t>
      </text>
    </comment>
    <comment ref="G52" authorId="0">
      <text>
        <t>Assumption 0% (money-market NAV stable).</t>
      </text>
    </comment>
    <comment ref="E69" authorId="0">
      <text>
        <t>Industry Ventures acquisition +$5bn (2Q26 release footnote 6, S3).</t>
      </text>
    </comment>
    <comment ref="F69" authorId="0">
      <text>
        <t>Innovator acquisition +$31bn less Goldman Sachs TFI disposition -$15bn (2Q26 release footnote 6, S3).</t>
      </text>
    </comment>
    <comment ref="G69" authorId="0">
      <text>
        <t>Assumption: no acquisition/disposition AUS footnoted for 3Q26 (none announced as closing in Q3).</t>
      </text>
    </comment>
    <comment ref="B69" authorId="0">
      <text>
        <t>Not disclosed in 3Q25 release.</t>
      </text>
    </comment>
    <comment ref="G96" authorId="0">
      <text>
        <t>Assumption 34.7bp = average of last four quarters (34.6, 34.8, 34.4, 35.0bp).</t>
      </text>
    </comment>
    <comment ref="G105" authorId="0">
      <text>
        <t>Assumption $175m: CFO 14-Jul-26 expects incentive fees "to increase materially for the remainder of the year" (S10); 2Q26 $112m.</t>
      </text>
    </comment>
    <comment ref="G112" authorId="0">
      <text>
        <t>Assumption $700m: 2Q26 $689m with lending balances $48bn growing (S10); Street $702m (Zacks, S24). 3Q25 included elevated items.</t>
      </text>
    </comment>
    <comment ref="G119" authorId="0">
      <text>
        <t>Assumption $150m: CEO 16-Sep-26 "expect a much more muted third quarter" on the investments line after 2Q26 $441m (S11).</t>
      </text>
    </comment>
    <comment ref="A10" authorId="0">
      <text>
        <t>Alternative investments: opening ($bn)</t>
      </text>
    </comment>
    <comment ref="A15" authorId="0">
      <text>
        <t>Market appreciation / (depreciation) ($bn)</t>
      </text>
    </comment>
    <comment ref="A18" authorId="0">
      <text>
        <t>Class-level prior-year market appreciation is not disclosed; Y/Y only for 3Q26E vs 3Q25.</t>
      </text>
    </comment>
    <comment ref="A19" authorId="0">
      <text>
        <t>Alternative investments: closing ($bn)</t>
      </text>
    </comment>
    <comment ref="A27" authorId="0">
      <text>
        <t>Market appreciation / (depreciation) ($bn)</t>
      </text>
    </comment>
    <comment ref="A30" authorId="0">
      <text>
        <t>Class-level prior-year market appreciation is not disclosed; Y/Y only for 3Q26E vs 3Q25.</t>
      </text>
    </comment>
    <comment ref="A39" authorId="0">
      <text>
        <t>Market appreciation / (depreciation) ($bn)</t>
      </text>
    </comment>
    <comment ref="A42" authorId="0">
      <text>
        <t>Class-level prior-year market appreciation is not disclosed; Y/Y only for 3Q26E vs 3Q25.</t>
      </text>
    </comment>
    <comment ref="A51" authorId="0">
      <text>
        <t>Market appreciation / (depreciation) ($bn)</t>
      </text>
    </comment>
    <comment ref="A54" authorId="0">
      <text>
        <t>Class-level prior-year market appreciation is not disclosed; Y/Y only for 3Q26E vs 3Q25.</t>
      </text>
    </comment>
    <comment ref="A60" authorId="0">
      <text>
        <t>Long-term net inflows (alts + equity + fixed income)</t>
      </text>
    </comment>
    <comment ref="A69" authorId="0">
      <text>
        <t>of which acquisitions / dispositions (scope)</t>
      </text>
    </comment>
    <comment ref="A70" authorId="0">
      <text>
        <t>Organic long-term net inflows (LT inflows less scope)</t>
      </text>
    </comment>
    <comment ref="A71" authorId="0">
      <text>
        <t>Organic LT AUS growth, annualised (% of opening LT AUS)</t>
      </text>
    </comment>
    <comment ref="A74" authorId="0">
      <text>
        <t>Total market appreciation / (depreciation)</t>
      </text>
    </comment>
    <comment ref="A86" authorId="0">
      <text>
        <t>Memo: reported total market appreciation</t>
      </text>
    </comment>
    <comment ref="A87" authorId="0">
      <text>
        <t>Check: derived less reported market appreciation (0 = ties)</t>
      </text>
    </comment>
    <comment ref="A88" authorId="0">
      <text>
        <t>Average AUS (simple average of opening and closing)</t>
      </text>
    </comment>
    <comment ref="A96" authorId="0">
      <text>
        <t>Fee rate on average AUS (bps, annualised)</t>
      </text>
    </comment>
    <comment ref="A102" authorId="0">
      <text>
        <t>M&amp;A / scope impact on growth: not disclosed by the issuer (n.d.).</t>
      </text>
    </comment>
    <comment ref="A104" authorId="0">
      <text>
        <t>Organic growth = (1+Y/Y)/((1+M&amp;A)(1+FX))-1; n.a. where M&amp;A or FX impacts are not disclosed.</t>
      </text>
    </comment>
    <comment ref="A109" authorId="0">
      <text>
        <t>M&amp;A / scope impact on growth: not disclosed by the issuer (n.d.).</t>
      </text>
    </comment>
    <comment ref="A111" authorId="0">
      <text>
        <t>Organic growth = (1+Y/Y)/((1+M&amp;A)(1+FX))-1; n.a. where M&amp;A or FX impacts are not disclosed.</t>
      </text>
    </comment>
    <comment ref="A116" authorId="0">
      <text>
        <t>M&amp;A / scope impact on growth: not disclosed by the issuer (n.d.).</t>
      </text>
    </comment>
    <comment ref="A118" authorId="0">
      <text>
        <t>Organic growth = (1+Y/Y)/((1+M&amp;A)(1+FX))-1; n.a. where M&amp;A or FX impacts are not disclosed.</t>
      </text>
    </comment>
    <comment ref="A123" authorId="0">
      <text>
        <t>M&amp;A / scope impact on growth: not disclosed by the issuer (n.d.).</t>
      </text>
    </comment>
    <comment ref="A125" authorId="0">
      <text>
        <t>Organic growth = (1+Y/Y)/((1+M&amp;A)(1+FX))-1; n.a. where M&amp;A or FX impacts are not disclosed.</t>
      </text>
    </comment>
    <comment ref="A126" authorId="0">
      <text>
        <t>Asset &amp; Wealth Management net revenues</t>
      </text>
    </comment>
    <comment ref="A130" authorId="0">
      <text>
        <t>M&amp;A / scope impact on growth: not disclosed by the issuer (n.d.).</t>
      </text>
    </comment>
    <comment ref="A132" authorId="0">
      <text>
        <t>Organic growth = (1+Y/Y)/((1+M&amp;A)(1+FX))-1; n.a. where M&amp;A or FX impacts are not disclosed.</t>
      </text>
    </comment>
    <comment ref="A139" authorId="0">
      <text>
        <t>Private banking and lending % of AWM</t>
      </text>
    </comment>
    <comment ref="A144" authorId="0">
      <text>
        <t>Memo: Street AWM net revenues (Zacks)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G24" authorId="0">
      <text>
        <t>Assumption $1,300m: equity volumes below 2Q26 record ($1,525m) but above 1Q26.</t>
      </text>
    </comment>
    <comment ref="G38" authorId="0">
      <text>
        <t>Assumption $300m: muted equity investments gains (S11).</t>
      </text>
    </comment>
    <comment ref="G52" authorId="0">
      <text>
        <t>Assumption $22.5bn: larger balance sheet; Fed +25bp on Sep 16 (S20).</t>
      </text>
    </comment>
    <comment ref="G56" authorId="0">
      <text>
        <t>Assumption $18.55bn: interest income $22.5bn less targeted NII of ~$3.95bn (flat on 2Q26 $3,954m; NII ran $3.6-3.9bn over the last four quarters).</t>
      </text>
    </comment>
    <comment ref="G76" authorId="0">
      <text>
        <t>Assumption $375m: CEO 16-Sep-26 "a couple of idiosyncratic things that would lead provisions to be slightly higher this quarter than ... the same quarter last year" ($339m) (S11).</t>
      </text>
    </comment>
    <comment ref="C76" authorId="0">
      <text>
        <t>4Q25 net benefit includes $2.48bn reserve reduction on the Apple Card transition (S1).</t>
      </text>
    </comment>
    <comment ref="G83" authorId="0">
      <text>
        <t>Assumption 30.7% = 1H26 year-to-date ratio (11,516 / 37,565); GS accrues comp on a YTD ratio basis.</t>
      </text>
    </comment>
    <comment ref="G89" authorId="0">
      <text>
        <t>Assumption: CEO 16-Sep-26 transaction expenses "running higher" (S11).</t>
      </text>
    </comment>
    <comment ref="G93" authorId="0">
      <text>
        <t>Assumption.</t>
      </text>
    </comment>
    <comment ref="G97" authorId="0">
      <text>
        <t>Assumption: CEO 16-Sep-26 accelerated technology investments (S11).</t>
      </text>
    </comment>
    <comment ref="G101" authorId="0">
      <text>
        <t>Assumption.</t>
      </text>
    </comment>
    <comment ref="G105" authorId="0">
      <text>
        <t>Assumption.</t>
      </text>
    </comment>
    <comment ref="G109" authorId="0">
      <text>
        <t>Assumption.</t>
      </text>
    </comment>
    <comment ref="G113" authorId="0">
      <text>
        <t>Assumption: 3Q seasonal charitable contributions (3Q25 $884m incl. Goldman Sachs Gives, S2) plus litigation; closes total non-comp to +$575m vs 2Q26 (guided &gt;+$500m, S11).</t>
      </text>
    </comment>
    <comment ref="G142" authorId="0">
      <text>
        <t>Assumption 22.0%: FY26 ETR guided ~20% (S10, reaffirmed 14-Jul-26) with 1H26 at 18.5% incl. ~$965m share-based award benefit (S3) implies ~22% for 2H26; 3Q has little award vesting (3Q25 ETR 24.0%).</t>
      </text>
    </comment>
    <comment ref="G152" authorId="0">
      <text>
        <t>Assumption $220m: preferred stock reduced to $13.0bn after $2.1bn redemptions in 1H26 (S9).</t>
      </text>
    </comment>
    <comment ref="A14" authorId="0">
      <text>
        <t>M&amp;A / scope impact on growth: not disclosed by the issuer (n.d.).</t>
      </text>
    </comment>
    <comment ref="A16" authorId="0">
      <text>
        <t>Organic growth = (1+Y/Y)/((1+M&amp;A)(1+FX))-1; n.a. where M&amp;A or FX impacts are not disclosed.</t>
      </text>
    </comment>
    <comment ref="A21" authorId="0">
      <text>
        <t>M&amp;A / scope impact on growth: not disclosed by the issuer (n.d.).</t>
      </text>
    </comment>
    <comment ref="A23" authorId="0">
      <text>
        <t>Organic growth = (1+Y/Y)/((1+M&amp;A)(1+FX))-1; n.a. where M&amp;A or FX impacts are not disclosed.</t>
      </text>
    </comment>
    <comment ref="A28" authorId="0">
      <text>
        <t>M&amp;A / scope impact on growth: not disclosed by the issuer (n.d.).</t>
      </text>
    </comment>
    <comment ref="A30" authorId="0">
      <text>
        <t>Organic growth = (1+Y/Y)/((1+M&amp;A)(1+FX))-1; n.a. where M&amp;A or FX impacts are not disclosed.</t>
      </text>
    </comment>
    <comment ref="A31" authorId="0">
      <text>
        <t>Market making (3Q26E = residual to segment total)</t>
      </text>
    </comment>
    <comment ref="A35" authorId="0">
      <text>
        <t>M&amp;A / scope impact on growth: not disclosed by the issuer (n.d.).</t>
      </text>
    </comment>
    <comment ref="A37" authorId="0">
      <text>
        <t>Organic growth = (1+Y/Y)/((1+M&amp;A)(1+FX))-1; n.a. where M&amp;A or FX impacts are not disclosed.</t>
      </text>
    </comment>
    <comment ref="A42" authorId="0">
      <text>
        <t>M&amp;A / scope impact on growth: not disclosed by the issuer (n.d.).</t>
      </text>
    </comment>
    <comment ref="A44" authorId="0">
      <text>
        <t>Organic growth = (1+Y/Y)/((1+M&amp;A)(1+FX))-1; n.a. where M&amp;A or FX impacts are not disclosed.</t>
      </text>
    </comment>
    <comment ref="A49" authorId="0">
      <text>
        <t>M&amp;A / scope impact on growth: not disclosed by the issuer (n.d.).</t>
      </text>
    </comment>
    <comment ref="A51" authorId="0">
      <text>
        <t>Organic growth = (1+Y/Y)/((1+M&amp;A)(1+FX))-1; n.a. where M&amp;A or FX impacts are not disclosed.</t>
      </text>
    </comment>
    <comment ref="A64" authorId="0">
      <text>
        <t>M&amp;A / scope impact on growth: not disclosed by the issuer (n.d.).</t>
      </text>
    </comment>
    <comment ref="A66" authorId="0">
      <text>
        <t>Organic growth = (1+Y/Y)/((1+M&amp;A)(1+FX))-1; n.a. where M&amp;A or FX impacts are not disclosed.</t>
      </text>
    </comment>
    <comment ref="A71" authorId="0">
      <text>
        <t>M&amp;A / scope impact on growth: not disclosed by the issuer (n.d.).</t>
      </text>
    </comment>
    <comment ref="A73" authorId="0">
      <text>
        <t>Organic growth = (1+Y/Y)/((1+M&amp;A)(1+FX))-1; n.a. where M&amp;A or FX impacts are not disclosed.</t>
      </text>
    </comment>
    <comment ref="A74" authorId="0">
      <text>
        <t>Check: total net revenues less Revenue summary (0)</t>
      </text>
    </comment>
    <comment ref="A83" authorId="0">
      <text>
        <t>Compensation ratio (% of net revenues)</t>
      </text>
    </comment>
    <comment ref="A121" authorId="0">
      <text>
        <t>Guidance (Sep 16, 2026): 3Q26 non-comp expenses more than $500m above 2Q26.</t>
      </text>
    </comment>
    <comment ref="A122" authorId="0">
      <text>
        <t>Check: modeled Q/Q increase exceeds guided floor (TRUE)</t>
      </text>
    </comment>
    <comment ref="A123" authorId="0">
      <text>
        <t>Non-compensation ratio (% of net revenues)</t>
      </text>
    </comment>
    <comment ref="A130" authorId="0">
      <text>
        <t>Efficiency ratio (opex / net revenues)</t>
      </text>
    </comment>
    <comment ref="A149" authorId="0">
      <text>
        <t>Net margin (net earnings / net revenues)</t>
      </text>
    </comment>
    <comment ref="A156" authorId="0">
      <text>
        <t>Net earnings applicable to common shareholders</t>
      </text>
    </comment>
    <comment ref="A164" authorId="0">
      <text>
        <t>Basic EPS (calc = NI to common / basic shares)</t>
      </text>
    </comment>
    <comment ref="A165" authorId="0">
      <text>
        <t>Diluted EPS (calc = NI to common / diluted shares)</t>
      </text>
    </comment>
    <comment ref="A166" authorId="0">
      <text>
        <t>As reported for history; 3Q26E = calculated.</t>
      </text>
    </comment>
    <comment ref="A167" authorId="0">
      <text>
        <t>As reported for history; 3Q26E = calculated.</t>
      </text>
    </comment>
    <comment ref="A171" authorId="0">
      <text>
        <t>TRUE when |reported EPS - NI to common / diluted shares| &lt;= $0.02 (rounding of reported shares).</t>
      </text>
    </comment>
    <comment ref="A175" authorId="0">
      <text>
        <t>Adj: Apple Card transition markdowns / reserve release (after tax)</t>
      </text>
    </comment>
    <comment ref="A176" authorId="0">
      <text>
        <t>Adj: net provisions for litigation and regulatory proceedings</t>
      </text>
    </comment>
    <comment ref="A177" authorId="0">
      <text>
        <t>Adj: tax benefit on settlement of share-based awards</t>
      </text>
    </comment>
    <comment ref="A179" authorId="0">
      <text>
        <t>Normalized diluted EPS (consensus basis)</t>
      </text>
    </comment>
    <comment ref="A180" authorId="0">
      <text>
        <t>CapIQ normalized EPS actual (Inputs, GS_history.csv)</t>
      </text>
    </comment>
    <comment ref="A181" authorId="0">
      <text>
        <t>Check: model normalized EPS less CapIQ actual (0)</t>
      </text>
    </comment>
    <comment ref="A182" authorId="0">
      <text>
        <t>Consensus normalized EPS (history at report; 3Q26 frozen Oct 11, 2026)</t>
      </text>
    </comment>
    <comment ref="A183" authorId="0">
      <text>
        <t>Surprise vs consensus ($/share; 3Q26E = estimate less consensus)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G10" authorId="0">
      <text>
        <t>3Q26E cash linked from the Cash Flow Statement ending cash; the balance check row then tests the forecast. Balance sheet held flat at 2Q26 except cash, retained earnings (NI less dividends), treasury stock (buybacks), other assets (capex less D&amp;A) and loans (provision). GS balance sheet size is not forecast.</t>
      </text>
    </comment>
    <comment ref="A11" authorId="0">
      <text>
        <t>Securities purchased under agreements to resell</t>
      </text>
    </comment>
    <comment ref="A26" authorId="0">
      <text>
        <t>Securities sold under agreements to repurchase</t>
      </text>
    </comment>
    <comment ref="A41" authorId="0">
      <text>
        <t>Accumulated other comprehensive loss</t>
      </text>
    </comment>
    <comment ref="A44" authorId="0">
      <text>
        <t>Total liabilities and shareholders' equity</t>
      </text>
    </comment>
    <comment ref="A45" authorId="0">
      <text>
        <t>Check: assets - liabilities - equity (0)</t>
      </text>
    </comment>
    <comment ref="A48" authorId="0">
      <text>
        <t>Average loans (simple average of period ends; proxy, not issuer average)</t>
      </text>
    </comment>
    <comment ref="A52" authorId="0">
      <text>
        <t>Average deposits (simple average of period ends; proxy)</t>
      </text>
    </comment>
    <comment ref="A59" authorId="0">
      <text>
        <t>Common shareholders' equity (total equity less preferred)</t>
      </text>
    </comment>
    <comment ref="A63" authorId="0">
      <text>
        <t>Book value per common share (calc = common equity / period-end basic shares)</t>
      </text>
    </comment>
    <comment ref="A67" authorId="0">
      <text>
        <t>Book value per common share (as reported)</t>
      </text>
    </comment>
    <comment ref="A68" authorId="0">
      <text>
        <t>Annualised ROE (NI to common / average common equity)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G12" authorId="0">
      <text>
        <t>Not forecast (nil).</t>
      </text>
    </comment>
    <comment ref="G13" authorId="0">
      <text>
        <t>Not forecast (nil); share-based awards equity held flat on Balance Sheet for consistency.</t>
      </text>
    </comment>
    <comment ref="G15" authorId="0">
      <text>
        <t>Not forecast: trading/collateral flows held at nil (balance sheet held flat).</t>
      </text>
    </comment>
    <comment ref="G16" authorId="0">
      <text>
        <t>Not forecast: trading/collateral flows held at nil (balance sheet held flat).</t>
      </text>
    </comment>
    <comment ref="G17" authorId="0">
      <text>
        <t>Not forecast: trading/collateral flows held at nil (balance sheet held flat).</t>
      </text>
    </comment>
    <comment ref="G18" authorId="0">
      <text>
        <t>Not forecast: trading/collateral flows held at nil (balance sheet held flat).</t>
      </text>
    </comment>
    <comment ref="G19" authorId="0">
      <text>
        <t>Not forecast: trading/collateral flows held at nil (balance sheet held flat).</t>
      </text>
    </comment>
    <comment ref="G20" authorId="0">
      <text>
        <t>Not forecast: trading/collateral flows held at nil (balance sheet held flat).</t>
      </text>
    </comment>
    <comment ref="G26" authorId="0">
      <text>
        <t>Assumption -$550m: quarterly capex $502-565m over the last four quarters.</t>
      </text>
    </comment>
    <comment ref="G27" authorId="0">
      <text>
        <t>Not forecast (nil; balances held flat).</t>
      </text>
    </comment>
    <comment ref="G28" authorId="0">
      <text>
        <t>Not forecast (nil; balances held flat).</t>
      </text>
    </comment>
    <comment ref="G29" authorId="0">
      <text>
        <t>Not forecast (nil; balances held flat).</t>
      </text>
    </comment>
    <comment ref="G30" authorId="0">
      <text>
        <t>Not forecast (nil; balances held flat).</t>
      </text>
    </comment>
    <comment ref="G31" authorId="0">
      <text>
        <t>Not forecast (nil; balances held flat).</t>
      </text>
    </comment>
    <comment ref="G32" authorId="0">
      <text>
        <t>Not forecast (nil; balances held flat).</t>
      </text>
    </comment>
    <comment ref="G33" authorId="0">
      <text>
        <t>Not forecast (nil; balances held flat).</t>
      </text>
    </comment>
    <comment ref="G34" authorId="0">
      <text>
        <t>Not forecast (nil; balances held flat).</t>
      </text>
    </comment>
    <comment ref="G35" authorId="0">
      <text>
        <t>Not forecast (nil; balances held flat).</t>
      </text>
    </comment>
    <comment ref="G36" authorId="0">
      <text>
        <t>Not forecast (nil; balances held flat).</t>
      </text>
    </comment>
    <comment ref="G39" authorId="0">
      <text>
        <t>Not forecast (nil; balances held flat).</t>
      </text>
    </comment>
    <comment ref="G40" authorId="0">
      <text>
        <t>Not forecast (nil; balances held flat).</t>
      </text>
    </comment>
    <comment ref="G41" authorId="0">
      <text>
        <t>Not forecast (nil; balances held flat).</t>
      </text>
    </comment>
    <comment ref="G42" authorId="0">
      <text>
        <t>Not forecast (nil; balances held flat).</t>
      </text>
    </comment>
    <comment ref="G43" authorId="0">
      <text>
        <t>Not forecast (nil; balances held flat).</t>
      </text>
    </comment>
    <comment ref="G44" authorId="0">
      <text>
        <t>Not forecast (nil; balances held flat).</t>
      </text>
    </comment>
    <comment ref="G45" authorId="0">
      <text>
        <t>Not forecast (nil; balances held flat).</t>
      </text>
    </comment>
    <comment ref="G46" authorId="0">
      <text>
        <t>Not forecast (nil; balances held flat).</t>
      </text>
    </comment>
    <comment ref="G47" authorId="0">
      <text>
        <t>Not forecast (nil; balances held flat).</t>
      </text>
    </comment>
    <comment ref="G49" authorId="0">
      <text>
        <t>Not forecast (nil; balances held flat).</t>
      </text>
    </comment>
    <comment ref="G51" authorId="0">
      <text>
        <t>Not forecast (nil; balances held flat).</t>
      </text>
    </comment>
    <comment ref="G52" authorId="0">
      <text>
        <t>Not forecast (nil; balances held flat).</t>
      </text>
    </comment>
    <comment ref="G54" authorId="0">
      <text>
        <t>Not forecast (nil).</t>
      </text>
    </comment>
    <comment ref="A15" authorId="0">
      <text>
        <t>Customer and other receivables and payables, net</t>
      </text>
    </comment>
    <comment ref="A26" authorId="0">
      <text>
        <t>Purchase of property, leasehold improvements and equipment (capex)</t>
      </text>
    </comment>
    <comment ref="A27" authorId="0">
      <text>
        <t>Proceeds from sales of property and equipment</t>
      </text>
    </comment>
    <comment ref="A28" authorId="0">
      <text>
        <t>Business acquisitions / dispositions, net</t>
      </text>
    </comment>
    <comment ref="A30" authorId="0">
      <text>
        <t>AFS securities: proceeds from sales</t>
      </text>
    </comment>
    <comment ref="A31" authorId="0">
      <text>
        <t>AFS securities: paydowns and maturities</t>
      </text>
    </comment>
    <comment ref="A33" authorId="0">
      <text>
        <t>HTM securities: paydowns and maturities</t>
      </text>
    </comment>
    <comment ref="A35" authorId="0">
      <text>
        <t>Other investments: sales, paydowns and maturities</t>
      </text>
    </comment>
    <comment ref="A36" authorId="0">
      <text>
        <t>Loans (excluding held for sale), net</t>
      </text>
    </comment>
    <comment ref="A39" authorId="0">
      <text>
        <t>Unsecured short-term borrowings, net</t>
      </text>
    </comment>
    <comment ref="A40" authorId="0">
      <text>
        <t>Other secured financings (short-term), net</t>
      </text>
    </comment>
    <comment ref="A41" authorId="0">
      <text>
        <t>Other secured financings (long-term): issuance</t>
      </text>
    </comment>
    <comment ref="A42" authorId="0">
      <text>
        <t>Other secured financings (long-term): repayment</t>
      </text>
    </comment>
    <comment ref="A43" authorId="0">
      <text>
        <t>Unsecured long-term borrowings: issuance</t>
      </text>
    </comment>
    <comment ref="A44" authorId="0">
      <text>
        <t>Unsecured long-term borrowings: repayment</t>
      </text>
    </comment>
    <comment ref="A45" authorId="0">
      <text>
        <t>Derivative contracts with a financing element, net</t>
      </text>
    </comment>
    <comment ref="A49" authorId="0">
      <text>
        <t>Share-based award withholding tax settlement</t>
      </text>
    </comment>
    <comment ref="A50" authorId="0">
      <text>
        <t>Dividends paid (common, preferred, share-based awards)</t>
      </text>
    </comment>
    <comment ref="A54" authorId="0">
      <text>
        <t>Effect of exchange rate changes on cash</t>
      </text>
    </comment>
    <comment ref="A56" authorId="0">
      <text>
        <t>Cash and cash equivalents, beginning of period</t>
      </text>
    </comment>
    <comment ref="A57" authorId="0">
      <text>
        <t>Cash and cash equivalents, end of period</t>
      </text>
    </comment>
    <comment ref="A64" authorId="0">
      <text>
        <t>CFO less capex (analyst-derived; GS does not define free cash flow)</t>
      </text>
    </comment>
    <comment ref="A65" authorId="0">
      <text>
        <t>Check: cash flow ending cash less Balance Sheet cash (0)</t>
      </text>
    </comment>
    <comment ref="A66" authorId="0">
      <text>
        <t>Check: itemised YTD lines reconcile to reported change in cash (Inputs, 0)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G17" authorId="0">
      <text>
        <t>Assumption 61%: Americas 60% in 1Q26 and 2Q26 (S3); US-led ECM (SK Hynix Nasdaq IPO, S36).</t>
      </text>
    </comment>
    <comment ref="G28" authorId="0">
      <text>
        <t>Assumption 22% = 1Q26 and 2Q26 share (S3).</t>
      </text>
    </comment>
    <comment ref="A14" authorId="0">
      <text>
        <t>M&amp;A / scope impact on growth: not disclosed by the issuer (n.d.).</t>
      </text>
    </comment>
    <comment ref="A16" authorId="0">
      <text>
        <t>Organic growth = (1+Y/Y)/((1+M&amp;A)(1+FX))-1; n.a. where M&amp;A or FX impacts are not disclosed.</t>
      </text>
    </comment>
    <comment ref="A25" authorId="0">
      <text>
        <t>M&amp;A / scope impact on growth: not disclosed by the issuer (n.d.).</t>
      </text>
    </comment>
    <comment ref="A27" authorId="0">
      <text>
        <t>Organic growth = (1+Y/Y)/((1+M&amp;A)(1+FX))-1; n.a. where M&amp;A or FX impacts are not disclosed.</t>
      </text>
    </comment>
    <comment ref="A36" authorId="0">
      <text>
        <t>M&amp;A / scope impact on growth: not disclosed by the issuer (n.d.).</t>
      </text>
    </comment>
    <comment ref="A38" authorId="0">
      <text>
        <t>Organic growth = (1+Y/Y)/((1+M&amp;A)(1+FX))-1; n.a. where M&amp;A or FX impacts are not disclosed.</t>
      </text>
    </comment>
    <comment ref="A44" authorId="0">
      <text>
        <t>Check: Geo total less Revenue summary total (0)</t>
      </text>
    </comment>
  </commentList>
</comments>
</file>

<file path=xl/comments9.xml><?xml version="1.0" encoding="utf-8"?>
<comments xmlns="http://schemas.openxmlformats.org/spreadsheetml/2006/main">
  <authors>
    <author>Shortcut</author>
  </authors>
  <commentList>
    <comment ref="G11" authorId="0">
      <text>
        <t>Assumption $3.0bn: Q1 $5.0bn, Q2 $4.0bn; CET1 12.9% vs 11.4% requirement at 2Q26 (S3) leaves a smaller buffer than at YE25 (14.4%). No 3Q26 repurchase figure is published before the cutoff.</t>
      </text>
    </comment>
    <comment ref="G15" authorId="0">
      <text>
        <t>Assumption $1,030: GS traded roughly $1,000-1,150 in Jul-Aug and ~$900-980 in Sep 2026 (S22).</t>
      </text>
    </comment>
    <comment ref="G23" authorId="0">
      <text>
        <t>Assumption 0.1m: Q3 has little RSU delivery (3Q25 derived +0.1m).</t>
      </text>
    </comment>
    <comment ref="G37" authorId="0">
      <text>
        <t>Assumption 4.8m = 2Q26 level (304.9 - 300.1).</t>
      </text>
    </comment>
    <comment ref="A23" authorId="0">
      <text>
        <t>Issuance / RSU delivery, net (m) (history derived)</t>
      </text>
    </comment>
    <comment ref="A37" authorId="0">
      <text>
        <t>Dilutive securities (diluted less basic)</t>
      </text>
    </comment>
    <comment ref="A45" authorId="0">
      <text>
        <t>Share count behind forecast EPS (diluted, m)</t>
      </text>
    </comment>
    <comment ref="A48" authorId="0">
      <text>
        <t>Common dividend per share paid in quarter ($)</t>
      </text>
    </comment>
    <comment ref="A56" authorId="0">
      <text>
        <t>Total capital returned to common ($m)</t>
      </text>
    </comment>
  </commentList>
</comments>
</file>

<file path=xl/comments10.xml><?xml version="1.0" encoding="utf-8"?>
<comments xmlns="http://schemas.openxmlformats.org/spreadsheetml/2006/main">
  <authors>
    <author>Shortcut</author>
  </authors>
  <commentList>
    <comment ref="E153" authorId="0">
      <text>
        <t>Source: GS 1Q26 earnings release (S4): "compared with $14.12 for the first quarter of 2025"; also GS_history.csv.</t>
      </text>
    </comment>
    <comment ref="B229" authorId="0">
      <text>
        <t>Update from starting p: model EPS sits at consensus (-0.15); consensus mean above median (12.87) because of a stale $18.34 high (-0.04); FY26 ~20% ETR guidance implies ~22% for 3Q vs ~20% embedded in consensus (-0.04); management-flagged headwinds (non-comp +$500m, muted Investments, higher provisions, softer FICC) dated Sep 16 and already in consensus (0); equities strength vs Street equities ~$5.0bn (+0.0, already in model).</t>
      </text>
    </comment>
    <comment ref="A114" authorId="0">
      <text>
        <t>Global Banking &amp; Markets net revenues</t>
      </text>
    </comment>
    <comment ref="A119" authorId="0">
      <text>
        <t>Asset &amp; Wealth Management net revenues</t>
      </text>
    </comment>
    <comment ref="A125" authorId="0">
      <text>
        <t>Investment banking (income statement)</t>
      </text>
    </comment>
    <comment ref="A134" authorId="0">
      <text>
        <t>Total net revenues (income statement)</t>
      </text>
    </comment>
    <comment ref="A180" authorId="0">
      <text>
        <t>Customer and other receivables and payables, net</t>
      </text>
    </comment>
    <comment ref="A181" authorId="0">
      <text>
        <t>Collateralized transactions (excl. other secured financings), net</t>
      </text>
    </comment>
    <comment ref="A186" authorId="0">
      <text>
        <t>Net cash used for operating activities (reported)</t>
      </text>
    </comment>
    <comment ref="A187" authorId="0">
      <text>
        <t>Purchase of property, leasehold improvements and equipment</t>
      </text>
    </comment>
    <comment ref="A188" authorId="0">
      <text>
        <t>Proceeds from sales of property, leasehold improvements and equipment</t>
      </text>
    </comment>
    <comment ref="A189" authorId="0">
      <text>
        <t>Business acquisitions (-) / dispositions (+), net</t>
      </text>
    </comment>
    <comment ref="A190" authorId="0">
      <text>
        <t>Available-for-sale securities: purchases</t>
      </text>
    </comment>
    <comment ref="A191" authorId="0">
      <text>
        <t>Available-for-sale securities: proceeds from sales</t>
      </text>
    </comment>
    <comment ref="A192" authorId="0">
      <text>
        <t>Available-for-sale securities: paydowns and maturities</t>
      </text>
    </comment>
    <comment ref="A193" authorId="0">
      <text>
        <t>Held-to-maturity securities: purchases</t>
      </text>
    </comment>
    <comment ref="A194" authorId="0">
      <text>
        <t>Held-to-maturity securities: paydowns and maturities</t>
      </text>
    </comment>
    <comment ref="A196" authorId="0">
      <text>
        <t>Other investments: sales, paydowns and maturities</t>
      </text>
    </comment>
    <comment ref="A197" authorId="0">
      <text>
        <t>Loans (excluding loans held for sale), net</t>
      </text>
    </comment>
    <comment ref="A198" authorId="0">
      <text>
        <t>Net cash used for investing activities (reported)</t>
      </text>
    </comment>
    <comment ref="A200" authorId="0">
      <text>
        <t>Other secured financings (short-term), net</t>
      </text>
    </comment>
    <comment ref="A201" authorId="0">
      <text>
        <t>Other secured financings (long-term): issuance</t>
      </text>
    </comment>
    <comment ref="A202" authorId="0">
      <text>
        <t>Other secured financings (long-term): repayment</t>
      </text>
    </comment>
    <comment ref="A203" authorId="0">
      <text>
        <t>Unsecured long-term borrowings: issuance</t>
      </text>
    </comment>
    <comment ref="A204" authorId="0">
      <text>
        <t>Unsecured long-term borrowings: repayment</t>
      </text>
    </comment>
    <comment ref="A205" authorId="0">
      <text>
        <t>Derivative contracts with a financing element, net</t>
      </text>
    </comment>
    <comment ref="A209" authorId="0">
      <text>
        <t>Settlement of share-based awards for withholding tax</t>
      </text>
    </comment>
    <comment ref="A210" authorId="0">
      <text>
        <t>Dividends and dividend equivalents paid</t>
      </text>
    </comment>
    <comment ref="A211" authorId="0">
      <text>
        <t>Proceeds from issuance of preferred stock, net</t>
      </text>
    </comment>
    <comment ref="A213" authorId="0">
      <text>
        <t>Net cash provided by financing activities (reported)</t>
      </text>
    </comment>
    <comment ref="A214" authorId="0">
      <text>
        <t>Effect of exchange rate changes on cash</t>
      </text>
    </comment>
    <comment ref="A215" authorId="0">
      <text>
        <t>Net increase/(decrease) in cash (reported)</t>
      </text>
    </comment>
    <comment ref="A216" authorId="0">
      <text>
        <t>Cash and cash equivalents, beginning (reported)</t>
      </text>
    </comment>
    <comment ref="A217" authorId="0">
      <text>
        <t>Cash and cash equivalents, ending (reported)</t>
      </text>
    </comment>
    <comment ref="A218" authorId="0">
      <text>
        <t>Check: itemised lines sum to reported CFO+CFI+CFF+FX = change in cash (should be 0)</t>
      </text>
    </comment>
    <comment ref="A221" authorId="0">
      <text>
        <t>Market capitalisation ($bn), close Oct 9, 2026</t>
      </text>
    </comment>
    <comment ref="A222" authorId="0">
      <text>
        <t>Size bucket (small $0.3-2bn / mid $2-10bn / large &gt;$10bn)</t>
      </text>
    </comment>
    <comment ref="A223" authorId="0">
      <text>
        <t>S&amp;P 500 member (CapIQ summary row; S31 constituent list Oct 8-9, 2026)</t>
      </text>
    </comment>
    <comment ref="A224" authorId="0">
      <text>
        <t>Cohort prior (0.60 small / 0.70 mid / 0.78 large OR S&amp;P 500, applied once)</t>
      </text>
    </comment>
    <comment ref="A225" authorId="0">
      <text>
        <t>Pseudo-observations (fixed experimental weight)</t>
      </text>
    </comment>
    <comment ref="A226" authorId="0">
      <text>
        <t>b = strict beats in six CapIQ history pairs</t>
      </text>
    </comment>
    <comment ref="A229" authorId="0">
      <text>
        <t>Quarter-specific evidence update (pp; see prior-calibration.json)</t>
      </text>
    </comment>
    <comment ref="A231" authorId="0">
      <text>
        <t>Mean historical EPS surprise ($/share, six pairs)</t>
      </text>
    </comment>
    <comment ref="A232" authorId="0">
      <text>
        <t>Median historical EPS surprise ($/share)</t>
      </text>
    </comment>
    <comment ref="A237" authorId="0">
      <text>
        <t>MarketBeat consensus (Oct 6, 2026) — S25</t>
      </text>
    </comment>
    <comment ref="A238" authorId="0">
      <text>
        <t>Earnings Whispers whisper (pre-Oct 11, 2026) — S26</t>
      </text>
    </comment>
    <comment ref="A239" authorId="0">
      <text>
        <t>Zacks key metrics: GBM / AWM / PS net revenues ($m) — S24</t>
      </text>
    </comment>
    <comment ref="A240" authorId="0">
      <text>
        <t>Zacks key metrics: IB fees / FICC / Equities / GBM Other ($m) — S24</t>
      </text>
    </comment>
    <comment ref="A241" authorId="0">
      <text>
        <t>Zacks key metrics: AUS ($bn) / PB&amp;L ($m) — S24</t>
      </text>
    </comment>
    <comment ref="A228" authorId="0">
      <text>
        <t>Starting p = (8 x cohort prior + b) / (8 + n)</t>
      </text>
    </comment>
  </commentList>
</comments>
</file>

<file path=xl/sharedStrings.xml><?xml version="1.0" encoding="utf-8"?>
<sst xmlns="http://schemas.openxmlformats.org/spreadsheetml/2006/main" count="2047" uniqueCount="920">
  <si>
    <t>The Goldman Sachs Group, Inc. (NYSE: GS)</t>
  </si>
  <si>
    <t>Cover</t>
  </si>
  <si>
    <t>$ millions, except per share</t>
  </si>
  <si>
    <t>Company Model — built by Shortcut</t>
  </si>
  <si>
    <t>Company</t>
  </si>
  <si>
    <t>The Goldman Sachs Group, Inc.</t>
  </si>
  <si>
    <t>Ticker / exchange</t>
  </si>
  <si>
    <t>GS / NYSE (CapIQ ID 398625)</t>
  </si>
  <si>
    <t>Fiscal year end</t>
  </si>
  <si>
    <t>December 31</t>
  </si>
  <si>
    <t>Reporting currency</t>
  </si>
  <si>
    <t>USD</t>
  </si>
  <si>
    <t>EPS basis</t>
  </si>
  <si>
    <t>Normalized diluted EPS per common share, USD (= GAAP diluted; GS reports no non-GAAP adjustments)</t>
  </si>
  <si>
    <t>Forecast period</t>
  </si>
  <si>
    <t>FQ3 2026 — quarter ended Sep 30, 2026 (issuer quarter end = calendar month end; supplied label 2026-09-30)</t>
  </si>
  <si>
    <t>Information cutoff</t>
  </si>
  <si>
    <t>2026-10-11 22:24 UTC</t>
  </si>
  <si>
    <t>Expected report date</t>
  </si>
  <si>
    <t>2026-10-13, ~7:30am ET (issuer-confirmed, S23)</t>
  </si>
  <si>
    <t>Author</t>
  </si>
  <si>
    <t>Shortcut</t>
  </si>
  <si>
    <t>Headline: Shortcut 3Q26E vs consensus at cutoff vs guidance midpoint</t>
  </si>
  <si>
    <t>Metric (estimate = Shortcut 3Q26E)</t>
  </si>
  <si>
    <t>Estimate</t>
  </si>
  <si>
    <t>Consensus</t>
  </si>
  <si>
    <t>Variance</t>
  </si>
  <si>
    <t>Guid. mid</t>
  </si>
  <si>
    <t>vs guid.</t>
  </si>
  <si>
    <t>Consensus = S&amp;P Capital IQ snapshot Oct 11, 2026 (18 EPS / 15 revenue estimates)</t>
  </si>
  <si>
    <t>Total net revenues ($m)</t>
  </si>
  <si>
    <t>n/a</t>
  </si>
  <si>
    <t xml:space="preserve">    Variance vs consensus (%)</t>
  </si>
  <si>
    <t>Net earnings to common ($m)</t>
  </si>
  <si>
    <t>Basis unresolved: CapIQ net_income_excl_excep_m (C24, frozen) does not state whether it is before or after preferred dividends; model B24 is after preferred (pre-preferred net earnings = IS!G145). Like-for-like variance withheld (D24:D25).</t>
  </si>
  <si>
    <t>Normalized diluted EPS ($)</t>
  </si>
  <si>
    <t>GAAP diluted EPS ($)</t>
  </si>
  <si>
    <t>Pre-tax earnings ($m)</t>
  </si>
  <si>
    <t>Arithmetic integrity check (not economic validation)</t>
  </si>
  <si>
    <t>Arithmetic ties only. 3Q26E market making (IS!G31) and Asia (Geo!G32) are residual allocations, and IS!G171 / CF!G65 / Cover B22,B26 tie by direct link, so those 3Q26E components pass by construction. Only BS!G45 is a genuine forecast identity test.</t>
  </si>
  <si>
    <t>P(beat consensus EPS)</t>
  </si>
  <si>
    <t>Confidence</t>
  </si>
  <si>
    <t>medium</t>
  </si>
  <si>
    <t>Prior calibration (playbook v2; linked from Inputs)</t>
  </si>
  <si>
    <t>Market cap ($bn, Oct 9, 2026)</t>
  </si>
  <si>
    <t>Size bucket</t>
  </si>
  <si>
    <t>S&amp;P 500 member</t>
  </si>
  <si>
    <t>Cohort prior</t>
  </si>
  <si>
    <t>Historical strict beats b (of n)</t>
  </si>
  <si>
    <t>Valid pairs n</t>
  </si>
  <si>
    <t>Starting probability</t>
  </si>
  <si>
    <t>Quarter-specific update (pp)</t>
  </si>
  <si>
    <t>Final probability</t>
  </si>
  <si>
    <t>Mean historical EPS surprise ($)</t>
  </si>
  <si>
    <t>Segment estimates vs Street line items (Zacks, Oct 8, 2026; memo)</t>
  </si>
  <si>
    <t>Global Banking &amp; Markets ($m)</t>
  </si>
  <si>
    <t>Asset &amp; Wealth Management ($m)</t>
  </si>
  <si>
    <t>Platform Solutions ($m)</t>
  </si>
  <si>
    <t>Other consensus observed before cutoff (memo; scoring baseline remains CapIQ)</t>
  </si>
  <si>
    <t>Zacks EPS (Oct 8, 2026)</t>
  </si>
  <si>
    <t>MarketBeat EPS (Oct 6, 2026)</t>
  </si>
  <si>
    <t>Earnings Whispers whisper EPS</t>
  </si>
  <si>
    <t>CapIQ EPS median / high / low</t>
  </si>
  <si>
    <t>CapIQ contributors: EPS / rev.</t>
  </si>
  <si>
    <t>Revenue summary: net revenues by reported segment</t>
  </si>
  <si>
    <t>Period</t>
  </si>
  <si>
    <t>3Q25A</t>
  </si>
  <si>
    <t>4Q25A</t>
  </si>
  <si>
    <t>FY25A</t>
  </si>
  <si>
    <t>1Q26A</t>
  </si>
  <si>
    <t>2Q26A</t>
  </si>
  <si>
    <t>3Q26E</t>
  </si>
  <si>
    <t>Notes / sources</t>
  </si>
  <si>
    <t>Period end date</t>
  </si>
  <si>
    <t>Days in period</t>
  </si>
  <si>
    <t>Net revenues by segment</t>
  </si>
  <si>
    <t>Global Banking &amp; Markets</t>
  </si>
  <si>
    <t>Linked: Segment - Banking &amp; Markets</t>
  </si>
  <si>
    <t xml:space="preserve">      % Y/Y</t>
  </si>
  <si>
    <t xml:space="preserve">      % Q/Q</t>
  </si>
  <si>
    <t xml:space="preserve">      Change Q/Q ($)</t>
  </si>
  <si>
    <t xml:space="preserve">      M&amp;A / scope impact</t>
  </si>
  <si>
    <t>n.d.</t>
  </si>
  <si>
    <t xml:space="preserve">      FX impact (not disclosed)</t>
  </si>
  <si>
    <t xml:space="preserve">      Organic growth</t>
  </si>
  <si>
    <t>Asset &amp; Wealth Management</t>
  </si>
  <si>
    <t>Linked: Segment - Asset &amp; Wealth Mgmt</t>
  </si>
  <si>
    <t>Platform Solutions</t>
  </si>
  <si>
    <t>S1,S3; single disclosed line (no separate tab); guidance S10</t>
  </si>
  <si>
    <t>3Q26E 0.0% Q/Q and $0.0 change (shown as '–'): PS held at 2Q26 level per guidance (S10)</t>
  </si>
  <si>
    <t>Total net revenues</t>
  </si>
  <si>
    <t>Segment mix (% of total net revenues)</t>
  </si>
  <si>
    <t xml:space="preserve">  GBM % of total</t>
  </si>
  <si>
    <t xml:space="preserve">      Change Y/Y (bps)</t>
  </si>
  <si>
    <t xml:space="preserve">  AWM % of total</t>
  </si>
  <si>
    <t xml:space="preserve">  Platform Solutions % of total</t>
  </si>
  <si>
    <t>Checks and Capital IQ reconciliation</t>
  </si>
  <si>
    <t>Check: segments = IS total (0)</t>
  </si>
  <si>
    <t>3Q26E = 0 by construction (IS!G31 is a residual); arithmetic tie only</t>
  </si>
  <si>
    <t>CapIQ revenue actual</t>
  </si>
  <si>
    <t>Check: total vs CapIQ actual (0)</t>
  </si>
  <si>
    <t>CapIQ revenue consensus</t>
  </si>
  <si>
    <t xml:space="preserve">  Surprise vs consensus (%)</t>
  </si>
  <si>
    <t>Geography: three regions disclosed (Americas, EMEA, Asia) — see Geo tab</t>
  </si>
  <si>
    <t>Segment - Global Banking &amp; Markets: revenue build</t>
  </si>
  <si>
    <t>Investment banking fees</t>
  </si>
  <si>
    <t xml:space="preserve">  Advisory</t>
  </si>
  <si>
    <t>S1,S3,S4; assumption S12,S16,S17</t>
  </si>
  <si>
    <t xml:space="preserve">  Equity underwriting</t>
  </si>
  <si>
    <t>S1,S3,S4; assumption S18,S19</t>
  </si>
  <si>
    <t xml:space="preserve">  Debt underwriting</t>
  </si>
  <si>
    <t>S1,S3,S4; assumption S12,S14</t>
  </si>
  <si>
    <t>FICC</t>
  </si>
  <si>
    <t xml:space="preserve">  FICC intermediation</t>
  </si>
  <si>
    <t>S1,S3,S4; assumption S11</t>
  </si>
  <si>
    <t xml:space="preserve">  FICC financing</t>
  </si>
  <si>
    <t>S1,S3,S4; assumption S10</t>
  </si>
  <si>
    <t>Equities</t>
  </si>
  <si>
    <t xml:space="preserve">  Equities intermediation</t>
  </si>
  <si>
    <t xml:space="preserve">  Equities financing</t>
  </si>
  <si>
    <t>Other</t>
  </si>
  <si>
    <t>S1,S3,S4; assumption S24</t>
  </si>
  <si>
    <t>Banking &amp; Markets net revenues</t>
  </si>
  <si>
    <t>Mix (% of segment net revenues)</t>
  </si>
  <si>
    <t xml:space="preserve">  Advisory % of GBM</t>
  </si>
  <si>
    <t xml:space="preserve">  Equity underwriting % of GBM</t>
  </si>
  <si>
    <t xml:space="preserve">  Debt underwriting % of GBM</t>
  </si>
  <si>
    <t xml:space="preserve">  Investment banking fees % of GBM</t>
  </si>
  <si>
    <t xml:space="preserve">  FICC intermediation % of GBM</t>
  </si>
  <si>
    <t xml:space="preserve">  FICC financing % of GBM</t>
  </si>
  <si>
    <t xml:space="preserve">  FICC % of GBM</t>
  </si>
  <si>
    <t xml:space="preserve">  Equities intermediation % of GBM</t>
  </si>
  <si>
    <t xml:space="preserve">  Equities financing % of GBM</t>
  </si>
  <si>
    <t xml:space="preserve">  Equities % of GBM</t>
  </si>
  <si>
    <t xml:space="preserve">  Other % of GBM</t>
  </si>
  <si>
    <t>Memo: Street line-item consensus (Zacks, Oct 8, 2026) vs Shortcut estimate</t>
  </si>
  <si>
    <t xml:space="preserve">  Street: Investment banking fees</t>
  </si>
  <si>
    <t xml:space="preserve">      Shortcut vs Street (%)</t>
  </si>
  <si>
    <t xml:space="preserve">  Street: FICC</t>
  </si>
  <si>
    <t xml:space="preserve">  Street: Equities</t>
  </si>
  <si>
    <t xml:space="preserve">  Street: Other</t>
  </si>
  <si>
    <t xml:space="preserve">  Street: GBM net revenues</t>
  </si>
  <si>
    <t>3Q26E driver ladder: industry / market proxy x GS relative performance (feeds % Y/Y or % Q/Q in G above)</t>
  </si>
  <si>
    <t xml:space="preserve">  Industry IB rev, 3Q26 QTD ($bn)</t>
  </si>
  <si>
    <t>S12</t>
  </si>
  <si>
    <t xml:space="preserve">  Industry IB rev, 3Q25 QTD ($bn)</t>
  </si>
  <si>
    <t xml:space="preserve">  Industry IB revenue proxy, % Y/Y</t>
  </si>
  <si>
    <t xml:space="preserve">  Follow-ons and blocks, 3Q26</t>
  </si>
  <si>
    <t>S19</t>
  </si>
  <si>
    <t xml:space="preserve">  Follow-ons and blocks, 3Q25</t>
  </si>
  <si>
    <t xml:space="preserve">  ECM follow-on volume proxy, % Y/Y</t>
  </si>
  <si>
    <t xml:space="preserve">  Peer markets revenue guide: JPM</t>
  </si>
  <si>
    <t>S13</t>
  </si>
  <si>
    <t xml:space="preserve">  Peer markets revenue guide: Citi</t>
  </si>
  <si>
    <t>S14</t>
  </si>
  <si>
    <t xml:space="preserve">  Peer markets revenue guide: BAC</t>
  </si>
  <si>
    <t>S15</t>
  </si>
  <si>
    <t xml:space="preserve">  Peer markets proxy, % Y/Y</t>
  </si>
  <si>
    <t xml:space="preserve">  S&amp;P 500 change in quarter</t>
  </si>
  <si>
    <t>S21</t>
  </si>
  <si>
    <t xml:space="preserve">  Advisory: industry / market proxy</t>
  </si>
  <si>
    <t xml:space="preserve">    GS relative performance vs proxy</t>
  </si>
  <si>
    <t xml:space="preserve">    Implied % Y/Y</t>
  </si>
  <si>
    <t xml:space="preserve">  Equity underwriting: proxy growth</t>
  </si>
  <si>
    <t xml:space="preserve">  Debt underwriting: proxy growth</t>
  </si>
  <si>
    <t xml:space="preserve">  FICC intermediation: proxy growth</t>
  </si>
  <si>
    <t xml:space="preserve">  Equities interm.: proxy growth</t>
  </si>
  <si>
    <t xml:space="preserve">  FICC financing: 2Q26A run-rate</t>
  </si>
  <si>
    <t xml:space="preserve">    Balance growth (S&amp;P 500 proxy)</t>
  </si>
  <si>
    <t xml:space="preserve">    Spread / client leverage effect</t>
  </si>
  <si>
    <t xml:space="preserve">    Implied % Q/Q</t>
  </si>
  <si>
    <t xml:space="preserve">  FICC financing: closing 3Q26E</t>
  </si>
  <si>
    <t xml:space="preserve">  Equities financing: 2Q26A run-rate</t>
  </si>
  <si>
    <t xml:space="preserve">  Equities financing: closing 3Q26E</t>
  </si>
  <si>
    <t xml:space="preserve">  Other: trailing 4-qtr average</t>
  </si>
  <si>
    <t xml:space="preserve">    Adjustment vs trailing average</t>
  </si>
  <si>
    <t xml:space="preserve">  Other: 3Q26E</t>
  </si>
  <si>
    <t>Segment - Asset &amp; Wealth Management: AUS ladder and revenue build</t>
  </si>
  <si>
    <t>Assets under supervision (AUS) rollforward by asset class ($bn)</t>
  </si>
  <si>
    <t xml:space="preserve">  Alternatives: opening ($bn)</t>
  </si>
  <si>
    <t xml:space="preserve">    Net inflows / (outflows) ($bn)</t>
  </si>
  <si>
    <t xml:space="preserve">        % Y/Y</t>
  </si>
  <si>
    <t xml:space="preserve">        % Q/Q</t>
  </si>
  <si>
    <t xml:space="preserve">        Change Q/Q ($bn)</t>
  </si>
  <si>
    <t xml:space="preserve">    Market apprec. / (deprec.) ($bn)</t>
  </si>
  <si>
    <t xml:space="preserve">    Market appreciation % of opening</t>
  </si>
  <si>
    <t xml:space="preserve">        Change Q/Q (bps)</t>
  </si>
  <si>
    <t xml:space="preserve">        Change Y/Y (bps)</t>
  </si>
  <si>
    <t xml:space="preserve">  Alternatives: closing ($bn)</t>
  </si>
  <si>
    <t xml:space="preserve">        Change vs opening ($bn)</t>
  </si>
  <si>
    <t xml:space="preserve">  Equity: opening ($bn)</t>
  </si>
  <si>
    <t xml:space="preserve">  Equity: closing ($bn)</t>
  </si>
  <si>
    <t xml:space="preserve">  Fixed income: opening ($bn)</t>
  </si>
  <si>
    <t xml:space="preserve">  Fixed income: closing ($bn)</t>
  </si>
  <si>
    <t xml:space="preserve">  Liquidity products: opening ($bn)</t>
  </si>
  <si>
    <t xml:space="preserve">  Liquidity products: closing ($bn)</t>
  </si>
  <si>
    <t>Total AUS: opening</t>
  </si>
  <si>
    <t xml:space="preserve">  Long-term net inflows</t>
  </si>
  <si>
    <t xml:space="preserve">      Change Q/Q ($bn)</t>
  </si>
  <si>
    <t xml:space="preserve">  Liquidity products net inflows</t>
  </si>
  <si>
    <t>Total net inflows / (outflows)</t>
  </si>
  <si>
    <t xml:space="preserve">    of which M&amp;A / disposals</t>
  </si>
  <si>
    <t xml:space="preserve">    Organic LT net inflows</t>
  </si>
  <si>
    <t xml:space="preserve">    Organic LT growth (annualised)</t>
  </si>
  <si>
    <t xml:space="preserve">      Change Q/Q (bps)</t>
  </si>
  <si>
    <t xml:space="preserve">  Total market appreciation</t>
  </si>
  <si>
    <t>Total AUS: closing</t>
  </si>
  <si>
    <t xml:space="preserve">  Long-term AUS: closing</t>
  </si>
  <si>
    <t xml:space="preserve">  Memo: reported market apprec.</t>
  </si>
  <si>
    <t>S1, S3</t>
  </si>
  <si>
    <t xml:space="preserve">  Check: derived vs reported (0)</t>
  </si>
  <si>
    <t>Average AUS</t>
  </si>
  <si>
    <t>FY (col D) = simple average of FY opening and closing AUS (two-point approximation)</t>
  </si>
  <si>
    <t xml:space="preserve">  Memo: Street AUS estimate (Zacks)</t>
  </si>
  <si>
    <t>Revenue build ($m)</t>
  </si>
  <si>
    <t xml:space="preserve">  Management and other fees</t>
  </si>
  <si>
    <t>S1,S3; G = avg AUS x fee rate</t>
  </si>
  <si>
    <t xml:space="preserve">    Fee rate on avg AUS (bps, ann.)</t>
  </si>
  <si>
    <t>FY (D96) is approximate: two-point annual AUS average, memo only. 3Q26E G96 = 34.7bps assumption</t>
  </si>
  <si>
    <t xml:space="preserve">  Incentive fees</t>
  </si>
  <si>
    <t>S1,S3; assumption S10</t>
  </si>
  <si>
    <t xml:space="preserve">  Private banking and lending</t>
  </si>
  <si>
    <t>S1,S3; assumption S24</t>
  </si>
  <si>
    <t xml:space="preserve">  Investments</t>
  </si>
  <si>
    <t>S1,S3; assumption S11</t>
  </si>
  <si>
    <t>Asset &amp; Wealth Mgmt net revenues</t>
  </si>
  <si>
    <t xml:space="preserve">  Management and other fees % of AWM</t>
  </si>
  <si>
    <t xml:space="preserve">  Incentive fees % of AWM</t>
  </si>
  <si>
    <t xml:space="preserve">  PB&amp;L % of AWM</t>
  </si>
  <si>
    <t xml:space="preserve">  Investments % of AWM</t>
  </si>
  <si>
    <t>Memo: Street AWM net revenues</t>
  </si>
  <si>
    <t>Income statement (as reported) with GAAP to normalized EPS bridge</t>
  </si>
  <si>
    <t>Revenues</t>
  </si>
  <si>
    <t xml:space="preserve">  Investment banking</t>
  </si>
  <si>
    <t>S1,S3</t>
  </si>
  <si>
    <t xml:space="preserve">  Investment management</t>
  </si>
  <si>
    <t xml:space="preserve">  Commissions and fees</t>
  </si>
  <si>
    <t>S1,S3; 4Q25 505 verified against S1 consolidated statement of earnings</t>
  </si>
  <si>
    <t xml:space="preserve">  Market making</t>
  </si>
  <si>
    <t>S1,S3; 3Q26E = residual allocation (Revenue summary total less other IS revenue lines); not independently driven — see G33 for implied Q/Q</t>
  </si>
  <si>
    <t xml:space="preserve">  Other principal transactions</t>
  </si>
  <si>
    <t>Total non-interest revenues</t>
  </si>
  <si>
    <t xml:space="preserve">  Interest income</t>
  </si>
  <si>
    <t xml:space="preserve">  Interest expense</t>
  </si>
  <si>
    <t>Net interest income</t>
  </si>
  <si>
    <t>Check: vs Revenue summary (0)</t>
  </si>
  <si>
    <t>3Q26E = 0 by construction (G31 is a residual); arithmetic tie only</t>
  </si>
  <si>
    <t>Provision for credit losses</t>
  </si>
  <si>
    <t>S1,S3; guidance S11</t>
  </si>
  <si>
    <t>Operating expenses</t>
  </si>
  <si>
    <t xml:space="preserve">  Compensation and benefits</t>
  </si>
  <si>
    <t xml:space="preserve">    Compensation ratio</t>
  </si>
  <si>
    <t xml:space="preserve">  Transaction based</t>
  </si>
  <si>
    <t xml:space="preserve">  Market development</t>
  </si>
  <si>
    <t xml:space="preserve">  Communications and technology</t>
  </si>
  <si>
    <t xml:space="preserve">  Depreciation and amortization</t>
  </si>
  <si>
    <t xml:space="preserve">  Occupancy</t>
  </si>
  <si>
    <t xml:space="preserve">  Professional fees</t>
  </si>
  <si>
    <t xml:space="preserve">  Other expenses</t>
  </si>
  <si>
    <t xml:space="preserve">  Non-compensation expenses</t>
  </si>
  <si>
    <t xml:space="preserve">    Memo: guided non-comp rise ($m)</t>
  </si>
  <si>
    <t>S11 (Sep 16, 2026)</t>
  </si>
  <si>
    <t xml:space="preserve">    Check: above guided floor</t>
  </si>
  <si>
    <t xml:space="preserve">    Non-compensation ratio</t>
  </si>
  <si>
    <t>Total operating expenses</t>
  </si>
  <si>
    <t xml:space="preserve">    Efficiency ratio</t>
  </si>
  <si>
    <t>Pre-tax earnings</t>
  </si>
  <si>
    <t xml:space="preserve">    Pre-tax margin</t>
  </si>
  <si>
    <t xml:space="preserve">  Provision for taxes</t>
  </si>
  <si>
    <t xml:space="preserve">    Effective tax rate</t>
  </si>
  <si>
    <t>Net earnings</t>
  </si>
  <si>
    <t xml:space="preserve">    Net margin</t>
  </si>
  <si>
    <t xml:space="preserve">  Preferred stock dividends</t>
  </si>
  <si>
    <t>Net earnings to common</t>
  </si>
  <si>
    <t>Bank NI attribution: net earnings (row 145) less preferred dividends (row 152) = NI to common; EPS numerator</t>
  </si>
  <si>
    <t>Shares and EPS</t>
  </si>
  <si>
    <t xml:space="preserve">  Average basic shares (m)</t>
  </si>
  <si>
    <t>Linked: Share Count</t>
  </si>
  <si>
    <t xml:space="preserve">  Average diluted shares (m)</t>
  </si>
  <si>
    <t xml:space="preserve">  Basic EPS, calc (NI / basic sh.)</t>
  </si>
  <si>
    <t xml:space="preserve">  Diluted EPS, calc (NI / dil. sh.)</t>
  </si>
  <si>
    <t>Basic EPS (reported; 3Q26E = calc. estimate)</t>
  </si>
  <si>
    <t>S1,S3 (reported basic uses two-class method)</t>
  </si>
  <si>
    <t>GAAP diluted EPS (reported; 3Q26E = estimate)</t>
  </si>
  <si>
    <t>Check: EPS = NI / diluted shares</t>
  </si>
  <si>
    <t>3Q26E TRUE by construction (G167 = G165)</t>
  </si>
  <si>
    <t>GAAP to normalized (consensus basis) bridge</t>
  </si>
  <si>
    <t xml:space="preserve">  GAAP net earnings to common</t>
  </si>
  <si>
    <t xml:space="preserve">  Adj: Apple Card transition</t>
  </si>
  <si>
    <t>Not adjusted: CapIQ normalized EPS = GAAP in 4Q25 (Inputs history)</t>
  </si>
  <si>
    <t xml:space="preserve">  Adj: litigation / regulatory</t>
  </si>
  <si>
    <t>Not adjusted: GS reports no non-GAAP EPS</t>
  </si>
  <si>
    <t xml:space="preserve">  Adj: share-award tax benefit</t>
  </si>
  <si>
    <t>Not adjusted: CapIQ normalized = GAAP in 1Q26</t>
  </si>
  <si>
    <t>Normalized net earnings to common</t>
  </si>
  <si>
    <t>Normalized diluted EPS</t>
  </si>
  <si>
    <t>Normalized diluted EPS = GAAP diluted EPS + normalization adjustments (rows 175-177, all 0) / diluted shares (row 163)</t>
  </si>
  <si>
    <t xml:space="preserve">  CapIQ normalized EPS actual</t>
  </si>
  <si>
    <t xml:space="preserve">  Check: vs CapIQ actual (0)</t>
  </si>
  <si>
    <t xml:space="preserve">  Consensus normalized EPS</t>
  </si>
  <si>
    <t xml:space="preserve">  Surprise vs consensus ($/share)</t>
  </si>
  <si>
    <t>Memo: tracked bank metrics</t>
  </si>
  <si>
    <t xml:space="preserve">  Net interest margin</t>
  </si>
  <si>
    <t>Not disclosed by GS in releases or 10-Q; unavailable</t>
  </si>
  <si>
    <t xml:space="preserve">  Issuer-defined free cash flow</t>
  </si>
  <si>
    <t>n.a.</t>
  </si>
  <si>
    <t>Unavailable: no issuer FCF definition in preserved sources (S1, S3, S9); CFO less capex on CF row 64 is a model memo only</t>
  </si>
  <si>
    <t>Balance sheet (as reported, period end)</t>
  </si>
  <si>
    <t>Assets</t>
  </si>
  <si>
    <t xml:space="preserve">  Cash and cash equivalents</t>
  </si>
  <si>
    <t>S6,S8,S9 (10-Q), S7 (10-K)</t>
  </si>
  <si>
    <t xml:space="preserve">  Resale agreements</t>
  </si>
  <si>
    <t xml:space="preserve">  Securities borrowed</t>
  </si>
  <si>
    <t xml:space="preserve">  Customer and other receivables</t>
  </si>
  <si>
    <t xml:space="preserve">  Trading assets</t>
  </si>
  <si>
    <t xml:space="preserve">  Available-for-sale securities</t>
  </si>
  <si>
    <t xml:space="preserve">  Held-to-maturity securities</t>
  </si>
  <si>
    <t xml:space="preserve">  Other investments</t>
  </si>
  <si>
    <t xml:space="preserve">  Loans, net of allowance</t>
  </si>
  <si>
    <t xml:space="preserve">  Other assets</t>
  </si>
  <si>
    <t>Total assets</t>
  </si>
  <si>
    <t>Liabilities</t>
  </si>
  <si>
    <t xml:space="preserve">  Deposits</t>
  </si>
  <si>
    <t xml:space="preserve">  Repurchase agreements</t>
  </si>
  <si>
    <t xml:space="preserve">  Securities loaned</t>
  </si>
  <si>
    <t xml:space="preserve">  Other secured financings</t>
  </si>
  <si>
    <t xml:space="preserve">  Customer and other payables</t>
  </si>
  <si>
    <t xml:space="preserve">  Trading liabilities</t>
  </si>
  <si>
    <t xml:space="preserve">  Unsecured short-term borrowings</t>
  </si>
  <si>
    <t xml:space="preserve">  Unsecured long-term borrowings</t>
  </si>
  <si>
    <t xml:space="preserve">  Other liabilities</t>
  </si>
  <si>
    <t>Total liabilities</t>
  </si>
  <si>
    <t>Shareholders' equity</t>
  </si>
  <si>
    <t xml:space="preserve">  Preferred stock</t>
  </si>
  <si>
    <t xml:space="preserve">  Common stock</t>
  </si>
  <si>
    <t xml:space="preserve">  Share-based awards</t>
  </si>
  <si>
    <t>S6,S8,S9 (10-Q), S7 (10-K); 3Q26E held flat (no SBC accrual modelled, consistent with CF row 13)</t>
  </si>
  <si>
    <t xml:space="preserve">  Additional paid-in capital</t>
  </si>
  <si>
    <t xml:space="preserve">  Retained earnings</t>
  </si>
  <si>
    <t xml:space="preserve">  Accumulated OCI (loss)</t>
  </si>
  <si>
    <t xml:space="preserve">  Stock held in treasury, at cost</t>
  </si>
  <si>
    <t>Total shareholders' equity</t>
  </si>
  <si>
    <t>Total liabilities and equity</t>
  </si>
  <si>
    <t>Check: assets - liab. - equity (0)</t>
  </si>
  <si>
    <t>Memo: lending, deposits and book value</t>
  </si>
  <si>
    <t xml:space="preserve">  Average loans (proxy)</t>
  </si>
  <si>
    <t>Issuer average balances not published quarterly; derived proxy</t>
  </si>
  <si>
    <t xml:space="preserve">  Average deposits (proxy)</t>
  </si>
  <si>
    <t>Derived proxy</t>
  </si>
  <si>
    <t xml:space="preserve">  Loans / deposits (period end)</t>
  </si>
  <si>
    <t xml:space="preserve">  Common shareholders' equity</t>
  </si>
  <si>
    <t xml:space="preserve">  BVPS (calc)</t>
  </si>
  <si>
    <t xml:space="preserve">  BVPS (reported)</t>
  </si>
  <si>
    <t xml:space="preserve">  Annualised ROE</t>
  </si>
  <si>
    <t>Simple average of period ends; GS reports on average monthly equity</t>
  </si>
  <si>
    <t>Cash flow statement (quarters derived from year-to-date filings)</t>
  </si>
  <si>
    <t>Operating activities</t>
  </si>
  <si>
    <t xml:space="preserve">  Net earnings</t>
  </si>
  <si>
    <t>Inputs (S6-S9); 3Q26E linked</t>
  </si>
  <si>
    <t xml:space="preserve">  Deferred income taxes</t>
  </si>
  <si>
    <t>3Q26E held at 0 by assumption (not forecast)</t>
  </si>
  <si>
    <t xml:space="preserve">  Share-based compensation</t>
  </si>
  <si>
    <t>3Q26E SBC add-back held at 0 by assumption (no supported SBC input); CFO excludes non-cash SBC; BS row 38 offset not modelled</t>
  </si>
  <si>
    <t xml:space="preserve">  Provision for credit losses</t>
  </si>
  <si>
    <t xml:space="preserve">  Customer rec. / payables, net</t>
  </si>
  <si>
    <t xml:space="preserve">  Collateralized transactions, net</t>
  </si>
  <si>
    <t xml:space="preserve">  Loans held for sale, net</t>
  </si>
  <si>
    <t xml:space="preserve">  Other, net</t>
  </si>
  <si>
    <t>Net cash from operating activities</t>
  </si>
  <si>
    <t>3Q26E CFO = net earnings + D&amp;A + provision only; excludes SBC, deferred tax and working-capital / trading / collateral flows (held at 0); mechanical</t>
  </si>
  <si>
    <t>Investing activities</t>
  </si>
  <si>
    <t xml:space="preserve">  Capex (property and equipment)</t>
  </si>
  <si>
    <t xml:space="preserve">  Proceeds from sale of PP&amp;E</t>
  </si>
  <si>
    <t xml:space="preserve">  Acquisitions / dispositions, net</t>
  </si>
  <si>
    <t xml:space="preserve">  AFS securities: purchases</t>
  </si>
  <si>
    <t xml:space="preserve">  AFS securities: sales</t>
  </si>
  <si>
    <t xml:space="preserve">  AFS securities: maturities</t>
  </si>
  <si>
    <t xml:space="preserve">  HTM securities: purchases</t>
  </si>
  <si>
    <t xml:space="preserve">  HTM securities: maturities</t>
  </si>
  <si>
    <t xml:space="preserve">  Other investments: purchases</t>
  </si>
  <si>
    <t xml:space="preserve">  Other inv.: sales / maturities</t>
  </si>
  <si>
    <t xml:space="preserve">  Loans (excl. held for sale), net</t>
  </si>
  <si>
    <t>Net cash from investing activities</t>
  </si>
  <si>
    <t>Financing activities</t>
  </si>
  <si>
    <t xml:space="preserve">  Unsecured ST borrowings, net</t>
  </si>
  <si>
    <t xml:space="preserve">  Other secured fin., net</t>
  </si>
  <si>
    <t xml:space="preserve">  Other secured fin.: issuance</t>
  </si>
  <si>
    <t xml:space="preserve">  Other secured fin.: repayment</t>
  </si>
  <si>
    <t xml:space="preserve">  Unsecured LT borrowings: issuance</t>
  </si>
  <si>
    <t xml:space="preserve">  Unsecured LT borrowings: repayment</t>
  </si>
  <si>
    <t xml:space="preserve">  Financing derivatives, net</t>
  </si>
  <si>
    <t xml:space="preserve">  Deposits, net</t>
  </si>
  <si>
    <t xml:space="preserve">  Preferred stock redemption</t>
  </si>
  <si>
    <t xml:space="preserve">  Common stock repurchased</t>
  </si>
  <si>
    <t xml:space="preserve">  Share-award withholding tax</t>
  </si>
  <si>
    <t xml:space="preserve">  Dividends paid</t>
  </si>
  <si>
    <t xml:space="preserve">  Preferred stock issuance, net</t>
  </si>
  <si>
    <t xml:space="preserve">  Other financing, net</t>
  </si>
  <si>
    <t>Net cash from financing activities</t>
  </si>
  <si>
    <t>FX effect on cash</t>
  </si>
  <si>
    <t>Net increase / (decrease) in cash</t>
  </si>
  <si>
    <t>Cash, beginning of period</t>
  </si>
  <si>
    <t>Cash, end of period</t>
  </si>
  <si>
    <t>Memo</t>
  </si>
  <si>
    <t xml:space="preserve">  Capital expenditures (positive)</t>
  </si>
  <si>
    <t xml:space="preserve">  CFO less capex</t>
  </si>
  <si>
    <t>Model-defined memo (CFO less capex), not issuer-defined FCF. issuer_defined_free_cash_flow: unavailable - no issuer FCF definition found in preserved sources (S1, S3, S9)</t>
  </si>
  <si>
    <t>Check: ending cash vs BS cash (0)</t>
  </si>
  <si>
    <t>3Q26E = 0 by construction (BS!G10 links to G57); arithmetic tie only</t>
  </si>
  <si>
    <t>Check: YTD lines reconcile (0)</t>
  </si>
  <si>
    <t>Geographic net revenues (Americas, EMEA, Asia)</t>
  </si>
  <si>
    <t>Net revenues by region (fee-payer geography as reported in Note 25)</t>
  </si>
  <si>
    <t>Americas</t>
  </si>
  <si>
    <t xml:space="preserve">      % of total net revenues</t>
  </si>
  <si>
    <t>EMEA</t>
  </si>
  <si>
    <t>Asia</t>
  </si>
  <si>
    <t>S1,S3; 3Q26E = residual allocation (total less Americas and EMEA); not independently driven</t>
  </si>
  <si>
    <t>Check: Geo vs Revenue summary (0)</t>
  </si>
  <si>
    <t>3Q26E = 0 by construction (G32 is a residual); arithmetic tie only</t>
  </si>
  <si>
    <t>Share count: weighted shares, buybacks and EPS share basis</t>
  </si>
  <si>
    <t>Period-end basic shares rollforward (shares in millions)</t>
  </si>
  <si>
    <t>Opening period-end basic shares</t>
  </si>
  <si>
    <t xml:space="preserve">  Common share repurchases ($m)</t>
  </si>
  <si>
    <t>S1,S2,S3,S4; assumption</t>
  </si>
  <si>
    <t xml:space="preserve">  Average repurchase price ($/share)</t>
  </si>
  <si>
    <t>S1,S2,S3,S4</t>
  </si>
  <si>
    <t xml:space="preserve">  Shares repurchased (m) = $ / price</t>
  </si>
  <si>
    <t xml:space="preserve">      Change Q/Q (m shares)</t>
  </si>
  <si>
    <t xml:space="preserve">  Issuance / RSU delivery, net</t>
  </si>
  <si>
    <t>Closing period-end basic shares</t>
  </si>
  <si>
    <t>S1,S3 (basic shares incl. RSUs with non-forfeitable dividend rights)</t>
  </si>
  <si>
    <t>Weighted average shares (EPS denominators)</t>
  </si>
  <si>
    <t>Average basic shares</t>
  </si>
  <si>
    <t>S1,S3; 3Q26E = simple average of opening and closing period-end basic shares (original assumption retained). Historically this exceeded reported average basic by 0.10-0.75m (mean ~0.51m, 3Q25-2Q26), so the denominator may be biased high (~+$0.02 EPS if removed). Unresolved judgment; not adjusted.</t>
  </si>
  <si>
    <t xml:space="preserve">  Dilutive securities</t>
  </si>
  <si>
    <t>Average diluted shares</t>
  </si>
  <si>
    <t>Share count behind forecast EPS</t>
  </si>
  <si>
    <t>Dividends</t>
  </si>
  <si>
    <t>Dividend per share paid ($)</t>
  </si>
  <si>
    <t>S2,S1,S4,S3 (3Q26 $5.00 declared Jul 13, 2026)</t>
  </si>
  <si>
    <t>Common dividends declared ($m)</t>
  </si>
  <si>
    <t>S2,S1 ($bn rounded); S9 equity statement (1Q26 = 6M less 3M)</t>
  </si>
  <si>
    <t>Total capital returned to common</t>
  </si>
  <si>
    <t>Guidance register: issuer guidance and track record</t>
  </si>
  <si>
    <t>GS does not issue revenue, net income or EPS guidance (CapIQ guidance fields blank). Register of explicit issuer guidance below.</t>
  </si>
  <si>
    <t>Guidance item</t>
  </si>
  <si>
    <t>Date given</t>
  </si>
  <si>
    <t>Metric</t>
  </si>
  <si>
    <t>Low</t>
  </si>
  <si>
    <t>High</t>
  </si>
  <si>
    <t>Midpoint</t>
  </si>
  <si>
    <t>Actual</t>
  </si>
  <si>
    <t>Beat / miss</t>
  </si>
  <si>
    <t>Source</t>
  </si>
  <si>
    <t>FY26 effective tax rate (initial)</t>
  </si>
  <si>
    <t>2026-01-15</t>
  </si>
  <si>
    <t>FY2026</t>
  </si>
  <si>
    <t>ETR %</t>
  </si>
  <si>
    <t>YTD 1H26 18.5%</t>
  </si>
  <si>
    <t>Pending (FY)</t>
  </si>
  <si>
    <t>S33</t>
  </si>
  <si>
    <t>FY26 effective tax rate (reaffirmed)</t>
  </si>
  <si>
    <t>2026-07-14</t>
  </si>
  <si>
    <t>S10</t>
  </si>
  <si>
    <t>Platform Solutions revenue run-rate</t>
  </si>
  <si>
    <t>3Q26-4Q26</t>
  </si>
  <si>
    <t>Net revenues $m (= 2Q26 level)</t>
  </si>
  <si>
    <t>Pending</t>
  </si>
  <si>
    <t>Alternatives fundraising</t>
  </si>
  <si>
    <t>$bn, at least</t>
  </si>
  <si>
    <t>1H26 $85bn</t>
  </si>
  <si>
    <t>Incentive fees</t>
  </si>
  <si>
    <t>2H2026</t>
  </si>
  <si>
    <t>Qualitative: increase materially</t>
  </si>
  <si>
    <t>Non-compensation expenses vs 2Q26</t>
  </si>
  <si>
    <t>2026-09-16</t>
  </si>
  <si>
    <t>3Q26</t>
  </si>
  <si>
    <t>Q/Q increase $m, more than</t>
  </si>
  <si>
    <t>S11, S28</t>
  </si>
  <si>
    <t>Investments line (AWM)</t>
  </si>
  <si>
    <t>Qualitative: much more muted vs 2Q26 $441m</t>
  </si>
  <si>
    <t>S11</t>
  </si>
  <si>
    <t>Provision for credit losses vs 3Q25</t>
  </si>
  <si>
    <t>Slightly higher than 3Q25 ($m, floor)</t>
  </si>
  <si>
    <t>S28</t>
  </si>
  <si>
    <t>FICC vs Equities</t>
  </si>
  <si>
    <t>Qualitative: FICC a little softer; Equities very strong</t>
  </si>
  <si>
    <t>AWM medium-term targets</t>
  </si>
  <si>
    <t>Medium term</t>
  </si>
  <si>
    <t>High-single-digit growth; 30% margin</t>
  </si>
  <si>
    <t>S34</t>
  </si>
  <si>
    <t>Track record: no numeric revenue/EPS guidance to test; tax-rate guidance tracking below midpoint YTD (18.5% vs ~20%).</t>
  </si>
  <si>
    <t>Implied EPS from guidance midpoint: not computable (no EPS/revenue guidance).</t>
  </si>
  <si>
    <t>Sources register</t>
  </si>
  <si>
    <t>Publication dates (col B, date precision as recorded) precede the information cutoff 2026-10-11 22:24:20 UTC. Col F = retrieval time of the cached copy (2026-10-11T23:50Z, i.e. after the cutoff); retrieval after cutoff is not itself leakage. No archived cutoff-time snapshots exist; dynamic pages (S22, S24-S26, S30, S31) may have changed between cutoff and retrieval - documented, unresolved limitation.</t>
  </si>
  <si>
    <t>Omitted tab: "Segment - Platform Solutions" — only one net revenue line is disclosed (checked 2Q26 earnings release S3 and 2Q26 10-Q Note 25 S9); modelled on Revenue summary.</t>
  </si>
  <si>
    <t>ID</t>
  </si>
  <si>
    <t>Pub. date</t>
  </si>
  <si>
    <t>Publisher</t>
  </si>
  <si>
    <t>URL or file</t>
  </si>
  <si>
    <t>Feeds</t>
  </si>
  <si>
    <t>Retrieved (UTC)</t>
  </si>
  <si>
    <t>Notes</t>
  </si>
  <si>
    <t>S1</t>
  </si>
  <si>
    <t>Goldman Sachs (SEC 8-K Ex.99.1)</t>
  </si>
  <si>
    <t>https://www.sec.gov/Archives/edgar/data/886982/000088698226000008/a4q25gsearningsresults.htm</t>
  </si>
  <si>
    <t>4Q25/3Q25/FY25 segments, IS, geo, AUS, BS; 4Q24/FY24 comparatives</t>
  </si>
  <si>
    <t>2026-10-11T23:50Z</t>
  </si>
  <si>
    <t>S2</t>
  </si>
  <si>
    <t>2025-10-14</t>
  </si>
  <si>
    <t>https://www.sec.gov/Archives/edgar/data/886982/000119312525238058/d899312dex991.htm</t>
  </si>
  <si>
    <t>3Q24 comparatives; 3Q25 buyback/dividend; 3Q25 expense commentary</t>
  </si>
  <si>
    <t>S3</t>
  </si>
  <si>
    <t>https://www.sec.gov/Archives/edgar/data/886982/000088698226000294/a2q26gsearningsresults.htm</t>
  </si>
  <si>
    <t>2Q26/1Q26 segments, IS, geo, AUS, capital; 2Q25/1H25 comparatives</t>
  </si>
  <si>
    <t>S4</t>
  </si>
  <si>
    <t>2026-04-13</t>
  </si>
  <si>
    <t>https://www.sec.gov/Archives/edgar/data/886982/000088698226000096/a1q26gsearningsresults.htm</t>
  </si>
  <si>
    <t>1Q26 buybacks, dividend, tax commentary; 1Q25 EPS</t>
  </si>
  <si>
    <t>Next ID S5 is absent: register numbering omission; no workbook cell cites S5 and no content is attributed to it</t>
  </si>
  <si>
    <t>S6</t>
  </si>
  <si>
    <t>2026-05-01</t>
  </si>
  <si>
    <t>Goldman Sachs 10-Q 1Q26 (SEC)</t>
  </si>
  <si>
    <t>https://www.sec.gov/Archives/edgar/data/886982/000088698226000118/gs-20260331.htm</t>
  </si>
  <si>
    <t>Mar-26 balance sheet; 3M26 cash flow</t>
  </si>
  <si>
    <t>S7</t>
  </si>
  <si>
    <t>2026-02-25</t>
  </si>
  <si>
    <t>Goldman Sachs 10-K 2025 (SEC, R8)</t>
  </si>
  <si>
    <t>https://www.sec.gov/Archives/edgar/data/886982/000088698226000091/R8.htm</t>
  </si>
  <si>
    <t>FY25 cash flow statement</t>
  </si>
  <si>
    <t>S8</t>
  </si>
  <si>
    <t>2025-10-31</t>
  </si>
  <si>
    <t>Goldman Sachs 10-Q 3Q25 (SEC)</t>
  </si>
  <si>
    <t>https://www.sec.gov/Archives/edgar/data/886982/000088698225001411/gs-20250930.htm</t>
  </si>
  <si>
    <t>Sep-25 balance sheet; 9M25 cash flow</t>
  </si>
  <si>
    <t>S9</t>
  </si>
  <si>
    <t>2026-08-03</t>
  </si>
  <si>
    <t>Goldman Sachs 10-Q 2Q26 (SEC)</t>
  </si>
  <si>
    <t>https://www.sec.gov/Archives/edgar/data/886982/000088698226000297/gs-20260630.htm</t>
  </si>
  <si>
    <t>Jun-26/Dec-25 balance sheet; 6M26/6M25 cash flow; equity statement; shares outstanding</t>
  </si>
  <si>
    <t>The Motley Fool (GS 2Q26 call transcript)</t>
  </si>
  <si>
    <t>https://www.fool.com/earnings/call-transcripts/2026/07/21/goldman-sachs-gs-q2-2026-earnings-call-transcript/</t>
  </si>
  <si>
    <t>ETR ~20% FY26; PS run-rate; incentive fees; backlog; alts fundraising</t>
  </si>
  <si>
    <t>Pub. date = call date (page metadata 2026-07-14; call held Jul 14, 2026). URL path /2026/07/21/ indicates later web posting; both pre-cutoff</t>
  </si>
  <si>
    <t>Reuters</t>
  </si>
  <si>
    <t>https://www.reuters.com/business/finance/goldman-ceo-says-fixed-income-currencies-commodities-business-slightly-softer-q3-2026-09-16/</t>
  </si>
  <si>
    <t>FICC softer / equities strong; non-comp +$500m; muted investments; provisions</t>
  </si>
  <si>
    <t>Reuters (Dealogic data)</t>
  </si>
  <si>
    <t>Industry IB revenue to Sep 15: $21.194bn vs $23.765bn</t>
  </si>
  <si>
    <t>2026-09-15</t>
  </si>
  <si>
    <t>earningscalls.dev (JPM at Barclays conf.)</t>
  </si>
  <si>
    <t>https://earningscalls.dev/transcripts/jpmorgan-chase-and-co_jpm_earnings_call_transcript_2026-09-15</t>
  </si>
  <si>
    <t>Peer: JPM 3Q IB fees and markets +mid/high-teens Y/Y</t>
  </si>
  <si>
    <t>2026-09-14</t>
  </si>
  <si>
    <t>Investing.com (Citi at Barclays conf.)</t>
  </si>
  <si>
    <t>https://au.investing.com/news/stock-market-news/citigroup-at-barclays-conference-return-gains-buybacks-and-growth-93CH-4641487</t>
  </si>
  <si>
    <t>Peer: Citi IB +LSD, markets +MSD</t>
  </si>
  <si>
    <t>CNBC</t>
  </si>
  <si>
    <t>https://www.cnbc.com/2026/09/14/bank-of-america-bac-q3-investment-banking-fees.html</t>
  </si>
  <si>
    <t>Peer: BAC IB -10%+, trading ~flat</t>
  </si>
  <si>
    <t>S16</t>
  </si>
  <si>
    <t>2026-10-02</t>
  </si>
  <si>
    <t>Investment Executive (LSEG data)</t>
  </si>
  <si>
    <t>https://www.investmentexecutive.com/news/research-and-markets/global-ma-strong-in-2026/</t>
  </si>
  <si>
    <t>Q3 global M&amp;A $993bn, -41% Q/Q; GS #1 adviser</t>
  </si>
  <si>
    <t>S17</t>
  </si>
  <si>
    <t>2026-10-07</t>
  </si>
  <si>
    <t>ION Analytics / Dealogic</t>
  </si>
  <si>
    <t>https://ionanalytics.com/insights/dealogic/investment-bankers-pocket-almost-usd-100bn-revenues-as-deal-making-soars-revenue-report/</t>
  </si>
  <si>
    <t>9M26 IB revenues +16% Y/Y</t>
  </si>
  <si>
    <t>S18</t>
  </si>
  <si>
    <t>2026-10-06</t>
  </si>
  <si>
    <t>Dealogic via PRNewswire (Webull)</t>
  </si>
  <si>
    <t>https://www.webull.com/news/15701420593775616</t>
  </si>
  <si>
    <t>3Q26 ECM $342.8bn; IPO $53.7bn vs $58.5bn</t>
  </si>
  <si>
    <t>ICR</t>
  </si>
  <si>
    <t>https://icrinc.com/news-resources/q3-2026-equity-capital-markets-review/</t>
  </si>
  <si>
    <t>Follow-ons ~$50bn vs $34bn; converts &gt;$40bn</t>
  </si>
  <si>
    <t>S20</t>
  </si>
  <si>
    <t>2026-09-20</t>
  </si>
  <si>
    <t>Zorro Trade / 24/7 Wall St.</t>
  </si>
  <si>
    <t>https://zorrotradeai.com/blog/why-bank-stocks-fell-after-the-fed-hike/</t>
  </si>
  <si>
    <t>Fed +25bp on Sep 16, 2026</t>
  </si>
  <si>
    <t>US Market Current</t>
  </si>
  <si>
    <t>https://usmarketcurrent.com/q3-2026-scorecard-sp-500-up-2-russell-2000-down-7-5-energy-led-utilities-fell-13-10-year-up-87bp/</t>
  </si>
  <si>
    <t>S&amp;P 500 +2.03% Q3; 10-yr +87bp (AUS market assumptions)</t>
  </si>
  <si>
    <t>S22</t>
  </si>
  <si>
    <t>2026-10-09</t>
  </si>
  <si>
    <t>ChartExchange</t>
  </si>
  <si>
    <t>https://chartexchange.com/symbol/nyse-gs/historical/</t>
  </si>
  <si>
    <t>GS share prices (buyback price assumption)</t>
  </si>
  <si>
    <t>S23</t>
  </si>
  <si>
    <t>2025-08-18</t>
  </si>
  <si>
    <t>Goldman Sachs press release</t>
  </si>
  <si>
    <t>https://www.goldmansachs.com/pressroom/press-releases/2025/conference-call-dates-to-announce-4q25-and-2026-earnings-results</t>
  </si>
  <si>
    <t>3Q26 report date Oct 13, 2026</t>
  </si>
  <si>
    <t>S24</t>
  </si>
  <si>
    <t>2026-10-08</t>
  </si>
  <si>
    <t>Zacks via Yahoo Finance</t>
  </si>
  <si>
    <t>https://finance.yahoo.com/markets/stocks/articles/seeking-clues-goldman-gs-q3-121518628.html</t>
  </si>
  <si>
    <t>Street line items (memo); Zacks EPS $12.90</t>
  </si>
  <si>
    <t>S25</t>
  </si>
  <si>
    <t>American Banking News (MarketBeat)</t>
  </si>
  <si>
    <t>https://www.americanbankingnews.com/2026/10/06/the-goldman-sachs-group-gs-projected-to-release-earnings-on-tuesday.html</t>
  </si>
  <si>
    <t>Other consensus memo ($13.87)</t>
  </si>
  <si>
    <t>S26</t>
  </si>
  <si>
    <t>2026-10-11</t>
  </si>
  <si>
    <t>Earnings Whispers</t>
  </si>
  <si>
    <t>https://earningswhispers.com/stocks/GS</t>
  </si>
  <si>
    <t>Whisper $12.95 memo</t>
  </si>
  <si>
    <t>S27</t>
  </si>
  <si>
    <t>GuruFocus (Bloomberg consensus)</t>
  </si>
  <si>
    <t>https://www.gurufocus.com/news/9117198/wall-street-banks-eye-19b-in-q3-stock-trading-revenue-goldman-sachs-gs-leads</t>
  </si>
  <si>
    <t>Street GS equities ~$5.1bn</t>
  </si>
  <si>
    <t>2026-09-28</t>
  </si>
  <si>
    <t>Hudson Labs</t>
  </si>
  <si>
    <t>https://www.hudson-labs.com/research/goldman-sachs-q3-2026-earnings-gs-results-preview</t>
  </si>
  <si>
    <t>Barclays-conference quotes (non-comp, investments, provisions)</t>
  </si>
  <si>
    <t>S29</t>
  </si>
  <si>
    <t>S&amp;P Capital IQ (supplied)</t>
  </si>
  <si>
    <t>GS_consensus.json; GS_history.csv</t>
  </si>
  <si>
    <t>Frozen consensus; history pairs (Inputs A, B)</t>
  </si>
  <si>
    <t>S30</t>
  </si>
  <si>
    <t>2026-10-10</t>
  </si>
  <si>
    <t>CompaniesMarketCap / StockAnalysis</t>
  </si>
  <si>
    <t>https://companiesmarketcap.com/goldman-sachs/marketcap/</t>
  </si>
  <si>
    <t>Market cap $260.69bn (Oct 9 close)</t>
  </si>
  <si>
    <t>S31</t>
  </si>
  <si>
    <t>Slickcharts / WhichIndex</t>
  </si>
  <si>
    <t>https://www.slickcharts.com/sp500</t>
  </si>
  <si>
    <t>S&amp;P 500 membership</t>
  </si>
  <si>
    <t>S32</t>
  </si>
  <si>
    <t>Task files</t>
  </si>
  <si>
    <t>forecasting-playbook.md; goldman-checklist.md; metric-targets.json</t>
  </si>
  <si>
    <t>Method, checklist, target manifest</t>
  </si>
  <si>
    <t>EarningsCallNews (4Q25 call)</t>
  </si>
  <si>
    <t>https://earningscallnews.com/gs-q4-2025-earnings/</t>
  </si>
  <si>
    <t>FY26 ETR ~20% guidance</t>
  </si>
  <si>
    <t>earningscalls.dev (GS at Barclays conf.)</t>
  </si>
  <si>
    <t>https://earningscalls.dev/transcripts/the-goldman-sachs-group-inc_gs_earnings_call_transcript_2026-09-16</t>
  </si>
  <si>
    <t>AWM growth/margin targets; alts &gt;$125bn</t>
  </si>
  <si>
    <t>S35</t>
  </si>
  <si>
    <t>2026-09-29</t>
  </si>
  <si>
    <t>Quiver Quantitative (Jefferies FQ3)</t>
  </si>
  <si>
    <t>https://www.quiverquant.com/news/Jefferies+Posts+Record+Q3+Investment+Banking+and+Equities+Revenue</t>
  </si>
  <si>
    <t>Peer read: JEF Jun-Aug IB +17%, record equities</t>
  </si>
  <si>
    <t>S36</t>
  </si>
  <si>
    <t>2026-10-01</t>
  </si>
  <si>
    <t>EY IPO Barometer</t>
  </si>
  <si>
    <t>https://www.ey.com/en_ch/newsroom/2026/10/fewer-ipos-more-capital-global-market-remains-robust-initial-signs-of-an-upturn-in-switzerland</t>
  </si>
  <si>
    <t>Q3 IPO proceeds $93.3bn; SK Hynix Nasdaq $26.5bn</t>
  </si>
  <si>
    <t>Inputs — raw S&amp;P Capital IQ snapshot and filing comparatives (appendix)</t>
  </si>
  <si>
    <t>A. S&amp;P Capital IQ summary row — GS_consensus.json "summary_row", verbatim (blank = not provided by source; never treated as zero)</t>
  </si>
  <si>
    <t>Field</t>
  </si>
  <si>
    <t>Value (as captured)</t>
  </si>
  <si>
    <t>Used in</t>
  </si>
  <si>
    <t>ticker</t>
  </si>
  <si>
    <t>GS</t>
  </si>
  <si>
    <t>company_name</t>
  </si>
  <si>
    <t>exchange_ticker</t>
  </si>
  <si>
    <t>NYSE:GS</t>
  </si>
  <si>
    <t>capiq_company_id</t>
  </si>
  <si>
    <t>398625</t>
  </si>
  <si>
    <t>sp500_member</t>
  </si>
  <si>
    <t>Y</t>
  </si>
  <si>
    <t>Inputs prior calibration (S&amp;P 500 flag)</t>
  </si>
  <si>
    <t>market_cap_usd_m</t>
  </si>
  <si>
    <t>Blank in export: market cap researched separately (Inputs prior calibration, S30)</t>
  </si>
  <si>
    <t>fiscal_quarter</t>
  </si>
  <si>
    <t>FQ3 2026 - Sep 2026</t>
  </si>
  <si>
    <t>quarter_end_date</t>
  </si>
  <si>
    <t>2026-09-30</t>
  </si>
  <si>
    <t>expected_report_date</t>
  </si>
  <si>
    <t>2026-10-13</t>
  </si>
  <si>
    <t>fiscal_year_end</t>
  </si>
  <si>
    <t>Dec-31</t>
  </si>
  <si>
    <t>analysts_covering</t>
  </si>
  <si>
    <t>eps_normalized_mean</t>
  </si>
  <si>
    <t>Cover!C26; Income Statement consensus row (3Q26E)</t>
  </si>
  <si>
    <t>eps_normalized_median</t>
  </si>
  <si>
    <t>Cover!B57</t>
  </si>
  <si>
    <t>eps_normalized_high</t>
  </si>
  <si>
    <t>Cover!C57</t>
  </si>
  <si>
    <t>eps_normalized_low</t>
  </si>
  <si>
    <t>Cover!D57</t>
  </si>
  <si>
    <t>eps_normalized_std_dev</t>
  </si>
  <si>
    <t>eps_normalized_n_est</t>
  </si>
  <si>
    <t>Cover!B58 (primary contributor count)</t>
  </si>
  <si>
    <t>eps_normalized_guidance</t>
  </si>
  <si>
    <t>eps_normalized_guidance_low</t>
  </si>
  <si>
    <t>eps_normalized_guidance_high</t>
  </si>
  <si>
    <t>eps_gaap_mean</t>
  </si>
  <si>
    <t>Cover!C28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</si>
  <si>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</si>
  <si>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</si>
  <si>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</si>
  <si>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</si>
  <si>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</si>
  <si>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</si>
  <si>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</si>
  <si>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Cover!C22; Revenue summary consensus row (3Q26E)</t>
  </si>
  <si>
    <t>revenue_m_median</t>
  </si>
  <si>
    <t>revenue_m_high</t>
  </si>
  <si>
    <t>revenue_m_low</t>
  </si>
  <si>
    <t>revenue_m_std_dev</t>
  </si>
  <si>
    <t>revenue_m_n_est</t>
  </si>
  <si>
    <t>Cover!C58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</si>
  <si>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</si>
  <si>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</si>
  <si>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</si>
  <si>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</si>
  <si>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</si>
  <si>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</si>
  <si>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Cover!C30</t>
  </si>
  <si>
    <t>ebt_gaap_m</t>
  </si>
  <si>
    <t>net_income_excl_excep_m</t>
  </si>
  <si>
    <t>Cover!C24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</si>
  <si>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</si>
  <si>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</si>
  <si>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</si>
  <si>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</si>
  <si>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</si>
  <si>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</si>
  <si>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</si>
  <si>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</si>
  <si>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</si>
  <si>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</si>
  <si>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</si>
  <si>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</si>
  <si>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</si>
  <si>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</si>
  <si>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</si>
  <si>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</si>
  <si>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</si>
  <si>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</si>
  <si>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</si>
  <si>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</si>
  <si>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</si>
  <si>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</si>
  <si>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Hold</t>
  </si>
  <si>
    <t>recommendation_score</t>
  </si>
  <si>
    <t>last_close_price</t>
  </si>
  <si>
    <t>wk52_high_low</t>
  </si>
  <si>
    <t>1153.99/740.01</t>
  </si>
  <si>
    <t>currency</t>
  </si>
  <si>
    <t>units</t>
  </si>
  <si>
    <t>per-share in USD; revenue and income in USD millions</t>
  </si>
  <si>
    <t>estimates_captured_at</t>
  </si>
  <si>
    <t>notes</t>
  </si>
  <si>
    <t>A2. GS_consensus.json top-level metadata</t>
  </si>
  <si>
    <t>source</t>
  </si>
  <si>
    <t>S&amp;P Capital IQ</t>
  </si>
  <si>
    <t>as_of_date</t>
  </si>
  <si>
    <t>analyst_count</t>
  </si>
  <si>
    <t>consensus_eps</t>
  </si>
  <si>
    <t>consensus_revenue_m</t>
  </si>
  <si>
    <t>eps_basis</t>
  </si>
  <si>
    <t>Normalized diluted EPS per common share, USD; verify issuer adjustments</t>
  </si>
  <si>
    <t>summary_sha256</t>
  </si>
  <si>
    <t>edbf949d984075e582c0427440965f3f2b24f43d8e9ef3ba40bd5d158b8c8d16</t>
  </si>
  <si>
    <t>captured_precision</t>
  </si>
  <si>
    <t>date only, user confirmed</t>
  </si>
  <si>
    <t>B. S&amp;P Capital IQ history — GS_history.csv, all six rows verbatim; col I = surprise (calc)</t>
  </si>
  <si>
    <t>period_end_date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</si>
  <si>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</si>
  <si>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</si>
  <si>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</si>
  <si>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</si>
  <si>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</si>
  <si>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</si>
  <si>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</si>
  <si>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eps_surprise_usd (calc)</t>
  </si>
  <si>
    <t>strict_beat (calc)</t>
  </si>
  <si>
    <t>2025-03-31</t>
  </si>
  <si>
    <t>2025-04-14</t>
  </si>
  <si>
    <t>2025-06-30</t>
  </si>
  <si>
    <t>2025-07-16</t>
  </si>
  <si>
    <t>2025-09-30</t>
  </si>
  <si>
    <t>2025-12-31</t>
  </si>
  <si>
    <t>2026-03-31</t>
  </si>
  <si>
    <t>2026-06-30</t>
  </si>
  <si>
    <t>C. Filing comparatives (reported; recast segment basis from 4Q25 &amp; 2Q26 releases). Blank = not available on current basis</t>
  </si>
  <si>
    <t>Line ($m unless stated)</t>
  </si>
  <si>
    <t>3Q24A</t>
  </si>
  <si>
    <t>4Q24A</t>
  </si>
  <si>
    <t>FY24A</t>
  </si>
  <si>
    <t>1Q25A (=1H25-2Q25)</t>
  </si>
  <si>
    <t>2Q25A</t>
  </si>
  <si>
    <t>1H25A</t>
  </si>
  <si>
    <t>Column = prior-year comparative of the model column above it; G = 1H25 for FY25 build</t>
  </si>
  <si>
    <t>Advisory</t>
  </si>
  <si>
    <t>S1 (4Q25 release: 4Q24/FY24 recast), S3 (2Q26 release: 2Q25/1H25 recast), S2 (3Q25 release: 3Q24 lines unchanged by recast)</t>
  </si>
  <si>
    <t>Equity underwriting</t>
  </si>
  <si>
    <t>Debt underwriting</t>
  </si>
  <si>
    <t>FICC intermediation</t>
  </si>
  <si>
    <t>FICC financing</t>
  </si>
  <si>
    <t>Equities intermediation</t>
  </si>
  <si>
    <t>Equities financing</t>
  </si>
  <si>
    <t>GBM Other</t>
  </si>
  <si>
    <t>Management and other fees</t>
  </si>
  <si>
    <t>Private banking and lending</t>
  </si>
  <si>
    <t>Investments</t>
  </si>
  <si>
    <t>Platform Solutions net revenues</t>
  </si>
  <si>
    <t>Americas net revenues</t>
  </si>
  <si>
    <t>EMEA net revenues</t>
  </si>
  <si>
    <t>Asia net revenues</t>
  </si>
  <si>
    <t>Investment banking</t>
  </si>
  <si>
    <t>S1, S2, S3 consolidated statements of earnings</t>
  </si>
  <si>
    <t>Investment management</t>
  </si>
  <si>
    <t>Commissions and fees</t>
  </si>
  <si>
    <t>Market making</t>
  </si>
  <si>
    <t>Other principal transactions</t>
  </si>
  <si>
    <t>Interest income</t>
  </si>
  <si>
    <t>Interest expense</t>
  </si>
  <si>
    <t>Compensation and benefits</t>
  </si>
  <si>
    <t>Transaction based</t>
  </si>
  <si>
    <t>Market development</t>
  </si>
  <si>
    <t>Communications and technology</t>
  </si>
  <si>
    <t>Depreciation and amortization</t>
  </si>
  <si>
    <t>Occupancy</t>
  </si>
  <si>
    <t>Professional fees</t>
  </si>
  <si>
    <t>Other expenses</t>
  </si>
  <si>
    <t>Non-compensation expenses (sum)</t>
  </si>
  <si>
    <t>Provision for taxes</t>
  </si>
  <si>
    <t>Preferred stock dividends</t>
  </si>
  <si>
    <t>Common share repurchases ($m)</t>
  </si>
  <si>
    <t>S9 (2Q26 10-Q statement of changes in equity, 3M/6M 2025)</t>
  </si>
  <si>
    <t>Diluted EPS, as reported ($)</t>
  </si>
  <si>
    <t>Basic EPS, as reported ($)</t>
  </si>
  <si>
    <t>Average basic shares (m)</t>
  </si>
  <si>
    <t>Average diluted shares (m)</t>
  </si>
  <si>
    <t>Period-end basic shares (m)</t>
  </si>
  <si>
    <t>AUS opening ($bn)</t>
  </si>
  <si>
    <t>S1 (4Q24/FY24 AUS), S3 (2Q25 AUS rollforward)</t>
  </si>
  <si>
    <t>AUS net inflows: alternatives ($bn)</t>
  </si>
  <si>
    <t>AUS net inflows: equity ($bn)</t>
  </si>
  <si>
    <t>AUS net inflows: fixed income ($bn)</t>
  </si>
  <si>
    <t>AUS long-term net inflows ($bn)</t>
  </si>
  <si>
    <t>AUS net inflows: liquidity ($bn)</t>
  </si>
  <si>
    <t>AUS total net inflows ($bn)</t>
  </si>
  <si>
    <t>AUS net market appreciation ($bn)</t>
  </si>
  <si>
    <t>AUS closing: alternatives ($bn)</t>
  </si>
  <si>
    <t>AUS closing: equity ($bn)</t>
  </si>
  <si>
    <t>AUS closing: fixed income ($bn)</t>
  </si>
  <si>
    <t>AUS closing: long-term ($bn)</t>
  </si>
  <si>
    <t>AUS closing: liquidity ($bn)</t>
  </si>
  <si>
    <t>AUS closing: total ($bn)</t>
  </si>
  <si>
    <t>D. Cash flow statement, year-to-date as reported ($m) — quarters derived on Cash Flow Statement tab</t>
  </si>
  <si>
    <t>Line</t>
  </si>
  <si>
    <t>6M25 (YTD Jun-25)</t>
  </si>
  <si>
    <t>9M25 (YTD Sep-25)</t>
  </si>
  <si>
    <t>FY25</t>
  </si>
  <si>
    <t>3M26 (YTD Mar-26)</t>
  </si>
  <si>
    <t>6M26 (YTD Jun-26)</t>
  </si>
  <si>
    <t>S9 (2Q26 10-Q: 6M26, 6M25), S8 (3Q25 10-Q: 9M25), S7 (2025 10-K R8: FY25), S6 (1Q26 10-Q: 3M26)</t>
  </si>
  <si>
    <t>Deferred income taxes</t>
  </si>
  <si>
    <t>Share-based compensation</t>
  </si>
  <si>
    <t>Customer rec. / payables, net</t>
  </si>
  <si>
    <t>Collateralized transactions, net</t>
  </si>
  <si>
    <t>Trading assets</t>
  </si>
  <si>
    <t>Trading liabilities</t>
  </si>
  <si>
    <t>Loans held for sale, net</t>
  </si>
  <si>
    <t>Other, net</t>
  </si>
  <si>
    <t>Operating cash flow (reported)</t>
  </si>
  <si>
    <t>Capex (property and equipment)</t>
  </si>
  <si>
    <t>Proceeds from sale of PP&amp;E</t>
  </si>
  <si>
    <t>Acquisitions / dispositions, net</t>
  </si>
  <si>
    <t>AFS securities: purchases</t>
  </si>
  <si>
    <t>AFS securities: sales</t>
  </si>
  <si>
    <t>AFS securities: maturities</t>
  </si>
  <si>
    <t>HTM securities: purchases</t>
  </si>
  <si>
    <t>HTM securities: maturities</t>
  </si>
  <si>
    <t>Other investments: purchases</t>
  </si>
  <si>
    <t>Other inv.: sales / maturities</t>
  </si>
  <si>
    <t>Loans (excl. held for sale), net</t>
  </si>
  <si>
    <t>Investing cash flow (reported)</t>
  </si>
  <si>
    <t>Unsecured short-term borrowings, net</t>
  </si>
  <si>
    <t>Other secured fin. (short-term), net</t>
  </si>
  <si>
    <t>Other secured fin.: issuance</t>
  </si>
  <si>
    <t>Other secured fin.: repayment</t>
  </si>
  <si>
    <t>Unsecured LT borrowings: issuance</t>
  </si>
  <si>
    <t>Unsecured LT borrowings: repayment</t>
  </si>
  <si>
    <t>Financing derivatives, net</t>
  </si>
  <si>
    <t>Deposits, net</t>
  </si>
  <si>
    <t>Preferred stock redemption</t>
  </si>
  <si>
    <t>Common stock repurchased</t>
  </si>
  <si>
    <t>Share-award withholding tax</t>
  </si>
  <si>
    <t>Dividends paid</t>
  </si>
  <si>
    <t>Preferred stock issued, net</t>
  </si>
  <si>
    <t>Other financing, net</t>
  </si>
  <si>
    <t>Financing cash flow (reported)</t>
  </si>
  <si>
    <t>Change in cash (reported)</t>
  </si>
  <si>
    <t>Cash, beginning (reported)</t>
  </si>
  <si>
    <t>Cash, ending (reported)</t>
  </si>
  <si>
    <t>Check: lines sum to change in cash</t>
  </si>
  <si>
    <t>E. Prior calibration (playbook v2 size/history method) — feeds Cover P(beat)</t>
  </si>
  <si>
    <t>Market cap ($bn), Oct 9, 2026</t>
  </si>
  <si>
    <t>S30 (companiesmarketcap / stockanalysis, Nasdaq data, Oct 9 2026 close $895.32)</t>
  </si>
  <si>
    <t>Playbook (S32) size buckets: small $0.3-2bn, mid $2-10bn, large &gt;$10bn (formula thresholds 10 / 2)</t>
  </si>
  <si>
    <t>Playbook (S32) cohort prior: 0.60 small, 0.70 mid, 0.78 large OR S&amp;P 500 (applied once). Rounded hypotheses, not calibrated probabilities</t>
  </si>
  <si>
    <t>Pseudo-observations</t>
  </si>
  <si>
    <t>Playbook (S32) fixed regularization weight (not fitted)</t>
  </si>
  <si>
    <t>b = strict beats (six pairs)</t>
  </si>
  <si>
    <t>n = valid normalized EPS pairs</t>
  </si>
  <si>
    <t>Starting p (playbook formula)</t>
  </si>
  <si>
    <t>Judgmental quarter update (original prior-calibration artifact): -15.0pp model EPS ~ consensus (no edge); -4.0pp consensus mean 13.18 &gt; median 12.87; -4.4pp ETR ~22% vs ~20% in consensus; 0pp guided headwinds / equities strength (already in consensus or model). Total -23.4pp. Not calibrated; does not feed EPS</t>
  </si>
  <si>
    <t>Final P(beat consensus EPS)</t>
  </si>
  <si>
    <t>Mean EPS surprise ($/share)</t>
  </si>
  <si>
    <t>Median EPS surprise ($/share)</t>
  </si>
  <si>
    <t>Check: 0 &lt;= final P(beat) &lt;= 1</t>
  </si>
  <si>
    <t>F. Other consensus observed before cutoff (memo only — scoring baseline remains the frozen CapIQ snapshot)</t>
  </si>
  <si>
    <t>Provider (date)</t>
  </si>
  <si>
    <t>EPS</t>
  </si>
  <si>
    <t>Revenue ($m)</t>
  </si>
  <si>
    <t>Zacks consensus (Oct 8, 2026) — S24</t>
  </si>
  <si>
    <t>MarketBeat consensus — S25</t>
  </si>
  <si>
    <t>Earnings Whispers whisper — S26</t>
  </si>
  <si>
    <t>Zacks: GBM / AWM / PS ($m)</t>
  </si>
  <si>
    <t>Zacks: IB / FICC / Eq. / Other ($m)</t>
  </si>
  <si>
    <t>Zacks: AUS ($bn) / PB&amp;L ($m)</t>
  </si>
</sst>
</file>

<file path=xl/styles.xml><?xml version="1.0" encoding="utf-8"?>
<styleSheet xmlns="http://schemas.openxmlformats.org/spreadsheetml/2006/main">
  <numFmts count="11">
    <numFmt numFmtId="164" formatCode="#,##0.0_);(#,##0.0);–_)"/>
    <numFmt numFmtId="165" formatCode="yyyy-mm-dd"/>
    <numFmt numFmtId="166" formatCode="@"/>
    <numFmt numFmtId="167" formatCode="0"/>
    <numFmt numFmtId="168" formatCode="0.0%_);(0.0%);–_)"/>
    <numFmt numFmtId="169" formatCode="#,##0_);(#,##0);–_)"/>
    <numFmt numFmtId="170" formatCode="$0.00"/>
    <numFmt numFmtId="171" formatCode="$#,##0.00"/>
    <numFmt numFmtId="172" formatCode="General"/>
    <numFmt numFmtId="173" formatCode="#,##0"/>
    <numFmt numFmtId="174" formatCode="$0.00_);($0.00)"/>
  </numFmts>
  <fonts count="28">
    <font>
      <sz val="11"/>
      <name val="Calibri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 val="0"/>
      <i/>
      <strike val="0"/>
      <sz val="10"/>
      <color rgb="FF0000FF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595959"/>
      <name val="Arial"/>
    </font>
    <font>
      <b val="0"/>
      <i/>
      <strike val="0"/>
      <sz val="10"/>
      <color rgb="FF006100"/>
      <name val="Arial"/>
    </font>
    <font>
      <b/>
      <i val="0"/>
      <strike val="0"/>
      <sz val="10"/>
      <color rgb="FF0000FF"/>
      <name val="Arial"/>
    </font>
    <font>
      <b/>
      <i val="0"/>
      <strike val="0"/>
      <sz val="10"/>
      <color rgb="FF006100"/>
      <name val="Arial"/>
    </font>
    <font>
      <b/>
      <i/>
      <strike val="0"/>
      <sz val="10"/>
      <color rgb="FF006100"/>
      <name val="Arial"/>
    </font>
    <font>
      <b/>
      <i/>
      <strike val="0"/>
      <sz val="10"/>
      <color rgb="FF000000"/>
      <name val="Arial"/>
    </font>
    <font>
      <b/>
      <i val="0"/>
      <strike val="0"/>
      <sz val="14"/>
      <color rgb="FF000000"/>
      <name val="Arial"/>
    </font>
    <font>
      <b val="0"/>
      <i val="0"/>
      <strike val="0"/>
      <sz val="11"/>
      <color rgb="FF000000"/>
      <name val="Calibri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 val="0"/>
      <i val="0"/>
      <strike val="0"/>
      <sz val="10"/>
      <color rgb="FF595959"/>
      <name val="Arial"/>
    </font>
    <font>
      <b/>
      <i val="0"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/>
      <i val="0"/>
      <strike val="0"/>
      <sz val="12"/>
      <color rgb="FF000000"/>
      <name val="Arial"/>
    </font>
    <font>
      <b val="0"/>
      <i val="0"/>
      <strike val="0"/>
      <sz val="10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EF4FB"/>
      </patternFill>
    </fill>
    <fill>
      <patternFill patternType="solid">
        <fgColor rgb="FFDCE6F1"/>
      </patternFill>
    </fill>
  </fills>
  <borders count="3">
    <border>
      <left/>
      <right/>
      <top/>
      <bottom/>
      <diagonal/>
    </border>
    <border>
      <top style="thin">
        <color rgb="FF808080"/>
      </top>
    </border>
    <border>
      <bottom style="thin">
        <color rgb="FF808080"/>
      </bottom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0" fontId="2" fillId="2" borderId="1" xfId="0" applyFont="1" applyFill="1" applyBorder="1" applyAlignment="1" applyProtection="1">
      <alignment horizontal="right" vertical="bottom"/>
      <protection locked="1" hidden="0"/>
    </xf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0" fontId="1" fillId="2" borderId="2" xfId="0" applyFont="1" applyFill="1" applyBorder="1" applyAlignment="1" applyProtection="1">
      <alignment horizontal="general" vertical="bottom"/>
      <protection locked="1" hidden="0"/>
    </xf>
    <xf numFmtId="165" fontId="1" fillId="2" borderId="0" xfId="0" applyNumberFormat="1" applyFont="1" applyFill="1" applyAlignment="1" applyProtection="1">
      <alignment horizontal="right" vertical="bottom"/>
      <protection locked="1" hidden="0"/>
    </xf>
    <xf numFmtId="166" fontId="2" fillId="0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164" fontId="4" fillId="0" borderId="0" xfId="0" applyNumberFormat="1" applyFont="1" applyFill="1" applyAlignment="1" applyProtection="1">
      <alignment horizontal="right" vertical="bottom"/>
      <protection locked="1" hidden="0"/>
    </xf>
    <xf numFmtId="166" fontId="1" fillId="0" borderId="0" xfId="0" applyNumberFormat="1" applyFont="1" applyFill="1" applyAlignment="1" applyProtection="1">
      <alignment horizontal="left" vertical="bottom"/>
      <protection locked="1" hidden="0"/>
    </xf>
    <xf numFmtId="164" fontId="1" fillId="0" borderId="0" xfId="0" applyNumberFormat="1" applyFont="1" applyFill="1" applyAlignment="1" applyProtection="1">
      <alignment horizontal="left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167" fontId="1" fillId="2" borderId="2" xfId="0" applyNumberFormat="1" applyFont="1" applyFill="1" applyBorder="1" applyAlignment="1" applyProtection="1">
      <alignment horizontal="right" vertical="bottom"/>
      <protection locked="1" hidden="0"/>
    </xf>
    <xf numFmtId="168" fontId="3" fillId="0" borderId="0" xfId="0" applyNumberFormat="1" applyFont="1" applyFill="1" applyAlignment="1" applyProtection="1">
      <alignment horizontal="left" vertical="bottom"/>
      <protection locked="1" hidden="0"/>
    </xf>
    <xf numFmtId="166" fontId="2" fillId="0" borderId="0" xfId="0" applyNumberFormat="1" applyFont="1" applyFill="1" applyAlignment="1" applyProtection="1">
      <alignment horizontal="left" vertical="bottom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0" fontId="1" fillId="2" borderId="1" xfId="0" applyFont="1" applyFill="1" applyBorder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168" fontId="6" fillId="0" borderId="0" xfId="0" applyNumberFormat="1" applyFont="1" applyFill="1" applyAlignment="1" applyProtection="1">
      <alignment horizontal="right" vertical="bottom"/>
      <protection locked="1" hidden="0"/>
    </xf>
    <xf numFmtId="166" fontId="1" fillId="0" borderId="0" xfId="0" applyNumberFormat="1" applyFont="1" applyFill="1" applyAlignment="1" applyProtection="1">
      <alignment horizontal="right" vertical="bottom"/>
      <protection locked="1" hidden="0"/>
    </xf>
    <xf numFmtId="164" fontId="7" fillId="0" borderId="0" xfId="0" applyNumberFormat="1" applyFont="1" applyFill="1" applyAlignment="1" applyProtection="1">
      <alignment horizontal="right" vertical="bottom"/>
      <protection locked="1" hidden="0"/>
    </xf>
    <xf numFmtId="168" fontId="3" fillId="0" borderId="0" xfId="0" applyNumberFormat="1" applyFont="1" applyFill="1" applyAlignment="1" applyProtection="1">
      <alignment horizontal="right" vertical="bottom"/>
      <protection locked="1" hidden="0"/>
    </xf>
    <xf numFmtId="0" fontId="8" fillId="0" borderId="0" xfId="0" applyFont="1" applyFill="1" applyAlignment="1" applyProtection="1">
      <alignment horizontal="left" vertical="bottom"/>
      <protection locked="1" hidden="0"/>
    </xf>
    <xf numFmtId="168" fontId="9" fillId="0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169" fontId="3" fillId="0" borderId="0" xfId="0" applyNumberFormat="1" applyFont="1" applyFill="1" applyAlignment="1" applyProtection="1">
      <alignment horizontal="right" vertical="bottom"/>
      <protection locked="1" hidden="0"/>
    </xf>
    <xf numFmtId="164" fontId="2" fillId="0" borderId="1" xfId="0" applyNumberFormat="1" applyFont="1" applyFill="1" applyBorder="1" applyAlignment="1" applyProtection="1">
      <alignment horizontal="right" vertical="bottom"/>
      <protection locked="1" hidden="0"/>
    </xf>
    <xf numFmtId="168" fontId="6" fillId="3" borderId="0" xfId="0" applyNumberFormat="1" applyFont="1" applyFill="1" applyAlignment="1" applyProtection="1">
      <alignment horizontal="right" vertical="bottom"/>
      <protection locked="1" hidden="0"/>
    </xf>
    <xf numFmtId="169" fontId="9" fillId="0" borderId="0" xfId="0" applyNumberFormat="1" applyFont="1" applyFill="1" applyAlignment="1" applyProtection="1">
      <alignment horizontal="right" vertical="bottom"/>
      <protection locked="1" hidden="0"/>
    </xf>
    <xf numFmtId="164" fontId="1" fillId="3" borderId="0" xfId="0" applyNumberFormat="1" applyFont="1" applyFill="1" applyAlignment="1" applyProtection="1">
      <alignment horizontal="right" vertical="bottom"/>
      <protection locked="1" hidden="0"/>
    </xf>
    <xf numFmtId="169" fontId="3" fillId="3" borderId="0" xfId="0" applyNumberFormat="1" applyFont="1" applyFill="1" applyAlignment="1" applyProtection="1">
      <alignment horizontal="right" vertical="bottom"/>
      <protection locked="1" hidden="0"/>
    </xf>
    <xf numFmtId="168" fontId="3" fillId="3" borderId="0" xfId="0" applyNumberFormat="1" applyFont="1" applyFill="1" applyAlignment="1" applyProtection="1">
      <alignment horizontal="right" vertical="bottom"/>
      <protection locked="1" hidden="0"/>
    </xf>
    <xf numFmtId="170" fontId="7" fillId="0" borderId="0" xfId="0" applyNumberFormat="1" applyFont="1" applyFill="1" applyAlignment="1" applyProtection="1">
      <alignment horizontal="right" vertical="bottom"/>
      <protection locked="1" hidden="0"/>
    </xf>
    <xf numFmtId="171" fontId="7" fillId="0" borderId="0" xfId="0" applyNumberFormat="1" applyFont="1" applyFill="1" applyAlignment="1" applyProtection="1">
      <alignment horizontal="right" vertical="bottom"/>
      <protection locked="1" hidden="0"/>
    </xf>
    <xf numFmtId="172" fontId="1" fillId="0" borderId="0" xfId="0" applyNumberFormat="1" applyFont="1" applyFill="1" applyAlignment="1" applyProtection="1">
      <alignment horizontal="left" vertical="bottom"/>
      <protection locked="1" hidden="0"/>
    </xf>
    <xf numFmtId="164" fontId="4" fillId="3" borderId="0" xfId="0" applyNumberFormat="1" applyFont="1" applyFill="1" applyAlignment="1" applyProtection="1">
      <alignment horizontal="right" vertical="bottom"/>
      <protection locked="1" hidden="0"/>
    </xf>
    <xf numFmtId="164" fontId="10" fillId="0" borderId="1" xfId="0" applyNumberFormat="1" applyFont="1" applyFill="1" applyBorder="1" applyAlignment="1" applyProtection="1">
      <alignment horizontal="right" vertical="bottom"/>
      <protection locked="1" hidden="0"/>
    </xf>
    <xf numFmtId="170" fontId="2" fillId="0" borderId="0" xfId="0" applyNumberFormat="1" applyFont="1" applyFill="1" applyAlignment="1" applyProtection="1">
      <alignment horizontal="right" vertical="bottom"/>
      <protection locked="1" hidden="0"/>
    </xf>
    <xf numFmtId="170" fontId="1" fillId="0" borderId="0" xfId="0" applyNumberFormat="1" applyFont="1" applyFill="1" applyAlignment="1" applyProtection="1">
      <alignment horizontal="right" vertical="bottom"/>
      <protection locked="1" hidden="0"/>
    </xf>
    <xf numFmtId="164" fontId="2" fillId="0" borderId="0" xfId="0" applyNumberFormat="1" applyFont="1" applyFill="1" applyAlignment="1" applyProtection="1">
      <alignment horizontal="right" vertical="bottom"/>
      <protection locked="1" hidden="0"/>
    </xf>
    <xf numFmtId="173" fontId="1" fillId="0" borderId="0" xfId="0" applyNumberFormat="1" applyFont="1" applyFill="1" applyAlignment="1" applyProtection="1">
      <alignment horizontal="right" vertical="bottom"/>
      <protection locked="1" hidden="0"/>
    </xf>
    <xf numFmtId="172" fontId="1" fillId="0" borderId="0" xfId="0" applyNumberFormat="1" applyFont="1" applyFill="1" applyAlignment="1" applyProtection="1">
      <alignment horizontal="right" vertical="bottom"/>
      <protection locked="1" hidden="0"/>
    </xf>
    <xf numFmtId="172" fontId="4" fillId="0" borderId="0" xfId="0" applyNumberFormat="1" applyFont="1" applyFill="1" applyAlignment="1" applyProtection="1">
      <alignment horizontal="right" vertical="bottom"/>
      <protection locked="1" hidden="0"/>
    </xf>
    <xf numFmtId="165" fontId="1" fillId="4" borderId="0" xfId="0" applyNumberFormat="1" applyFont="1" applyFill="1" applyAlignment="1" applyProtection="1">
      <alignment horizontal="right" vertical="bottom"/>
      <protection locked="1" hidden="0"/>
    </xf>
    <xf numFmtId="170" fontId="4" fillId="0" borderId="0" xfId="0" applyNumberFormat="1" applyFont="1" applyFill="1" applyAlignment="1" applyProtection="1">
      <alignment horizontal="right" vertical="bottom"/>
      <protection locked="1" hidden="0"/>
    </xf>
    <xf numFmtId="170" fontId="11" fillId="0" borderId="0" xfId="0" applyNumberFormat="1" applyFont="1" applyFill="1" applyAlignment="1" applyProtection="1">
      <alignment horizontal="right" vertical="bottom"/>
      <protection locked="1" hidden="0"/>
    </xf>
    <xf numFmtId="168" fontId="12" fillId="0" borderId="0" xfId="0" applyNumberFormat="1" applyFont="1" applyFill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general" vertical="bottom" indent="6"/>
      <protection locked="1" hidden="0"/>
    </xf>
    <xf numFmtId="168" fontId="13" fillId="0" borderId="0" xfId="0" applyNumberFormat="1" applyFont="1" applyFill="1" applyAlignment="1" applyProtection="1">
      <alignment horizontal="right" vertical="bottom"/>
      <protection locked="1" hidden="0"/>
    </xf>
    <xf numFmtId="168" fontId="9" fillId="3" borderId="0" xfId="0" applyNumberFormat="1" applyFont="1" applyFill="1" applyAlignment="1" applyProtection="1">
      <alignment horizontal="right" vertical="bottom"/>
      <protection locked="1" hidden="0"/>
    </xf>
    <xf numFmtId="164" fontId="2" fillId="3" borderId="0" xfId="0" applyNumberFormat="1" applyFont="1" applyFill="1" applyAlignment="1" applyProtection="1">
      <alignment horizontal="right" vertical="bottom"/>
      <protection locked="1" hidden="0"/>
    </xf>
    <xf numFmtId="164" fontId="7" fillId="3" borderId="0" xfId="0" applyNumberFormat="1" applyFont="1" applyFill="1" applyAlignment="1" applyProtection="1">
      <alignment horizontal="right" vertical="bottom"/>
      <protection locked="1" hidden="0"/>
    </xf>
    <xf numFmtId="164" fontId="2" fillId="3" borderId="1" xfId="0" applyNumberFormat="1" applyFont="1" applyFill="1" applyBorder="1" applyAlignment="1" applyProtection="1">
      <alignment horizontal="right" vertical="bottom"/>
      <protection locked="1" hidden="0"/>
    </xf>
    <xf numFmtId="172" fontId="2" fillId="0" borderId="0" xfId="0" applyNumberFormat="1" applyFont="1" applyFill="1" applyAlignment="1" applyProtection="1">
      <alignment horizontal="right" vertical="bottom"/>
      <protection locked="1" hidden="0"/>
    </xf>
    <xf numFmtId="166" fontId="4" fillId="0" borderId="0" xfId="0" applyNumberFormat="1" applyFont="1" applyFill="1" applyAlignment="1" applyProtection="1">
      <alignment horizontal="left" vertical="bottom"/>
      <protection locked="1" hidden="0"/>
    </xf>
    <xf numFmtId="167" fontId="1" fillId="4" borderId="2" xfId="0" applyNumberFormat="1" applyFont="1" applyFill="1" applyBorder="1" applyAlignment="1" applyProtection="1">
      <alignment horizontal="right" vertical="bottom"/>
      <protection locked="1" hidden="0"/>
    </xf>
    <xf numFmtId="166" fontId="2" fillId="0" borderId="1" xfId="0" applyNumberFormat="1" applyFont="1" applyFill="1" applyBorder="1" applyAlignment="1" applyProtection="1">
      <alignment horizontal="left" vertical="bottom"/>
      <protection locked="1" hidden="0"/>
    </xf>
    <xf numFmtId="0" fontId="13" fillId="0" borderId="0" xfId="0" applyFont="1" applyFill="1" applyAlignment="1" applyProtection="1">
      <alignment horizontal="general" vertical="bottom"/>
      <protection locked="1" hidden="0"/>
    </xf>
    <xf numFmtId="0" fontId="14" fillId="0" borderId="0" xfId="0" applyFont="1" applyFill="1" applyAlignment="1" applyProtection="1">
      <alignment horizontal="general" vertical="bottom"/>
      <protection locked="1" hidden="0"/>
    </xf>
    <xf numFmtId="0" fontId="2" fillId="4" borderId="1" xfId="0" applyFont="1" applyFill="1" applyBorder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bottom" indent="6"/>
      <protection locked="1" hidden="0"/>
    </xf>
    <xf numFmtId="166" fontId="11" fillId="0" borderId="1" xfId="0" applyNumberFormat="1" applyFont="1" applyFill="1" applyBorder="1" applyAlignment="1" applyProtection="1">
      <alignment horizontal="left" vertical="bottom"/>
      <protection locked="1" hidden="0"/>
    </xf>
    <xf numFmtId="173" fontId="4" fillId="0" borderId="0" xfId="0" applyNumberFormat="1" applyFont="1" applyFill="1" applyAlignment="1" applyProtection="1">
      <alignment horizontal="right" vertical="bottom"/>
      <protection locked="1" hidden="0"/>
    </xf>
    <xf numFmtId="170" fontId="7" fillId="3" borderId="0" xfId="0" applyNumberFormat="1" applyFont="1" applyFill="1" applyAlignment="1" applyProtection="1">
      <alignment horizontal="right" vertical="bottom"/>
      <protection locked="1" hidden="0"/>
    </xf>
    <xf numFmtId="171" fontId="7" fillId="3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 indent="6"/>
      <protection locked="1" hidden="0"/>
    </xf>
    <xf numFmtId="166" fontId="1" fillId="3" borderId="0" xfId="0" applyNumberFormat="1" applyFont="1" applyFill="1" applyAlignment="1" applyProtection="1">
      <alignment horizontal="left" vertical="bottom"/>
      <protection locked="1" hidden="0"/>
    </xf>
    <xf numFmtId="170" fontId="4" fillId="3" borderId="0" xfId="0" applyNumberFormat="1" applyFont="1" applyFill="1" applyAlignment="1" applyProtection="1">
      <alignment horizontal="right" vertical="bottom"/>
      <protection locked="1" hidden="0"/>
    </xf>
    <xf numFmtId="170" fontId="1" fillId="3" borderId="0" xfId="0" applyNumberFormat="1" applyFont="1" applyFill="1" applyAlignment="1" applyProtection="1">
      <alignment horizontal="right" vertical="bottom"/>
      <protection locked="1" hidden="0"/>
    </xf>
    <xf numFmtId="170" fontId="2" fillId="3" borderId="0" xfId="0" applyNumberFormat="1" applyFont="1" applyFill="1" applyAlignment="1" applyProtection="1">
      <alignment horizontal="right" vertical="bottom"/>
      <protection locked="1" hidden="0"/>
    </xf>
    <xf numFmtId="172" fontId="1" fillId="3" borderId="0" xfId="0" applyNumberFormat="1" applyFont="1" applyFill="1" applyAlignment="1" applyProtection="1">
      <alignment horizontal="right" vertical="bottom"/>
      <protection locked="1" hidden="0"/>
    </xf>
    <xf numFmtId="170" fontId="10" fillId="0" borderId="1" xfId="0" applyNumberFormat="1" applyFont="1" applyFill="1" applyBorder="1" applyAlignment="1" applyProtection="1">
      <alignment horizontal="right" vertical="bottom"/>
      <protection locked="1" hidden="0"/>
    </xf>
    <xf numFmtId="170" fontId="2" fillId="3" borderId="1" xfId="0" applyNumberFormat="1" applyFont="1" applyFill="1" applyBorder="1" applyAlignment="1" applyProtection="1">
      <alignment horizontal="right" vertical="bottom"/>
      <protection locked="1" hidden="0"/>
    </xf>
    <xf numFmtId="172" fontId="7" fillId="0" borderId="0" xfId="0" applyNumberFormat="1" applyFont="1" applyFill="1" applyAlignment="1" applyProtection="1">
      <alignment horizontal="right" vertical="bottom"/>
      <protection locked="1" hidden="0"/>
    </xf>
    <xf numFmtId="164" fontId="10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/>
      <protection locked="1" hidden="0"/>
    </xf>
    <xf numFmtId="0" fontId="15" fillId="0" borderId="0" xfId="0" applyFont="1" applyFill="1" applyBorder="1" applyAlignment="1" applyProtection="1">
      <alignment horizontal="general" vertical="bottom"/>
      <protection locked="1" hidden="0"/>
    </xf>
    <xf numFmtId="172" fontId="16" fillId="0" borderId="0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74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8" fillId="0" borderId="0" xfId="0" applyNumberFormat="1" applyFont="1" applyFill="1" applyAlignment="1" applyProtection="1">
      <alignment horizontal="left" vertical="bottom" textRotation="0" indent="8" readingOrder="0"/>
      <protection locked="1" hidden="0"/>
    </xf>
    <xf numFmtId="166" fontId="19" fillId="0" borderId="1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72" fontId="17" fillId="0" borderId="0" xfId="0" applyNumberFormat="1" applyFont="1" applyFill="1" applyAlignment="1" applyProtection="1">
      <alignment horizontal="left" vertical="bottom" textRotation="0" indent="8" readingOrder="0"/>
      <protection locked="1" hidden="0"/>
    </xf>
    <xf numFmtId="174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0" fillId="0" borderId="0" xfId="0" applyNumberFormat="1" applyFont="1" applyFill="1" applyAlignment="1" applyProtection="1">
      <alignment horizontal="left" vertical="bottom" textRotation="0" indent="8" readingOrder="0"/>
      <protection locked="1" hidden="0"/>
    </xf>
    <xf numFmtId="172" fontId="16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4" fontId="16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6" fontId="17" fillId="0" borderId="0" xfId="0" applyNumberFormat="1" applyFont="1" applyFill="1" applyAlignment="1" applyProtection="1">
      <alignment horizontal="right" vertical="bottom" textRotation="0" wrapText="1" indent="0" readingOrder="0"/>
      <protection locked="1" hidden="0"/>
    </xf>
    <xf numFmtId="172" fontId="16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2" fontId="16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8" fontId="18" fillId="0" borderId="0" xfId="0" applyNumberFormat="1" applyFont="1" applyFill="1" applyAlignment="1" applyProtection="1">
      <alignment horizontal="right" vertical="bottom" indent="0"/>
      <protection locked="1" hidden="0"/>
    </xf>
    <xf numFmtId="166" fontId="17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8" fontId="18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2" fontId="18" fillId="0" borderId="0" xfId="0" applyNumberFormat="1" applyFont="1" applyFill="1" applyAlignment="1" applyProtection="1">
      <alignment horizontal="general" vertical="bottom" indent="0"/>
      <protection locked="1" hidden="0"/>
    </xf>
    <xf numFmtId="172" fontId="21" fillId="0" borderId="0" xfId="0" applyNumberFormat="1" applyFont="1" applyFill="1" applyAlignment="1" applyProtection="1">
      <alignment horizontal="left" vertical="bottom" indent="0"/>
      <protection locked="1" hidden="0"/>
    </xf>
    <xf numFmtId="168" fontId="18" fillId="3" borderId="0" xfId="0" applyNumberFormat="1" applyFont="1" applyFill="1" applyAlignment="1" applyProtection="1">
      <alignment horizontal="right" vertical="bottom" indent="0"/>
      <protection locked="1" hidden="0"/>
    </xf>
    <xf numFmtId="166" fontId="22" fillId="0" borderId="1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72" fontId="23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68" fontId="24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2" fontId="25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8" fontId="2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3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2" fontId="26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8" fontId="2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4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23" fillId="0" borderId="0" xfId="0" applyNumberFormat="1" applyFont="1" applyFill="1" applyAlignment="1" applyProtection="1">
      <alignment horizontal="right" vertical="bottom" textRotation="0" wrapText="1" indent="0" readingOrder="0"/>
      <protection locked="1" hidden="0"/>
    </xf>
    <xf numFmtId="172" fontId="24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19050</xdr:colOff>
      <xdr:row>4</xdr:row>
      <xdr:rowOff>38100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showGridLines="0" tabSelected="1" workbookViewId="0"/>
  </sheetViews>
  <sheetFormatPr defaultColWidth="8.42578125" defaultRowHeight="15"/>
  <cols>
    <col min="1" max="1" width="32" customWidth="1"/>
    <col min="2" max="7" width="12" customWidth="1"/>
    <col min="8" max="8" width="40" customWidth="1"/>
  </cols>
  <sheetData>
    <row r="1" ht="16.5">
      <c r="A1" s="101" t="s">
        <v>0</v>
      </c>
      <c r="B1" s="1"/>
      <c r="C1" s="1"/>
      <c r="D1" s="1"/>
      <c r="E1" s="1"/>
      <c r="F1" s="1"/>
      <c r="G1" s="1"/>
      <c r="H1" s="1"/>
    </row>
    <row r="2" ht="16.5">
      <c r="A2" s="100" t="s">
        <v>1</v>
      </c>
      <c r="B2" s="1"/>
      <c r="C2" s="1"/>
      <c r="D2" s="1"/>
      <c r="E2" s="1"/>
      <c r="F2" s="1"/>
      <c r="G2" s="1"/>
      <c r="H2" s="1"/>
    </row>
    <row r="3" ht="16.5">
      <c r="A3" s="98" t="s">
        <v>2</v>
      </c>
      <c r="B3" s="1"/>
      <c r="C3" s="1"/>
      <c r="D3" s="1"/>
      <c r="E3" s="1"/>
      <c r="F3" s="1"/>
      <c r="G3" s="1"/>
      <c r="H3" s="1"/>
    </row>
    <row r="4">
      <c r="A4" s="58" t="s">
        <v>3</v>
      </c>
      <c r="B4" s="1"/>
      <c r="C4" s="1"/>
      <c r="D4" s="1"/>
      <c r="E4" s="1"/>
      <c r="F4" s="1"/>
      <c r="G4" s="1"/>
      <c r="H4" s="1"/>
    </row>
    <row r="5">
      <c r="A5" s="76"/>
      <c r="B5" s="76"/>
      <c r="C5" s="76"/>
      <c r="D5" s="76"/>
      <c r="E5" s="76"/>
      <c r="F5" s="76"/>
      <c r="G5" s="76"/>
      <c r="H5" s="76"/>
    </row>
    <row r="6">
      <c r="A6" s="76"/>
      <c r="B6" s="76"/>
      <c r="C6" s="76"/>
      <c r="D6" s="76"/>
      <c r="E6" s="76"/>
      <c r="F6" s="76"/>
      <c r="G6" s="76"/>
      <c r="H6" s="77"/>
    </row>
    <row r="7">
      <c r="A7" s="76"/>
      <c r="B7" s="76"/>
      <c r="C7" s="76"/>
      <c r="D7" s="76"/>
      <c r="E7" s="76"/>
      <c r="F7" s="76"/>
      <c r="G7" s="76"/>
      <c r="H7" s="77"/>
    </row>
    <row r="8">
      <c r="A8" s="1"/>
      <c r="B8" s="1"/>
      <c r="C8" s="1"/>
      <c r="D8" s="1"/>
      <c r="E8" s="1"/>
      <c r="F8" s="1"/>
      <c r="G8" s="1"/>
      <c r="H8" s="1"/>
    </row>
    <row r="9">
      <c r="A9" s="17" t="s">
        <v>4</v>
      </c>
      <c r="B9" s="1"/>
      <c r="C9" s="1"/>
      <c r="D9" s="1"/>
      <c r="E9" s="1"/>
      <c r="F9" s="1"/>
      <c r="G9" s="1"/>
      <c r="H9" s="22"/>
    </row>
    <row r="10">
      <c r="A10" s="1" t="s">
        <v>4</v>
      </c>
      <c r="B10" s="9" t="s">
        <v>5</v>
      </c>
      <c r="C10" s="9"/>
      <c r="D10" s="9"/>
      <c r="E10" s="9"/>
      <c r="F10" s="9"/>
      <c r="G10" s="9"/>
      <c r="H10" s="22"/>
    </row>
    <row r="11">
      <c r="A11" s="1" t="s">
        <v>6</v>
      </c>
      <c r="B11" s="9" t="s">
        <v>7</v>
      </c>
      <c r="C11" s="9"/>
      <c r="D11" s="9"/>
      <c r="E11" s="9"/>
      <c r="F11" s="9"/>
      <c r="G11" s="9"/>
      <c r="H11" s="22"/>
    </row>
    <row r="12">
      <c r="A12" s="1" t="s">
        <v>8</v>
      </c>
      <c r="B12" s="9" t="s">
        <v>9</v>
      </c>
      <c r="C12" s="9"/>
      <c r="D12" s="9"/>
      <c r="E12" s="9"/>
      <c r="F12" s="9"/>
      <c r="G12" s="9"/>
      <c r="H12" s="22"/>
    </row>
    <row r="13">
      <c r="A13" s="1" t="s">
        <v>10</v>
      </c>
      <c r="B13" s="9" t="s">
        <v>11</v>
      </c>
      <c r="C13" s="9"/>
      <c r="D13" s="9"/>
      <c r="E13" s="9"/>
      <c r="F13" s="9"/>
      <c r="G13" s="9"/>
      <c r="H13" s="22"/>
    </row>
    <row r="14">
      <c r="A14" s="1" t="s">
        <v>12</v>
      </c>
      <c r="B14" s="9" t="s">
        <v>13</v>
      </c>
      <c r="C14" s="9"/>
      <c r="D14" s="9"/>
      <c r="E14" s="9"/>
      <c r="F14" s="9"/>
      <c r="G14" s="9"/>
      <c r="H14" s="22"/>
    </row>
    <row r="15">
      <c r="A15" s="1" t="s">
        <v>14</v>
      </c>
      <c r="B15" s="9" t="s">
        <v>15</v>
      </c>
      <c r="C15" s="9"/>
      <c r="D15" s="9"/>
      <c r="E15" s="9"/>
      <c r="F15" s="9"/>
      <c r="G15" s="9"/>
      <c r="H15" s="22"/>
    </row>
    <row r="16">
      <c r="A16" s="1" t="s">
        <v>16</v>
      </c>
      <c r="B16" s="9" t="s">
        <v>17</v>
      </c>
      <c r="C16" s="9"/>
      <c r="D16" s="9"/>
      <c r="E16" s="9"/>
      <c r="F16" s="9"/>
      <c r="G16" s="9"/>
      <c r="H16" s="22"/>
    </row>
    <row r="17">
      <c r="A17" s="1" t="s">
        <v>18</v>
      </c>
      <c r="B17" s="9" t="s">
        <v>19</v>
      </c>
      <c r="C17" s="9"/>
      <c r="D17" s="9"/>
      <c r="E17" s="9"/>
      <c r="F17" s="9"/>
      <c r="G17" s="9"/>
      <c r="H17" s="22"/>
    </row>
    <row r="18">
      <c r="A18" s="1" t="s">
        <v>20</v>
      </c>
      <c r="B18" s="9" t="s">
        <v>21</v>
      </c>
      <c r="C18" s="9"/>
      <c r="D18" s="9"/>
      <c r="E18" s="9"/>
      <c r="F18" s="9"/>
      <c r="G18" s="9"/>
      <c r="H18" s="22"/>
    </row>
    <row r="19">
      <c r="A19" s="1"/>
      <c r="B19" s="1"/>
      <c r="C19" s="1"/>
      <c r="D19" s="1"/>
      <c r="E19" s="1"/>
      <c r="F19" s="1"/>
      <c r="G19" s="1"/>
      <c r="H19" s="22"/>
    </row>
    <row r="20">
      <c r="A20" s="17" t="s">
        <v>22</v>
      </c>
      <c r="B20" s="1"/>
      <c r="C20" s="1"/>
      <c r="D20" s="1"/>
      <c r="E20" s="1"/>
      <c r="F20" s="1"/>
      <c r="G20" s="1"/>
      <c r="H20" s="22"/>
    </row>
    <row r="21">
      <c r="A21" s="17" t="s">
        <v>23</v>
      </c>
      <c r="B21" s="53" t="s">
        <v>24</v>
      </c>
      <c r="C21" s="53" t="s">
        <v>25</v>
      </c>
      <c r="D21" s="53" t="s">
        <v>26</v>
      </c>
      <c r="E21" s="53" t="s">
        <v>27</v>
      </c>
      <c r="F21" s="53" t="s">
        <v>28</v>
      </c>
      <c r="G21" s="53"/>
      <c r="H21" s="22" t="s">
        <v>29</v>
      </c>
    </row>
    <row r="22">
      <c r="A22" s="1" t="s">
        <v>30</v>
      </c>
      <c r="B22" s="8">
        <f>'Income Statement'!G67</f>
        <v>17169.7698727289</v>
      </c>
      <c r="C22" s="8">
        <f>Inputs!B38</f>
        <v>16887.88</v>
      </c>
      <c r="D22" s="3">
        <f>B22-C22</f>
        <v>281.8898727288979</v>
      </c>
      <c r="E22" s="3" t="s">
        <v>31</v>
      </c>
      <c r="F22" s="3" t="s">
        <v>31</v>
      </c>
      <c r="G22" s="3"/>
      <c r="H22" s="22"/>
    </row>
    <row r="23">
      <c r="A23" s="7" t="s">
        <v>32</v>
      </c>
      <c r="B23" s="21"/>
      <c r="C23" s="21"/>
      <c r="D23" s="21">
        <f>B22/C22-1</f>
        <v>0.01669184484546893</v>
      </c>
      <c r="E23" s="21"/>
      <c r="F23" s="21"/>
      <c r="G23" s="21"/>
      <c r="H23" s="22"/>
    </row>
    <row r="24">
      <c r="A24" s="1" t="s">
        <v>33</v>
      </c>
      <c r="B24" s="8">
        <f>'Income Statement'!G156</f>
        <v>3976.1274070048785</v>
      </c>
      <c r="C24" s="8">
        <f>Inputs!B51</f>
        <v>4002.55</v>
      </c>
      <c r="D24" s="3" t="s">
        <v>31</v>
      </c>
      <c r="E24" s="3" t="s">
        <v>31</v>
      </c>
      <c r="F24" s="3" t="s">
        <v>31</v>
      </c>
      <c r="G24" s="3"/>
      <c r="H24" s="22" t="s">
        <v>34</v>
      </c>
    </row>
    <row r="25">
      <c r="A25" s="7" t="s">
        <v>32</v>
      </c>
      <c r="B25" s="21"/>
      <c r="C25" s="21"/>
      <c r="D25" s="21" t="s">
        <v>31</v>
      </c>
      <c r="E25" s="21"/>
      <c r="F25" s="21"/>
      <c r="G25" s="21"/>
      <c r="H25" s="22"/>
    </row>
    <row r="26">
      <c r="A26" s="17" t="s">
        <v>35</v>
      </c>
      <c r="B26" s="45">
        <f>'Income Statement'!G179</f>
        <v>13.174985255519266</v>
      </c>
      <c r="C26" s="45">
        <f>Inputs!B22</f>
        <v>13.18</v>
      </c>
      <c r="D26" s="78">
        <f>B26-C26</f>
        <v>-0.005014744480734024</v>
      </c>
      <c r="E26" s="37" t="s">
        <v>31</v>
      </c>
      <c r="F26" s="37" t="s">
        <v>31</v>
      </c>
      <c r="G26" s="37"/>
      <c r="H26" s="22"/>
    </row>
    <row r="27">
      <c r="A27" s="7" t="s">
        <v>32</v>
      </c>
      <c r="B27" s="21"/>
      <c r="C27" s="21"/>
      <c r="D27" s="21">
        <f>B26/C26-1</f>
        <v>-0.00038048137183110953</v>
      </c>
      <c r="E27" s="21"/>
      <c r="F27" s="21"/>
      <c r="G27" s="21"/>
      <c r="H27" s="22"/>
    </row>
    <row r="28">
      <c r="A28" s="1" t="s">
        <v>36</v>
      </c>
      <c r="B28" s="44">
        <f>'Income Statement'!G167</f>
        <v>13.174985255519266</v>
      </c>
      <c r="C28" s="44">
        <f>Inputs!B31</f>
        <v>13.09</v>
      </c>
      <c r="D28" s="82">
        <f>B28-C28</f>
        <v>0.08498525551926583</v>
      </c>
      <c r="E28" s="38" t="s">
        <v>31</v>
      </c>
      <c r="F28" s="38" t="s">
        <v>31</v>
      </c>
      <c r="G28" s="38"/>
      <c r="H28" s="22"/>
    </row>
    <row r="29">
      <c r="A29" s="7" t="s">
        <v>32</v>
      </c>
      <c r="B29" s="21"/>
      <c r="C29" s="21"/>
      <c r="D29" s="21">
        <f>B28/C28-1</f>
        <v>0.006492380100784345</v>
      </c>
      <c r="E29" s="21"/>
      <c r="F29" s="21"/>
      <c r="G29" s="21"/>
      <c r="H29" s="22"/>
    </row>
    <row r="30">
      <c r="A30" s="1" t="s">
        <v>37</v>
      </c>
      <c r="B30" s="8">
        <f>'Income Statement'!G134</f>
        <v>5379.650521801126</v>
      </c>
      <c r="C30" s="8">
        <f>Inputs!B49</f>
        <v>5236.84</v>
      </c>
      <c r="D30" s="3">
        <f>B30-C30</f>
        <v>142.81052180112601</v>
      </c>
      <c r="E30" s="3" t="s">
        <v>31</v>
      </c>
      <c r="F30" s="3" t="s">
        <v>31</v>
      </c>
      <c r="G30" s="3"/>
      <c r="H30" s="22"/>
    </row>
    <row r="31">
      <c r="A31" s="7" t="s">
        <v>32</v>
      </c>
      <c r="B31" s="21"/>
      <c r="C31" s="21"/>
      <c r="D31" s="21">
        <f>B30/C30-1</f>
        <v>0.027270361859657033</v>
      </c>
      <c r="E31" s="21"/>
      <c r="F31" s="21"/>
      <c r="G31" s="21"/>
      <c r="H31" s="22"/>
    </row>
    <row r="32" ht="25.5">
      <c r="A32" s="96" t="s">
        <v>38</v>
      </c>
      <c r="B32" s="95" t="str">
        <f>IF(AND(COUNT('Revenue summary'!B49:G49,'Revenue summary'!B51:F51,Geo!B44:G44,'Balance Sheet'!B45:G45,'Cash Flow Statement'!B65:G65,'Cash Flow Statement'!B66:F66,'Income Statement'!B74:G74,'Income Statement'!B181:F181,'Segment - Asset &amp; Wealth Mgmt'!B87:F87)=COUNTA('Revenue summary'!B49:G49,'Revenue summary'!B51:F51,Geo!B44:G44,'Balance Sheet'!B45:G45,'Cash Flow Statement'!B65:G65,'Cash Flow Statement'!B66:F66,'Income Statement'!B74:G74,'Income Statement'!B181:F181,'Segment - Asset &amp; Wealth Mgmt'!B87:F87),SUMIF('Revenue summary'!B49:G49,"&gt;0")-SUMIF('Revenue summary'!B49:G49,"&lt;0")&lt;0.01,SUMIF('Revenue summary'!B51:F51,"&gt;0")-SUMIF('Revenue summary'!B51:F51,"&lt;0")&lt;0.01,SUMIF(Geo!B44:G44,"&gt;0")-SUMIF(Geo!B44:G44,"&lt;0")&lt;0.01,SUMIF('Balance Sheet'!B45:G45,"&gt;0")-SUMIF('Balance Sheet'!B45:G45,"&lt;0")&lt;0.01,SUMIF('Cash Flow Statement'!B65:G65,"&gt;0")-SUMIF('Cash Flow Statement'!B65:G65,"&lt;0")&lt;0.01,SUMIF('Cash Flow Statement'!B66:F66,"&gt;0")-SUMIF('Cash Flow Statement'!B66:F66,"&lt;0")&lt;0.01,AND('Income Statement'!B171,'Income Statement'!C171,'Income Statement'!D171,'Income Statement'!E171,'Income Statement'!F171,'Income Statement'!G171),SUMIF('Income Statement'!B74:G74,"&gt;0")-SUMIF('Income Statement'!B74:G74,"&lt;0")&lt;0.01,SUMIF('Income Statement'!B181:F181,"&gt;0")-SUMIF('Income Statement'!B181:F181,"&lt;0")&lt;0.01,SUMIF('Segment - Asset &amp; Wealth Mgmt'!B87:F87,"&gt;0")-SUMIF('Segment - Asset &amp; Wealth Mgmt'!B87:F87,"&lt;0")&lt;0.01,B22='Income Statement'!G67,B26='Income Statement'!G179),"PASS","FAIL")</f>
        <v>PASS</v>
      </c>
      <c r="C32" s="56"/>
      <c r="D32" s="56"/>
      <c r="E32" s="56"/>
      <c r="F32" s="56"/>
      <c r="G32" s="56"/>
      <c r="H32" s="22" t="s">
        <v>39</v>
      </c>
    </row>
    <row r="33">
      <c r="A33" s="57" t="s">
        <v>40</v>
      </c>
      <c r="B33" s="46">
        <f>Inputs!B230</f>
        <v>0.6402857142857143</v>
      </c>
      <c r="C33" s="48"/>
      <c r="D33" s="48"/>
      <c r="E33" s="48"/>
      <c r="F33" s="48"/>
      <c r="G33" s="48"/>
      <c r="H33" s="22"/>
    </row>
    <row r="34">
      <c r="A34" s="17" t="s">
        <v>41</v>
      </c>
      <c r="B34" s="14" t="s">
        <v>42</v>
      </c>
      <c r="C34" s="14"/>
      <c r="D34" s="14"/>
      <c r="E34" s="14"/>
      <c r="F34" s="14"/>
      <c r="G34" s="14"/>
      <c r="H34" s="22"/>
    </row>
    <row r="35">
      <c r="A35" s="1"/>
      <c r="B35" s="1"/>
      <c r="C35" s="1"/>
      <c r="D35" s="1"/>
      <c r="E35" s="1"/>
      <c r="F35" s="1"/>
      <c r="G35" s="1"/>
      <c r="H35" s="22"/>
    </row>
    <row r="36">
      <c r="A36" s="17" t="s">
        <v>43</v>
      </c>
      <c r="B36" s="1"/>
      <c r="C36" s="1"/>
      <c r="D36" s="1"/>
      <c r="E36" s="1"/>
      <c r="F36" s="1"/>
      <c r="G36" s="1"/>
      <c r="H36" s="22"/>
    </row>
    <row r="37">
      <c r="A37" s="1" t="s">
        <v>44</v>
      </c>
      <c r="B37" s="8">
        <f>Inputs!B221</f>
        <v>260.69</v>
      </c>
      <c r="C37" s="3"/>
      <c r="D37" s="3"/>
      <c r="E37" s="3"/>
      <c r="F37" s="3"/>
      <c r="G37" s="3"/>
      <c r="H37" s="22"/>
    </row>
    <row r="38">
      <c r="A38" s="1" t="s">
        <v>45</v>
      </c>
      <c r="B38" s="54" t="str">
        <f>Inputs!B222</f>
        <v>Large</v>
      </c>
      <c r="C38" s="9"/>
      <c r="D38" s="9"/>
      <c r="E38" s="9"/>
      <c r="F38" s="9"/>
      <c r="G38" s="9"/>
      <c r="H38" s="22"/>
    </row>
    <row r="39">
      <c r="A39" s="1" t="s">
        <v>46</v>
      </c>
      <c r="B39" s="54" t="str">
        <f>Inputs!B223</f>
        <v>Y</v>
      </c>
      <c r="C39" s="9"/>
      <c r="D39" s="9"/>
      <c r="E39" s="9"/>
      <c r="F39" s="9"/>
      <c r="G39" s="9"/>
      <c r="H39" s="22"/>
    </row>
    <row r="40">
      <c r="A40" s="7" t="s">
        <v>47</v>
      </c>
      <c r="B40" s="23">
        <f>Inputs!B224</f>
        <v>0.78</v>
      </c>
      <c r="C40" s="21"/>
      <c r="D40" s="21"/>
      <c r="E40" s="21"/>
      <c r="F40" s="21"/>
      <c r="G40" s="21"/>
      <c r="H40" s="22"/>
    </row>
    <row r="41">
      <c r="A41" s="1" t="s">
        <v>48</v>
      </c>
      <c r="B41" s="42">
        <f>Inputs!B226</f>
        <v>6</v>
      </c>
      <c r="C41" s="41"/>
      <c r="D41" s="41"/>
      <c r="E41" s="41"/>
      <c r="F41" s="41"/>
      <c r="G41" s="41"/>
      <c r="H41" s="22"/>
    </row>
    <row r="42">
      <c r="A42" s="1" t="s">
        <v>49</v>
      </c>
      <c r="B42" s="42">
        <f>Inputs!B227</f>
        <v>6</v>
      </c>
      <c r="C42" s="41"/>
      <c r="D42" s="41"/>
      <c r="E42" s="41"/>
      <c r="F42" s="41"/>
      <c r="G42" s="41"/>
      <c r="H42" s="22"/>
    </row>
    <row r="43">
      <c r="A43" s="7" t="s">
        <v>50</v>
      </c>
      <c r="B43" s="23">
        <f>Inputs!B228</f>
        <v>0.8742857142857143</v>
      </c>
      <c r="C43" s="21"/>
      <c r="D43" s="21"/>
      <c r="E43" s="21"/>
      <c r="F43" s="21"/>
      <c r="G43" s="21"/>
      <c r="H43" s="22"/>
    </row>
    <row r="44">
      <c r="A44" s="7" t="s">
        <v>51</v>
      </c>
      <c r="B44" s="23">
        <f>Inputs!B229</f>
        <v>-0.234</v>
      </c>
      <c r="C44" s="21"/>
      <c r="D44" s="21"/>
      <c r="E44" s="21"/>
      <c r="F44" s="21"/>
      <c r="G44" s="21"/>
      <c r="H44" s="22"/>
    </row>
    <row r="45">
      <c r="A45" s="7" t="s">
        <v>52</v>
      </c>
      <c r="B45" s="23">
        <f>Inputs!B230</f>
        <v>0.6402857142857143</v>
      </c>
      <c r="C45" s="21"/>
      <c r="D45" s="21"/>
      <c r="E45" s="21"/>
      <c r="F45" s="21"/>
      <c r="G45" s="21"/>
      <c r="H45" s="22"/>
    </row>
    <row r="46">
      <c r="A46" s="1" t="s">
        <v>53</v>
      </c>
      <c r="B46" s="44">
        <f>Inputs!B231</f>
        <v>2.463333333333334</v>
      </c>
      <c r="C46" s="38"/>
      <c r="D46" s="38"/>
      <c r="E46" s="38"/>
      <c r="F46" s="38"/>
      <c r="G46" s="38"/>
      <c r="H46" s="22"/>
    </row>
    <row r="47">
      <c r="A47" s="1"/>
      <c r="B47" s="1"/>
      <c r="C47" s="1"/>
      <c r="D47" s="1"/>
      <c r="E47" s="1"/>
      <c r="F47" s="1"/>
      <c r="G47" s="1"/>
      <c r="H47" s="22"/>
    </row>
    <row r="48">
      <c r="A48" s="17" t="s">
        <v>54</v>
      </c>
      <c r="B48" s="1"/>
      <c r="C48" s="1"/>
      <c r="D48" s="1"/>
      <c r="E48" s="1"/>
      <c r="F48" s="1"/>
      <c r="G48" s="1"/>
      <c r="H48" s="22"/>
    </row>
    <row r="49">
      <c r="A49" s="1" t="s">
        <v>55</v>
      </c>
      <c r="B49" s="8">
        <f>'Segment - Banking &amp; Markets'!G93</f>
        <v>12344.890494372734</v>
      </c>
      <c r="C49" s="8">
        <f>Inputs!B239</f>
        <v>11690</v>
      </c>
      <c r="D49" s="3">
        <f>B49-C49</f>
        <v>654.8904943727339</v>
      </c>
      <c r="E49" s="3"/>
      <c r="F49" s="3"/>
      <c r="G49" s="3"/>
      <c r="H49" s="22"/>
    </row>
    <row r="50">
      <c r="A50" s="1" t="s">
        <v>56</v>
      </c>
      <c r="B50" s="8">
        <f>'Segment - Asset &amp; Wealth Mgmt'!G126</f>
        <v>4603.879378356165</v>
      </c>
      <c r="C50" s="8">
        <f>Inputs!C239</f>
        <v>4490</v>
      </c>
      <c r="D50" s="3">
        <f>B50-C50</f>
        <v>113.87937835616503</v>
      </c>
      <c r="E50" s="3"/>
      <c r="F50" s="3"/>
      <c r="G50" s="3"/>
      <c r="H50" s="22"/>
    </row>
    <row r="51">
      <c r="A51" s="1" t="s">
        <v>57</v>
      </c>
      <c r="B51" s="8">
        <f>'Revenue summary'!G24</f>
        <v>221</v>
      </c>
      <c r="C51" s="8">
        <f>Inputs!D239</f>
        <v>213</v>
      </c>
      <c r="D51" s="3">
        <f>B51-C51</f>
        <v>8</v>
      </c>
      <c r="E51" s="3"/>
      <c r="F51" s="3"/>
      <c r="G51" s="3"/>
      <c r="H51" s="22"/>
    </row>
    <row r="52">
      <c r="A52" s="1"/>
      <c r="B52" s="1"/>
      <c r="C52" s="1"/>
      <c r="D52" s="1"/>
      <c r="E52" s="1"/>
      <c r="F52" s="1"/>
      <c r="G52" s="1"/>
      <c r="H52" s="22"/>
    </row>
    <row r="53">
      <c r="A53" s="17" t="s">
        <v>58</v>
      </c>
      <c r="B53" s="1"/>
      <c r="C53" s="1"/>
      <c r="D53" s="1"/>
      <c r="E53" s="1"/>
      <c r="F53" s="1"/>
      <c r="G53" s="1"/>
      <c r="H53" s="22"/>
    </row>
    <row r="54">
      <c r="A54" s="1" t="s">
        <v>59</v>
      </c>
      <c r="B54" s="44">
        <f>Inputs!B236</f>
        <v>12.9</v>
      </c>
      <c r="C54" s="38"/>
      <c r="D54" s="38"/>
      <c r="E54" s="38"/>
      <c r="F54" s="38"/>
      <c r="G54" s="38"/>
      <c r="H54" s="22"/>
    </row>
    <row r="55">
      <c r="A55" s="1" t="s">
        <v>60</v>
      </c>
      <c r="B55" s="44">
        <f>Inputs!B237</f>
        <v>13.87</v>
      </c>
      <c r="C55" s="38"/>
      <c r="D55" s="38"/>
      <c r="E55" s="38"/>
      <c r="F55" s="38"/>
      <c r="G55" s="38"/>
      <c r="H55" s="22"/>
    </row>
    <row r="56">
      <c r="A56" s="1" t="s">
        <v>61</v>
      </c>
      <c r="B56" s="44">
        <f>Inputs!B238</f>
        <v>12.95</v>
      </c>
      <c r="C56" s="38"/>
      <c r="D56" s="38"/>
      <c r="E56" s="38"/>
      <c r="F56" s="38"/>
      <c r="G56" s="38"/>
      <c r="H56" s="22"/>
    </row>
    <row r="57">
      <c r="A57" s="1" t="s">
        <v>62</v>
      </c>
      <c r="B57" s="44">
        <f>Inputs!B23</f>
        <v>12.87</v>
      </c>
      <c r="C57" s="44">
        <f>Inputs!B24</f>
        <v>18.34</v>
      </c>
      <c r="D57" s="44">
        <f>Inputs!B25</f>
        <v>11.46</v>
      </c>
      <c r="E57" s="38"/>
      <c r="F57" s="38"/>
      <c r="G57" s="38"/>
      <c r="H57" s="22"/>
    </row>
    <row r="58">
      <c r="A58" s="1" t="s">
        <v>63</v>
      </c>
      <c r="B58" s="62">
        <f>Inputs!B27</f>
        <v>18</v>
      </c>
      <c r="C58" s="62">
        <f>Inputs!B43</f>
        <v>15</v>
      </c>
      <c r="D58" s="40"/>
      <c r="E58" s="40"/>
      <c r="F58" s="40"/>
      <c r="G58" s="40"/>
      <c r="H58" s="22"/>
    </row>
  </sheetData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4"/>
  <sheetViews>
    <sheetView showGridLines="0" workbookViewId="0"/>
  </sheetViews>
  <sheetFormatPr defaultColWidth="8.42578125" defaultRowHeight="15"/>
  <cols>
    <col min="1" max="1" width="32" customWidth="1"/>
    <col min="2" max="7" width="12" customWidth="1"/>
    <col min="8" max="8" width="40" customWidth="1"/>
  </cols>
  <sheetData>
    <row r="1">
      <c r="A1" s="15" t="s">
        <v>0</v>
      </c>
      <c r="B1" s="1"/>
      <c r="C1" s="1"/>
      <c r="D1" s="1"/>
      <c r="E1" s="1"/>
      <c r="F1" s="1"/>
      <c r="G1" s="1"/>
      <c r="H1" s="1"/>
    </row>
    <row r="2">
      <c r="A2" s="17" t="s">
        <v>64</v>
      </c>
      <c r="B2" s="1"/>
      <c r="C2" s="1"/>
      <c r="D2" s="1"/>
      <c r="E2" s="1"/>
      <c r="F2" s="1"/>
      <c r="G2" s="1"/>
      <c r="H2" s="1"/>
    </row>
    <row r="3">
      <c r="A3" s="7" t="s">
        <v>2</v>
      </c>
      <c r="B3" s="1"/>
      <c r="C3" s="1"/>
      <c r="D3" s="1"/>
      <c r="E3" s="1"/>
      <c r="F3" s="1"/>
      <c r="G3" s="1"/>
      <c r="H3" s="1"/>
    </row>
    <row r="4">
      <c r="A4" s="1"/>
      <c r="B4" s="1"/>
      <c r="C4" s="1"/>
      <c r="D4" s="1"/>
      <c r="E4" s="1"/>
      <c r="F4" s="1"/>
      <c r="G4" s="1"/>
      <c r="H4" s="1"/>
    </row>
    <row r="5">
      <c r="A5" s="16" t="s">
        <v>65</v>
      </c>
      <c r="B5" s="2" t="s">
        <v>66</v>
      </c>
      <c r="C5" s="2" t="s">
        <v>67</v>
      </c>
      <c r="D5" s="2" t="s">
        <v>68</v>
      </c>
      <c r="E5" s="2" t="s">
        <v>69</v>
      </c>
      <c r="F5" s="2" t="s">
        <v>70</v>
      </c>
      <c r="G5" s="59" t="s">
        <v>71</v>
      </c>
      <c r="H5" s="16" t="s">
        <v>72</v>
      </c>
    </row>
    <row r="6">
      <c r="A6" s="11" t="s">
        <v>73</v>
      </c>
      <c r="B6" s="5">
        <f>DATE(2025,9,30)</f>
        <v>45930</v>
      </c>
      <c r="C6" s="5">
        <f>DATE(2025,12,31)</f>
        <v>46022</v>
      </c>
      <c r="D6" s="5">
        <f>DATE(2025,12,31)</f>
        <v>46022</v>
      </c>
      <c r="E6" s="5">
        <f>DATE(2026,3,31)</f>
        <v>46112</v>
      </c>
      <c r="F6" s="5">
        <f>DATE(2026,6,30)</f>
        <v>46203</v>
      </c>
      <c r="G6" s="43">
        <f>DATE(2026,9,30)</f>
        <v>46295</v>
      </c>
      <c r="H6" s="11"/>
    </row>
    <row r="7">
      <c r="A7" s="4" t="s">
        <v>74</v>
      </c>
      <c r="B7" s="12">
        <f>B6-DATE(2025,6,30)</f>
        <v>92</v>
      </c>
      <c r="C7" s="12">
        <f>C6-B6</f>
        <v>92</v>
      </c>
      <c r="D7" s="12">
        <f>D6-DATE(2024,12,31)</f>
        <v>365</v>
      </c>
      <c r="E7" s="12">
        <f>E6-C6</f>
        <v>90</v>
      </c>
      <c r="F7" s="12">
        <f>F6-E6</f>
        <v>91</v>
      </c>
      <c r="G7" s="55">
        <f>G6-F6</f>
        <v>92</v>
      </c>
      <c r="H7" s="4"/>
    </row>
    <row r="8">
      <c r="A8" s="1"/>
      <c r="B8" s="1"/>
      <c r="C8" s="1"/>
      <c r="D8" s="1"/>
      <c r="E8" s="1"/>
      <c r="F8" s="1"/>
      <c r="G8" s="1"/>
      <c r="H8" s="1"/>
    </row>
    <row r="9">
      <c r="A9" s="17" t="s">
        <v>75</v>
      </c>
      <c r="B9" s="1"/>
      <c r="C9" s="1"/>
      <c r="D9" s="1"/>
      <c r="E9" s="1"/>
      <c r="F9" s="1"/>
      <c r="G9" s="24"/>
      <c r="H9" s="22"/>
    </row>
    <row r="10">
      <c r="A10" s="1" t="s">
        <v>76</v>
      </c>
      <c r="B10" s="8">
        <f>'Segment - Banking &amp; Markets'!B93</f>
        <v>10168</v>
      </c>
      <c r="C10" s="8">
        <f>'Segment - Banking &amp; Markets'!C93</f>
        <v>10411</v>
      </c>
      <c r="D10" s="8">
        <f>'Segment - Banking &amp; Markets'!D93</f>
        <v>41453</v>
      </c>
      <c r="E10" s="8">
        <f>'Segment - Banking &amp; Markets'!E93</f>
        <v>12738</v>
      </c>
      <c r="F10" s="8">
        <f>'Segment - Banking &amp; Markets'!F93</f>
        <v>15520</v>
      </c>
      <c r="G10" s="35">
        <f>'Segment - Banking &amp; Markets'!G93</f>
        <v>12344.890494372734</v>
      </c>
      <c r="H10" s="22" t="s">
        <v>77</v>
      </c>
    </row>
    <row r="11">
      <c r="A11" s="7" t="s">
        <v>78</v>
      </c>
      <c r="B11" s="23" t="str">
        <f>IF(ISNUMBER(Inputs!B114),IF(OR(Inputs!B114&lt;=0,B10&lt;0),"n.m.",B10/Inputs!B114-1),"n.a.")</f>
        <v>n.a.</v>
      </c>
      <c r="C11" s="23">
        <f>IF(ISNUMBER(Inputs!C114),IF(OR(Inputs!C114&lt;=0,C10&lt;0),"n.m.",C10/Inputs!C114-1),"n.a.")</f>
        <v>0.2236718382698637</v>
      </c>
      <c r="D11" s="23">
        <f>IF(ISNUMBER(Inputs!D114),IF(OR(Inputs!D114&lt;=0,D10&lt;0),"n.m.",D10/Inputs!D114-1),"n.a.")</f>
        <v>0.1821085350899707</v>
      </c>
      <c r="E11" s="23">
        <f>IF(ISNUMBER(Inputs!E114),IF(OR(Inputs!E114&lt;=0,E10&lt;0),"n.m.",E10/Inputs!E114-1),"n.a.")</f>
        <v>0.1859230984079694</v>
      </c>
      <c r="F11" s="23">
        <f>IF(ISNUMBER(Inputs!F114),IF(OR(Inputs!F114&lt;=0,F10&lt;0),"n.m.",F10/Inputs!F114-1),"n.a.")</f>
        <v>0.5316293299121682</v>
      </c>
      <c r="G11" s="31">
        <f>IF(ISNUMBER(B10),IF(OR(B10&lt;=0,G10&lt;0),"n.m.",G10/B10-1),"n.a.")</f>
        <v>0.21409229881714542</v>
      </c>
      <c r="H11" s="22"/>
    </row>
    <row r="12">
      <c r="A12" s="7" t="s">
        <v>79</v>
      </c>
      <c r="B12" s="23">
        <f>IF(ISNUMBER(Inputs!F114),IF(OR(Inputs!F114&lt;=0,B10&lt;0),"n.m.",B10/Inputs!F114-1),"n.a.")</f>
        <v>0.003454060988848262</v>
      </c>
      <c r="C12" s="21">
        <f>IF(ISNUMBER(B10),IF(OR(B10&lt;=0,C10&lt;0),"n.m.",C10/B10-1),"n.a.")</f>
        <v>0.023898505114083424</v>
      </c>
      <c r="D12" s="21" t="str">
        <f>"n.a."</f>
        <v>n.a.</v>
      </c>
      <c r="E12" s="21">
        <f>IF(ISNUMBER(C10),IF(OR(C10&lt;=0,E10&lt;0),"n.m.",E10/C10-1),"n.a.")</f>
        <v>0.2235135913937183</v>
      </c>
      <c r="F12" s="21">
        <f>IF(ISNUMBER(E10),IF(OR(E10&lt;=0,F10&lt;0),"n.m.",F10/E10-1),"n.a.")</f>
        <v>0.21840163290940495</v>
      </c>
      <c r="G12" s="31">
        <f>IF(ISNUMBER(F10),IF(OR(F10&lt;=0,G10&lt;0),"n.m.",G10/F10-1),"n.a.")</f>
        <v>-0.20458179804299392</v>
      </c>
      <c r="H12" s="22"/>
    </row>
    <row r="13">
      <c r="A13" s="1" t="s">
        <v>80</v>
      </c>
      <c r="B13" s="8">
        <f>IF(ISNUMBER(Inputs!F114),B10-Inputs!F114,"n.a.")</f>
        <v>35</v>
      </c>
      <c r="C13" s="3">
        <f>IF(ISNUMBER(B10),C10-B10,"n.a.")</f>
        <v>243</v>
      </c>
      <c r="D13" s="3" t="str">
        <f>"n.a."</f>
        <v>n.a.</v>
      </c>
      <c r="E13" s="3">
        <f>IF(ISNUMBER(C10),E10-C10,"n.a.")</f>
        <v>2327</v>
      </c>
      <c r="F13" s="3">
        <f>IF(ISNUMBER(E10),F10-E10,"n.a.")</f>
        <v>2782</v>
      </c>
      <c r="G13" s="29">
        <f>IF(ISNUMBER(F10),G10-F10,"n.a.")</f>
        <v>-3175.109505627266</v>
      </c>
      <c r="H13" s="22"/>
    </row>
    <row r="14">
      <c r="A14" s="7" t="s">
        <v>81</v>
      </c>
      <c r="B14" s="21" t="s">
        <v>82</v>
      </c>
      <c r="C14" s="21" t="s">
        <v>82</v>
      </c>
      <c r="D14" s="21" t="s">
        <v>82</v>
      </c>
      <c r="E14" s="21" t="s">
        <v>82</v>
      </c>
      <c r="F14" s="21" t="s">
        <v>82</v>
      </c>
      <c r="G14" s="31" t="s">
        <v>82</v>
      </c>
      <c r="H14" s="22"/>
    </row>
    <row r="15">
      <c r="A15" s="7" t="s">
        <v>83</v>
      </c>
      <c r="B15" s="21" t="s">
        <v>82</v>
      </c>
      <c r="C15" s="21" t="s">
        <v>82</v>
      </c>
      <c r="D15" s="21" t="s">
        <v>82</v>
      </c>
      <c r="E15" s="21" t="s">
        <v>82</v>
      </c>
      <c r="F15" s="21" t="s">
        <v>82</v>
      </c>
      <c r="G15" s="31" t="s">
        <v>82</v>
      </c>
      <c r="H15" s="22"/>
    </row>
    <row r="16">
      <c r="A16" s="7" t="s">
        <v>84</v>
      </c>
      <c r="B16" s="21" t="str">
        <f>IF(AND(ISNUMBER(B11),ISNUMBER(B14),ISNUMBER(B15)),(1+B11)/((1+B14)*(1+B15))-1,"n.a.")</f>
        <v>n.a.</v>
      </c>
      <c r="C16" s="21" t="str">
        <f>IF(AND(ISNUMBER(C11),ISNUMBER(C14),ISNUMBER(C15)),(1+C11)/((1+C14)*(1+C15))-1,"n.a.")</f>
        <v>n.a.</v>
      </c>
      <c r="D16" s="21" t="str">
        <f>IF(AND(ISNUMBER(D11),ISNUMBER(D14),ISNUMBER(D15)),(1+D11)/((1+D14)*(1+D15))-1,"n.a.")</f>
        <v>n.a.</v>
      </c>
      <c r="E16" s="21" t="str">
        <f>IF(AND(ISNUMBER(E11),ISNUMBER(E14),ISNUMBER(E15)),(1+E11)/((1+E14)*(1+E15))-1,"n.a.")</f>
        <v>n.a.</v>
      </c>
      <c r="F16" s="21" t="str">
        <f>IF(AND(ISNUMBER(F11),ISNUMBER(F14),ISNUMBER(F15)),(1+F11)/((1+F14)*(1+F15))-1,"n.a.")</f>
        <v>n.a.</v>
      </c>
      <c r="G16" s="31" t="str">
        <f>IF(AND(ISNUMBER(G11),ISNUMBER(G14),ISNUMBER(G15)),(1+G11)/((1+G14)*(1+G15))-1,"n.a.")</f>
        <v>n.a.</v>
      </c>
      <c r="H16" s="22"/>
    </row>
    <row r="17">
      <c r="A17" s="1" t="s">
        <v>85</v>
      </c>
      <c r="B17" s="8">
        <f>'Segment - Asset &amp; Wealth Mgmt'!B126</f>
        <v>4418</v>
      </c>
      <c r="C17" s="8">
        <f>'Segment - Asset &amp; Wealth Mgmt'!C126</f>
        <v>4719</v>
      </c>
      <c r="D17" s="8">
        <f>'Segment - Asset &amp; Wealth Mgmt'!D126</f>
        <v>16679</v>
      </c>
      <c r="E17" s="8">
        <f>'Segment - Asset &amp; Wealth Mgmt'!E126</f>
        <v>4078</v>
      </c>
      <c r="F17" s="8">
        <f>'Segment - Asset &amp; Wealth Mgmt'!F126</f>
        <v>4597</v>
      </c>
      <c r="G17" s="35">
        <f>'Segment - Asset &amp; Wealth Mgmt'!G126</f>
        <v>4603.879378356165</v>
      </c>
      <c r="H17" s="22" t="s">
        <v>86</v>
      </c>
    </row>
    <row r="18">
      <c r="A18" s="7" t="s">
        <v>78</v>
      </c>
      <c r="B18" s="23" t="str">
        <f>IF(ISNUMBER(Inputs!B119),IF(OR(Inputs!B119&lt;=0,B17&lt;0),"n.m.",B17/Inputs!B119-1),"n.a.")</f>
        <v>n.a.</v>
      </c>
      <c r="C18" s="23">
        <f>IF(ISNUMBER(Inputs!C119),IF(OR(Inputs!C119&lt;=0,C17&lt;0),"n.m.",C17/Inputs!C119-1),"n.a.")</f>
        <v>-0.010484378276368167</v>
      </c>
      <c r="D18" s="23">
        <f>IF(ISNUMBER(Inputs!D119),IF(OR(Inputs!D119&lt;=0,D17&lt;0),"n.m.",D17/Inputs!D119-1),"n.a.")</f>
        <v>0.022248100024515827</v>
      </c>
      <c r="E18" s="23">
        <f>IF(ISNUMBER(Inputs!E119),IF(OR(Inputs!E119&lt;=0,E17&lt;0),"n.m.",E17/Inputs!E119-1),"n.a.")</f>
        <v>0.09889517650229052</v>
      </c>
      <c r="F18" s="23">
        <f>IF(ISNUMBER(Inputs!F119),IF(OR(Inputs!F119&lt;=0,F17&lt;0),"n.m.",F17/Inputs!F119-1),"n.a.")</f>
        <v>0.19994779430957976</v>
      </c>
      <c r="G18" s="31">
        <f>IF(ISNUMBER(B17),IF(OR(B17&lt;=0,G17&lt;0),"n.m.",G17/B17-1),"n.a.")</f>
        <v>0.042073195644220185</v>
      </c>
      <c r="H18" s="22"/>
    </row>
    <row r="19">
      <c r="A19" s="7" t="s">
        <v>79</v>
      </c>
      <c r="B19" s="23">
        <f>IF(ISNUMBER(Inputs!F119),IF(OR(Inputs!F119&lt;=0,B17&lt;0),"n.m.",B17/Inputs!F119-1),"n.a.")</f>
        <v>0.15322370138345076</v>
      </c>
      <c r="C19" s="21">
        <f>IF(ISNUMBER(B17),IF(OR(B17&lt;=0,C17&lt;0),"n.m.",C17/B17-1),"n.a.")</f>
        <v>0.06813037573562708</v>
      </c>
      <c r="D19" s="21" t="str">
        <f>"n.a."</f>
        <v>n.a.</v>
      </c>
      <c r="E19" s="21">
        <f>IF(ISNUMBER(C17),IF(OR(C17&lt;=0,E17&lt;0),"n.m.",E17/C17-1),"n.a.")</f>
        <v>-0.1358338631065904</v>
      </c>
      <c r="F19" s="21">
        <f>IF(ISNUMBER(E17),IF(OR(E17&lt;=0,F17&lt;0),"n.m.",F17/E17-1),"n.a.")</f>
        <v>0.12726826875919572</v>
      </c>
      <c r="G19" s="31">
        <f>IF(ISNUMBER(F17),IF(OR(F17&lt;=0,G17&lt;0),"n.m.",G17/F17-1),"n.a.")</f>
        <v>0.0014964930076495353</v>
      </c>
      <c r="H19" s="22"/>
    </row>
    <row r="20">
      <c r="A20" s="1" t="s">
        <v>80</v>
      </c>
      <c r="B20" s="8">
        <f>IF(ISNUMBER(Inputs!F119),B17-Inputs!F119,"n.a.")</f>
        <v>587</v>
      </c>
      <c r="C20" s="3">
        <f>IF(ISNUMBER(B17),C17-B17,"n.a.")</f>
        <v>301</v>
      </c>
      <c r="D20" s="3" t="str">
        <f>"n.a."</f>
        <v>n.a.</v>
      </c>
      <c r="E20" s="3">
        <f>IF(ISNUMBER(C17),E17-C17,"n.a.")</f>
        <v>-641</v>
      </c>
      <c r="F20" s="3">
        <f>IF(ISNUMBER(E17),F17-E17,"n.a.")</f>
        <v>519</v>
      </c>
      <c r="G20" s="29">
        <f>IF(ISNUMBER(F17),G17-F17,"n.a.")</f>
        <v>6.879378356165034</v>
      </c>
      <c r="H20" s="22"/>
    </row>
    <row r="21">
      <c r="A21" s="7" t="s">
        <v>81</v>
      </c>
      <c r="B21" s="21" t="s">
        <v>82</v>
      </c>
      <c r="C21" s="21" t="s">
        <v>82</v>
      </c>
      <c r="D21" s="21" t="s">
        <v>82</v>
      </c>
      <c r="E21" s="21" t="s">
        <v>82</v>
      </c>
      <c r="F21" s="21" t="s">
        <v>82</v>
      </c>
      <c r="G21" s="31" t="s">
        <v>82</v>
      </c>
      <c r="H21" s="22"/>
    </row>
    <row r="22">
      <c r="A22" s="7" t="s">
        <v>83</v>
      </c>
      <c r="B22" s="21" t="s">
        <v>82</v>
      </c>
      <c r="C22" s="21" t="s">
        <v>82</v>
      </c>
      <c r="D22" s="21" t="s">
        <v>82</v>
      </c>
      <c r="E22" s="21" t="s">
        <v>82</v>
      </c>
      <c r="F22" s="21" t="s">
        <v>82</v>
      </c>
      <c r="G22" s="31" t="s">
        <v>82</v>
      </c>
      <c r="H22" s="22"/>
    </row>
    <row r="23">
      <c r="A23" s="7" t="s">
        <v>84</v>
      </c>
      <c r="B23" s="21" t="str">
        <f>IF(AND(ISNUMBER(B18),ISNUMBER(B21),ISNUMBER(B22)),(1+B18)/((1+B21)*(1+B22))-1,"n.a.")</f>
        <v>n.a.</v>
      </c>
      <c r="C23" s="21" t="str">
        <f>IF(AND(ISNUMBER(C18),ISNUMBER(C21),ISNUMBER(C22)),(1+C18)/((1+C21)*(1+C22))-1,"n.a.")</f>
        <v>n.a.</v>
      </c>
      <c r="D23" s="21" t="str">
        <f>IF(AND(ISNUMBER(D18),ISNUMBER(D21),ISNUMBER(D22)),(1+D18)/((1+D21)*(1+D22))-1,"n.a.")</f>
        <v>n.a.</v>
      </c>
      <c r="E23" s="21" t="str">
        <f>IF(AND(ISNUMBER(E18),ISNUMBER(E21),ISNUMBER(E22)),(1+E18)/((1+E21)*(1+E22))-1,"n.a.")</f>
        <v>n.a.</v>
      </c>
      <c r="F23" s="21" t="str">
        <f>IF(AND(ISNUMBER(F18),ISNUMBER(F21),ISNUMBER(F22)),(1+F18)/((1+F21)*(1+F22))-1,"n.a.")</f>
        <v>n.a.</v>
      </c>
      <c r="G23" s="31" t="str">
        <f>IF(AND(ISNUMBER(G18),ISNUMBER(G21),ISNUMBER(G22)),(1+G18)/((1+G21)*(1+G22))-1,"n.a.")</f>
        <v>n.a.</v>
      </c>
      <c r="H23" s="22"/>
    </row>
    <row r="24">
      <c r="A24" s="1" t="s">
        <v>87</v>
      </c>
      <c r="B24" s="20">
        <v>598</v>
      </c>
      <c r="C24" s="20">
        <v>-1676</v>
      </c>
      <c r="D24" s="8">
        <f>Inputs!G120+B24+C24</f>
        <v>151</v>
      </c>
      <c r="E24" s="20">
        <v>411</v>
      </c>
      <c r="F24" s="20">
        <v>221</v>
      </c>
      <c r="G24" s="35">
        <f>Guidance!G13</f>
        <v>221</v>
      </c>
      <c r="H24" s="22" t="s">
        <v>88</v>
      </c>
    </row>
    <row r="25">
      <c r="A25" s="7" t="s">
        <v>78</v>
      </c>
      <c r="B25" s="23" t="str">
        <f>IF(ISNUMBER(Inputs!B120),IF(OR(Inputs!B120&lt;=0,B24&lt;0),"n.m.",B24/Inputs!B120-1),"n.a.")</f>
        <v>n.a.</v>
      </c>
      <c r="C25" s="23" t="str">
        <f>IF(ISNUMBER(Inputs!C120),IF(OR(Inputs!C120&lt;=0,C24&lt;0),"n.m.",C24/Inputs!C120-1),"n.a.")</f>
        <v>n.m.</v>
      </c>
      <c r="D25" s="23">
        <f>IF(ISNUMBER(Inputs!D120),IF(OR(Inputs!D120&lt;=0,D24&lt;0),"n.m.",D24/Inputs!D120-1),"n.a.")</f>
        <v>-0.9290746829497416</v>
      </c>
      <c r="E25" s="23">
        <f>IF(ISNUMBER(Inputs!E120),IF(OR(Inputs!E120&lt;=0,E24&lt;0),"n.m.",E24/Inputs!E120-1),"n.a.")</f>
        <v>-0.32622950819672136</v>
      </c>
      <c r="F25" s="23">
        <f>IF(ISNUMBER(Inputs!F120),IF(OR(Inputs!F120&lt;=0,F24&lt;0),"n.m.",F24/Inputs!F120-1),"n.a.")</f>
        <v>-0.6429725363489499</v>
      </c>
      <c r="G25" s="31">
        <f>IF(ISNUMBER(B24),IF(OR(B24&lt;=0,G24&lt;0),"n.m.",G24/B24-1),"n.a.")</f>
        <v>-0.6304347826086957</v>
      </c>
      <c r="H25" s="22"/>
    </row>
    <row r="26">
      <c r="A26" s="7" t="s">
        <v>79</v>
      </c>
      <c r="B26" s="23">
        <f>IF(ISNUMBER(Inputs!F120),IF(OR(Inputs!F120&lt;=0,B24&lt;0),"n.m.",B24/Inputs!F120-1),"n.a.")</f>
        <v>-0.03392568659127626</v>
      </c>
      <c r="C26" s="21" t="str">
        <f>IF(ISNUMBER(B24),IF(OR(B24&lt;=0,C24&lt;0),"n.m.",C24/B24-1),"n.a.")</f>
        <v>n.m.</v>
      </c>
      <c r="D26" s="21" t="str">
        <f>"n.a."</f>
        <v>n.a.</v>
      </c>
      <c r="E26" s="21" t="str">
        <f>IF(ISNUMBER(C24),IF(OR(C24&lt;=0,E24&lt;0),"n.m.",E24/C24-1),"n.a.")</f>
        <v>n.m.</v>
      </c>
      <c r="F26" s="21">
        <f>IF(ISNUMBER(E24),IF(OR(E24&lt;=0,F24&lt;0),"n.m.",F24/E24-1),"n.a.")</f>
        <v>-0.46228710462287104</v>
      </c>
      <c r="G26" s="31">
        <f>IF(ISNUMBER(F24),IF(OR(F24&lt;=0,G24&lt;0),"n.m.",G24/F24-1),"n.a.")</f>
        <v>0</v>
      </c>
      <c r="H26" s="22" t="s">
        <v>89</v>
      </c>
    </row>
    <row r="27">
      <c r="A27" s="1" t="s">
        <v>80</v>
      </c>
      <c r="B27" s="8">
        <f>IF(ISNUMBER(Inputs!F120),B24-Inputs!F120,"n.a.")</f>
        <v>-21</v>
      </c>
      <c r="C27" s="3">
        <f>IF(ISNUMBER(B24),C24-B24,"n.a.")</f>
        <v>-2274</v>
      </c>
      <c r="D27" s="3" t="str">
        <f>"n.a."</f>
        <v>n.a.</v>
      </c>
      <c r="E27" s="3">
        <f>IF(ISNUMBER(C24),E24-C24,"n.a.")</f>
        <v>2087</v>
      </c>
      <c r="F27" s="3">
        <f>IF(ISNUMBER(E24),F24-E24,"n.a.")</f>
        <v>-190</v>
      </c>
      <c r="G27" s="29">
        <f>IF(ISNUMBER(F24),G24-F24,"n.a.")</f>
        <v>0</v>
      </c>
      <c r="H27" s="22"/>
    </row>
    <row r="28">
      <c r="A28" s="7" t="s">
        <v>81</v>
      </c>
      <c r="B28" s="21" t="s">
        <v>82</v>
      </c>
      <c r="C28" s="21" t="s">
        <v>82</v>
      </c>
      <c r="D28" s="21" t="s">
        <v>82</v>
      </c>
      <c r="E28" s="21" t="s">
        <v>82</v>
      </c>
      <c r="F28" s="21" t="s">
        <v>82</v>
      </c>
      <c r="G28" s="31" t="s">
        <v>82</v>
      </c>
      <c r="H28" s="22"/>
    </row>
    <row r="29">
      <c r="A29" s="7" t="s">
        <v>83</v>
      </c>
      <c r="B29" s="21" t="s">
        <v>82</v>
      </c>
      <c r="C29" s="21" t="s">
        <v>82</v>
      </c>
      <c r="D29" s="21" t="s">
        <v>82</v>
      </c>
      <c r="E29" s="21" t="s">
        <v>82</v>
      </c>
      <c r="F29" s="21" t="s">
        <v>82</v>
      </c>
      <c r="G29" s="31" t="s">
        <v>82</v>
      </c>
      <c r="H29" s="22"/>
    </row>
    <row r="30">
      <c r="A30" s="7" t="s">
        <v>84</v>
      </c>
      <c r="B30" s="21" t="str">
        <f>IF(AND(ISNUMBER(B25),ISNUMBER(B28),ISNUMBER(B29)),(1+B25)/((1+B28)*(1+B29))-1,"n.a.")</f>
        <v>n.a.</v>
      </c>
      <c r="C30" s="21" t="str">
        <f>IF(AND(ISNUMBER(C25),ISNUMBER(C28),ISNUMBER(C29)),(1+C25)/((1+C28)*(1+C29))-1,"n.a.")</f>
        <v>n.a.</v>
      </c>
      <c r="D30" s="21" t="str">
        <f>IF(AND(ISNUMBER(D25),ISNUMBER(D28),ISNUMBER(D29)),(1+D25)/((1+D28)*(1+D29))-1,"n.a.")</f>
        <v>n.a.</v>
      </c>
      <c r="E30" s="21" t="str">
        <f>IF(AND(ISNUMBER(E25),ISNUMBER(E28),ISNUMBER(E29)),(1+E25)/((1+E28)*(1+E29))-1,"n.a.")</f>
        <v>n.a.</v>
      </c>
      <c r="F30" s="21" t="str">
        <f>IF(AND(ISNUMBER(F25),ISNUMBER(F28),ISNUMBER(F29)),(1+F25)/((1+F28)*(1+F29))-1,"n.a.")</f>
        <v>n.a.</v>
      </c>
      <c r="G30" s="31" t="str">
        <f>IF(AND(ISNUMBER(G25),ISNUMBER(G28),ISNUMBER(G29)),(1+G25)/((1+G28)*(1+G29))-1,"n.a.")</f>
        <v>n.a.</v>
      </c>
      <c r="H30" s="22"/>
    </row>
    <row r="31">
      <c r="A31" s="1"/>
      <c r="B31" s="1"/>
      <c r="C31" s="1"/>
      <c r="D31" s="1"/>
      <c r="E31" s="1"/>
      <c r="F31" s="1"/>
      <c r="G31" s="24"/>
      <c r="H31" s="22"/>
    </row>
    <row r="32">
      <c r="A32" s="17" t="s">
        <v>90</v>
      </c>
      <c r="B32" s="26">
        <f>B10+B17+B24</f>
        <v>15184</v>
      </c>
      <c r="C32" s="26">
        <f>C10+C17+C24</f>
        <v>13454</v>
      </c>
      <c r="D32" s="26">
        <f>D10+D17+D24</f>
        <v>58283</v>
      </c>
      <c r="E32" s="26">
        <f>E10+E17+E24</f>
        <v>17227</v>
      </c>
      <c r="F32" s="26">
        <f>F10+F17+F24</f>
        <v>20338</v>
      </c>
      <c r="G32" s="52">
        <f>G10+G17+G24</f>
        <v>17169.7698727289</v>
      </c>
      <c r="H32" s="22"/>
    </row>
    <row r="33">
      <c r="A33" s="7" t="s">
        <v>78</v>
      </c>
      <c r="B33" s="23">
        <f>IF(ISNUMBER(Inputs!B121),IF(OR(Inputs!B121&lt;=0,B32&lt;0),"n.m.",B32/Inputs!B121-1),"n.a.")</f>
        <v>0.19568469958264423</v>
      </c>
      <c r="C33" s="23">
        <f>IF(ISNUMBER(Inputs!C121),IF(OR(Inputs!C121&lt;=0,C32&lt;0),"n.m.",C32/Inputs!C121-1),"n.a.")</f>
        <v>-0.029922849520513384</v>
      </c>
      <c r="D33" s="23">
        <f>IF(ISNUMBER(Inputs!D121),IF(OR(Inputs!D121&lt;=0,D32&lt;0),"n.m.",D32/Inputs!D121-1),"n.a.")</f>
        <v>0.08915757213335329</v>
      </c>
      <c r="E33" s="23">
        <f>IF(ISNUMBER(Inputs!E121),IF(OR(Inputs!E121&lt;=0,E32&lt;0),"n.m.",E32/Inputs!E121-1),"n.a.")</f>
        <v>0.1437392112601248</v>
      </c>
      <c r="F33" s="23">
        <f>IF(ISNUMBER(Inputs!F121),IF(OR(Inputs!F121&lt;=0,F32&lt;0),"n.m.",F32/Inputs!F121-1),"n.a.")</f>
        <v>0.394637591716382</v>
      </c>
      <c r="G33" s="31">
        <f>IF(ISNUMBER(B32),IF(OR(B32&lt;=0,G32&lt;0),"n.m.",G32/B32-1),"n.a.")</f>
        <v>0.13078041838309407</v>
      </c>
      <c r="H33" s="22"/>
    </row>
    <row r="34">
      <c r="A34" s="7" t="s">
        <v>79</v>
      </c>
      <c r="B34" s="23">
        <f>IF(ISNUMBER(Inputs!F121),IF(OR(Inputs!F121&lt;=0,B32&lt;0),"n.m.",B32/Inputs!F121-1),"n.a.")</f>
        <v>0.04121237056847016</v>
      </c>
      <c r="C34" s="21">
        <f>IF(ISNUMBER(B32),IF(OR(B32&lt;=0,C32&lt;0),"n.m.",C32/B32-1),"n.a.")</f>
        <v>-0.11393572181243417</v>
      </c>
      <c r="D34" s="21" t="str">
        <f>"n.a."</f>
        <v>n.a.</v>
      </c>
      <c r="E34" s="21">
        <f>IF(ISNUMBER(C32),IF(OR(C32&lt;=0,E32&lt;0),"n.m.",E32/C32-1),"n.a.")</f>
        <v>0.28043704474505726</v>
      </c>
      <c r="F34" s="21">
        <f>IF(ISNUMBER(E32),IF(OR(E32&lt;=0,F32&lt;0),"n.m.",F32/E32-1),"n.a.")</f>
        <v>0.1805886109014918</v>
      </c>
      <c r="G34" s="31">
        <f>IF(ISNUMBER(F32),IF(OR(F32&lt;=0,G32&lt;0),"n.m.",G32/F32-1),"n.a.")</f>
        <v>-0.15577884390161767</v>
      </c>
      <c r="H34" s="22"/>
    </row>
    <row r="35">
      <c r="A35" s="1" t="s">
        <v>80</v>
      </c>
      <c r="B35" s="8">
        <f>IF(ISNUMBER(Inputs!F121),B32-Inputs!F121,"n.a.")</f>
        <v>601</v>
      </c>
      <c r="C35" s="3">
        <f>IF(ISNUMBER(B32),C32-B32,"n.a.")</f>
        <v>-1730</v>
      </c>
      <c r="D35" s="3" t="str">
        <f>"n.a."</f>
        <v>n.a.</v>
      </c>
      <c r="E35" s="3">
        <f>IF(ISNUMBER(C32),E32-C32,"n.a.")</f>
        <v>3773</v>
      </c>
      <c r="F35" s="3">
        <f>IF(ISNUMBER(E32),F32-E32,"n.a.")</f>
        <v>3111</v>
      </c>
      <c r="G35" s="29">
        <f>IF(ISNUMBER(F32),G32-F32,"n.a.")</f>
        <v>-3168.230127271101</v>
      </c>
      <c r="H35" s="22"/>
    </row>
    <row r="36">
      <c r="A36" s="7" t="s">
        <v>81</v>
      </c>
      <c r="B36" s="21" t="s">
        <v>82</v>
      </c>
      <c r="C36" s="21" t="s">
        <v>82</v>
      </c>
      <c r="D36" s="21" t="s">
        <v>82</v>
      </c>
      <c r="E36" s="21" t="s">
        <v>82</v>
      </c>
      <c r="F36" s="21" t="s">
        <v>82</v>
      </c>
      <c r="G36" s="31" t="s">
        <v>82</v>
      </c>
      <c r="H36" s="22"/>
    </row>
    <row r="37">
      <c r="A37" s="7" t="s">
        <v>83</v>
      </c>
      <c r="B37" s="21" t="s">
        <v>82</v>
      </c>
      <c r="C37" s="21" t="s">
        <v>82</v>
      </c>
      <c r="D37" s="21" t="s">
        <v>82</v>
      </c>
      <c r="E37" s="21" t="s">
        <v>82</v>
      </c>
      <c r="F37" s="21" t="s">
        <v>82</v>
      </c>
      <c r="G37" s="31" t="s">
        <v>82</v>
      </c>
      <c r="H37" s="22"/>
    </row>
    <row r="38">
      <c r="A38" s="7" t="s">
        <v>84</v>
      </c>
      <c r="B38" s="21" t="str">
        <f>IF(AND(ISNUMBER(B33),ISNUMBER(B36),ISNUMBER(B37)),(1+B33)/((1+B36)*(1+B37))-1,"n.a.")</f>
        <v>n.a.</v>
      </c>
      <c r="C38" s="21" t="str">
        <f>IF(AND(ISNUMBER(C33),ISNUMBER(C36),ISNUMBER(C37)),(1+C33)/((1+C36)*(1+C37))-1,"n.a.")</f>
        <v>n.a.</v>
      </c>
      <c r="D38" s="21" t="str">
        <f>IF(AND(ISNUMBER(D33),ISNUMBER(D36),ISNUMBER(D37)),(1+D33)/((1+D36)*(1+D37))-1,"n.a.")</f>
        <v>n.a.</v>
      </c>
      <c r="E38" s="21" t="str">
        <f>IF(AND(ISNUMBER(E33),ISNUMBER(E36),ISNUMBER(E37)),(1+E33)/((1+E36)*(1+E37))-1,"n.a.")</f>
        <v>n.a.</v>
      </c>
      <c r="F38" s="21" t="str">
        <f>IF(AND(ISNUMBER(F33),ISNUMBER(F36),ISNUMBER(F37)),(1+F33)/((1+F36)*(1+F37))-1,"n.a.")</f>
        <v>n.a.</v>
      </c>
      <c r="G38" s="31" t="str">
        <f>IF(AND(ISNUMBER(G33),ISNUMBER(G36),ISNUMBER(G37)),(1+G33)/((1+G36)*(1+G37))-1,"n.a.")</f>
        <v>n.a.</v>
      </c>
      <c r="H38" s="22"/>
    </row>
    <row r="39">
      <c r="A39" s="1"/>
      <c r="B39" s="1"/>
      <c r="C39" s="1"/>
      <c r="D39" s="1"/>
      <c r="E39" s="1"/>
      <c r="F39" s="1"/>
      <c r="G39" s="24"/>
      <c r="H39" s="22"/>
    </row>
    <row r="40">
      <c r="A40" s="17" t="s">
        <v>91</v>
      </c>
      <c r="B40" s="1"/>
      <c r="C40" s="1"/>
      <c r="D40" s="1"/>
      <c r="E40" s="1"/>
      <c r="F40" s="1"/>
      <c r="G40" s="24"/>
      <c r="H40" s="22"/>
    </row>
    <row r="41">
      <c r="A41" s="7" t="s">
        <v>92</v>
      </c>
      <c r="B41" s="21">
        <f>B10/B32</f>
        <v>0.6696522655426765</v>
      </c>
      <c r="C41" s="21">
        <f>C10/C32</f>
        <v>0.773821911699123</v>
      </c>
      <c r="D41" s="21">
        <f>D10/D32</f>
        <v>0.7112365526826004</v>
      </c>
      <c r="E41" s="21">
        <f>E10/E32</f>
        <v>0.7394206768444883</v>
      </c>
      <c r="F41" s="21">
        <f>F10/F32</f>
        <v>0.7631035500049169</v>
      </c>
      <c r="G41" s="31">
        <f>G10/G32</f>
        <v>0.7189898633400078</v>
      </c>
      <c r="H41" s="22"/>
    </row>
    <row r="42">
      <c r="A42" s="7" t="s">
        <v>93</v>
      </c>
      <c r="B42" s="28" t="str">
        <f>IF(AND(ISNUMBER(Inputs!B114),ISNUMBER(Inputs!B121)),(B41-Inputs!B114/Inputs!B121)*10000,"n.a.")</f>
        <v>n.a.</v>
      </c>
      <c r="C42" s="28">
        <f>IF(AND(ISNUMBER(Inputs!C114),ISNUMBER(Inputs!C121)),(C41-Inputs!C114/Inputs!C121)*10000,"n.a.")</f>
        <v>1603.674449026704</v>
      </c>
      <c r="D42" s="28">
        <f>IF(AND(ISNUMBER(Inputs!D114),ISNUMBER(Inputs!D121)),(D41-Inputs!D114/Inputs!D121)*10000,"n.a.")</f>
        <v>559.2559439287104</v>
      </c>
      <c r="E42" s="28">
        <f>IF(AND(ISNUMBER(Inputs!E114),ISNUMBER(Inputs!E121)),(E41-Inputs!E114/Inputs!E121)*10000,"n.a.")</f>
        <v>263.0156915626625</v>
      </c>
      <c r="F42" s="28">
        <f>IF(AND(ISNUMBER(Inputs!F114),ISNUMBER(Inputs!F121)),(F41-Inputs!F114/Inputs!F121)*10000,"n.a.")</f>
        <v>682.5338200107678</v>
      </c>
      <c r="G42" s="30">
        <f>(G41-B41)*10000</f>
        <v>493.3759779733127</v>
      </c>
      <c r="H42" s="22"/>
    </row>
    <row r="43">
      <c r="A43" s="7" t="s">
        <v>94</v>
      </c>
      <c r="B43" s="21">
        <f>B17/B32</f>
        <v>0.2909641728134879</v>
      </c>
      <c r="C43" s="21">
        <f>C17/C32</f>
        <v>0.35075070610970716</v>
      </c>
      <c r="D43" s="21">
        <f>D17/D32</f>
        <v>0.2861726403925673</v>
      </c>
      <c r="E43" s="21">
        <f>E17/E32</f>
        <v>0.23672142566900795</v>
      </c>
      <c r="F43" s="21">
        <f>F17/F32</f>
        <v>0.2260300914544203</v>
      </c>
      <c r="G43" s="31">
        <f>G17/G32</f>
        <v>0.2681386770167841</v>
      </c>
      <c r="H43" s="22"/>
    </row>
    <row r="44">
      <c r="A44" s="7" t="s">
        <v>93</v>
      </c>
      <c r="B44" s="28" t="str">
        <f>IF(AND(ISNUMBER(Inputs!B119),ISNUMBER(Inputs!B121)),(B43-Inputs!B119/Inputs!B121)*10000,"n.a.")</f>
        <v>n.a.</v>
      </c>
      <c r="C44" s="28">
        <f>IF(AND(ISNUMBER(Inputs!C119),ISNUMBER(Inputs!C121)),(C43-Inputs!C119/Inputs!C121)*10000,"n.a.")</f>
        <v>68.90298005301665</v>
      </c>
      <c r="D44" s="28">
        <f>IF(AND(ISNUMBER(Inputs!D119),ISNUMBER(Inputs!D121)),(D43-Inputs!D119/Inputs!D121)*10000,"n.a.")</f>
        <v>-187.3093263778103</v>
      </c>
      <c r="E44" s="28">
        <f>IF(AND(ISNUMBER(Inputs!E119),ISNUMBER(Inputs!E121)),(E43-Inputs!E119/Inputs!E121)*10000,"n.a.")</f>
        <v>-96.6019695746928</v>
      </c>
      <c r="F44" s="28">
        <f>IF(AND(ISNUMBER(Inputs!F119),ISNUMBER(Inputs!F121)),(F43-Inputs!F119/Inputs!F121)*10000,"n.a.")</f>
        <v>-366.7305604609403</v>
      </c>
      <c r="G44" s="30">
        <f>(G43-B43)*10000</f>
        <v>-228.25495796703788</v>
      </c>
      <c r="H44" s="22"/>
    </row>
    <row r="45">
      <c r="A45" s="7" t="s">
        <v>95</v>
      </c>
      <c r="B45" s="21">
        <f>B24/B32</f>
        <v>0.039383561643835614</v>
      </c>
      <c r="C45" s="21">
        <f>C24/C32</f>
        <v>-0.12457261780883008</v>
      </c>
      <c r="D45" s="21">
        <f>D24/D32</f>
        <v>0.002590806924832284</v>
      </c>
      <c r="E45" s="21">
        <f>E24/E32</f>
        <v>0.023857897486503743</v>
      </c>
      <c r="F45" s="21">
        <f>F24/F32</f>
        <v>0.010866358540662799</v>
      </c>
      <c r="G45" s="31">
        <f>G24/G32</f>
        <v>0.012871459643208082</v>
      </c>
      <c r="H45" s="22"/>
    </row>
    <row r="46">
      <c r="A46" s="7" t="s">
        <v>93</v>
      </c>
      <c r="B46" s="28" t="str">
        <f>IF(AND(ISNUMBER(Inputs!B120),ISNUMBER(Inputs!B121)),(B45-Inputs!B120/Inputs!B121)*10000,"n.a.")</f>
        <v>n.a.</v>
      </c>
      <c r="C46" s="28">
        <f>IF(AND(ISNUMBER(Inputs!C120),ISNUMBER(Inputs!C121)),(C45-Inputs!C120/Inputs!C121)*10000,"n.a.")</f>
        <v>-1672.5774290797206</v>
      </c>
      <c r="D46" s="28">
        <f>IF(AND(ISNUMBER(Inputs!D120),ISNUMBER(Inputs!D121)),(D45-Inputs!D120/Inputs!D121)*10000,"n.a.")</f>
        <v>-371.9466175508998</v>
      </c>
      <c r="E46" s="28">
        <f>IF(AND(ISNUMBER(Inputs!E120),ISNUMBER(Inputs!E121)),(E45-Inputs!E120/Inputs!E121)*10000,"n.a.")</f>
        <v>-166.41372198797015</v>
      </c>
      <c r="F46" s="28">
        <f>IF(AND(ISNUMBER(Inputs!F120),ISNUMBER(Inputs!F121)),(F45-Inputs!F120/Inputs!F121)*10000,"n.a.")</f>
        <v>-315.80325954982817</v>
      </c>
      <c r="G46" s="30">
        <f>(G45-B45)*10000</f>
        <v>-265.12102000627533</v>
      </c>
      <c r="H46" s="22"/>
    </row>
    <row r="47">
      <c r="A47" s="1"/>
      <c r="B47" s="1"/>
      <c r="C47" s="1"/>
      <c r="D47" s="1"/>
      <c r="E47" s="1"/>
      <c r="F47" s="1"/>
      <c r="G47" s="24"/>
      <c r="H47" s="22"/>
    </row>
    <row r="48">
      <c r="A48" s="17" t="s">
        <v>96</v>
      </c>
      <c r="B48" s="1"/>
      <c r="C48" s="1"/>
      <c r="D48" s="1"/>
      <c r="E48" s="1"/>
      <c r="F48" s="1"/>
      <c r="G48" s="24"/>
      <c r="H48" s="22"/>
    </row>
    <row r="49">
      <c r="A49" s="1" t="s">
        <v>97</v>
      </c>
      <c r="B49" s="8">
        <f>B32-'Income Statement'!B67</f>
        <v>0</v>
      </c>
      <c r="C49" s="8">
        <f>C32-'Income Statement'!C67</f>
        <v>0</v>
      </c>
      <c r="D49" s="8">
        <f>D32-'Income Statement'!D67</f>
        <v>0</v>
      </c>
      <c r="E49" s="8">
        <f>E32-'Income Statement'!E67</f>
        <v>0</v>
      </c>
      <c r="F49" s="8">
        <f>F32-'Income Statement'!F67</f>
        <v>0</v>
      </c>
      <c r="G49" s="35">
        <f>G32-'Income Statement'!G67</f>
        <v>0</v>
      </c>
      <c r="H49" s="22" t="s">
        <v>98</v>
      </c>
    </row>
    <row r="50">
      <c r="A50" s="1" t="s">
        <v>99</v>
      </c>
      <c r="B50" s="8">
        <f>Inputs!H96</f>
        <v>15184</v>
      </c>
      <c r="C50" s="8">
        <f>Inputs!H97</f>
        <v>13454</v>
      </c>
      <c r="D50" s="3"/>
      <c r="E50" s="8">
        <f>Inputs!H98</f>
        <v>17227</v>
      </c>
      <c r="F50" s="8">
        <f>Inputs!H99</f>
        <v>20338</v>
      </c>
      <c r="G50" s="29"/>
      <c r="H50" s="22"/>
    </row>
    <row r="51">
      <c r="A51" s="1" t="s">
        <v>100</v>
      </c>
      <c r="B51" s="3">
        <f>B32-B50</f>
        <v>0</v>
      </c>
      <c r="C51" s="3">
        <f>C32-C50</f>
        <v>0</v>
      </c>
      <c r="D51" s="3"/>
      <c r="E51" s="3">
        <f>E32-E50</f>
        <v>0</v>
      </c>
      <c r="F51" s="3">
        <f>F32-F50</f>
        <v>0</v>
      </c>
      <c r="G51" s="29"/>
      <c r="H51" s="22"/>
    </row>
    <row r="52">
      <c r="A52" s="1" t="s">
        <v>101</v>
      </c>
      <c r="B52" s="8">
        <f>Inputs!G96</f>
        <v>14250.41</v>
      </c>
      <c r="C52" s="8">
        <f>Inputs!G97</f>
        <v>13849.31</v>
      </c>
      <c r="D52" s="3"/>
      <c r="E52" s="8">
        <f>Inputs!G98</f>
        <v>16933.17</v>
      </c>
      <c r="F52" s="8">
        <f>Inputs!G99</f>
        <v>16403.81</v>
      </c>
      <c r="G52" s="35">
        <f>Inputs!B38</f>
        <v>16887.88</v>
      </c>
      <c r="H52" s="22"/>
    </row>
    <row r="53">
      <c r="A53" s="7" t="s">
        <v>102</v>
      </c>
      <c r="B53" s="21">
        <f>B32/B52-1</f>
        <v>0.06551320277802541</v>
      </c>
      <c r="C53" s="21">
        <f>C32/C52-1</f>
        <v>-0.028543660297877582</v>
      </c>
      <c r="D53" s="21"/>
      <c r="E53" s="21">
        <f>E32/E52-1</f>
        <v>0.017352332729193787</v>
      </c>
      <c r="F53" s="21">
        <f>F32/F52-1</f>
        <v>0.23983391663278208</v>
      </c>
      <c r="G53" s="31">
        <f>G32/G52-1</f>
        <v>0.01669184484546893</v>
      </c>
      <c r="H53" s="22"/>
    </row>
    <row r="54">
      <c r="A54" s="1" t="s">
        <v>103</v>
      </c>
      <c r="B54" s="9"/>
      <c r="C54" s="9"/>
      <c r="D54" s="9"/>
      <c r="E54" s="9"/>
      <c r="F54" s="9"/>
      <c r="G54" s="66"/>
      <c r="H54" s="22"/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6"/>
  <sheetViews>
    <sheetView showGridLines="0" workbookViewId="0"/>
  </sheetViews>
  <sheetFormatPr defaultColWidth="8.42578125" defaultRowHeight="15"/>
  <cols>
    <col min="1" max="1" width="32" customWidth="1"/>
    <col min="2" max="7" width="12" customWidth="1"/>
    <col min="8" max="8" width="40" customWidth="1"/>
  </cols>
  <sheetData>
    <row r="1">
      <c r="A1" s="15" t="s">
        <v>0</v>
      </c>
      <c r="B1" s="1"/>
      <c r="C1" s="1"/>
      <c r="D1" s="1"/>
      <c r="E1" s="1"/>
      <c r="F1" s="1"/>
      <c r="G1" s="1"/>
      <c r="H1" s="1"/>
    </row>
    <row r="2">
      <c r="A2" s="17" t="s">
        <v>104</v>
      </c>
      <c r="B2" s="1"/>
      <c r="C2" s="1"/>
      <c r="D2" s="1"/>
      <c r="E2" s="1"/>
      <c r="F2" s="1"/>
      <c r="G2" s="1"/>
      <c r="H2" s="1"/>
    </row>
    <row r="3">
      <c r="A3" s="7" t="s">
        <v>2</v>
      </c>
      <c r="B3" s="1"/>
      <c r="C3" s="1"/>
      <c r="D3" s="1"/>
      <c r="E3" s="1"/>
      <c r="F3" s="1"/>
      <c r="G3" s="1"/>
      <c r="H3" s="1"/>
    </row>
    <row r="4">
      <c r="A4" s="1"/>
      <c r="B4" s="1"/>
      <c r="C4" s="1"/>
      <c r="D4" s="1"/>
      <c r="E4" s="1"/>
      <c r="F4" s="1"/>
      <c r="G4" s="1"/>
      <c r="H4" s="1"/>
    </row>
    <row r="5">
      <c r="A5" s="16" t="s">
        <v>65</v>
      </c>
      <c r="B5" s="2" t="s">
        <v>66</v>
      </c>
      <c r="C5" s="2" t="s">
        <v>67</v>
      </c>
      <c r="D5" s="2" t="s">
        <v>68</v>
      </c>
      <c r="E5" s="2" t="s">
        <v>69</v>
      </c>
      <c r="F5" s="2" t="s">
        <v>70</v>
      </c>
      <c r="G5" s="59" t="s">
        <v>71</v>
      </c>
      <c r="H5" s="16" t="s">
        <v>72</v>
      </c>
    </row>
    <row r="6">
      <c r="A6" s="11" t="s">
        <v>73</v>
      </c>
      <c r="B6" s="5">
        <f>DATE(2025,9,30)</f>
        <v>45930</v>
      </c>
      <c r="C6" s="5">
        <f>DATE(2025,12,31)</f>
        <v>46022</v>
      </c>
      <c r="D6" s="5">
        <f>DATE(2025,12,31)</f>
        <v>46022</v>
      </c>
      <c r="E6" s="5">
        <f>DATE(2026,3,31)</f>
        <v>46112</v>
      </c>
      <c r="F6" s="5">
        <f>DATE(2026,6,30)</f>
        <v>46203</v>
      </c>
      <c r="G6" s="43">
        <f>DATE(2026,9,30)</f>
        <v>46295</v>
      </c>
      <c r="H6" s="11"/>
    </row>
    <row r="7">
      <c r="A7" s="4" t="s">
        <v>74</v>
      </c>
      <c r="B7" s="12">
        <f>B6-DATE(2025,6,30)</f>
        <v>92</v>
      </c>
      <c r="C7" s="12">
        <f>C6-B6</f>
        <v>92</v>
      </c>
      <c r="D7" s="12">
        <f>D6-DATE(2024,12,31)</f>
        <v>365</v>
      </c>
      <c r="E7" s="12">
        <f>E6-C6</f>
        <v>90</v>
      </c>
      <c r="F7" s="12">
        <f>F6-E6</f>
        <v>91</v>
      </c>
      <c r="G7" s="55">
        <f>G6-F6</f>
        <v>92</v>
      </c>
      <c r="H7" s="4"/>
    </row>
    <row r="8">
      <c r="A8" s="1"/>
      <c r="B8" s="1"/>
      <c r="C8" s="1"/>
      <c r="D8" s="1"/>
      <c r="E8" s="1"/>
      <c r="F8" s="1"/>
      <c r="G8" s="1"/>
      <c r="H8" s="1"/>
    </row>
    <row r="9">
      <c r="A9" s="17" t="s">
        <v>105</v>
      </c>
      <c r="B9" s="1"/>
      <c r="C9" s="1"/>
      <c r="D9" s="1"/>
      <c r="E9" s="1"/>
      <c r="F9" s="1"/>
      <c r="G9" s="24"/>
      <c r="H9" s="22"/>
    </row>
    <row r="10">
      <c r="A10" s="1" t="s">
        <v>106</v>
      </c>
      <c r="B10" s="20">
        <v>1404</v>
      </c>
      <c r="C10" s="20">
        <v>1356</v>
      </c>
      <c r="D10" s="8">
        <f>Inputs!G103+B10+C10</f>
        <v>4726</v>
      </c>
      <c r="E10" s="20">
        <v>1494</v>
      </c>
      <c r="F10" s="20">
        <v>1378</v>
      </c>
      <c r="G10" s="29">
        <f>B10*(1+G11)</f>
        <v>1376.0680506627393</v>
      </c>
      <c r="H10" s="22" t="s">
        <v>107</v>
      </c>
    </row>
    <row r="11">
      <c r="A11" s="7" t="s">
        <v>78</v>
      </c>
      <c r="B11" s="23">
        <f>IF(ISNUMBER(Inputs!B103),IF(OR(Inputs!B103&lt;=0,B10&lt;0),"n.m.",B10/Inputs!B103-1),"n.a.")</f>
        <v>0.6045714285714285</v>
      </c>
      <c r="C11" s="23">
        <f>IF(ISNUMBER(Inputs!C103),IF(OR(Inputs!C103&lt;=0,C10&lt;0),"n.m.",C10/Inputs!C103-1),"n.a.")</f>
        <v>0.4125000000000001</v>
      </c>
      <c r="D11" s="23">
        <f>IF(ISNUMBER(Inputs!D103),IF(OR(Inputs!D103&lt;=0,D10&lt;0),"n.m.",D10/Inputs!D103-1),"n.a.")</f>
        <v>0.3372948500282966</v>
      </c>
      <c r="E11" s="23">
        <f>IF(ISNUMBER(Inputs!E103),IF(OR(Inputs!E103&lt;=0,E10&lt;0),"n.m.",E10/Inputs!E103-1),"n.a.")</f>
        <v>0.8863636363636365</v>
      </c>
      <c r="F11" s="23">
        <f>IF(ISNUMBER(Inputs!F103),IF(OR(Inputs!F103&lt;=0,F10&lt;0),"n.m.",F10/Inputs!F103-1),"n.a.")</f>
        <v>0.1737649063032367</v>
      </c>
      <c r="G11" s="31">
        <f>G151</f>
        <v>-0.01989455081001479</v>
      </c>
      <c r="H11" s="22"/>
    </row>
    <row r="12">
      <c r="A12" s="7" t="s">
        <v>79</v>
      </c>
      <c r="B12" s="23">
        <f>IF(ISNUMBER(Inputs!F103),IF(OR(Inputs!F103&lt;=0,B10&lt;0),"n.m.",B10/Inputs!F103-1),"n.a.")</f>
        <v>0.19591141396933565</v>
      </c>
      <c r="C12" s="21">
        <f>IF(ISNUMBER(B10),IF(OR(B10&lt;=0,C10&lt;0),"n.m.",C10/B10-1),"n.a.")</f>
        <v>-0.03418803418803418</v>
      </c>
      <c r="D12" s="21" t="str">
        <f>"n.a."</f>
        <v>n.a.</v>
      </c>
      <c r="E12" s="21">
        <f>IF(ISNUMBER(C10),IF(OR(C10&lt;=0,E10&lt;0),"n.m.",E10/C10-1),"n.a.")</f>
        <v>0.10176991150442483</v>
      </c>
      <c r="F12" s="21">
        <f>IF(ISNUMBER(E10),IF(OR(E10&lt;=0,F10&lt;0),"n.m.",F10/E10-1),"n.a.")</f>
        <v>-0.07764390896921014</v>
      </c>
      <c r="G12" s="31">
        <f>IF(ISNUMBER(F10),IF(OR(F10&lt;=0,G10&lt;0),"n.m.",G10/F10-1),"n.a.")</f>
        <v>-0.0014019951649206774</v>
      </c>
      <c r="H12" s="22"/>
    </row>
    <row r="13">
      <c r="A13" s="1" t="s">
        <v>80</v>
      </c>
      <c r="B13" s="8">
        <f>IF(ISNUMBER(Inputs!F103),B10-Inputs!F103,"n.a.")</f>
        <v>230</v>
      </c>
      <c r="C13" s="3">
        <f>IF(ISNUMBER(B10),C10-B10,"n.a.")</f>
        <v>-48</v>
      </c>
      <c r="D13" s="3" t="str">
        <f>"n.a."</f>
        <v>n.a.</v>
      </c>
      <c r="E13" s="3">
        <f>IF(ISNUMBER(C10),E10-C10,"n.a.")</f>
        <v>138</v>
      </c>
      <c r="F13" s="3">
        <f>IF(ISNUMBER(E10),F10-E10,"n.a.")</f>
        <v>-116</v>
      </c>
      <c r="G13" s="29">
        <f>IF(ISNUMBER(F10),G10-F10,"n.a.")</f>
        <v>-1.9319493372606757</v>
      </c>
      <c r="H13" s="22"/>
    </row>
    <row r="14">
      <c r="A14" s="7" t="s">
        <v>81</v>
      </c>
      <c r="B14" s="21" t="s">
        <v>82</v>
      </c>
      <c r="C14" s="21" t="s">
        <v>82</v>
      </c>
      <c r="D14" s="21" t="s">
        <v>82</v>
      </c>
      <c r="E14" s="21" t="s">
        <v>82</v>
      </c>
      <c r="F14" s="21" t="s">
        <v>82</v>
      </c>
      <c r="G14" s="31" t="s">
        <v>82</v>
      </c>
      <c r="H14" s="22"/>
    </row>
    <row r="15">
      <c r="A15" s="7" t="s">
        <v>83</v>
      </c>
      <c r="B15" s="21" t="s">
        <v>82</v>
      </c>
      <c r="C15" s="21" t="s">
        <v>82</v>
      </c>
      <c r="D15" s="21" t="s">
        <v>82</v>
      </c>
      <c r="E15" s="21" t="s">
        <v>82</v>
      </c>
      <c r="F15" s="21" t="s">
        <v>82</v>
      </c>
      <c r="G15" s="31" t="s">
        <v>82</v>
      </c>
      <c r="H15" s="22"/>
    </row>
    <row r="16">
      <c r="A16" s="7" t="s">
        <v>84</v>
      </c>
      <c r="B16" s="21" t="str">
        <f>IF(AND(ISNUMBER(B11),ISNUMBER(B14),ISNUMBER(B15)),(1+B11)/((1+B14)*(1+B15))-1,"n.a.")</f>
        <v>n.a.</v>
      </c>
      <c r="C16" s="21" t="str">
        <f>IF(AND(ISNUMBER(C11),ISNUMBER(C14),ISNUMBER(C15)),(1+C11)/((1+C14)*(1+C15))-1,"n.a.")</f>
        <v>n.a.</v>
      </c>
      <c r="D16" s="21" t="str">
        <f>IF(AND(ISNUMBER(D11),ISNUMBER(D14),ISNUMBER(D15)),(1+D11)/((1+D14)*(1+D15))-1,"n.a.")</f>
        <v>n.a.</v>
      </c>
      <c r="E16" s="21" t="str">
        <f>IF(AND(ISNUMBER(E11),ISNUMBER(E14),ISNUMBER(E15)),(1+E11)/((1+E14)*(1+E15))-1,"n.a.")</f>
        <v>n.a.</v>
      </c>
      <c r="F16" s="21" t="str">
        <f>IF(AND(ISNUMBER(F11),ISNUMBER(F14),ISNUMBER(F15)),(1+F11)/((1+F14)*(1+F15))-1,"n.a.")</f>
        <v>n.a.</v>
      </c>
      <c r="G16" s="31" t="str">
        <f>IF(AND(ISNUMBER(G11),ISNUMBER(G14),ISNUMBER(G15)),(1+G11)/((1+G14)*(1+G15))-1,"n.a.")</f>
        <v>n.a.</v>
      </c>
      <c r="H16" s="22"/>
    </row>
    <row r="17">
      <c r="A17" s="1" t="s">
        <v>108</v>
      </c>
      <c r="B17" s="20">
        <v>465</v>
      </c>
      <c r="C17" s="20">
        <v>521</v>
      </c>
      <c r="D17" s="8">
        <f>Inputs!G104+B17+C17</f>
        <v>1784</v>
      </c>
      <c r="E17" s="20">
        <v>535</v>
      </c>
      <c r="F17" s="20">
        <v>985</v>
      </c>
      <c r="G17" s="29">
        <f>B17*(1+G18)</f>
        <v>674.2500000000001</v>
      </c>
      <c r="H17" s="22" t="s">
        <v>109</v>
      </c>
    </row>
    <row r="18">
      <c r="A18" s="7" t="s">
        <v>78</v>
      </c>
      <c r="B18" s="23">
        <f>IF(ISNUMBER(Inputs!B104),IF(OR(Inputs!B104&lt;=0,B17&lt;0),"n.m.",B17/Inputs!B104-1),"n.a.")</f>
        <v>0.20779220779220786</v>
      </c>
      <c r="C18" s="23">
        <f>IF(ISNUMBER(Inputs!C104),IF(OR(Inputs!C104&lt;=0,C17&lt;0),"n.m.",C17/Inputs!C104-1),"n.a.")</f>
        <v>0.044088176352705455</v>
      </c>
      <c r="D18" s="23">
        <f>IF(ISNUMBER(Inputs!D104),IF(OR(Inputs!D104&lt;=0,D17&lt;0),"n.m.",D17/Inputs!D104-1),"n.a.")</f>
        <v>0.06380441264162195</v>
      </c>
      <c r="E18" s="23">
        <f>IF(ISNUMBER(Inputs!E104),IF(OR(Inputs!E104&lt;=0,E17&lt;0),"n.m.",E17/Inputs!E104-1),"n.a.")</f>
        <v>0.44594594594594605</v>
      </c>
      <c r="F18" s="23">
        <f>IF(ISNUMBER(Inputs!F104),IF(OR(Inputs!F104&lt;=0,F17&lt;0),"n.m.",F17/Inputs!F104-1),"n.a.")</f>
        <v>1.3014018691588785</v>
      </c>
      <c r="G18" s="31">
        <f>G154</f>
        <v>0.4500000000000002</v>
      </c>
      <c r="H18" s="22"/>
    </row>
    <row r="19">
      <c r="A19" s="7" t="s">
        <v>79</v>
      </c>
      <c r="B19" s="23">
        <f>IF(ISNUMBER(Inputs!F104),IF(OR(Inputs!F104&lt;=0,B17&lt;0),"n.m.",B17/Inputs!F104-1),"n.a.")</f>
        <v>0.08644859813084116</v>
      </c>
      <c r="C19" s="21">
        <f>IF(ISNUMBER(B17),IF(OR(B17&lt;=0,C17&lt;0),"n.m.",C17/B17-1),"n.a.")</f>
        <v>0.12043010752688166</v>
      </c>
      <c r="D19" s="21" t="str">
        <f>"n.a."</f>
        <v>n.a.</v>
      </c>
      <c r="E19" s="21">
        <f>IF(ISNUMBER(C17),IF(OR(C17&lt;=0,E17&lt;0),"n.m.",E17/C17-1),"n.a.")</f>
        <v>0.026871401151631558</v>
      </c>
      <c r="F19" s="21">
        <f>IF(ISNUMBER(E17),IF(OR(E17&lt;=0,F17&lt;0),"n.m.",F17/E17-1),"n.a.")</f>
        <v>0.8411214953271029</v>
      </c>
      <c r="G19" s="31">
        <f>IF(ISNUMBER(F17),IF(OR(F17&lt;=0,G17&lt;0),"n.m.",G17/F17-1),"n.a.")</f>
        <v>-0.3154822335025379</v>
      </c>
      <c r="H19" s="22"/>
    </row>
    <row r="20">
      <c r="A20" s="1" t="s">
        <v>80</v>
      </c>
      <c r="B20" s="8">
        <f>IF(ISNUMBER(Inputs!F104),B17-Inputs!F104,"n.a.")</f>
        <v>37</v>
      </c>
      <c r="C20" s="3">
        <f>IF(ISNUMBER(B17),C17-B17,"n.a.")</f>
        <v>56</v>
      </c>
      <c r="D20" s="3" t="str">
        <f>"n.a."</f>
        <v>n.a.</v>
      </c>
      <c r="E20" s="3">
        <f>IF(ISNUMBER(C17),E17-C17,"n.a.")</f>
        <v>14</v>
      </c>
      <c r="F20" s="3">
        <f>IF(ISNUMBER(E17),F17-E17,"n.a.")</f>
        <v>450</v>
      </c>
      <c r="G20" s="29">
        <f>IF(ISNUMBER(F17),G17-F17,"n.a.")</f>
        <v>-310.7499999999999</v>
      </c>
      <c r="H20" s="22"/>
    </row>
    <row r="21">
      <c r="A21" s="7" t="s">
        <v>81</v>
      </c>
      <c r="B21" s="21" t="s">
        <v>82</v>
      </c>
      <c r="C21" s="21" t="s">
        <v>82</v>
      </c>
      <c r="D21" s="21" t="s">
        <v>82</v>
      </c>
      <c r="E21" s="21" t="s">
        <v>82</v>
      </c>
      <c r="F21" s="21" t="s">
        <v>82</v>
      </c>
      <c r="G21" s="31" t="s">
        <v>82</v>
      </c>
      <c r="H21" s="22"/>
    </row>
    <row r="22">
      <c r="A22" s="7" t="s">
        <v>83</v>
      </c>
      <c r="B22" s="21" t="s">
        <v>82</v>
      </c>
      <c r="C22" s="21" t="s">
        <v>82</v>
      </c>
      <c r="D22" s="21" t="s">
        <v>82</v>
      </c>
      <c r="E22" s="21" t="s">
        <v>82</v>
      </c>
      <c r="F22" s="21" t="s">
        <v>82</v>
      </c>
      <c r="G22" s="31" t="s">
        <v>82</v>
      </c>
      <c r="H22" s="22"/>
    </row>
    <row r="23">
      <c r="A23" s="7" t="s">
        <v>84</v>
      </c>
      <c r="B23" s="21" t="str">
        <f>IF(AND(ISNUMBER(B18),ISNUMBER(B21),ISNUMBER(B22)),(1+B18)/((1+B21)*(1+B22))-1,"n.a.")</f>
        <v>n.a.</v>
      </c>
      <c r="C23" s="21" t="str">
        <f>IF(AND(ISNUMBER(C18),ISNUMBER(C21),ISNUMBER(C22)),(1+C18)/((1+C21)*(1+C22))-1,"n.a.")</f>
        <v>n.a.</v>
      </c>
      <c r="D23" s="21" t="str">
        <f>IF(AND(ISNUMBER(D18),ISNUMBER(D21),ISNUMBER(D22)),(1+D18)/((1+D21)*(1+D22))-1,"n.a.")</f>
        <v>n.a.</v>
      </c>
      <c r="E23" s="21" t="str">
        <f>IF(AND(ISNUMBER(E18),ISNUMBER(E21),ISNUMBER(E22)),(1+E18)/((1+E21)*(1+E22))-1,"n.a.")</f>
        <v>n.a.</v>
      </c>
      <c r="F23" s="21" t="str">
        <f>IF(AND(ISNUMBER(F18),ISNUMBER(F21),ISNUMBER(F22)),(1+F18)/((1+F21)*(1+F22))-1,"n.a.")</f>
        <v>n.a.</v>
      </c>
      <c r="G23" s="31" t="str">
        <f>IF(AND(ISNUMBER(G18),ISNUMBER(G21),ISNUMBER(G22)),(1+G18)/((1+G21)*(1+G22))-1,"n.a.")</f>
        <v>n.a.</v>
      </c>
      <c r="H23" s="22"/>
    </row>
    <row r="24">
      <c r="A24" s="1" t="s">
        <v>110</v>
      </c>
      <c r="B24" s="20">
        <v>788</v>
      </c>
      <c r="C24" s="20">
        <v>700</v>
      </c>
      <c r="D24" s="8">
        <f>Inputs!G105+B24+C24</f>
        <v>2829</v>
      </c>
      <c r="E24" s="20">
        <v>811</v>
      </c>
      <c r="F24" s="20">
        <v>1032</v>
      </c>
      <c r="G24" s="29">
        <f>B24*(1+G25)</f>
        <v>725.2387925099937</v>
      </c>
      <c r="H24" s="22" t="s">
        <v>111</v>
      </c>
    </row>
    <row r="25">
      <c r="A25" s="7" t="s">
        <v>78</v>
      </c>
      <c r="B25" s="23">
        <f>IF(ISNUMBER(Inputs!B105),IF(OR(Inputs!B105&lt;=0,B24&lt;0),"n.m.",B24/Inputs!B105-1),"n.a.")</f>
        <v>0.3024793388429752</v>
      </c>
      <c r="C25" s="23">
        <f>IF(ISNUMBER(Inputs!C105),IF(OR(Inputs!C105&lt;=0,C24&lt;0),"n.m.",C24/Inputs!C105-1),"n.a.")</f>
        <v>0.17647058823529416</v>
      </c>
      <c r="D25" s="23">
        <f>IF(ISNUMBER(Inputs!D105),IF(OR(Inputs!D105&lt;=0,D24&lt;0),"n.m.",D24/Inputs!D105-1),"n.a.")</f>
        <v>0.12217374057913521</v>
      </c>
      <c r="E25" s="23">
        <f>IF(ISNUMBER(Inputs!E105),IF(OR(Inputs!E105&lt;=0,E24&lt;0),"n.m.",E24/Inputs!E105-1),"n.a.")</f>
        <v>0.07845744680851063</v>
      </c>
      <c r="F25" s="23">
        <f>IF(ISNUMBER(Inputs!F105),IF(OR(Inputs!F105&lt;=0,F24&lt;0),"n.m.",F24/Inputs!F105-1),"n.a.")</f>
        <v>0.7521222410865875</v>
      </c>
      <c r="G25" s="31">
        <f>G157</f>
        <v>-0.07964620239848519</v>
      </c>
      <c r="H25" s="22"/>
    </row>
    <row r="26">
      <c r="A26" s="7" t="s">
        <v>79</v>
      </c>
      <c r="B26" s="23">
        <f>IF(ISNUMBER(Inputs!F105),IF(OR(Inputs!F105&lt;=0,B24&lt;0),"n.m.",B24/Inputs!F105-1),"n.a.")</f>
        <v>0.33786078098471983</v>
      </c>
      <c r="C26" s="21">
        <f>IF(ISNUMBER(B24),IF(OR(B24&lt;=0,C24&lt;0),"n.m.",C24/B24-1),"n.a.")</f>
        <v>-0.1116751269035533</v>
      </c>
      <c r="D26" s="21" t="str">
        <f>"n.a."</f>
        <v>n.a.</v>
      </c>
      <c r="E26" s="21">
        <f>IF(ISNUMBER(C24),IF(OR(C24&lt;=0,E24&lt;0),"n.m.",E24/C24-1),"n.a.")</f>
        <v>0.15857142857142859</v>
      </c>
      <c r="F26" s="21">
        <f>IF(ISNUMBER(E24),IF(OR(E24&lt;=0,F24&lt;0),"n.m.",F24/E24-1),"n.a.")</f>
        <v>0.27250308261405665</v>
      </c>
      <c r="G26" s="31">
        <f>IF(ISNUMBER(F24),IF(OR(F24&lt;=0,G24&lt;0),"n.m.",G24/F24-1),"n.a.")</f>
        <v>-0.2972492320639596</v>
      </c>
      <c r="H26" s="22"/>
    </row>
    <row r="27">
      <c r="A27" s="1" t="s">
        <v>80</v>
      </c>
      <c r="B27" s="8">
        <f>IF(ISNUMBER(Inputs!F105),B24-Inputs!F105,"n.a.")</f>
        <v>199</v>
      </c>
      <c r="C27" s="3">
        <f>IF(ISNUMBER(B24),C24-B24,"n.a.")</f>
        <v>-88</v>
      </c>
      <c r="D27" s="3" t="str">
        <f>"n.a."</f>
        <v>n.a.</v>
      </c>
      <c r="E27" s="3">
        <f>IF(ISNUMBER(C24),E24-C24,"n.a.")</f>
        <v>111</v>
      </c>
      <c r="F27" s="3">
        <f>IF(ISNUMBER(E24),F24-E24,"n.a.")</f>
        <v>221</v>
      </c>
      <c r="G27" s="29">
        <f>IF(ISNUMBER(F24),G24-F24,"n.a.")</f>
        <v>-306.7612074900063</v>
      </c>
      <c r="H27" s="22"/>
    </row>
    <row r="28">
      <c r="A28" s="7" t="s">
        <v>81</v>
      </c>
      <c r="B28" s="21" t="s">
        <v>82</v>
      </c>
      <c r="C28" s="21" t="s">
        <v>82</v>
      </c>
      <c r="D28" s="21" t="s">
        <v>82</v>
      </c>
      <c r="E28" s="21" t="s">
        <v>82</v>
      </c>
      <c r="F28" s="21" t="s">
        <v>82</v>
      </c>
      <c r="G28" s="31" t="s">
        <v>82</v>
      </c>
      <c r="H28" s="22"/>
    </row>
    <row r="29">
      <c r="A29" s="7" t="s">
        <v>83</v>
      </c>
      <c r="B29" s="21" t="s">
        <v>82</v>
      </c>
      <c r="C29" s="21" t="s">
        <v>82</v>
      </c>
      <c r="D29" s="21" t="s">
        <v>82</v>
      </c>
      <c r="E29" s="21" t="s">
        <v>82</v>
      </c>
      <c r="F29" s="21" t="s">
        <v>82</v>
      </c>
      <c r="G29" s="31" t="s">
        <v>82</v>
      </c>
      <c r="H29" s="22"/>
    </row>
    <row r="30">
      <c r="A30" s="7" t="s">
        <v>84</v>
      </c>
      <c r="B30" s="21" t="str">
        <f>IF(AND(ISNUMBER(B25),ISNUMBER(B28),ISNUMBER(B29)),(1+B25)/((1+B28)*(1+B29))-1,"n.a.")</f>
        <v>n.a.</v>
      </c>
      <c r="C30" s="21" t="str">
        <f>IF(AND(ISNUMBER(C25),ISNUMBER(C28),ISNUMBER(C29)),(1+C25)/((1+C28)*(1+C29))-1,"n.a.")</f>
        <v>n.a.</v>
      </c>
      <c r="D30" s="21" t="str">
        <f>IF(AND(ISNUMBER(D25),ISNUMBER(D28),ISNUMBER(D29)),(1+D25)/((1+D28)*(1+D29))-1,"n.a.")</f>
        <v>n.a.</v>
      </c>
      <c r="E30" s="21" t="str">
        <f>IF(AND(ISNUMBER(E25),ISNUMBER(E28),ISNUMBER(E29)),(1+E25)/((1+E28)*(1+E29))-1,"n.a.")</f>
        <v>n.a.</v>
      </c>
      <c r="F30" s="21" t="str">
        <f>IF(AND(ISNUMBER(F25),ISNUMBER(F28),ISNUMBER(F29)),(1+F25)/((1+F28)*(1+F29))-1,"n.a.")</f>
        <v>n.a.</v>
      </c>
      <c r="G30" s="31" t="str">
        <f>IF(AND(ISNUMBER(G25),ISNUMBER(G28),ISNUMBER(G29)),(1+G25)/((1+G28)*(1+G29))-1,"n.a.")</f>
        <v>n.a.</v>
      </c>
      <c r="H30" s="22"/>
    </row>
    <row r="31">
      <c r="A31" s="17" t="s">
        <v>105</v>
      </c>
      <c r="B31" s="26">
        <f>B10+B17+B24</f>
        <v>2657</v>
      </c>
      <c r="C31" s="26">
        <f>C10+C17+C24</f>
        <v>2577</v>
      </c>
      <c r="D31" s="26">
        <f>D10+D17+D24</f>
        <v>9339</v>
      </c>
      <c r="E31" s="26">
        <f>E10+E17+E24</f>
        <v>2840</v>
      </c>
      <c r="F31" s="26">
        <f>F10+F17+F24</f>
        <v>3395</v>
      </c>
      <c r="G31" s="52">
        <f>G10+G17+G24</f>
        <v>2775.5568431727334</v>
      </c>
      <c r="H31" s="22"/>
    </row>
    <row r="32">
      <c r="A32" s="7" t="s">
        <v>78</v>
      </c>
      <c r="B32" s="23">
        <f>IF(ISNUMBER(Inputs!B106),IF(OR(Inputs!B106&lt;=0,B31&lt;0),"n.m.",B31/Inputs!B106-1),"n.a.")</f>
        <v>0.4246648793565684</v>
      </c>
      <c r="C32" s="23">
        <f>IF(ISNUMBER(Inputs!C106),IF(OR(Inputs!C106&lt;=0,C31&lt;0),"n.m.",C31/Inputs!C106-1),"n.a.")</f>
        <v>0.2546251217137294</v>
      </c>
      <c r="D32" s="23">
        <f>IF(ISNUMBER(Inputs!D106),IF(OR(Inputs!D106&lt;=0,D31&lt;0),"n.m.",D31/Inputs!D106-1),"n.a.")</f>
        <v>0.20783755819968963</v>
      </c>
      <c r="E32" s="23">
        <f>IF(ISNUMBER(Inputs!E106),IF(OR(Inputs!E106&lt;=0,E31&lt;0),"n.m.",E31/Inputs!E106-1),"n.a.")</f>
        <v>0.48380355276907006</v>
      </c>
      <c r="F32" s="23">
        <f>IF(ISNUMBER(Inputs!F106),IF(OR(Inputs!F106&lt;=0,F31&lt;0),"n.m.",F31/Inputs!F106-1),"n.a.")</f>
        <v>0.549520766773163</v>
      </c>
      <c r="G32" s="31">
        <f>IF(ISNUMBER(B31),IF(OR(B31&lt;=0,G31&lt;0),"n.m.",G31/B31-1),"n.a.")</f>
        <v>0.044620565740584706</v>
      </c>
      <c r="H32" s="22"/>
    </row>
    <row r="33">
      <c r="A33" s="7" t="s">
        <v>79</v>
      </c>
      <c r="B33" s="23">
        <f>IF(ISNUMBER(Inputs!F106),IF(OR(Inputs!F106&lt;=0,B31&lt;0),"n.m.",B31/Inputs!F106-1),"n.a.")</f>
        <v>0.21268827019625736</v>
      </c>
      <c r="C33" s="21">
        <f>IF(ISNUMBER(B31),IF(OR(B31&lt;=0,C31&lt;0),"n.m.",C31/B31-1),"n.a.")</f>
        <v>-0.030109145652992053</v>
      </c>
      <c r="D33" s="21" t="str">
        <f>"n.a."</f>
        <v>n.a.</v>
      </c>
      <c r="E33" s="21">
        <f>IF(ISNUMBER(C31),IF(OR(C31&lt;=0,E31&lt;0),"n.m.",E31/C31-1),"n.a.")</f>
        <v>0.1020566550252231</v>
      </c>
      <c r="F33" s="21">
        <f>IF(ISNUMBER(E31),IF(OR(E31&lt;=0,F31&lt;0),"n.m.",F31/E31-1),"n.a.")</f>
        <v>0.1954225352112675</v>
      </c>
      <c r="G33" s="31">
        <f>IF(ISNUMBER(F31),IF(OR(F31&lt;=0,G31&lt;0),"n.m.",G31/F31-1),"n.a.")</f>
        <v>-0.18245748360155134</v>
      </c>
      <c r="H33" s="22"/>
    </row>
    <row r="34">
      <c r="A34" s="1" t="s">
        <v>80</v>
      </c>
      <c r="B34" s="8">
        <f>IF(ISNUMBER(Inputs!F106),B31-Inputs!F106,"n.a.")</f>
        <v>466</v>
      </c>
      <c r="C34" s="3">
        <f>IF(ISNUMBER(B31),C31-B31,"n.a.")</f>
        <v>-80</v>
      </c>
      <c r="D34" s="3" t="str">
        <f>"n.a."</f>
        <v>n.a.</v>
      </c>
      <c r="E34" s="3">
        <f>IF(ISNUMBER(C31),E31-C31,"n.a.")</f>
        <v>263</v>
      </c>
      <c r="F34" s="3">
        <f>IF(ISNUMBER(E31),F31-E31,"n.a.")</f>
        <v>555</v>
      </c>
      <c r="G34" s="29">
        <f>IF(ISNUMBER(F31),G31-F31,"n.a.")</f>
        <v>-619.4431568272666</v>
      </c>
      <c r="H34" s="22"/>
    </row>
    <row r="35">
      <c r="A35" s="7" t="s">
        <v>81</v>
      </c>
      <c r="B35" s="21" t="s">
        <v>82</v>
      </c>
      <c r="C35" s="21" t="s">
        <v>82</v>
      </c>
      <c r="D35" s="21" t="s">
        <v>82</v>
      </c>
      <c r="E35" s="21" t="s">
        <v>82</v>
      </c>
      <c r="F35" s="21" t="s">
        <v>82</v>
      </c>
      <c r="G35" s="31" t="s">
        <v>82</v>
      </c>
      <c r="H35" s="22"/>
    </row>
    <row r="36">
      <c r="A36" s="7" t="s">
        <v>83</v>
      </c>
      <c r="B36" s="21" t="s">
        <v>82</v>
      </c>
      <c r="C36" s="21" t="s">
        <v>82</v>
      </c>
      <c r="D36" s="21" t="s">
        <v>82</v>
      </c>
      <c r="E36" s="21" t="s">
        <v>82</v>
      </c>
      <c r="F36" s="21" t="s">
        <v>82</v>
      </c>
      <c r="G36" s="31" t="s">
        <v>82</v>
      </c>
      <c r="H36" s="22"/>
    </row>
    <row r="37">
      <c r="A37" s="7" t="s">
        <v>84</v>
      </c>
      <c r="B37" s="21" t="str">
        <f>IF(AND(ISNUMBER(B32),ISNUMBER(B35),ISNUMBER(B36)),(1+B32)/((1+B35)*(1+B36))-1,"n.a.")</f>
        <v>n.a.</v>
      </c>
      <c r="C37" s="21" t="str">
        <f>IF(AND(ISNUMBER(C32),ISNUMBER(C35),ISNUMBER(C36)),(1+C32)/((1+C35)*(1+C36))-1,"n.a.")</f>
        <v>n.a.</v>
      </c>
      <c r="D37" s="21" t="str">
        <f>IF(AND(ISNUMBER(D32),ISNUMBER(D35),ISNUMBER(D36)),(1+D32)/((1+D35)*(1+D36))-1,"n.a.")</f>
        <v>n.a.</v>
      </c>
      <c r="E37" s="21" t="str">
        <f>IF(AND(ISNUMBER(E32),ISNUMBER(E35),ISNUMBER(E36)),(1+E32)/((1+E35)*(1+E36))-1,"n.a.")</f>
        <v>n.a.</v>
      </c>
      <c r="F37" s="21" t="str">
        <f>IF(AND(ISNUMBER(F32),ISNUMBER(F35),ISNUMBER(F36)),(1+F32)/((1+F35)*(1+F36))-1,"n.a.")</f>
        <v>n.a.</v>
      </c>
      <c r="G37" s="31" t="str">
        <f>IF(AND(ISNUMBER(G32),ISNUMBER(G35),ISNUMBER(G36)),(1+G32)/((1+G35)*(1+G36))-1,"n.a.")</f>
        <v>n.a.</v>
      </c>
      <c r="H37" s="22"/>
    </row>
    <row r="38">
      <c r="A38" s="1"/>
      <c r="B38" s="1"/>
      <c r="C38" s="1"/>
      <c r="D38" s="1"/>
      <c r="E38" s="1"/>
      <c r="F38" s="1"/>
      <c r="G38" s="24"/>
      <c r="H38" s="22"/>
    </row>
    <row r="39">
      <c r="A39" s="17" t="s">
        <v>112</v>
      </c>
      <c r="B39" s="1"/>
      <c r="C39" s="1"/>
      <c r="D39" s="1"/>
      <c r="E39" s="1"/>
      <c r="F39" s="1"/>
      <c r="G39" s="24"/>
      <c r="H39" s="22"/>
    </row>
    <row r="40">
      <c r="A40" s="1" t="s">
        <v>113</v>
      </c>
      <c r="B40" s="20">
        <v>2437</v>
      </c>
      <c r="C40" s="20">
        <v>2021</v>
      </c>
      <c r="D40" s="8">
        <f>Inputs!G107+B40+C40</f>
        <v>10271</v>
      </c>
      <c r="E40" s="20">
        <v>2949</v>
      </c>
      <c r="F40" s="20">
        <v>3376</v>
      </c>
      <c r="G40" s="29">
        <f>B40*(1+G41)</f>
        <v>2582.9234983333336</v>
      </c>
      <c r="H40" s="22" t="s">
        <v>114</v>
      </c>
    </row>
    <row r="41">
      <c r="A41" s="7" t="s">
        <v>78</v>
      </c>
      <c r="B41" s="23">
        <f>IF(ISNUMBER(Inputs!B107),IF(OR(Inputs!B107&lt;=0,B40&lt;0),"n.m.",B40/Inputs!B107-1),"n.a.")</f>
        <v>0.21063089915548927</v>
      </c>
      <c r="C41" s="23">
        <f>IF(ISNUMBER(Inputs!C107),IF(OR(Inputs!C107&lt;=0,C40&lt;0),"n.m.",C40/Inputs!C107-1),"n.a.")</f>
        <v>0.1548571428571428</v>
      </c>
      <c r="D41" s="23">
        <f>IF(ISNUMBER(Inputs!D107),IF(OR(Inputs!D107&lt;=0,D40&lt;0),"n.m.",D40/Inputs!D107-1),"n.a.")</f>
        <v>0.07392304475115008</v>
      </c>
      <c r="E41" s="23">
        <f>IF(ISNUMBER(Inputs!E107),IF(OR(Inputs!E107&lt;=0,E40&lt;0),"n.m.",E40/Inputs!E107-1),"n.a.")</f>
        <v>-0.13008849557522129</v>
      </c>
      <c r="F41" s="23">
        <f>IF(ISNUMBER(Inputs!F107),IF(OR(Inputs!F107&lt;=0,F40&lt;0),"n.m.",F40/Inputs!F107-1),"n.a.")</f>
        <v>0.3933140734626497</v>
      </c>
      <c r="G41" s="31">
        <f>G160</f>
        <v>0.05987833333333348</v>
      </c>
      <c r="H41" s="22"/>
    </row>
    <row r="42">
      <c r="A42" s="7" t="s">
        <v>79</v>
      </c>
      <c r="B42" s="23">
        <f>IF(ISNUMBER(Inputs!F107),IF(OR(Inputs!F107&lt;=0,B40&lt;0),"n.m.",B40/Inputs!F107-1),"n.a.")</f>
        <v>0.005777961205117643</v>
      </c>
      <c r="C42" s="21">
        <f>IF(ISNUMBER(B40),IF(OR(B40&lt;=0,C40&lt;0),"n.m.",C40/B40-1),"n.a.")</f>
        <v>-0.17070168239638905</v>
      </c>
      <c r="D42" s="21" t="str">
        <f>"n.a."</f>
        <v>n.a.</v>
      </c>
      <c r="E42" s="21">
        <f>IF(ISNUMBER(C40),IF(OR(C40&lt;=0,E40&lt;0),"n.m.",E40/C40-1),"n.a.")</f>
        <v>0.4591786244433449</v>
      </c>
      <c r="F42" s="21">
        <f>IF(ISNUMBER(E40),IF(OR(E40&lt;=0,F40&lt;0),"n.m.",F40/E40-1),"n.a.")</f>
        <v>0.14479484571041024</v>
      </c>
      <c r="G42" s="31">
        <f>IF(ISNUMBER(F40),IF(OR(F40&lt;=0,G40&lt;0),"n.m.",G40/F40-1),"n.a.")</f>
        <v>-0.2349160253751974</v>
      </c>
      <c r="H42" s="22"/>
    </row>
    <row r="43">
      <c r="A43" s="1" t="s">
        <v>80</v>
      </c>
      <c r="B43" s="8">
        <f>IF(ISNUMBER(Inputs!F107),B40-Inputs!F107,"n.a.")</f>
        <v>14</v>
      </c>
      <c r="C43" s="3">
        <f>IF(ISNUMBER(B40),C40-B40,"n.a.")</f>
        <v>-416</v>
      </c>
      <c r="D43" s="3" t="str">
        <f>"n.a."</f>
        <v>n.a.</v>
      </c>
      <c r="E43" s="3">
        <f>IF(ISNUMBER(C40),E40-C40,"n.a.")</f>
        <v>928</v>
      </c>
      <c r="F43" s="3">
        <f>IF(ISNUMBER(E40),F40-E40,"n.a.")</f>
        <v>427</v>
      </c>
      <c r="G43" s="29">
        <f>IF(ISNUMBER(F40),G40-F40,"n.a.")</f>
        <v>-793.0765016666664</v>
      </c>
      <c r="H43" s="22"/>
    </row>
    <row r="44">
      <c r="A44" s="7" t="s">
        <v>81</v>
      </c>
      <c r="B44" s="21" t="s">
        <v>82</v>
      </c>
      <c r="C44" s="21" t="s">
        <v>82</v>
      </c>
      <c r="D44" s="21" t="s">
        <v>82</v>
      </c>
      <c r="E44" s="21" t="s">
        <v>82</v>
      </c>
      <c r="F44" s="21" t="s">
        <v>82</v>
      </c>
      <c r="G44" s="31" t="s">
        <v>82</v>
      </c>
      <c r="H44" s="22"/>
    </row>
    <row r="45">
      <c r="A45" s="7" t="s">
        <v>83</v>
      </c>
      <c r="B45" s="21" t="s">
        <v>82</v>
      </c>
      <c r="C45" s="21" t="s">
        <v>82</v>
      </c>
      <c r="D45" s="21" t="s">
        <v>82</v>
      </c>
      <c r="E45" s="21" t="s">
        <v>82</v>
      </c>
      <c r="F45" s="21" t="s">
        <v>82</v>
      </c>
      <c r="G45" s="31" t="s">
        <v>82</v>
      </c>
      <c r="H45" s="22"/>
    </row>
    <row r="46">
      <c r="A46" s="7" t="s">
        <v>84</v>
      </c>
      <c r="B46" s="21" t="str">
        <f>IF(AND(ISNUMBER(B41),ISNUMBER(B44),ISNUMBER(B45)),(1+B41)/((1+B44)*(1+B45))-1,"n.a.")</f>
        <v>n.a.</v>
      </c>
      <c r="C46" s="21" t="str">
        <f>IF(AND(ISNUMBER(C41),ISNUMBER(C44),ISNUMBER(C45)),(1+C41)/((1+C44)*(1+C45))-1,"n.a.")</f>
        <v>n.a.</v>
      </c>
      <c r="D46" s="21" t="str">
        <f>IF(AND(ISNUMBER(D41),ISNUMBER(D44),ISNUMBER(D45)),(1+D41)/((1+D44)*(1+D45))-1,"n.a.")</f>
        <v>n.a.</v>
      </c>
      <c r="E46" s="21" t="str">
        <f>IF(AND(ISNUMBER(E41),ISNUMBER(E44),ISNUMBER(E45)),(1+E41)/((1+E44)*(1+E45))-1,"n.a.")</f>
        <v>n.a.</v>
      </c>
      <c r="F46" s="21" t="str">
        <f>IF(AND(ISNUMBER(F41),ISNUMBER(F44),ISNUMBER(F45)),(1+F41)/((1+F44)*(1+F45))-1,"n.a.")</f>
        <v>n.a.</v>
      </c>
      <c r="G46" s="31" t="str">
        <f>IF(AND(ISNUMBER(G41),ISNUMBER(G44),ISNUMBER(G45)),(1+G41)/((1+G44)*(1+G45))-1,"n.a.")</f>
        <v>n.a.</v>
      </c>
      <c r="H46" s="22"/>
    </row>
    <row r="47">
      <c r="A47" s="1" t="s">
        <v>115</v>
      </c>
      <c r="B47" s="20">
        <v>1056</v>
      </c>
      <c r="C47" s="20">
        <v>1086</v>
      </c>
      <c r="D47" s="8">
        <f>Inputs!G108+B47+C47</f>
        <v>4251</v>
      </c>
      <c r="E47" s="20">
        <v>1062</v>
      </c>
      <c r="F47" s="20">
        <v>1216</v>
      </c>
      <c r="G47" s="29">
        <f>F47*(1+G49)</f>
        <v>1228.277952</v>
      </c>
      <c r="H47" s="22" t="s">
        <v>116</v>
      </c>
    </row>
    <row r="48">
      <c r="A48" s="7" t="s">
        <v>78</v>
      </c>
      <c r="B48" s="23" t="str">
        <f>IF(ISNUMBER(Inputs!B108),IF(OR(Inputs!B108&lt;=0,B47&lt;0),"n.m.",B47/Inputs!B108-1),"n.a.")</f>
        <v>n.a.</v>
      </c>
      <c r="C48" s="23">
        <f>IF(ISNUMBER(Inputs!C108),IF(OR(Inputs!C108&lt;=0,C47&lt;0),"n.m.",C47/Inputs!C108-1),"n.a.")</f>
        <v>0.0731225296442688</v>
      </c>
      <c r="D48" s="23">
        <f>IF(ISNUMBER(Inputs!D108),IF(OR(Inputs!D108&lt;=0,D47&lt;0),"n.m.",D47/Inputs!D108-1),"n.a.")</f>
        <v>0.12519851773425095</v>
      </c>
      <c r="E48" s="23">
        <f>IF(ISNUMBER(Inputs!E108),IF(OR(Inputs!E108&lt;=0,E47&lt;0),"n.m.",E47/Inputs!E108-1),"n.a.")</f>
        <v>0.016267942583731987</v>
      </c>
      <c r="F48" s="23">
        <f>IF(ISNUMBER(Inputs!F108),IF(OR(Inputs!F108&lt;=0,F47&lt;0),"n.m.",F47/Inputs!F108-1),"n.a.")</f>
        <v>0.1428571428571428</v>
      </c>
      <c r="G48" s="31">
        <f>IF(ISNUMBER(B47),IF(OR(B47&lt;=0,G47&lt;0),"n.m.",G47/B47-1),"n.a.")</f>
        <v>0.1631419999999999</v>
      </c>
      <c r="H48" s="22"/>
    </row>
    <row r="49">
      <c r="A49" s="7" t="s">
        <v>79</v>
      </c>
      <c r="B49" s="23">
        <f>IF(ISNUMBER(Inputs!F108),IF(OR(Inputs!F108&lt;=0,B47&lt;0),"n.m.",B47/Inputs!F108-1),"n.a.")</f>
        <v>-0.007518796992481258</v>
      </c>
      <c r="C49" s="21">
        <f>IF(ISNUMBER(B47),IF(OR(B47&lt;=0,C47&lt;0),"n.m.",C47/B47-1),"n.a.")</f>
        <v>0.02840909090909083</v>
      </c>
      <c r="D49" s="21" t="str">
        <f>"n.a."</f>
        <v>n.a.</v>
      </c>
      <c r="E49" s="21">
        <f>IF(ISNUMBER(C47),IF(OR(C47&lt;=0,E47&lt;0),"n.m.",E47/C47-1),"n.a.")</f>
        <v>-0.02209944751381221</v>
      </c>
      <c r="F49" s="21">
        <f>IF(ISNUMBER(E47),IF(OR(E47&lt;=0,F47&lt;0),"n.m.",F47/E47-1),"n.a.")</f>
        <v>0.14500941619585683</v>
      </c>
      <c r="G49" s="31">
        <f>G167</f>
        <v>0.010097000000000023</v>
      </c>
      <c r="H49" s="22"/>
    </row>
    <row r="50">
      <c r="A50" s="1" t="s">
        <v>80</v>
      </c>
      <c r="B50" s="8">
        <f>IF(ISNUMBER(Inputs!F108),B47-Inputs!F108,"n.a.")</f>
        <v>-8</v>
      </c>
      <c r="C50" s="3">
        <f>IF(ISNUMBER(B47),C47-B47,"n.a.")</f>
        <v>30</v>
      </c>
      <c r="D50" s="3" t="str">
        <f>"n.a."</f>
        <v>n.a.</v>
      </c>
      <c r="E50" s="3">
        <f>IF(ISNUMBER(C47),E47-C47,"n.a.")</f>
        <v>-24</v>
      </c>
      <c r="F50" s="3">
        <f>IF(ISNUMBER(E47),F47-E47,"n.a.")</f>
        <v>154</v>
      </c>
      <c r="G50" s="29">
        <f>IF(ISNUMBER(F47),G47-F47,"n.a.")</f>
        <v>12.277951999999914</v>
      </c>
      <c r="H50" s="22"/>
    </row>
    <row r="51">
      <c r="A51" s="7" t="s">
        <v>81</v>
      </c>
      <c r="B51" s="21" t="s">
        <v>82</v>
      </c>
      <c r="C51" s="21" t="s">
        <v>82</v>
      </c>
      <c r="D51" s="21" t="s">
        <v>82</v>
      </c>
      <c r="E51" s="21" t="s">
        <v>82</v>
      </c>
      <c r="F51" s="21" t="s">
        <v>82</v>
      </c>
      <c r="G51" s="31" t="s">
        <v>82</v>
      </c>
      <c r="H51" s="22"/>
    </row>
    <row r="52">
      <c r="A52" s="7" t="s">
        <v>83</v>
      </c>
      <c r="B52" s="21" t="s">
        <v>82</v>
      </c>
      <c r="C52" s="21" t="s">
        <v>82</v>
      </c>
      <c r="D52" s="21" t="s">
        <v>82</v>
      </c>
      <c r="E52" s="21" t="s">
        <v>82</v>
      </c>
      <c r="F52" s="21" t="s">
        <v>82</v>
      </c>
      <c r="G52" s="31" t="s">
        <v>82</v>
      </c>
      <c r="H52" s="22"/>
    </row>
    <row r="53">
      <c r="A53" s="7" t="s">
        <v>84</v>
      </c>
      <c r="B53" s="21" t="str">
        <f>IF(AND(ISNUMBER(B48),ISNUMBER(B51),ISNUMBER(B52)),(1+B48)/((1+B51)*(1+B52))-1,"n.a.")</f>
        <v>n.a.</v>
      </c>
      <c r="C53" s="21" t="str">
        <f>IF(AND(ISNUMBER(C48),ISNUMBER(C51),ISNUMBER(C52)),(1+C48)/((1+C51)*(1+C52))-1,"n.a.")</f>
        <v>n.a.</v>
      </c>
      <c r="D53" s="21" t="str">
        <f>IF(AND(ISNUMBER(D48),ISNUMBER(D51),ISNUMBER(D52)),(1+D48)/((1+D51)*(1+D52))-1,"n.a.")</f>
        <v>n.a.</v>
      </c>
      <c r="E53" s="21" t="str">
        <f>IF(AND(ISNUMBER(E48),ISNUMBER(E51),ISNUMBER(E52)),(1+E48)/((1+E51)*(1+E52))-1,"n.a.")</f>
        <v>n.a.</v>
      </c>
      <c r="F53" s="21" t="str">
        <f>IF(AND(ISNUMBER(F48),ISNUMBER(F51),ISNUMBER(F52)),(1+F48)/((1+F51)*(1+F52))-1,"n.a.")</f>
        <v>n.a.</v>
      </c>
      <c r="G53" s="31" t="str">
        <f>IF(AND(ISNUMBER(G48),ISNUMBER(G51),ISNUMBER(G52)),(1+G48)/((1+G51)*(1+G52))-1,"n.a.")</f>
        <v>n.a.</v>
      </c>
      <c r="H53" s="22"/>
    </row>
    <row r="54">
      <c r="A54" s="17" t="s">
        <v>112</v>
      </c>
      <c r="B54" s="26">
        <f>B40+B47</f>
        <v>3493</v>
      </c>
      <c r="C54" s="26">
        <f>C40+C47</f>
        <v>3107</v>
      </c>
      <c r="D54" s="26">
        <f>D40+D47</f>
        <v>14522</v>
      </c>
      <c r="E54" s="26">
        <f>E40+E47</f>
        <v>4011</v>
      </c>
      <c r="F54" s="26">
        <f>F40+F47</f>
        <v>4592</v>
      </c>
      <c r="G54" s="52">
        <f>G40+G47</f>
        <v>3811.2014503333335</v>
      </c>
      <c r="H54" s="22"/>
    </row>
    <row r="55">
      <c r="A55" s="7" t="s">
        <v>78</v>
      </c>
      <c r="B55" s="23" t="str">
        <f>IF(ISNUMBER(Inputs!B109),IF(OR(Inputs!B109&lt;=0,B54&lt;0),"n.m.",B54/Inputs!B109-1),"n.a.")</f>
        <v>n.a.</v>
      </c>
      <c r="C55" s="23">
        <f>IF(ISNUMBER(Inputs!C109),IF(OR(Inputs!C109&lt;=0,C54&lt;0),"n.m.",C54/Inputs!C109-1),"n.a.")</f>
        <v>0.12490948587979722</v>
      </c>
      <c r="D55" s="23">
        <f>IF(ISNUMBER(Inputs!D109),IF(OR(Inputs!D109&lt;=0,D54&lt;0),"n.m.",D54/Inputs!D109-1),"n.a.")</f>
        <v>0.08844251236696143</v>
      </c>
      <c r="E55" s="23">
        <f>IF(ISNUMBER(Inputs!E109),IF(OR(Inputs!E109&lt;=0,E54&lt;0),"n.m.",E54/Inputs!E109-1),"n.a.")</f>
        <v>-0.09560315670800446</v>
      </c>
      <c r="F55" s="23">
        <f>IF(ISNUMBER(Inputs!F109),IF(OR(Inputs!F109&lt;=0,F54&lt;0),"n.m.",F54/Inputs!F109-1),"n.a.")</f>
        <v>0.31689131058216224</v>
      </c>
      <c r="G55" s="31">
        <f>IF(ISNUMBER(B54),IF(OR(B54&lt;=0,G54&lt;0),"n.m.",G54/B54-1),"n.a.")</f>
        <v>0.09109689388300413</v>
      </c>
      <c r="H55" s="22"/>
    </row>
    <row r="56">
      <c r="A56" s="7" t="s">
        <v>79</v>
      </c>
      <c r="B56" s="23">
        <f>IF(ISNUMBER(Inputs!F109),IF(OR(Inputs!F109&lt;=0,B54&lt;0),"n.m.",B54/Inputs!F109-1),"n.a.")</f>
        <v>0.001720676799541243</v>
      </c>
      <c r="C56" s="21">
        <f>IF(ISNUMBER(B54),IF(OR(B54&lt;=0,C54&lt;0),"n.m.",C54/B54-1),"n.a.")</f>
        <v>-0.11050672774119663</v>
      </c>
      <c r="D56" s="21" t="str">
        <f>"n.a."</f>
        <v>n.a.</v>
      </c>
      <c r="E56" s="21">
        <f>IF(ISNUMBER(C54),IF(OR(C54&lt;=0,E54&lt;0),"n.m.",E54/C54-1),"n.a.")</f>
        <v>0.2909559060186675</v>
      </c>
      <c r="F56" s="21">
        <f>IF(ISNUMBER(E54),IF(OR(E54&lt;=0,F54&lt;0),"n.m.",F54/E54-1),"n.a.")</f>
        <v>0.14485165794066313</v>
      </c>
      <c r="G56" s="31">
        <f>IF(ISNUMBER(F54),IF(OR(F54&lt;=0,G54&lt;0),"n.m.",G54/F54-1),"n.a.")</f>
        <v>-0.17003452736643432</v>
      </c>
      <c r="H56" s="22"/>
    </row>
    <row r="57">
      <c r="A57" s="1" t="s">
        <v>80</v>
      </c>
      <c r="B57" s="8">
        <f>IF(ISNUMBER(Inputs!F109),B54-Inputs!F109,"n.a.")</f>
        <v>6</v>
      </c>
      <c r="C57" s="3">
        <f>IF(ISNUMBER(B54),C54-B54,"n.a.")</f>
        <v>-386</v>
      </c>
      <c r="D57" s="3" t="str">
        <f>"n.a."</f>
        <v>n.a.</v>
      </c>
      <c r="E57" s="3">
        <f>IF(ISNUMBER(C54),E54-C54,"n.a.")</f>
        <v>904</v>
      </c>
      <c r="F57" s="3">
        <f>IF(ISNUMBER(E54),F54-E54,"n.a.")</f>
        <v>581</v>
      </c>
      <c r="G57" s="29">
        <f>IF(ISNUMBER(F54),G54-F54,"n.a.")</f>
        <v>-780.7985496666665</v>
      </c>
      <c r="H57" s="22"/>
    </row>
    <row r="58">
      <c r="A58" s="7" t="s">
        <v>81</v>
      </c>
      <c r="B58" s="21" t="s">
        <v>82</v>
      </c>
      <c r="C58" s="21" t="s">
        <v>82</v>
      </c>
      <c r="D58" s="21" t="s">
        <v>82</v>
      </c>
      <c r="E58" s="21" t="s">
        <v>82</v>
      </c>
      <c r="F58" s="21" t="s">
        <v>82</v>
      </c>
      <c r="G58" s="31" t="s">
        <v>82</v>
      </c>
      <c r="H58" s="22"/>
    </row>
    <row r="59">
      <c r="A59" s="7" t="s">
        <v>83</v>
      </c>
      <c r="B59" s="21" t="s">
        <v>82</v>
      </c>
      <c r="C59" s="21" t="s">
        <v>82</v>
      </c>
      <c r="D59" s="21" t="s">
        <v>82</v>
      </c>
      <c r="E59" s="21" t="s">
        <v>82</v>
      </c>
      <c r="F59" s="21" t="s">
        <v>82</v>
      </c>
      <c r="G59" s="31" t="s">
        <v>82</v>
      </c>
      <c r="H59" s="22"/>
    </row>
    <row r="60">
      <c r="A60" s="7" t="s">
        <v>84</v>
      </c>
      <c r="B60" s="21" t="str">
        <f>IF(AND(ISNUMBER(B55),ISNUMBER(B58),ISNUMBER(B59)),(1+B55)/((1+B58)*(1+B59))-1,"n.a.")</f>
        <v>n.a.</v>
      </c>
      <c r="C60" s="21" t="str">
        <f>IF(AND(ISNUMBER(C55),ISNUMBER(C58),ISNUMBER(C59)),(1+C55)/((1+C58)*(1+C59))-1,"n.a.")</f>
        <v>n.a.</v>
      </c>
      <c r="D60" s="21" t="str">
        <f>IF(AND(ISNUMBER(D55),ISNUMBER(D58),ISNUMBER(D59)),(1+D55)/((1+D58)*(1+D59))-1,"n.a.")</f>
        <v>n.a.</v>
      </c>
      <c r="E60" s="21" t="str">
        <f>IF(AND(ISNUMBER(E55),ISNUMBER(E58),ISNUMBER(E59)),(1+E55)/((1+E58)*(1+E59))-1,"n.a.")</f>
        <v>n.a.</v>
      </c>
      <c r="F60" s="21" t="str">
        <f>IF(AND(ISNUMBER(F55),ISNUMBER(F58),ISNUMBER(F59)),(1+F55)/((1+F58)*(1+F59))-1,"n.a.")</f>
        <v>n.a.</v>
      </c>
      <c r="G60" s="31" t="str">
        <f>IF(AND(ISNUMBER(G55),ISNUMBER(G58),ISNUMBER(G59)),(1+G55)/((1+G58)*(1+G59))-1,"n.a.")</f>
        <v>n.a.</v>
      </c>
      <c r="H60" s="22"/>
    </row>
    <row r="61">
      <c r="A61" s="1"/>
      <c r="B61" s="1"/>
      <c r="C61" s="1"/>
      <c r="D61" s="1"/>
      <c r="E61" s="1"/>
      <c r="F61" s="1"/>
      <c r="G61" s="24"/>
      <c r="H61" s="22"/>
    </row>
    <row r="62">
      <c r="A62" s="17" t="s">
        <v>117</v>
      </c>
      <c r="B62" s="1"/>
      <c r="C62" s="1"/>
      <c r="D62" s="1"/>
      <c r="E62" s="1"/>
      <c r="F62" s="1"/>
      <c r="G62" s="24"/>
      <c r="H62" s="22"/>
    </row>
    <row r="63">
      <c r="A63" s="1" t="s">
        <v>118</v>
      </c>
      <c r="B63" s="20">
        <v>2020</v>
      </c>
      <c r="C63" s="20">
        <v>2178</v>
      </c>
      <c r="D63" s="8">
        <f>Inputs!G110+B63+C63</f>
        <v>9340</v>
      </c>
      <c r="E63" s="20">
        <v>2718</v>
      </c>
      <c r="F63" s="20">
        <v>4157</v>
      </c>
      <c r="G63" s="29">
        <f>B63*(1+G64)</f>
        <v>2372.584266666667</v>
      </c>
      <c r="H63" s="22" t="s">
        <v>114</v>
      </c>
    </row>
    <row r="64">
      <c r="A64" s="7" t="s">
        <v>78</v>
      </c>
      <c r="B64" s="23">
        <f>IF(ISNUMBER(Inputs!B110),IF(OR(Inputs!B110&lt;=0,B63&lt;0),"n.m.",B63/Inputs!B110-1),"n.a.")</f>
        <v>-0.085559076505206</v>
      </c>
      <c r="C64" s="23">
        <f>IF(ISNUMBER(Inputs!C110),IF(OR(Inputs!C110&lt;=0,C63&lt;0),"n.m.",C63/Inputs!C110-1),"n.a.")</f>
        <v>0.11463664278403285</v>
      </c>
      <c r="D64" s="23">
        <f>IF(ISNUMBER(Inputs!D110),IF(OR(Inputs!D110&lt;=0,D63&lt;0),"n.m.",D63/Inputs!D110-1),"n.a.")</f>
        <v>0.17676704044349245</v>
      </c>
      <c r="E64" s="23">
        <f>IF(ISNUMBER(Inputs!E110),IF(OR(Inputs!E110&lt;=0,E63&lt;0),"n.m.",E63/Inputs!E110-1),"n.a.")</f>
        <v>0.06713780918727918</v>
      </c>
      <c r="F64" s="23">
        <f>IF(ISNUMBER(Inputs!F110),IF(OR(Inputs!F110&lt;=0,F63&lt;0),"n.m.",F63/Inputs!F110-1),"n.a.")</f>
        <v>0.6019267822736032</v>
      </c>
      <c r="G64" s="31">
        <f>G163</f>
        <v>0.17454666666666685</v>
      </c>
      <c r="H64" s="22"/>
    </row>
    <row r="65">
      <c r="A65" s="7" t="s">
        <v>79</v>
      </c>
      <c r="B65" s="23">
        <f>IF(ISNUMBER(Inputs!F110),IF(OR(Inputs!F110&lt;=0,B63&lt;0),"n.m.",B63/Inputs!F110-1),"n.a.")</f>
        <v>-0.22157996146435455</v>
      </c>
      <c r="C65" s="21">
        <f>IF(ISNUMBER(B63),IF(OR(B63&lt;=0,C63&lt;0),"n.m.",C63/B63-1),"n.a.")</f>
        <v>0.07821782178217829</v>
      </c>
      <c r="D65" s="21" t="str">
        <f>"n.a."</f>
        <v>n.a.</v>
      </c>
      <c r="E65" s="21">
        <f>IF(ISNUMBER(C63),IF(OR(C63&lt;=0,E63&lt;0),"n.m.",E63/C63-1),"n.a.")</f>
        <v>0.24793388429752072</v>
      </c>
      <c r="F65" s="21">
        <f>IF(ISNUMBER(E63),IF(OR(E63&lt;=0,F63&lt;0),"n.m.",F63/E63-1),"n.a.")</f>
        <v>0.5294334069168507</v>
      </c>
      <c r="G65" s="31">
        <f>IF(ISNUMBER(F63),IF(OR(F63&lt;=0,G63&lt;0),"n.m.",G63/F63-1),"n.a.")</f>
        <v>-0.4292556491059256</v>
      </c>
      <c r="H65" s="22"/>
    </row>
    <row r="66">
      <c r="A66" s="1" t="s">
        <v>80</v>
      </c>
      <c r="B66" s="8">
        <f>IF(ISNUMBER(Inputs!F110),B63-Inputs!F110,"n.a.")</f>
        <v>-575</v>
      </c>
      <c r="C66" s="3">
        <f>IF(ISNUMBER(B63),C63-B63,"n.a.")</f>
        <v>158</v>
      </c>
      <c r="D66" s="3" t="str">
        <f>"n.a."</f>
        <v>n.a.</v>
      </c>
      <c r="E66" s="3">
        <f>IF(ISNUMBER(C63),E63-C63,"n.a.")</f>
        <v>540</v>
      </c>
      <c r="F66" s="3">
        <f>IF(ISNUMBER(E63),F63-E63,"n.a.")</f>
        <v>1439</v>
      </c>
      <c r="G66" s="29">
        <f>IF(ISNUMBER(F63),G63-F63,"n.a.")</f>
        <v>-1784.4157333333328</v>
      </c>
      <c r="H66" s="22"/>
    </row>
    <row r="67">
      <c r="A67" s="7" t="s">
        <v>81</v>
      </c>
      <c r="B67" s="21" t="s">
        <v>82</v>
      </c>
      <c r="C67" s="21" t="s">
        <v>82</v>
      </c>
      <c r="D67" s="21" t="s">
        <v>82</v>
      </c>
      <c r="E67" s="21" t="s">
        <v>82</v>
      </c>
      <c r="F67" s="21" t="s">
        <v>82</v>
      </c>
      <c r="G67" s="31" t="s">
        <v>82</v>
      </c>
      <c r="H67" s="22"/>
    </row>
    <row r="68">
      <c r="A68" s="7" t="s">
        <v>83</v>
      </c>
      <c r="B68" s="21" t="s">
        <v>82</v>
      </c>
      <c r="C68" s="21" t="s">
        <v>82</v>
      </c>
      <c r="D68" s="21" t="s">
        <v>82</v>
      </c>
      <c r="E68" s="21" t="s">
        <v>82</v>
      </c>
      <c r="F68" s="21" t="s">
        <v>82</v>
      </c>
      <c r="G68" s="31" t="s">
        <v>82</v>
      </c>
      <c r="H68" s="22"/>
    </row>
    <row r="69">
      <c r="A69" s="7" t="s">
        <v>84</v>
      </c>
      <c r="B69" s="21" t="str">
        <f>IF(AND(ISNUMBER(B64),ISNUMBER(B67),ISNUMBER(B68)),(1+B64)/((1+B67)*(1+B68))-1,"n.a.")</f>
        <v>n.a.</v>
      </c>
      <c r="C69" s="21" t="str">
        <f>IF(AND(ISNUMBER(C64),ISNUMBER(C67),ISNUMBER(C68)),(1+C64)/((1+C67)*(1+C68))-1,"n.a.")</f>
        <v>n.a.</v>
      </c>
      <c r="D69" s="21" t="str">
        <f>IF(AND(ISNUMBER(D64),ISNUMBER(D67),ISNUMBER(D68)),(1+D64)/((1+D67)*(1+D68))-1,"n.a.")</f>
        <v>n.a.</v>
      </c>
      <c r="E69" s="21" t="str">
        <f>IF(AND(ISNUMBER(E64),ISNUMBER(E67),ISNUMBER(E68)),(1+E64)/((1+E67)*(1+E68))-1,"n.a.")</f>
        <v>n.a.</v>
      </c>
      <c r="F69" s="21" t="str">
        <f>IF(AND(ISNUMBER(F64),ISNUMBER(F67),ISNUMBER(F68)),(1+F64)/((1+F67)*(1+F68))-1,"n.a.")</f>
        <v>n.a.</v>
      </c>
      <c r="G69" s="31" t="str">
        <f>IF(AND(ISNUMBER(G64),ISNUMBER(G67),ISNUMBER(G68)),(1+G64)/((1+G67)*(1+G68))-1,"n.a.")</f>
        <v>n.a.</v>
      </c>
      <c r="H69" s="22"/>
    </row>
    <row r="70">
      <c r="A70" s="1" t="s">
        <v>119</v>
      </c>
      <c r="B70" s="20">
        <v>1716</v>
      </c>
      <c r="C70" s="20">
        <v>2128</v>
      </c>
      <c r="D70" s="8">
        <f>Inputs!G111+B70+C70</f>
        <v>7195</v>
      </c>
      <c r="E70" s="20">
        <v>2608</v>
      </c>
      <c r="F70" s="20">
        <v>3259</v>
      </c>
      <c r="G70" s="29">
        <f>F70*(1+G72)</f>
        <v>3145.5991842</v>
      </c>
      <c r="H70" s="22" t="s">
        <v>116</v>
      </c>
    </row>
    <row r="71">
      <c r="A71" s="7" t="s">
        <v>78</v>
      </c>
      <c r="B71" s="23">
        <f>IF(ISNUMBER(Inputs!B111),IF(OR(Inputs!B111&lt;=0,B70&lt;0),"n.m.",B70/Inputs!B111-1),"n.a.")</f>
        <v>0.3292021688613478</v>
      </c>
      <c r="C71" s="23">
        <f>IF(ISNUMBER(Inputs!C111),IF(OR(Inputs!C111&lt;=0,C70&lt;0),"n.m.",C70/Inputs!C111-1),"n.a.")</f>
        <v>0.41961307538358916</v>
      </c>
      <c r="D71" s="23">
        <f>IF(ISNUMBER(Inputs!D111),IF(OR(Inputs!D111&lt;=0,D70&lt;0),"n.m.",D70/Inputs!D111-1),"n.a.")</f>
        <v>0.30937215650591443</v>
      </c>
      <c r="E71" s="23">
        <f>IF(ISNUMBER(Inputs!E111),IF(OR(Inputs!E111&lt;=0,E70&lt;0),"n.m.",E70/Inputs!E111-1),"n.a.")</f>
        <v>0.5854103343465045</v>
      </c>
      <c r="F71" s="23">
        <f>IF(ISNUMBER(Inputs!F111),IF(OR(Inputs!F111&lt;=0,F70&lt;0),"n.m.",F70/Inputs!F111-1),"n.a.")</f>
        <v>0.91031652989449</v>
      </c>
      <c r="G71" s="31">
        <f>IF(ISNUMBER(B70),IF(OR(B70&lt;=0,G70&lt;0),"n.m.",G70/B70-1),"n.a.")</f>
        <v>0.8330997576923076</v>
      </c>
      <c r="H71" s="22"/>
    </row>
    <row r="72">
      <c r="A72" s="7" t="s">
        <v>79</v>
      </c>
      <c r="B72" s="23">
        <f>IF(ISNUMBER(Inputs!F111),IF(OR(Inputs!F111&lt;=0,B70&lt;0),"n.m.",B70/Inputs!F111-1),"n.a.")</f>
        <v>0.0058616647127784915</v>
      </c>
      <c r="C72" s="21">
        <f>IF(ISNUMBER(B70),IF(OR(B70&lt;=0,C70&lt;0),"n.m.",C70/B70-1),"n.a.")</f>
        <v>0.24009324009324007</v>
      </c>
      <c r="D72" s="21" t="str">
        <f>"n.a."</f>
        <v>n.a.</v>
      </c>
      <c r="E72" s="21">
        <f>IF(ISNUMBER(C70),IF(OR(C70&lt;=0,E70&lt;0),"n.m.",E70/C70-1),"n.a.")</f>
        <v>0.2255639097744362</v>
      </c>
      <c r="F72" s="21">
        <f>IF(ISNUMBER(E70),IF(OR(E70&lt;=0,F70&lt;0),"n.m.",F70/E70-1),"n.a.")</f>
        <v>0.24961656441717794</v>
      </c>
      <c r="G72" s="31">
        <f>G172</f>
        <v>-0.034796200000000055</v>
      </c>
      <c r="H72" s="22"/>
    </row>
    <row r="73">
      <c r="A73" s="1" t="s">
        <v>80</v>
      </c>
      <c r="B73" s="8">
        <f>IF(ISNUMBER(Inputs!F111),B70-Inputs!F111,"n.a.")</f>
        <v>10</v>
      </c>
      <c r="C73" s="3">
        <f>IF(ISNUMBER(B70),C70-B70,"n.a.")</f>
        <v>412</v>
      </c>
      <c r="D73" s="3" t="str">
        <f>"n.a."</f>
        <v>n.a.</v>
      </c>
      <c r="E73" s="3">
        <f>IF(ISNUMBER(C70),E70-C70,"n.a.")</f>
        <v>480</v>
      </c>
      <c r="F73" s="3">
        <f>IF(ISNUMBER(E70),F70-E70,"n.a.")</f>
        <v>651</v>
      </c>
      <c r="G73" s="29">
        <f>IF(ISNUMBER(F70),G70-F70,"n.a.")</f>
        <v>-113.40081580000015</v>
      </c>
      <c r="H73" s="22"/>
    </row>
    <row r="74">
      <c r="A74" s="7" t="s">
        <v>81</v>
      </c>
      <c r="B74" s="21" t="s">
        <v>82</v>
      </c>
      <c r="C74" s="21" t="s">
        <v>82</v>
      </c>
      <c r="D74" s="21" t="s">
        <v>82</v>
      </c>
      <c r="E74" s="21" t="s">
        <v>82</v>
      </c>
      <c r="F74" s="21" t="s">
        <v>82</v>
      </c>
      <c r="G74" s="31" t="s">
        <v>82</v>
      </c>
      <c r="H74" s="22"/>
    </row>
    <row r="75">
      <c r="A75" s="7" t="s">
        <v>83</v>
      </c>
      <c r="B75" s="21" t="s">
        <v>82</v>
      </c>
      <c r="C75" s="21" t="s">
        <v>82</v>
      </c>
      <c r="D75" s="21" t="s">
        <v>82</v>
      </c>
      <c r="E75" s="21" t="s">
        <v>82</v>
      </c>
      <c r="F75" s="21" t="s">
        <v>82</v>
      </c>
      <c r="G75" s="31" t="s">
        <v>82</v>
      </c>
      <c r="H75" s="22"/>
    </row>
    <row r="76">
      <c r="A76" s="7" t="s">
        <v>84</v>
      </c>
      <c r="B76" s="21" t="str">
        <f>IF(AND(ISNUMBER(B71),ISNUMBER(B74),ISNUMBER(B75)),(1+B71)/((1+B74)*(1+B75))-1,"n.a.")</f>
        <v>n.a.</v>
      </c>
      <c r="C76" s="21" t="str">
        <f>IF(AND(ISNUMBER(C71),ISNUMBER(C74),ISNUMBER(C75)),(1+C71)/((1+C74)*(1+C75))-1,"n.a.")</f>
        <v>n.a.</v>
      </c>
      <c r="D76" s="21" t="str">
        <f>IF(AND(ISNUMBER(D71),ISNUMBER(D74),ISNUMBER(D75)),(1+D71)/((1+D74)*(1+D75))-1,"n.a.")</f>
        <v>n.a.</v>
      </c>
      <c r="E76" s="21" t="str">
        <f>IF(AND(ISNUMBER(E71),ISNUMBER(E74),ISNUMBER(E75)),(1+E71)/((1+E74)*(1+E75))-1,"n.a.")</f>
        <v>n.a.</v>
      </c>
      <c r="F76" s="21" t="str">
        <f>IF(AND(ISNUMBER(F71),ISNUMBER(F74),ISNUMBER(F75)),(1+F71)/((1+F74)*(1+F75))-1,"n.a.")</f>
        <v>n.a.</v>
      </c>
      <c r="G76" s="31" t="str">
        <f>IF(AND(ISNUMBER(G71),ISNUMBER(G74),ISNUMBER(G75)),(1+G71)/((1+G74)*(1+G75))-1,"n.a.")</f>
        <v>n.a.</v>
      </c>
      <c r="H76" s="22"/>
    </row>
    <row r="77">
      <c r="A77" s="17" t="s">
        <v>117</v>
      </c>
      <c r="B77" s="26">
        <f>B63+B70</f>
        <v>3736</v>
      </c>
      <c r="C77" s="26">
        <f>C63+C70</f>
        <v>4306</v>
      </c>
      <c r="D77" s="26">
        <f>D63+D70</f>
        <v>16535</v>
      </c>
      <c r="E77" s="26">
        <f>E63+E70</f>
        <v>5326</v>
      </c>
      <c r="F77" s="26">
        <f>F63+F70</f>
        <v>7416</v>
      </c>
      <c r="G77" s="52">
        <f>G63+G70</f>
        <v>5518.183450866667</v>
      </c>
      <c r="H77" s="22"/>
    </row>
    <row r="78">
      <c r="A78" s="7" t="s">
        <v>78</v>
      </c>
      <c r="B78" s="23">
        <f>IF(ISNUMBER(Inputs!B112),IF(OR(Inputs!B112&lt;=0,B77&lt;0),"n.m.",B77/Inputs!B112-1),"n.a.")</f>
        <v>0.0674285714285714</v>
      </c>
      <c r="C78" s="23">
        <f>IF(ISNUMBER(Inputs!C112),IF(OR(Inputs!C112&lt;=0,C77&lt;0),"n.m.",C77/Inputs!C112-1),"n.a.")</f>
        <v>0.24703156675354765</v>
      </c>
      <c r="D78" s="23">
        <f>IF(ISNUMBER(Inputs!D112),IF(OR(Inputs!D112&lt;=0,D77&lt;0),"n.m.",D77/Inputs!D112-1),"n.a.")</f>
        <v>0.2310154854079809</v>
      </c>
      <c r="E78" s="23">
        <f>IF(ISNUMBER(Inputs!E112),IF(OR(Inputs!E112&lt;=0,E77&lt;0),"n.m.",E77/Inputs!E112-1),"n.a.")</f>
        <v>0.2705152671755726</v>
      </c>
      <c r="F78" s="23">
        <f>IF(ISNUMBER(Inputs!F112),IF(OR(Inputs!F112&lt;=0,F77&lt;0),"n.m.",F77/Inputs!F112-1),"n.a.")</f>
        <v>0.7242501743780516</v>
      </c>
      <c r="G78" s="31">
        <f>IF(ISNUMBER(B77),IF(OR(B77&lt;=0,G77&lt;0),"n.m.",G77/B77-1),"n.a.")</f>
        <v>0.47702983160242685</v>
      </c>
      <c r="H78" s="22"/>
    </row>
    <row r="79">
      <c r="A79" s="7" t="s">
        <v>79</v>
      </c>
      <c r="B79" s="23">
        <f>IF(ISNUMBER(Inputs!F112),IF(OR(Inputs!F112&lt;=0,B77&lt;0),"n.m.",B77/Inputs!F112-1),"n.a.")</f>
        <v>-0.13136479888398045</v>
      </c>
      <c r="C79" s="21">
        <f>IF(ISNUMBER(B77),IF(OR(B77&lt;=0,C77&lt;0),"n.m.",C77/B77-1),"n.a.")</f>
        <v>0.15256959314775154</v>
      </c>
      <c r="D79" s="21" t="str">
        <f>"n.a."</f>
        <v>n.a.</v>
      </c>
      <c r="E79" s="21">
        <f>IF(ISNUMBER(C77),IF(OR(C77&lt;=0,E77&lt;0),"n.m.",E77/C77-1),"n.a.")</f>
        <v>0.23687877380399436</v>
      </c>
      <c r="F79" s="21">
        <f>IF(ISNUMBER(E77),IF(OR(E77&lt;=0,F77&lt;0),"n.m.",F77/E77-1),"n.a.")</f>
        <v>0.39241457003379643</v>
      </c>
      <c r="G79" s="31">
        <f>IF(ISNUMBER(F77),IF(OR(F77&lt;=0,G77&lt;0),"n.m.",G77/F77-1),"n.a.")</f>
        <v>-0.25590838041172237</v>
      </c>
      <c r="H79" s="22"/>
    </row>
    <row r="80">
      <c r="A80" s="1" t="s">
        <v>80</v>
      </c>
      <c r="B80" s="8">
        <f>IF(ISNUMBER(Inputs!F112),B77-Inputs!F112,"n.a.")</f>
        <v>-565</v>
      </c>
      <c r="C80" s="3">
        <f>IF(ISNUMBER(B77),C77-B77,"n.a.")</f>
        <v>570</v>
      </c>
      <c r="D80" s="3" t="str">
        <f>"n.a."</f>
        <v>n.a.</v>
      </c>
      <c r="E80" s="3">
        <f>IF(ISNUMBER(C77),E77-C77,"n.a.")</f>
        <v>1020</v>
      </c>
      <c r="F80" s="3">
        <f>IF(ISNUMBER(E77),F77-E77,"n.a.")</f>
        <v>2090</v>
      </c>
      <c r="G80" s="29">
        <f>IF(ISNUMBER(F77),G77-F77,"n.a.")</f>
        <v>-1897.816549133333</v>
      </c>
      <c r="H80" s="22"/>
    </row>
    <row r="81">
      <c r="A81" s="7" t="s">
        <v>81</v>
      </c>
      <c r="B81" s="21" t="s">
        <v>82</v>
      </c>
      <c r="C81" s="21" t="s">
        <v>82</v>
      </c>
      <c r="D81" s="21" t="s">
        <v>82</v>
      </c>
      <c r="E81" s="21" t="s">
        <v>82</v>
      </c>
      <c r="F81" s="21" t="s">
        <v>82</v>
      </c>
      <c r="G81" s="31" t="s">
        <v>82</v>
      </c>
      <c r="H81" s="22"/>
    </row>
    <row r="82">
      <c r="A82" s="7" t="s">
        <v>83</v>
      </c>
      <c r="B82" s="21" t="s">
        <v>82</v>
      </c>
      <c r="C82" s="21" t="s">
        <v>82</v>
      </c>
      <c r="D82" s="21" t="s">
        <v>82</v>
      </c>
      <c r="E82" s="21" t="s">
        <v>82</v>
      </c>
      <c r="F82" s="21" t="s">
        <v>82</v>
      </c>
      <c r="G82" s="31" t="s">
        <v>82</v>
      </c>
      <c r="H82" s="22"/>
    </row>
    <row r="83">
      <c r="A83" s="7" t="s">
        <v>84</v>
      </c>
      <c r="B83" s="21" t="str">
        <f>IF(AND(ISNUMBER(B78),ISNUMBER(B81),ISNUMBER(B82)),(1+B78)/((1+B81)*(1+B82))-1,"n.a.")</f>
        <v>n.a.</v>
      </c>
      <c r="C83" s="21" t="str">
        <f>IF(AND(ISNUMBER(C78),ISNUMBER(C81),ISNUMBER(C82)),(1+C78)/((1+C81)*(1+C82))-1,"n.a.")</f>
        <v>n.a.</v>
      </c>
      <c r="D83" s="21" t="str">
        <f>IF(AND(ISNUMBER(D78),ISNUMBER(D81),ISNUMBER(D82)),(1+D78)/((1+D81)*(1+D82))-1,"n.a.")</f>
        <v>n.a.</v>
      </c>
      <c r="E83" s="21" t="str">
        <f>IF(AND(ISNUMBER(E78),ISNUMBER(E81),ISNUMBER(E82)),(1+E78)/((1+E81)*(1+E82))-1,"n.a.")</f>
        <v>n.a.</v>
      </c>
      <c r="F83" s="21" t="str">
        <f>IF(AND(ISNUMBER(F78),ISNUMBER(F81),ISNUMBER(F82)),(1+F78)/((1+F81)*(1+F82))-1,"n.a.")</f>
        <v>n.a.</v>
      </c>
      <c r="G83" s="31" t="str">
        <f>IF(AND(ISNUMBER(G78),ISNUMBER(G81),ISNUMBER(G82)),(1+G78)/((1+G81)*(1+G82))-1,"n.a.")</f>
        <v>n.a.</v>
      </c>
      <c r="H83" s="22"/>
    </row>
    <row r="84">
      <c r="A84" s="1"/>
      <c r="B84" s="1"/>
      <c r="C84" s="1"/>
      <c r="D84" s="1"/>
      <c r="E84" s="1"/>
      <c r="F84" s="1"/>
      <c r="G84" s="24"/>
      <c r="H84" s="22"/>
    </row>
    <row r="85">
      <c r="A85" s="1" t="s">
        <v>120</v>
      </c>
      <c r="B85" s="20">
        <v>282</v>
      </c>
      <c r="C85" s="20">
        <v>421</v>
      </c>
      <c r="D85" s="8">
        <f>Inputs!G113+B85+C85</f>
        <v>1057</v>
      </c>
      <c r="E85" s="20">
        <v>561</v>
      </c>
      <c r="F85" s="20">
        <v>117</v>
      </c>
      <c r="G85" s="29">
        <f>G176</f>
        <v>239.94875000000002</v>
      </c>
      <c r="H85" s="22" t="s">
        <v>121</v>
      </c>
    </row>
    <row r="86">
      <c r="A86" s="7" t="s">
        <v>78</v>
      </c>
      <c r="B86" s="23" t="str">
        <f>IF(ISNUMBER(Inputs!B113),IF(OR(Inputs!B113&lt;=0,B85&lt;0),"n.m.",B85/Inputs!B113-1),"n.a.")</f>
        <v>n.a.</v>
      </c>
      <c r="C86" s="23">
        <f>IF(ISNUMBER(Inputs!C113),IF(OR(Inputs!C113&lt;=0,C85&lt;0),"n.m.",C85/Inputs!C113-1),"n.a.")</f>
        <v>0.7615062761506277</v>
      </c>
      <c r="D86" s="23">
        <f>IF(ISNUMBER(Inputs!D113),IF(OR(Inputs!D113&lt;=0,D85&lt;0),"n.m.",D85/Inputs!D113-1),"n.a.")</f>
        <v>0.8841354723707664</v>
      </c>
      <c r="E86" s="23">
        <f>IF(ISNUMBER(Inputs!E113),IF(OR(Inputs!E113&lt;=0,E85&lt;0),"n.m.",E85/Inputs!E113-1),"n.a.")</f>
        <v>1.8050000000000002</v>
      </c>
      <c r="F86" s="23">
        <f>IF(ISNUMBER(Inputs!F113),IF(OR(Inputs!F113&lt;=0,F85&lt;0),"n.m.",F85/Inputs!F113-1),"n.a.")</f>
        <v>-0.24025974025974028</v>
      </c>
      <c r="G86" s="31">
        <f>IF(ISNUMBER(B85),IF(OR(B85&lt;=0,G85&lt;0),"n.m.",G85/B85-1),"n.a.")</f>
        <v>-0.14911790780141843</v>
      </c>
      <c r="H86" s="22"/>
    </row>
    <row r="87">
      <c r="A87" s="7" t="s">
        <v>79</v>
      </c>
      <c r="B87" s="23">
        <f>IF(ISNUMBER(Inputs!F113),IF(OR(Inputs!F113&lt;=0,B85&lt;0),"n.m.",B85/Inputs!F113-1),"n.a.")</f>
        <v>0.8311688311688312</v>
      </c>
      <c r="C87" s="21">
        <f>IF(ISNUMBER(B85),IF(OR(B85&lt;=0,C85&lt;0),"n.m.",C85/B85-1),"n.a.")</f>
        <v>0.4929078014184398</v>
      </c>
      <c r="D87" s="21" t="str">
        <f>"n.a."</f>
        <v>n.a.</v>
      </c>
      <c r="E87" s="21">
        <f>IF(ISNUMBER(C85),IF(OR(C85&lt;=0,E85&lt;0),"n.m.",E85/C85-1),"n.a.")</f>
        <v>0.332541567695962</v>
      </c>
      <c r="F87" s="21">
        <f>IF(ISNUMBER(E85),IF(OR(E85&lt;=0,F85&lt;0),"n.m.",F85/E85-1),"n.a.")</f>
        <v>-0.7914438502673797</v>
      </c>
      <c r="G87" s="31">
        <f>IF(ISNUMBER(F85),IF(OR(F85&lt;=0,G85&lt;0),"n.m.",G85/F85-1),"n.a.")</f>
        <v>1.0508440170940174</v>
      </c>
      <c r="H87" s="22"/>
    </row>
    <row r="88">
      <c r="A88" s="1" t="s">
        <v>80</v>
      </c>
      <c r="B88" s="8">
        <f>IF(ISNUMBER(Inputs!F113),B85-Inputs!F113,"n.a.")</f>
        <v>128</v>
      </c>
      <c r="C88" s="3">
        <f>IF(ISNUMBER(B85),C85-B85,"n.a.")</f>
        <v>139</v>
      </c>
      <c r="D88" s="3" t="str">
        <f>"n.a."</f>
        <v>n.a.</v>
      </c>
      <c r="E88" s="3">
        <f>IF(ISNUMBER(C85),E85-C85,"n.a.")</f>
        <v>140</v>
      </c>
      <c r="F88" s="3">
        <f>IF(ISNUMBER(E85),F85-E85,"n.a.")</f>
        <v>-444</v>
      </c>
      <c r="G88" s="29">
        <f>IF(ISNUMBER(F85),G85-F85,"n.a.")</f>
        <v>122.94875000000002</v>
      </c>
      <c r="H88" s="22"/>
    </row>
    <row r="89">
      <c r="A89" s="7" t="s">
        <v>81</v>
      </c>
      <c r="B89" s="21" t="s">
        <v>82</v>
      </c>
      <c r="C89" s="21" t="s">
        <v>82</v>
      </c>
      <c r="D89" s="21" t="s">
        <v>82</v>
      </c>
      <c r="E89" s="21" t="s">
        <v>82</v>
      </c>
      <c r="F89" s="21" t="s">
        <v>82</v>
      </c>
      <c r="G89" s="31" t="s">
        <v>82</v>
      </c>
      <c r="H89" s="22"/>
    </row>
    <row r="90">
      <c r="A90" s="7" t="s">
        <v>83</v>
      </c>
      <c r="B90" s="21" t="s">
        <v>82</v>
      </c>
      <c r="C90" s="21" t="s">
        <v>82</v>
      </c>
      <c r="D90" s="21" t="s">
        <v>82</v>
      </c>
      <c r="E90" s="21" t="s">
        <v>82</v>
      </c>
      <c r="F90" s="21" t="s">
        <v>82</v>
      </c>
      <c r="G90" s="31" t="s">
        <v>82</v>
      </c>
      <c r="H90" s="22"/>
    </row>
    <row r="91">
      <c r="A91" s="7" t="s">
        <v>84</v>
      </c>
      <c r="B91" s="21" t="str">
        <f>IF(AND(ISNUMBER(B86),ISNUMBER(B89),ISNUMBER(B90)),(1+B86)/((1+B89)*(1+B90))-1,"n.a.")</f>
        <v>n.a.</v>
      </c>
      <c r="C91" s="21" t="str">
        <f>IF(AND(ISNUMBER(C86),ISNUMBER(C89),ISNUMBER(C90)),(1+C86)/((1+C89)*(1+C90))-1,"n.a.")</f>
        <v>n.a.</v>
      </c>
      <c r="D91" s="21" t="str">
        <f>IF(AND(ISNUMBER(D86),ISNUMBER(D89),ISNUMBER(D90)),(1+D86)/((1+D89)*(1+D90))-1,"n.a.")</f>
        <v>n.a.</v>
      </c>
      <c r="E91" s="21" t="str">
        <f>IF(AND(ISNUMBER(E86),ISNUMBER(E89),ISNUMBER(E90)),(1+E86)/((1+E89)*(1+E90))-1,"n.a.")</f>
        <v>n.a.</v>
      </c>
      <c r="F91" s="21" t="str">
        <f>IF(AND(ISNUMBER(F86),ISNUMBER(F89),ISNUMBER(F90)),(1+F86)/((1+F89)*(1+F90))-1,"n.a.")</f>
        <v>n.a.</v>
      </c>
      <c r="G91" s="31" t="str">
        <f>IF(AND(ISNUMBER(G86),ISNUMBER(G89),ISNUMBER(G90)),(1+G86)/((1+G89)*(1+G90))-1,"n.a.")</f>
        <v>n.a.</v>
      </c>
      <c r="H91" s="22"/>
    </row>
    <row r="92">
      <c r="A92" s="1"/>
      <c r="B92" s="1"/>
      <c r="C92" s="1"/>
      <c r="D92" s="1"/>
      <c r="E92" s="1"/>
      <c r="F92" s="1"/>
      <c r="G92" s="24"/>
      <c r="H92" s="22"/>
    </row>
    <row r="93">
      <c r="A93" s="17" t="s">
        <v>122</v>
      </c>
      <c r="B93" s="26">
        <f>B31+B54+B77+B85</f>
        <v>10168</v>
      </c>
      <c r="C93" s="26">
        <f>C31+C54+C77+C85</f>
        <v>10411</v>
      </c>
      <c r="D93" s="26">
        <f>D31+D54+D77+D85</f>
        <v>41453</v>
      </c>
      <c r="E93" s="26">
        <f>E31+E54+E77+E85</f>
        <v>12738</v>
      </c>
      <c r="F93" s="26">
        <f>F31+F54+F77+F85</f>
        <v>15520</v>
      </c>
      <c r="G93" s="52">
        <f>G31+G54+G77+G85</f>
        <v>12344.890494372734</v>
      </c>
      <c r="H93" s="22"/>
    </row>
    <row r="94">
      <c r="A94" s="7" t="s">
        <v>78</v>
      </c>
      <c r="B94" s="23" t="str">
        <f>IF(ISNUMBER(Inputs!B114),IF(OR(Inputs!B114&lt;=0,B93&lt;0),"n.m.",B93/Inputs!B114-1),"n.a.")</f>
        <v>n.a.</v>
      </c>
      <c r="C94" s="23">
        <f>IF(ISNUMBER(Inputs!C114),IF(OR(Inputs!C114&lt;=0,C93&lt;0),"n.m.",C93/Inputs!C114-1),"n.a.")</f>
        <v>0.2236718382698637</v>
      </c>
      <c r="D94" s="23">
        <f>IF(ISNUMBER(Inputs!D114),IF(OR(Inputs!D114&lt;=0,D93&lt;0),"n.m.",D93/Inputs!D114-1),"n.a.")</f>
        <v>0.1821085350899707</v>
      </c>
      <c r="E94" s="23">
        <f>IF(ISNUMBER(Inputs!E114),IF(OR(Inputs!E114&lt;=0,E93&lt;0),"n.m.",E93/Inputs!E114-1),"n.a.")</f>
        <v>0.1859230984079694</v>
      </c>
      <c r="F94" s="23">
        <f>IF(ISNUMBER(Inputs!F114),IF(OR(Inputs!F114&lt;=0,F93&lt;0),"n.m.",F93/Inputs!F114-1),"n.a.")</f>
        <v>0.5316293299121682</v>
      </c>
      <c r="G94" s="31">
        <f>IF(ISNUMBER(B93),IF(OR(B93&lt;=0,G93&lt;0),"n.m.",G93/B93-1),"n.a.")</f>
        <v>0.21409229881714542</v>
      </c>
      <c r="H94" s="22"/>
    </row>
    <row r="95">
      <c r="A95" s="7" t="s">
        <v>79</v>
      </c>
      <c r="B95" s="23">
        <f>IF(ISNUMBER(Inputs!F114),IF(OR(Inputs!F114&lt;=0,B93&lt;0),"n.m.",B93/Inputs!F114-1),"n.a.")</f>
        <v>0.003454060988848262</v>
      </c>
      <c r="C95" s="21">
        <f>IF(ISNUMBER(B93),IF(OR(B93&lt;=0,C93&lt;0),"n.m.",C93/B93-1),"n.a.")</f>
        <v>0.023898505114083424</v>
      </c>
      <c r="D95" s="21" t="str">
        <f>"n.a."</f>
        <v>n.a.</v>
      </c>
      <c r="E95" s="21">
        <f>IF(ISNUMBER(C93),IF(OR(C93&lt;=0,E93&lt;0),"n.m.",E93/C93-1),"n.a.")</f>
        <v>0.2235135913937183</v>
      </c>
      <c r="F95" s="21">
        <f>IF(ISNUMBER(E93),IF(OR(E93&lt;=0,F93&lt;0),"n.m.",F93/E93-1),"n.a.")</f>
        <v>0.21840163290940495</v>
      </c>
      <c r="G95" s="31">
        <f>IF(ISNUMBER(F93),IF(OR(F93&lt;=0,G93&lt;0),"n.m.",G93/F93-1),"n.a.")</f>
        <v>-0.20458179804299392</v>
      </c>
      <c r="H95" s="22"/>
    </row>
    <row r="96">
      <c r="A96" s="1" t="s">
        <v>80</v>
      </c>
      <c r="B96" s="8">
        <f>IF(ISNUMBER(Inputs!F114),B93-Inputs!F114,"n.a.")</f>
        <v>35</v>
      </c>
      <c r="C96" s="3">
        <f>IF(ISNUMBER(B93),C93-B93,"n.a.")</f>
        <v>243</v>
      </c>
      <c r="D96" s="3" t="str">
        <f>"n.a."</f>
        <v>n.a.</v>
      </c>
      <c r="E96" s="3">
        <f>IF(ISNUMBER(C93),E93-C93,"n.a.")</f>
        <v>2327</v>
      </c>
      <c r="F96" s="3">
        <f>IF(ISNUMBER(E93),F93-E93,"n.a.")</f>
        <v>2782</v>
      </c>
      <c r="G96" s="29">
        <f>IF(ISNUMBER(F93),G93-F93,"n.a.")</f>
        <v>-3175.109505627266</v>
      </c>
      <c r="H96" s="22"/>
    </row>
    <row r="97">
      <c r="A97" s="7" t="s">
        <v>81</v>
      </c>
      <c r="B97" s="21" t="s">
        <v>82</v>
      </c>
      <c r="C97" s="21" t="s">
        <v>82</v>
      </c>
      <c r="D97" s="21" t="s">
        <v>82</v>
      </c>
      <c r="E97" s="21" t="s">
        <v>82</v>
      </c>
      <c r="F97" s="21" t="s">
        <v>82</v>
      </c>
      <c r="G97" s="31" t="s">
        <v>82</v>
      </c>
      <c r="H97" s="22"/>
    </row>
    <row r="98">
      <c r="A98" s="7" t="s">
        <v>83</v>
      </c>
      <c r="B98" s="21" t="s">
        <v>82</v>
      </c>
      <c r="C98" s="21" t="s">
        <v>82</v>
      </c>
      <c r="D98" s="21" t="s">
        <v>82</v>
      </c>
      <c r="E98" s="21" t="s">
        <v>82</v>
      </c>
      <c r="F98" s="21" t="s">
        <v>82</v>
      </c>
      <c r="G98" s="31" t="s">
        <v>82</v>
      </c>
      <c r="H98" s="22"/>
    </row>
    <row r="99">
      <c r="A99" s="7" t="s">
        <v>84</v>
      </c>
      <c r="B99" s="21" t="str">
        <f>IF(AND(ISNUMBER(B94),ISNUMBER(B97),ISNUMBER(B98)),(1+B94)/((1+B97)*(1+B98))-1,"n.a.")</f>
        <v>n.a.</v>
      </c>
      <c r="C99" s="21" t="str">
        <f>IF(AND(ISNUMBER(C94),ISNUMBER(C97),ISNUMBER(C98)),(1+C94)/((1+C97)*(1+C98))-1,"n.a.")</f>
        <v>n.a.</v>
      </c>
      <c r="D99" s="21" t="str">
        <f>IF(AND(ISNUMBER(D94),ISNUMBER(D97),ISNUMBER(D98)),(1+D94)/((1+D97)*(1+D98))-1,"n.a.")</f>
        <v>n.a.</v>
      </c>
      <c r="E99" s="21" t="str">
        <f>IF(AND(ISNUMBER(E94),ISNUMBER(E97),ISNUMBER(E98)),(1+E94)/((1+E97)*(1+E98))-1,"n.a.")</f>
        <v>n.a.</v>
      </c>
      <c r="F99" s="21" t="str">
        <f>IF(AND(ISNUMBER(F94),ISNUMBER(F97),ISNUMBER(F98)),(1+F94)/((1+F97)*(1+F98))-1,"n.a.")</f>
        <v>n.a.</v>
      </c>
      <c r="G99" s="31" t="str">
        <f>IF(AND(ISNUMBER(G94),ISNUMBER(G97),ISNUMBER(G98)),(1+G94)/((1+G97)*(1+G98))-1,"n.a.")</f>
        <v>n.a.</v>
      </c>
      <c r="H99" s="22"/>
    </row>
    <row r="100">
      <c r="A100" s="1"/>
      <c r="B100" s="1"/>
      <c r="C100" s="1"/>
      <c r="D100" s="1"/>
      <c r="E100" s="1"/>
      <c r="F100" s="1"/>
      <c r="G100" s="24"/>
      <c r="H100" s="22"/>
    </row>
    <row r="101">
      <c r="A101" s="17" t="s">
        <v>123</v>
      </c>
      <c r="B101" s="1"/>
      <c r="C101" s="1"/>
      <c r="D101" s="1"/>
      <c r="E101" s="1"/>
      <c r="F101" s="1"/>
      <c r="G101" s="24"/>
      <c r="H101" s="22"/>
    </row>
    <row r="102">
      <c r="A102" s="7" t="s">
        <v>124</v>
      </c>
      <c r="B102" s="21">
        <f>B10/B93</f>
        <v>0.13808025177025965</v>
      </c>
      <c r="C102" s="21">
        <f>C10/C93</f>
        <v>0.13024685428873306</v>
      </c>
      <c r="D102" s="21">
        <f>D10/D93</f>
        <v>0.11400863628687911</v>
      </c>
      <c r="E102" s="21">
        <f>E10/E93</f>
        <v>0.1172868582195007</v>
      </c>
      <c r="F102" s="21">
        <f>F10/F93</f>
        <v>0.08878865979381444</v>
      </c>
      <c r="G102" s="31">
        <f>G10/G93</f>
        <v>0.11146863160025623</v>
      </c>
      <c r="H102" s="22"/>
    </row>
    <row r="103">
      <c r="A103" s="7" t="s">
        <v>93</v>
      </c>
      <c r="B103" s="28" t="str">
        <f>IF(AND(ISNUMBER(Inputs!B103),ISNUMBER(Inputs!B114)),(B102-Inputs!B103/Inputs!B114)*10000,"n.a.")</f>
        <v>n.a.</v>
      </c>
      <c r="C103" s="28">
        <f>IF(AND(ISNUMBER(Inputs!C103),ISNUMBER(Inputs!C114)),(C102-Inputs!C103/Inputs!C114)*10000,"n.a.")</f>
        <v>174.11875445291588</v>
      </c>
      <c r="D103" s="28">
        <f>IF(AND(ISNUMBER(Inputs!D103),ISNUMBER(Inputs!D114)),(D102-Inputs!D103/Inputs!D114)*10000,"n.a.")</f>
        <v>132.30126576895373</v>
      </c>
      <c r="E103" s="28">
        <f>IF(AND(ISNUMBER(Inputs!E103),ISNUMBER(Inputs!E114)),(E102-Inputs!E103/Inputs!E114)*10000,"n.a.")</f>
        <v>435.50707023150267</v>
      </c>
      <c r="F103" s="28">
        <f>IF(AND(ISNUMBER(Inputs!F103),ISNUMBER(Inputs!F114)),(F102-Inputs!F103/Inputs!F114)*10000,"n.a.")</f>
        <v>-270.7041451784055</v>
      </c>
      <c r="G103" s="30">
        <f>(G102-B102)*10000</f>
        <v>-266.11620170003414</v>
      </c>
      <c r="H103" s="22"/>
    </row>
    <row r="104">
      <c r="A104" s="7" t="s">
        <v>125</v>
      </c>
      <c r="B104" s="21">
        <f>B17/B93</f>
        <v>0.04573170731707317</v>
      </c>
      <c r="C104" s="21">
        <f>C17/C93</f>
        <v>0.050043223513591396</v>
      </c>
      <c r="D104" s="21">
        <f>D17/D93</f>
        <v>0.04303669215738306</v>
      </c>
      <c r="E104" s="21">
        <f>E17/E93</f>
        <v>0.04200031402103941</v>
      </c>
      <c r="F104" s="21">
        <f>F17/F93</f>
        <v>0.06346649484536082</v>
      </c>
      <c r="G104" s="31">
        <f>G17/G93</f>
        <v>0.05461773843254006</v>
      </c>
      <c r="H104" s="22"/>
    </row>
    <row r="105">
      <c r="A105" s="7" t="s">
        <v>93</v>
      </c>
      <c r="B105" s="28" t="str">
        <f>IF(AND(ISNUMBER(Inputs!B104),ISNUMBER(Inputs!B114)),(B104-Inputs!B104/Inputs!B114)*10000,"n.a.")</f>
        <v>n.a.</v>
      </c>
      <c r="C105" s="28">
        <f>IF(AND(ISNUMBER(Inputs!C104),ISNUMBER(Inputs!C114)),(C104-Inputs!C104/Inputs!C114)*10000,"n.a.")</f>
        <v>-86.07458197739115</v>
      </c>
      <c r="D105" s="28">
        <f>IF(AND(ISNUMBER(Inputs!D104),ISNUMBER(Inputs!D114)),(D104-Inputs!D104/Inputs!D114)*10000,"n.a.")</f>
        <v>-47.86047170189871</v>
      </c>
      <c r="E105" s="28">
        <f>IF(AND(ISNUMBER(Inputs!E104),ISNUMBER(Inputs!E114)),(E104-Inputs!E104/Inputs!E114)*10000,"n.a.")</f>
        <v>75.52869649007012</v>
      </c>
      <c r="F105" s="28">
        <f>IF(AND(ISNUMBER(Inputs!F104),ISNUMBER(Inputs!F114)),(F104-Inputs!F104/Inputs!F114)*10000,"n.a.")</f>
        <v>212.28263324587112</v>
      </c>
      <c r="G105" s="30">
        <f>(G104-B104)*10000</f>
        <v>88.86031115466889</v>
      </c>
      <c r="H105" s="22"/>
    </row>
    <row r="106">
      <c r="A106" s="7" t="s">
        <v>126</v>
      </c>
      <c r="B106" s="21">
        <f>B24/B93</f>
        <v>0.07749803304484658</v>
      </c>
      <c r="C106" s="21">
        <f>C24/C93</f>
        <v>0.06723657669772357</v>
      </c>
      <c r="D106" s="21">
        <f>D24/D93</f>
        <v>0.06824596531011025</v>
      </c>
      <c r="E106" s="21">
        <f>E24/E93</f>
        <v>0.0636677657403046</v>
      </c>
      <c r="F106" s="21">
        <f>F24/F93</f>
        <v>0.06649484536082474</v>
      </c>
      <c r="G106" s="31">
        <f>G24/G93</f>
        <v>0.058748094431504666</v>
      </c>
      <c r="H106" s="22"/>
    </row>
    <row r="107">
      <c r="A107" s="7" t="s">
        <v>93</v>
      </c>
      <c r="B107" s="28" t="str">
        <f>IF(AND(ISNUMBER(Inputs!B105),ISNUMBER(Inputs!B114)),(B106-Inputs!B105/Inputs!B114)*10000,"n.a.")</f>
        <v>n.a.</v>
      </c>
      <c r="C107" s="28">
        <f>IF(AND(ISNUMBER(Inputs!C105),ISNUMBER(Inputs!C114)),(C106-Inputs!C105/Inputs!C114)*10000,"n.a.")</f>
        <v>-26.976028979510957</v>
      </c>
      <c r="D107" s="28">
        <f>IF(AND(ISNUMBER(Inputs!D105),ISNUMBER(Inputs!D114)),(D106-Inputs!D105/Inputs!D114)*10000,"n.a.")</f>
        <v>-36.44986296813646</v>
      </c>
      <c r="E107" s="28">
        <f>IF(AND(ISNUMBER(Inputs!E105),ISNUMBER(Inputs!E114)),(E106-Inputs!E105/Inputs!E114)*10000,"n.a.")</f>
        <v>-63.44337415826115</v>
      </c>
      <c r="F107" s="28">
        <f>IF(AND(ISNUMBER(Inputs!F105),ISNUMBER(Inputs!F114)),(F106-Inputs!F105/Inputs!F114)*10000,"n.a.")</f>
        <v>83.67933291348773</v>
      </c>
      <c r="G107" s="30">
        <f>(G106-B106)*10000</f>
        <v>-187.49938613341914</v>
      </c>
      <c r="H107" s="22"/>
    </row>
    <row r="108">
      <c r="A108" s="7" t="s">
        <v>127</v>
      </c>
      <c r="B108" s="21">
        <f>B31/B93</f>
        <v>0.26130999213217937</v>
      </c>
      <c r="C108" s="21">
        <f>C31/C93</f>
        <v>0.24752665450004802</v>
      </c>
      <c r="D108" s="21">
        <f>D31/D93</f>
        <v>0.22529129375437243</v>
      </c>
      <c r="E108" s="21">
        <f>E31/E93</f>
        <v>0.2229549379808447</v>
      </c>
      <c r="F108" s="21">
        <f>F31/F93</f>
        <v>0.21875</v>
      </c>
      <c r="G108" s="31">
        <f>G31/G93</f>
        <v>0.22483446446430097</v>
      </c>
      <c r="H108" s="22"/>
    </row>
    <row r="109">
      <c r="A109" s="7" t="s">
        <v>93</v>
      </c>
      <c r="B109" s="28" t="str">
        <f>IF(AND(ISNUMBER(Inputs!B106),ISNUMBER(Inputs!B114)),(B108-Inputs!B106/Inputs!B114)*10000,"n.a.")</f>
        <v>n.a.</v>
      </c>
      <c r="C109" s="28">
        <f>IF(AND(ISNUMBER(Inputs!C106),ISNUMBER(Inputs!C114)),(C108-Inputs!C106/Inputs!C114)*10000,"n.a.")</f>
        <v>61.06814349601364</v>
      </c>
      <c r="D109" s="28">
        <f>IF(AND(ISNUMBER(Inputs!D106),ISNUMBER(Inputs!D114)),(D108-Inputs!D106/Inputs!D114)*10000,"n.a.")</f>
        <v>47.9909310989185</v>
      </c>
      <c r="E109" s="28">
        <f>IF(AND(ISNUMBER(Inputs!E106),ISNUMBER(Inputs!E114)),(E108-Inputs!E106/Inputs!E114)*10000,"n.a.")</f>
        <v>447.5923925633116</v>
      </c>
      <c r="F109" s="28">
        <f>IF(AND(ISNUMBER(Inputs!F106),ISNUMBER(Inputs!F114)),(F108-Inputs!F106/Inputs!F114)*10000,"n.a.")</f>
        <v>25.257820980953415</v>
      </c>
      <c r="G109" s="30">
        <f>(G108-B108)*10000</f>
        <v>-364.755276678784</v>
      </c>
      <c r="H109" s="22"/>
    </row>
    <row r="110">
      <c r="A110" s="7" t="s">
        <v>128</v>
      </c>
      <c r="B110" s="21">
        <f>B40/B93</f>
        <v>0.23967348544453188</v>
      </c>
      <c r="C110" s="21">
        <f>C40/C93</f>
        <v>0.19412160215157045</v>
      </c>
      <c r="D110" s="21">
        <f>D40/D93</f>
        <v>0.2477745880877138</v>
      </c>
      <c r="E110" s="21">
        <f>E40/E93</f>
        <v>0.23151201130475743</v>
      </c>
      <c r="F110" s="21">
        <f>F40/F93</f>
        <v>0.2175257731958763</v>
      </c>
      <c r="G110" s="31">
        <f>G40/G93</f>
        <v>0.20923016688651289</v>
      </c>
      <c r="H110" s="22"/>
    </row>
    <row r="111">
      <c r="A111" s="7" t="s">
        <v>93</v>
      </c>
      <c r="B111" s="28" t="str">
        <f>IF(AND(ISNUMBER(Inputs!B107),ISNUMBER(Inputs!B114)),(B110-Inputs!B107/Inputs!B114)*10000,"n.a.")</f>
        <v>n.a.</v>
      </c>
      <c r="C111" s="28">
        <f>IF(AND(ISNUMBER(Inputs!C107),ISNUMBER(Inputs!C114)),(C110-Inputs!C107/Inputs!C114)*10000,"n.a.")</f>
        <v>-115.67161365119732</v>
      </c>
      <c r="D111" s="28">
        <f>IF(AND(ISNUMBER(Inputs!D107),ISNUMBER(Inputs!D114)),(D110-Inputs!D107/Inputs!D114)*10000,"n.a.")</f>
        <v>-249.60461959338986</v>
      </c>
      <c r="E111" s="28">
        <f>IF(AND(ISNUMBER(Inputs!E107),ISNUMBER(Inputs!E114)),(E110-Inputs!E107/Inputs!E114)*10000,"n.a.")</f>
        <v>-841.0106010386373</v>
      </c>
      <c r="F111" s="28">
        <f>IF(AND(ISNUMBER(Inputs!F107),ISNUMBER(Inputs!F114)),(F110-Inputs!F107/Inputs!F114)*10000,"n.a.")</f>
        <v>-215.93934689251498</v>
      </c>
      <c r="G111" s="30">
        <f>(G110-B110)*10000</f>
        <v>-304.4331855801899</v>
      </c>
      <c r="H111" s="22"/>
    </row>
    <row r="112">
      <c r="A112" s="7" t="s">
        <v>129</v>
      </c>
      <c r="B112" s="21">
        <f>B47/B93</f>
        <v>0.1038552321007081</v>
      </c>
      <c r="C112" s="21">
        <f>C47/C93</f>
        <v>0.10431274613389684</v>
      </c>
      <c r="D112" s="21">
        <f>D47/D93</f>
        <v>0.10254987576291222</v>
      </c>
      <c r="E112" s="21">
        <f>E47/E93</f>
        <v>0.08337258596325954</v>
      </c>
      <c r="F112" s="21">
        <f>F47/F93</f>
        <v>0.07835051546391752</v>
      </c>
      <c r="G112" s="31">
        <f>G47/G93</f>
        <v>0.09949686897262436</v>
      </c>
      <c r="H112" s="22"/>
    </row>
    <row r="113">
      <c r="A113" s="7" t="s">
        <v>93</v>
      </c>
      <c r="B113" s="28" t="str">
        <f>IF(AND(ISNUMBER(Inputs!B108),ISNUMBER(Inputs!B114)),(B112-Inputs!B108/Inputs!B114)*10000,"n.a.")</f>
        <v>n.a.</v>
      </c>
      <c r="C113" s="28">
        <f>IF(AND(ISNUMBER(Inputs!C108),ISNUMBER(Inputs!C114)),(C112-Inputs!C108/Inputs!C114)*10000,"n.a.")</f>
        <v>-146.34127396897705</v>
      </c>
      <c r="D113" s="28">
        <f>IF(AND(ISNUMBER(Inputs!D108),ISNUMBER(Inputs!D114)),(D112-Inputs!D108/Inputs!D114)*10000,"n.a.")</f>
        <v>-51.86742710296205</v>
      </c>
      <c r="E113" s="28">
        <f>IF(AND(ISNUMBER(Inputs!E108),ISNUMBER(Inputs!E114)),(E112-Inputs!E108/Inputs!E114)*10000,"n.a.")</f>
        <v>-139.18169087480615</v>
      </c>
      <c r="F113" s="28">
        <f>IF(AND(ISNUMBER(Inputs!F108),ISNUMBER(Inputs!F114)),(F112-Inputs!F108/Inputs!F114)*10000,"n.a.")</f>
        <v>-266.52938597071324</v>
      </c>
      <c r="G113" s="30">
        <f>(G112-B112)*10000</f>
        <v>-43.58363128083742</v>
      </c>
      <c r="H113" s="22"/>
    </row>
    <row r="114">
      <c r="A114" s="7" t="s">
        <v>130</v>
      </c>
      <c r="B114" s="21">
        <f>B54/B93</f>
        <v>0.34352871754523995</v>
      </c>
      <c r="C114" s="21">
        <f>C54/C93</f>
        <v>0.2984343482854673</v>
      </c>
      <c r="D114" s="21">
        <f>D54/D93</f>
        <v>0.350324463850626</v>
      </c>
      <c r="E114" s="21">
        <f>E54/E93</f>
        <v>0.31488459726801693</v>
      </c>
      <c r="F114" s="21">
        <f>F54/F93</f>
        <v>0.2958762886597938</v>
      </c>
      <c r="G114" s="31">
        <f>G54/G93</f>
        <v>0.30872703585913724</v>
      </c>
      <c r="H114" s="22"/>
    </row>
    <row r="115">
      <c r="A115" s="7" t="s">
        <v>93</v>
      </c>
      <c r="B115" s="28" t="str">
        <f>IF(AND(ISNUMBER(Inputs!B109),ISNUMBER(Inputs!B114)),(B114-Inputs!B109/Inputs!B114)*10000,"n.a.")</f>
        <v>n.a.</v>
      </c>
      <c r="C115" s="28">
        <f>IF(AND(ISNUMBER(Inputs!C109),ISNUMBER(Inputs!C114)),(C114-Inputs!C109/Inputs!C114)*10000,"n.a.")</f>
        <v>-262.0128876201744</v>
      </c>
      <c r="D115" s="28">
        <f>IF(AND(ISNUMBER(Inputs!D109),ISNUMBER(Inputs!D114)),(D114-Inputs!D109/Inputs!D114)*10000,"n.a.")</f>
        <v>-301.4720466963522</v>
      </c>
      <c r="E115" s="28">
        <f>IF(AND(ISNUMBER(Inputs!E109),ISNUMBER(Inputs!E114)),(E114-Inputs!E109/Inputs!E114)*10000,"n.a.")</f>
        <v>-980.1922919134437</v>
      </c>
      <c r="F115" s="28">
        <f>IF(AND(ISNUMBER(Inputs!F109),ISNUMBER(Inputs!F114)),(F114-Inputs!F109/Inputs!F114)*10000,"n.a.")</f>
        <v>-482.46873286322824</v>
      </c>
      <c r="G115" s="30">
        <f>(G114-B114)*10000</f>
        <v>-348.01681686102705</v>
      </c>
      <c r="H115" s="22"/>
    </row>
    <row r="116">
      <c r="A116" s="7" t="s">
        <v>131</v>
      </c>
      <c r="B116" s="21">
        <f>B63/B93</f>
        <v>0.1986624704956727</v>
      </c>
      <c r="C116" s="21">
        <f>C63/C93</f>
        <v>0.2092018057823456</v>
      </c>
      <c r="D116" s="21">
        <f>D63/D93</f>
        <v>0.22531541746073866</v>
      </c>
      <c r="E116" s="21">
        <f>E63/E93</f>
        <v>0.2133772962788507</v>
      </c>
      <c r="F116" s="21">
        <f>F63/F93</f>
        <v>0.2678479381443299</v>
      </c>
      <c r="G116" s="31">
        <f>G63/G93</f>
        <v>0.19219160086905432</v>
      </c>
      <c r="H116" s="22"/>
    </row>
    <row r="117">
      <c r="A117" s="7" t="s">
        <v>93</v>
      </c>
      <c r="B117" s="28" t="str">
        <f>IF(AND(ISNUMBER(Inputs!B110),ISNUMBER(Inputs!B114)),(B116-Inputs!B110/Inputs!B114)*10000,"n.a.")</f>
        <v>n.a.</v>
      </c>
      <c r="C117" s="28">
        <f>IF(AND(ISNUMBER(Inputs!C110),ISNUMBER(Inputs!C114)),(C116-Inputs!C110/Inputs!C114)*10000,"n.a.")</f>
        <v>-204.64390738575895</v>
      </c>
      <c r="D117" s="28">
        <f>IF(AND(ISNUMBER(Inputs!D110),ISNUMBER(Inputs!D114)),(D116-Inputs!D110/Inputs!D114)*10000,"n.a.")</f>
        <v>-10.227352184183914</v>
      </c>
      <c r="E117" s="28">
        <f>IF(AND(ISNUMBER(Inputs!E110),ISNUMBER(Inputs!E114)),(E116-Inputs!E110/Inputs!E114)*10000,"n.a.")</f>
        <v>-237.51462682139902</v>
      </c>
      <c r="F117" s="28">
        <f>IF(AND(ISNUMBER(Inputs!F110),ISNUMBER(Inputs!F114)),(F116-Inputs!F110/Inputs!F114)*10000,"n.a.")</f>
        <v>117.53987685433232</v>
      </c>
      <c r="G117" s="30">
        <f>(G116-B116)*10000</f>
        <v>-64.70869626618386</v>
      </c>
      <c r="H117" s="22"/>
    </row>
    <row r="118">
      <c r="A118" s="7" t="s">
        <v>132</v>
      </c>
      <c r="B118" s="21">
        <f>B70/B93</f>
        <v>0.16876475216365067</v>
      </c>
      <c r="C118" s="21">
        <f>C70/C93</f>
        <v>0.20439919316107963</v>
      </c>
      <c r="D118" s="21">
        <f>D70/D93</f>
        <v>0.17357006730514077</v>
      </c>
      <c r="E118" s="21">
        <f>E70/E93</f>
        <v>0.20474171769508556</v>
      </c>
      <c r="F118" s="21">
        <f>F70/F93</f>
        <v>0.20998711340206186</v>
      </c>
      <c r="G118" s="31">
        <f>G70/G93</f>
        <v>0.2548098086114156</v>
      </c>
      <c r="H118" s="22"/>
    </row>
    <row r="119">
      <c r="A119" s="7" t="s">
        <v>93</v>
      </c>
      <c r="B119" s="28" t="str">
        <f>IF(AND(ISNUMBER(Inputs!B111),ISNUMBER(Inputs!B114)),(B118-Inputs!B111/Inputs!B114)*10000,"n.a.")</f>
        <v>n.a.</v>
      </c>
      <c r="C119" s="28">
        <f>IF(AND(ISNUMBER(Inputs!C111),ISNUMBER(Inputs!C114)),(C118-Inputs!C111/Inputs!C114)*10000,"n.a.")</f>
        <v>282.12075154497586</v>
      </c>
      <c r="D119" s="28">
        <f>IF(AND(ISNUMBER(Inputs!D111),ISNUMBER(Inputs!D114)),(D118-Inputs!D111/Inputs!D114)*10000,"n.a.")</f>
        <v>168.7003593661765</v>
      </c>
      <c r="E119" s="28">
        <f>IF(AND(ISNUMBER(Inputs!E111),ISNUMBER(Inputs!E114)),(E118-Inputs!E111/Inputs!E114)*10000,"n.a.")</f>
        <v>515.9024204104961</v>
      </c>
      <c r="F119" s="28">
        <f>IF(AND(ISNUMBER(Inputs!F111),ISNUMBER(Inputs!F114)),(F118-Inputs!F111/Inputs!F114)*10000,"n.a.")</f>
        <v>416.26312059912436</v>
      </c>
      <c r="G119" s="30">
        <f>(G118-B118)*10000</f>
        <v>860.4505644776494</v>
      </c>
      <c r="H119" s="22"/>
    </row>
    <row r="120">
      <c r="A120" s="7" t="s">
        <v>133</v>
      </c>
      <c r="B120" s="21">
        <f>B77/B93</f>
        <v>0.36742722265932337</v>
      </c>
      <c r="C120" s="21">
        <f>C77/C93</f>
        <v>0.4136009989434252</v>
      </c>
      <c r="D120" s="21">
        <f>D77/D93</f>
        <v>0.39888548476587943</v>
      </c>
      <c r="E120" s="21">
        <f>E77/E93</f>
        <v>0.41811901397393625</v>
      </c>
      <c r="F120" s="21">
        <f>F77/F93</f>
        <v>0.4778350515463918</v>
      </c>
      <c r="G120" s="31">
        <f>G77/G93</f>
        <v>0.4470014094804699</v>
      </c>
      <c r="H120" s="22"/>
    </row>
    <row r="121">
      <c r="A121" s="7" t="s">
        <v>93</v>
      </c>
      <c r="B121" s="28" t="str">
        <f>IF(AND(ISNUMBER(Inputs!B112),ISNUMBER(Inputs!B114)),(B120-Inputs!B112/Inputs!B114)*10000,"n.a.")</f>
        <v>n.a.</v>
      </c>
      <c r="C121" s="28">
        <f>IF(AND(ISNUMBER(Inputs!C112),ISNUMBER(Inputs!C114)),(C120-Inputs!C112/Inputs!C114)*10000,"n.a.")</f>
        <v>77.47684415921718</v>
      </c>
      <c r="D121" s="28">
        <f>IF(AND(ISNUMBER(Inputs!D112),ISNUMBER(Inputs!D114)),(D120-Inputs!D112/Inputs!D114)*10000,"n.a.")</f>
        <v>158.47300718199287</v>
      </c>
      <c r="E121" s="28">
        <f>IF(AND(ISNUMBER(Inputs!E112),ISNUMBER(Inputs!E114)),(E120-Inputs!E112/Inputs!E114)*10000,"n.a.")</f>
        <v>278.38779358909716</v>
      </c>
      <c r="F121" s="28">
        <f>IF(AND(ISNUMBER(Inputs!F112),ISNUMBER(Inputs!F114)),(F120-Inputs!F112/Inputs!F114)*10000,"n.a.")</f>
        <v>533.8029974534569</v>
      </c>
      <c r="G121" s="30">
        <f>(G120-B120)*10000</f>
        <v>795.7418682114653</v>
      </c>
      <c r="H121" s="22"/>
    </row>
    <row r="122">
      <c r="A122" s="7" t="s">
        <v>134</v>
      </c>
      <c r="B122" s="21">
        <f>B85/B93</f>
        <v>0.027734067663257277</v>
      </c>
      <c r="C122" s="21">
        <f>C85/C93</f>
        <v>0.040437998271059455</v>
      </c>
      <c r="D122" s="21">
        <f>D85/D93</f>
        <v>0.025498757629122137</v>
      </c>
      <c r="E122" s="21">
        <f>E85/E93</f>
        <v>0.04404145077720207</v>
      </c>
      <c r="F122" s="21">
        <f>F85/F93</f>
        <v>0.007538659793814433</v>
      </c>
      <c r="G122" s="31">
        <f>G85/G93</f>
        <v>0.019437090196091873</v>
      </c>
      <c r="H122" s="22"/>
    </row>
    <row r="123">
      <c r="A123" s="7" t="s">
        <v>93</v>
      </c>
      <c r="B123" s="28" t="str">
        <f>IF(AND(ISNUMBER(Inputs!B113),ISNUMBER(Inputs!B114)),(B122-Inputs!B113/Inputs!B114)*10000,"n.a.")</f>
        <v>n.a.</v>
      </c>
      <c r="C123" s="28">
        <f>IF(AND(ISNUMBER(Inputs!C113),ISNUMBER(Inputs!C114)),(C122-Inputs!C113/Inputs!C114)*10000,"n.a.")</f>
        <v>123.46789996494338</v>
      </c>
      <c r="D123" s="28">
        <f>IF(AND(ISNUMBER(Inputs!D113),ISNUMBER(Inputs!D114)),(D122-Inputs!D113/Inputs!D114)*10000,"n.a.")</f>
        <v>95.00810841544073</v>
      </c>
      <c r="E123" s="28">
        <f>IF(AND(ISNUMBER(Inputs!E113),ISNUMBER(Inputs!E114)),(E122-Inputs!E113/Inputs!E114)*10000,"n.a.")</f>
        <v>254.21210576103473</v>
      </c>
      <c r="F123" s="28">
        <f>IF(AND(ISNUMBER(Inputs!F113),ISNUMBER(Inputs!F114)),(F122-Inputs!F113/Inputs!F114)*10000,"n.a.")</f>
        <v>-76.59208557118164</v>
      </c>
      <c r="G123" s="30">
        <f>(G122-B122)*10000</f>
        <v>-82.96977467165404</v>
      </c>
      <c r="H123" s="22"/>
    </row>
    <row r="124">
      <c r="A124" s="1"/>
      <c r="B124" s="1"/>
      <c r="C124" s="1"/>
      <c r="D124" s="1"/>
      <c r="E124" s="1"/>
      <c r="F124" s="1"/>
      <c r="G124" s="24"/>
      <c r="H124" s="22"/>
    </row>
    <row r="125">
      <c r="A125" s="17" t="s">
        <v>135</v>
      </c>
      <c r="B125" s="1"/>
      <c r="C125" s="1"/>
      <c r="D125" s="1"/>
      <c r="E125" s="1"/>
      <c r="F125" s="1"/>
      <c r="G125" s="24"/>
      <c r="H125" s="22"/>
    </row>
    <row r="126">
      <c r="A126" s="1" t="s">
        <v>136</v>
      </c>
      <c r="B126" s="3"/>
      <c r="C126" s="3"/>
      <c r="D126" s="3"/>
      <c r="E126" s="3"/>
      <c r="F126" s="3"/>
      <c r="G126" s="35">
        <f>Inputs!B240</f>
        <v>2760</v>
      </c>
      <c r="H126" s="22"/>
    </row>
    <row r="127">
      <c r="A127" s="7" t="s">
        <v>137</v>
      </c>
      <c r="B127" s="21"/>
      <c r="C127" s="21"/>
      <c r="D127" s="21"/>
      <c r="E127" s="21"/>
      <c r="F127" s="21"/>
      <c r="G127" s="31">
        <f>G31/G126-1</f>
        <v>0.005636537381425111</v>
      </c>
      <c r="H127" s="22"/>
    </row>
    <row r="128">
      <c r="A128" s="1" t="s">
        <v>138</v>
      </c>
      <c r="B128" s="3"/>
      <c r="C128" s="3"/>
      <c r="D128" s="3"/>
      <c r="E128" s="3"/>
      <c r="F128" s="3"/>
      <c r="G128" s="35">
        <f>Inputs!C240</f>
        <v>3720</v>
      </c>
      <c r="H128" s="22"/>
    </row>
    <row r="129">
      <c r="A129" s="7" t="s">
        <v>137</v>
      </c>
      <c r="B129" s="21"/>
      <c r="C129" s="21"/>
      <c r="D129" s="21"/>
      <c r="E129" s="21"/>
      <c r="F129" s="21"/>
      <c r="G129" s="31">
        <f>G54/G128-1</f>
        <v>0.02451651890681017</v>
      </c>
      <c r="H129" s="22"/>
    </row>
    <row r="130">
      <c r="A130" s="1" t="s">
        <v>139</v>
      </c>
      <c r="B130" s="3"/>
      <c r="C130" s="3"/>
      <c r="D130" s="3"/>
      <c r="E130" s="3"/>
      <c r="F130" s="3"/>
      <c r="G130" s="35">
        <f>Inputs!D240</f>
        <v>4960</v>
      </c>
      <c r="H130" s="22"/>
    </row>
    <row r="131">
      <c r="A131" s="7" t="s">
        <v>137</v>
      </c>
      <c r="B131" s="21"/>
      <c r="C131" s="21"/>
      <c r="D131" s="21"/>
      <c r="E131" s="21"/>
      <c r="F131" s="21"/>
      <c r="G131" s="31">
        <f>G77/G130-1</f>
        <v>0.11253698606182794</v>
      </c>
      <c r="H131" s="22"/>
    </row>
    <row r="132">
      <c r="A132" s="1" t="s">
        <v>140</v>
      </c>
      <c r="B132" s="3"/>
      <c r="C132" s="3"/>
      <c r="D132" s="3"/>
      <c r="E132" s="3"/>
      <c r="F132" s="3"/>
      <c r="G132" s="35">
        <f>Inputs!E240</f>
        <v>241.25</v>
      </c>
      <c r="H132" s="22"/>
    </row>
    <row r="133">
      <c r="A133" s="7" t="s">
        <v>137</v>
      </c>
      <c r="B133" s="21"/>
      <c r="C133" s="21"/>
      <c r="D133" s="21"/>
      <c r="E133" s="21"/>
      <c r="F133" s="21"/>
      <c r="G133" s="31">
        <f>G85/G132-1</f>
        <v>-0.0053937823834195875</v>
      </c>
      <c r="H133" s="22"/>
    </row>
    <row r="134">
      <c r="A134" s="1" t="s">
        <v>141</v>
      </c>
      <c r="B134" s="3"/>
      <c r="C134" s="3"/>
      <c r="D134" s="3"/>
      <c r="E134" s="3"/>
      <c r="F134" s="3"/>
      <c r="G134" s="35">
        <f>Inputs!B239</f>
        <v>11690</v>
      </c>
      <c r="H134" s="22"/>
    </row>
    <row r="135">
      <c r="A135" s="7" t="s">
        <v>137</v>
      </c>
      <c r="B135" s="21"/>
      <c r="C135" s="21"/>
      <c r="D135" s="21"/>
      <c r="E135" s="21"/>
      <c r="F135" s="21"/>
      <c r="G135" s="31">
        <f>G93/G134-1</f>
        <v>0.05602142809005417</v>
      </c>
      <c r="H135" s="22"/>
    </row>
    <row r="136">
      <c r="A136" s="1"/>
      <c r="B136" s="1"/>
      <c r="C136" s="1"/>
      <c r="D136" s="1"/>
      <c r="E136" s="1"/>
      <c r="F136" s="1"/>
      <c r="G136" s="24"/>
      <c r="H136" s="22"/>
    </row>
    <row r="137">
      <c r="A137" s="17" t="s">
        <v>142</v>
      </c>
      <c r="B137" s="1"/>
      <c r="C137" s="1"/>
      <c r="D137" s="1"/>
      <c r="E137" s="1"/>
      <c r="F137" s="1"/>
      <c r="G137" s="24"/>
      <c r="H137" s="22"/>
    </row>
    <row r="138">
      <c r="A138" s="1" t="s">
        <v>143</v>
      </c>
      <c r="B138" s="3"/>
      <c r="C138" s="3"/>
      <c r="D138" s="3"/>
      <c r="E138" s="3"/>
      <c r="F138" s="3"/>
      <c r="G138" s="51">
        <v>21.194</v>
      </c>
      <c r="H138" s="22" t="s">
        <v>144</v>
      </c>
    </row>
    <row r="139">
      <c r="A139" s="1" t="s">
        <v>145</v>
      </c>
      <c r="B139" s="3"/>
      <c r="C139" s="3"/>
      <c r="D139" s="3"/>
      <c r="E139" s="3"/>
      <c r="F139" s="3"/>
      <c r="G139" s="51">
        <v>23.765</v>
      </c>
      <c r="H139" s="22" t="s">
        <v>144</v>
      </c>
    </row>
    <row r="140">
      <c r="A140" s="7" t="s">
        <v>146</v>
      </c>
      <c r="B140" s="21"/>
      <c r="C140" s="21"/>
      <c r="D140" s="21"/>
      <c r="E140" s="21"/>
      <c r="F140" s="21"/>
      <c r="G140" s="31">
        <f>G138/G139-1</f>
        <v>-0.10818430464969497</v>
      </c>
      <c r="H140" s="22"/>
    </row>
    <row r="141">
      <c r="A141" s="1" t="s">
        <v>147</v>
      </c>
      <c r="B141" s="3"/>
      <c r="C141" s="3"/>
      <c r="D141" s="3"/>
      <c r="E141" s="3"/>
      <c r="F141" s="3"/>
      <c r="G141" s="51">
        <v>50</v>
      </c>
      <c r="H141" s="22" t="s">
        <v>148</v>
      </c>
    </row>
    <row r="142">
      <c r="A142" s="1" t="s">
        <v>149</v>
      </c>
      <c r="B142" s="3"/>
      <c r="C142" s="3"/>
      <c r="D142" s="3"/>
      <c r="E142" s="3"/>
      <c r="F142" s="3"/>
      <c r="G142" s="51">
        <v>34</v>
      </c>
      <c r="H142" s="22" t="s">
        <v>148</v>
      </c>
    </row>
    <row r="143">
      <c r="A143" s="7" t="s">
        <v>150</v>
      </c>
      <c r="B143" s="21"/>
      <c r="C143" s="21"/>
      <c r="D143" s="21"/>
      <c r="E143" s="21"/>
      <c r="F143" s="21"/>
      <c r="G143" s="31">
        <f>G141/G142-1</f>
        <v>0.47058823529411775</v>
      </c>
      <c r="H143" s="22"/>
    </row>
    <row r="144">
      <c r="A144" s="7" t="s">
        <v>151</v>
      </c>
      <c r="B144" s="21"/>
      <c r="C144" s="21"/>
      <c r="D144" s="21"/>
      <c r="E144" s="21"/>
      <c r="F144" s="21"/>
      <c r="G144" s="27">
        <v>0.165</v>
      </c>
      <c r="H144" s="22" t="s">
        <v>152</v>
      </c>
    </row>
    <row r="145">
      <c r="A145" s="7" t="s">
        <v>153</v>
      </c>
      <c r="B145" s="21"/>
      <c r="C145" s="21"/>
      <c r="D145" s="21"/>
      <c r="E145" s="21"/>
      <c r="F145" s="21"/>
      <c r="G145" s="27">
        <v>0.05</v>
      </c>
      <c r="H145" s="22" t="s">
        <v>154</v>
      </c>
    </row>
    <row r="146">
      <c r="A146" s="7" t="s">
        <v>155</v>
      </c>
      <c r="B146" s="21"/>
      <c r="C146" s="21"/>
      <c r="D146" s="21"/>
      <c r="E146" s="21"/>
      <c r="F146" s="21"/>
      <c r="G146" s="27">
        <v>0</v>
      </c>
      <c r="H146" s="22" t="s">
        <v>156</v>
      </c>
    </row>
    <row r="147">
      <c r="A147" s="7" t="s">
        <v>157</v>
      </c>
      <c r="B147" s="21"/>
      <c r="C147" s="21"/>
      <c r="D147" s="21"/>
      <c r="E147" s="21"/>
      <c r="F147" s="21"/>
      <c r="G147" s="31">
        <f>AVERAGE(G144:G146)</f>
        <v>0.07166666666666667</v>
      </c>
      <c r="H147" s="22"/>
    </row>
    <row r="148">
      <c r="A148" s="7" t="s">
        <v>158</v>
      </c>
      <c r="B148" s="21"/>
      <c r="C148" s="21"/>
      <c r="D148" s="21"/>
      <c r="E148" s="21"/>
      <c r="F148" s="21"/>
      <c r="G148" s="27">
        <v>0.0203</v>
      </c>
      <c r="H148" s="22" t="s">
        <v>159</v>
      </c>
    </row>
    <row r="149">
      <c r="A149" s="7" t="s">
        <v>160</v>
      </c>
      <c r="B149" s="21"/>
      <c r="C149" s="21"/>
      <c r="D149" s="21"/>
      <c r="E149" s="21"/>
      <c r="F149" s="21"/>
      <c r="G149" s="31">
        <f>G140</f>
        <v>-0.10818430464969497</v>
      </c>
      <c r="H149" s="22"/>
    </row>
    <row r="150">
      <c r="A150" s="7" t="s">
        <v>161</v>
      </c>
      <c r="B150" s="21"/>
      <c r="C150" s="21"/>
      <c r="D150" s="21"/>
      <c r="E150" s="21"/>
      <c r="F150" s="21"/>
      <c r="G150" s="27">
        <v>0.099</v>
      </c>
      <c r="H150" s="22"/>
    </row>
    <row r="151">
      <c r="A151" s="7" t="s">
        <v>162</v>
      </c>
      <c r="B151" s="21"/>
      <c r="C151" s="21"/>
      <c r="D151" s="21"/>
      <c r="E151" s="21"/>
      <c r="F151" s="21"/>
      <c r="G151" s="31">
        <f>(1+G149)*(1+G150)-1</f>
        <v>-0.01989455081001479</v>
      </c>
      <c r="H151" s="22"/>
    </row>
    <row r="152">
      <c r="A152" s="7" t="s">
        <v>163</v>
      </c>
      <c r="B152" s="21"/>
      <c r="C152" s="21"/>
      <c r="D152" s="21"/>
      <c r="E152" s="21"/>
      <c r="F152" s="21"/>
      <c r="G152" s="31">
        <f>G143</f>
        <v>0.47058823529411775</v>
      </c>
      <c r="H152" s="22"/>
    </row>
    <row r="153">
      <c r="A153" s="7" t="s">
        <v>161</v>
      </c>
      <c r="B153" s="21"/>
      <c r="C153" s="21"/>
      <c r="D153" s="21"/>
      <c r="E153" s="21"/>
      <c r="F153" s="21"/>
      <c r="G153" s="27">
        <v>-0.014</v>
      </c>
      <c r="H153" s="22"/>
    </row>
    <row r="154">
      <c r="A154" s="7" t="s">
        <v>162</v>
      </c>
      <c r="B154" s="21"/>
      <c r="C154" s="21"/>
      <c r="D154" s="21"/>
      <c r="E154" s="21"/>
      <c r="F154" s="21"/>
      <c r="G154" s="31">
        <f>(1+G152)*(1+G153)-1</f>
        <v>0.4500000000000002</v>
      </c>
      <c r="H154" s="22"/>
    </row>
    <row r="155">
      <c r="A155" s="7" t="s">
        <v>164</v>
      </c>
      <c r="B155" s="21"/>
      <c r="C155" s="21"/>
      <c r="D155" s="21"/>
      <c r="E155" s="21"/>
      <c r="F155" s="21"/>
      <c r="G155" s="31">
        <f>G140</f>
        <v>-0.10818430464969497</v>
      </c>
      <c r="H155" s="22"/>
    </row>
    <row r="156">
      <c r="A156" s="7" t="s">
        <v>161</v>
      </c>
      <c r="B156" s="21"/>
      <c r="C156" s="21"/>
      <c r="D156" s="21"/>
      <c r="E156" s="21"/>
      <c r="F156" s="21"/>
      <c r="G156" s="27">
        <v>0.032</v>
      </c>
      <c r="H156" s="22"/>
    </row>
    <row r="157">
      <c r="A157" s="7" t="s">
        <v>162</v>
      </c>
      <c r="B157" s="21"/>
      <c r="C157" s="21"/>
      <c r="D157" s="21"/>
      <c r="E157" s="21"/>
      <c r="F157" s="21"/>
      <c r="G157" s="31">
        <f>(1+G155)*(1+G156)-1</f>
        <v>-0.07964620239848519</v>
      </c>
      <c r="H157" s="22"/>
    </row>
    <row r="158">
      <c r="A158" s="7" t="s">
        <v>165</v>
      </c>
      <c r="B158" s="21"/>
      <c r="C158" s="21"/>
      <c r="D158" s="21"/>
      <c r="E158" s="21"/>
      <c r="F158" s="21"/>
      <c r="G158" s="31">
        <f>G147</f>
        <v>0.07166666666666667</v>
      </c>
      <c r="H158" s="22"/>
    </row>
    <row r="159">
      <c r="A159" s="7" t="s">
        <v>161</v>
      </c>
      <c r="B159" s="21"/>
      <c r="C159" s="21"/>
      <c r="D159" s="21"/>
      <c r="E159" s="21"/>
      <c r="F159" s="21"/>
      <c r="G159" s="27">
        <v>-0.011</v>
      </c>
      <c r="H159" s="22"/>
    </row>
    <row r="160">
      <c r="A160" s="7" t="s">
        <v>162</v>
      </c>
      <c r="B160" s="21"/>
      <c r="C160" s="21"/>
      <c r="D160" s="21"/>
      <c r="E160" s="21"/>
      <c r="F160" s="21"/>
      <c r="G160" s="31">
        <f>(1+G158)*(1+G159)-1</f>
        <v>0.05987833333333348</v>
      </c>
      <c r="H160" s="22"/>
    </row>
    <row r="161">
      <c r="A161" s="7" t="s">
        <v>166</v>
      </c>
      <c r="B161" s="21"/>
      <c r="C161" s="21"/>
      <c r="D161" s="21"/>
      <c r="E161" s="21"/>
      <c r="F161" s="21"/>
      <c r="G161" s="31">
        <f>G147</f>
        <v>0.07166666666666667</v>
      </c>
      <c r="H161" s="22"/>
    </row>
    <row r="162">
      <c r="A162" s="7" t="s">
        <v>161</v>
      </c>
      <c r="B162" s="21"/>
      <c r="C162" s="21"/>
      <c r="D162" s="21"/>
      <c r="E162" s="21"/>
      <c r="F162" s="21"/>
      <c r="G162" s="27">
        <v>0.096</v>
      </c>
      <c r="H162" s="22"/>
    </row>
    <row r="163">
      <c r="A163" s="7" t="s">
        <v>162</v>
      </c>
      <c r="B163" s="21"/>
      <c r="C163" s="21"/>
      <c r="D163" s="21"/>
      <c r="E163" s="21"/>
      <c r="F163" s="21"/>
      <c r="G163" s="31">
        <f>(1+G161)*(1+G162)-1</f>
        <v>0.17454666666666685</v>
      </c>
      <c r="H163" s="22"/>
    </row>
    <row r="164">
      <c r="A164" s="1" t="s">
        <v>167</v>
      </c>
      <c r="B164" s="3"/>
      <c r="C164" s="3"/>
      <c r="D164" s="3"/>
      <c r="E164" s="3"/>
      <c r="F164" s="3"/>
      <c r="G164" s="29">
        <f>F47</f>
        <v>1216</v>
      </c>
      <c r="H164" s="22"/>
    </row>
    <row r="165">
      <c r="A165" s="7" t="s">
        <v>168</v>
      </c>
      <c r="B165" s="21"/>
      <c r="C165" s="21"/>
      <c r="D165" s="21"/>
      <c r="E165" s="21"/>
      <c r="F165" s="21"/>
      <c r="G165" s="31">
        <f>G148</f>
        <v>0.0203</v>
      </c>
      <c r="H165" s="22"/>
    </row>
    <row r="166">
      <c r="A166" s="7" t="s">
        <v>169</v>
      </c>
      <c r="B166" s="21"/>
      <c r="C166" s="21"/>
      <c r="D166" s="21"/>
      <c r="E166" s="21"/>
      <c r="F166" s="21"/>
      <c r="G166" s="27">
        <v>-0.01</v>
      </c>
      <c r="H166" s="22"/>
    </row>
    <row r="167">
      <c r="A167" s="7" t="s">
        <v>170</v>
      </c>
      <c r="B167" s="21"/>
      <c r="C167" s="21"/>
      <c r="D167" s="21"/>
      <c r="E167" s="21"/>
      <c r="F167" s="21"/>
      <c r="G167" s="31">
        <f>(1+G165)*(1+G166)-1</f>
        <v>0.010097000000000023</v>
      </c>
      <c r="H167" s="22"/>
    </row>
    <row r="168">
      <c r="A168" s="17" t="s">
        <v>171</v>
      </c>
      <c r="B168" s="26"/>
      <c r="C168" s="26"/>
      <c r="D168" s="26"/>
      <c r="E168" s="26"/>
      <c r="F168" s="26"/>
      <c r="G168" s="52">
        <f>G164*(1+G167)</f>
        <v>1228.277952</v>
      </c>
      <c r="H168" s="22"/>
    </row>
    <row r="169">
      <c r="A169" s="1" t="s">
        <v>172</v>
      </c>
      <c r="B169" s="3"/>
      <c r="C169" s="3"/>
      <c r="D169" s="3"/>
      <c r="E169" s="3"/>
      <c r="F169" s="3"/>
      <c r="G169" s="29">
        <f>F70</f>
        <v>3259</v>
      </c>
      <c r="H169" s="22"/>
    </row>
    <row r="170">
      <c r="A170" s="7" t="s">
        <v>168</v>
      </c>
      <c r="B170" s="21"/>
      <c r="C170" s="21"/>
      <c r="D170" s="21"/>
      <c r="E170" s="21"/>
      <c r="F170" s="21"/>
      <c r="G170" s="31">
        <f>G148</f>
        <v>0.0203</v>
      </c>
      <c r="H170" s="22"/>
    </row>
    <row r="171">
      <c r="A171" s="7" t="s">
        <v>169</v>
      </c>
      <c r="B171" s="21"/>
      <c r="C171" s="21"/>
      <c r="D171" s="21"/>
      <c r="E171" s="21"/>
      <c r="F171" s="21"/>
      <c r="G171" s="27">
        <v>-0.054</v>
      </c>
      <c r="H171" s="22"/>
    </row>
    <row r="172">
      <c r="A172" s="7" t="s">
        <v>170</v>
      </c>
      <c r="B172" s="21"/>
      <c r="C172" s="21"/>
      <c r="D172" s="21"/>
      <c r="E172" s="21"/>
      <c r="F172" s="21"/>
      <c r="G172" s="31">
        <f>(1+G170)*(1+G171)-1</f>
        <v>-0.034796200000000055</v>
      </c>
      <c r="H172" s="22"/>
    </row>
    <row r="173">
      <c r="A173" s="17" t="s">
        <v>173</v>
      </c>
      <c r="B173" s="26"/>
      <c r="C173" s="26"/>
      <c r="D173" s="26"/>
      <c r="E173" s="26"/>
      <c r="F173" s="26"/>
      <c r="G173" s="52">
        <f>G169*(1+G172)</f>
        <v>3145.5991842</v>
      </c>
      <c r="H173" s="22"/>
    </row>
    <row r="174">
      <c r="A174" s="1" t="s">
        <v>174</v>
      </c>
      <c r="B174" s="3"/>
      <c r="C174" s="3"/>
      <c r="D174" s="3"/>
      <c r="E174" s="3"/>
      <c r="F174" s="3"/>
      <c r="G174" s="29">
        <f>AVERAGE(B85,C85,E85,F85)</f>
        <v>345.25</v>
      </c>
      <c r="H174" s="22"/>
    </row>
    <row r="175">
      <c r="A175" s="7" t="s">
        <v>175</v>
      </c>
      <c r="B175" s="21"/>
      <c r="C175" s="21"/>
      <c r="D175" s="21"/>
      <c r="E175" s="21"/>
      <c r="F175" s="21"/>
      <c r="G175" s="27">
        <v>-0.305</v>
      </c>
      <c r="H175" s="22"/>
    </row>
    <row r="176">
      <c r="A176" s="17" t="s">
        <v>176</v>
      </c>
      <c r="B176" s="26"/>
      <c r="C176" s="26"/>
      <c r="D176" s="26"/>
      <c r="E176" s="26"/>
      <c r="F176" s="26"/>
      <c r="G176" s="52">
        <f>G174*(1+G175)</f>
        <v>239.94875000000002</v>
      </c>
      <c r="H176" s="22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45"/>
  <sheetViews>
    <sheetView showGridLines="0" workbookViewId="0"/>
  </sheetViews>
  <sheetFormatPr defaultColWidth="8.42578125" defaultRowHeight="15"/>
  <cols>
    <col min="1" max="1" width="32" customWidth="1"/>
    <col min="2" max="7" width="12" customWidth="1"/>
    <col min="8" max="8" width="40" customWidth="1"/>
  </cols>
  <sheetData>
    <row r="1">
      <c r="A1" s="15" t="s">
        <v>0</v>
      </c>
      <c r="B1" s="1"/>
      <c r="C1" s="1"/>
      <c r="D1" s="1"/>
      <c r="E1" s="1"/>
      <c r="F1" s="1"/>
      <c r="G1" s="1"/>
      <c r="H1" s="1"/>
    </row>
    <row r="2">
      <c r="A2" s="17" t="s">
        <v>177</v>
      </c>
      <c r="B2" s="1"/>
      <c r="C2" s="1"/>
      <c r="D2" s="1"/>
      <c r="E2" s="1"/>
      <c r="F2" s="1"/>
      <c r="G2" s="1"/>
      <c r="H2" s="1"/>
    </row>
    <row r="3">
      <c r="A3" s="7" t="s">
        <v>2</v>
      </c>
      <c r="B3" s="1"/>
      <c r="C3" s="1"/>
      <c r="D3" s="1"/>
      <c r="E3" s="1"/>
      <c r="F3" s="1"/>
      <c r="G3" s="1"/>
      <c r="H3" s="1"/>
    </row>
    <row r="4">
      <c r="A4" s="1"/>
      <c r="B4" s="1"/>
      <c r="C4" s="1"/>
      <c r="D4" s="1"/>
      <c r="E4" s="1"/>
      <c r="F4" s="1"/>
      <c r="G4" s="1"/>
      <c r="H4" s="1"/>
    </row>
    <row r="5">
      <c r="A5" s="16" t="s">
        <v>65</v>
      </c>
      <c r="B5" s="2" t="s">
        <v>66</v>
      </c>
      <c r="C5" s="2" t="s">
        <v>67</v>
      </c>
      <c r="D5" s="2" t="s">
        <v>68</v>
      </c>
      <c r="E5" s="2" t="s">
        <v>69</v>
      </c>
      <c r="F5" s="2" t="s">
        <v>70</v>
      </c>
      <c r="G5" s="59" t="s">
        <v>71</v>
      </c>
      <c r="H5" s="16" t="s">
        <v>72</v>
      </c>
    </row>
    <row r="6">
      <c r="A6" s="11" t="s">
        <v>73</v>
      </c>
      <c r="B6" s="5">
        <f>DATE(2025,9,30)</f>
        <v>45930</v>
      </c>
      <c r="C6" s="5">
        <f>DATE(2025,12,31)</f>
        <v>46022</v>
      </c>
      <c r="D6" s="5">
        <f>DATE(2025,12,31)</f>
        <v>46022</v>
      </c>
      <c r="E6" s="5">
        <f>DATE(2026,3,31)</f>
        <v>46112</v>
      </c>
      <c r="F6" s="5">
        <f>DATE(2026,6,30)</f>
        <v>46203</v>
      </c>
      <c r="G6" s="43">
        <f>DATE(2026,9,30)</f>
        <v>46295</v>
      </c>
      <c r="H6" s="11"/>
    </row>
    <row r="7">
      <c r="A7" s="4" t="s">
        <v>74</v>
      </c>
      <c r="B7" s="12">
        <f>B6-DATE(2025,6,30)</f>
        <v>92</v>
      </c>
      <c r="C7" s="12">
        <f>C6-B6</f>
        <v>92</v>
      </c>
      <c r="D7" s="12">
        <f>D6-DATE(2024,12,31)</f>
        <v>365</v>
      </c>
      <c r="E7" s="12">
        <f>E6-C6</f>
        <v>90</v>
      </c>
      <c r="F7" s="12">
        <f>F6-E6</f>
        <v>91</v>
      </c>
      <c r="G7" s="55">
        <f>G6-F6</f>
        <v>92</v>
      </c>
      <c r="H7" s="4"/>
    </row>
    <row r="8">
      <c r="A8" s="1"/>
      <c r="B8" s="1"/>
      <c r="C8" s="1"/>
      <c r="D8" s="1"/>
      <c r="E8" s="1"/>
      <c r="F8" s="1"/>
      <c r="G8" s="1"/>
      <c r="H8" s="1"/>
    </row>
    <row r="9">
      <c r="A9" s="17" t="s">
        <v>178</v>
      </c>
      <c r="B9" s="1"/>
      <c r="C9" s="1"/>
      <c r="D9" s="1"/>
      <c r="E9" s="1"/>
      <c r="F9" s="1"/>
      <c r="G9" s="24"/>
      <c r="H9" s="22"/>
    </row>
    <row r="10">
      <c r="A10" s="1" t="s">
        <v>179</v>
      </c>
      <c r="B10" s="8">
        <f>Inputs!F166</f>
        <v>371</v>
      </c>
      <c r="C10" s="3">
        <f>B19</f>
        <v>390</v>
      </c>
      <c r="D10" s="8">
        <f>Inputs!D166</f>
        <v>350</v>
      </c>
      <c r="E10" s="3">
        <f>C19</f>
        <v>420</v>
      </c>
      <c r="F10" s="3">
        <f>E19</f>
        <v>429</v>
      </c>
      <c r="G10" s="29">
        <f>F19</f>
        <v>459</v>
      </c>
      <c r="H10" s="22"/>
    </row>
    <row r="11">
      <c r="A11" s="1" t="s">
        <v>180</v>
      </c>
      <c r="B11" s="20">
        <v>12</v>
      </c>
      <c r="C11" s="20">
        <v>27</v>
      </c>
      <c r="D11" s="20">
        <v>52</v>
      </c>
      <c r="E11" s="20">
        <v>11</v>
      </c>
      <c r="F11" s="20">
        <v>21</v>
      </c>
      <c r="G11" s="51">
        <v>20</v>
      </c>
      <c r="H11" s="22"/>
    </row>
    <row r="12">
      <c r="A12" s="7" t="s">
        <v>181</v>
      </c>
      <c r="B12" s="23" t="str">
        <f>IF(ISNUMBER(Inputs!B159),IF(OR(Inputs!B159&lt;=0,B11&lt;0),"n.m.",B11/Inputs!B159-1),"n.a.")</f>
        <v>n.a.</v>
      </c>
      <c r="C12" s="23">
        <f>IF(ISNUMBER(Inputs!C159),IF(OR(Inputs!C159&lt;=0,C11&lt;0),"n.m.",C11/Inputs!C159-1),"n.a.")</f>
        <v>1.4545454545454546</v>
      </c>
      <c r="D12" s="23">
        <f>IF(ISNUMBER(Inputs!D159),IF(OR(Inputs!D159&lt;=0,D11&lt;0),"n.m.",D11/Inputs!D159-1),"n.a.")</f>
        <v>0.368421052631579</v>
      </c>
      <c r="E12" s="23" t="str">
        <f>IF(ISNUMBER(Inputs!E159),IF(OR(Inputs!E159&lt;=0,E11&lt;0),"n.m.",E11/Inputs!E159-1),"n.a.")</f>
        <v>n.a.</v>
      </c>
      <c r="F12" s="23">
        <f>IF(ISNUMBER(Inputs!F159),IF(OR(Inputs!F159&lt;=0,F11&lt;0),"n.m.",F11/Inputs!F159-1),"n.a.")</f>
        <v>1.3333333333333335</v>
      </c>
      <c r="G12" s="31">
        <f>IF(ISNUMBER(B11),IF(OR(B11&lt;=0,G11&lt;0),"n.m.",G11/B11-1),"n.a.")</f>
        <v>0.6666666666666667</v>
      </c>
      <c r="H12" s="22"/>
    </row>
    <row r="13">
      <c r="A13" s="7" t="s">
        <v>182</v>
      </c>
      <c r="B13" s="23">
        <f>IF(ISNUMBER(Inputs!F159),IF(OR(Inputs!F159&lt;=0,B11&lt;0),"n.m.",B11/Inputs!F159-1),"n.a.")</f>
        <v>0.33333333333333326</v>
      </c>
      <c r="C13" s="21">
        <f>IF(ISNUMBER(B11),IF(OR(B11&lt;=0,C11&lt;0),"n.m.",C11/B11-1),"n.a.")</f>
        <v>1.25</v>
      </c>
      <c r="D13" s="21" t="str">
        <f>"n.a."</f>
        <v>n.a.</v>
      </c>
      <c r="E13" s="21">
        <f>IF(ISNUMBER(C11),IF(OR(C11&lt;=0,E11&lt;0),"n.m.",E11/C11-1),"n.a.")</f>
        <v>-0.5925925925925926</v>
      </c>
      <c r="F13" s="21">
        <f>IF(ISNUMBER(E11),IF(OR(E11&lt;=0,F11&lt;0),"n.m.",F11/E11-1),"n.a.")</f>
        <v>0.9090909090909092</v>
      </c>
      <c r="G13" s="31">
        <f>IF(ISNUMBER(F11),IF(OR(F11&lt;=0,G11&lt;0),"n.m.",G11/F11-1),"n.a.")</f>
        <v>-0.04761904761904767</v>
      </c>
      <c r="H13" s="22"/>
    </row>
    <row r="14">
      <c r="A14" s="1" t="s">
        <v>183</v>
      </c>
      <c r="B14" s="8">
        <f>IF(ISNUMBER(Inputs!F159),B11-Inputs!F159,"n.a.")</f>
        <v>3</v>
      </c>
      <c r="C14" s="3">
        <f>IF(ISNUMBER(B11),C11-B11,"n.a.")</f>
        <v>15</v>
      </c>
      <c r="D14" s="3" t="str">
        <f>"n.a."</f>
        <v>n.a.</v>
      </c>
      <c r="E14" s="3">
        <f>IF(ISNUMBER(C11),E11-C11,"n.a.")</f>
        <v>-16</v>
      </c>
      <c r="F14" s="3">
        <f>IF(ISNUMBER(E11),F11-E11,"n.a.")</f>
        <v>10</v>
      </c>
      <c r="G14" s="29">
        <f>IF(ISNUMBER(F11),G11-F11,"n.a.")</f>
        <v>-1</v>
      </c>
      <c r="H14" s="22"/>
    </row>
    <row r="15">
      <c r="A15" s="1" t="s">
        <v>184</v>
      </c>
      <c r="B15" s="3">
        <f>B19-B10-B11</f>
        <v>7</v>
      </c>
      <c r="C15" s="3">
        <f>C19-C10-C11</f>
        <v>3</v>
      </c>
      <c r="D15" s="3">
        <f>D19-D10-D11</f>
        <v>18</v>
      </c>
      <c r="E15" s="3">
        <f>E19-E10-E11</f>
        <v>-2</v>
      </c>
      <c r="F15" s="3">
        <f>F19-F10-F11</f>
        <v>9</v>
      </c>
      <c r="G15" s="29">
        <f>G10*G16</f>
        <v>4.59</v>
      </c>
      <c r="H15" s="22"/>
    </row>
    <row r="16">
      <c r="A16" s="7" t="s">
        <v>185</v>
      </c>
      <c r="B16" s="21">
        <f>B15/B10</f>
        <v>0.018867924528301886</v>
      </c>
      <c r="C16" s="21">
        <f>C15/C10</f>
        <v>0.007692307692307693</v>
      </c>
      <c r="D16" s="21">
        <f>D15/D10</f>
        <v>0.05142857142857143</v>
      </c>
      <c r="E16" s="21">
        <f>E15/E10</f>
        <v>-0.004761904761904762</v>
      </c>
      <c r="F16" s="21">
        <f>F15/F10</f>
        <v>0.02097902097902098</v>
      </c>
      <c r="G16" s="27">
        <v>0.01</v>
      </c>
      <c r="H16" s="22"/>
    </row>
    <row r="17">
      <c r="A17" s="7" t="s">
        <v>186</v>
      </c>
      <c r="B17" s="25" t="str">
        <f>"n.a."</f>
        <v>n.a.</v>
      </c>
      <c r="C17" s="25">
        <f>(C16-B16)*10000</f>
        <v>-111.75616835994194</v>
      </c>
      <c r="D17" s="25" t="str">
        <f>"n.a."</f>
        <v>n.a.</v>
      </c>
      <c r="E17" s="25">
        <f>(E16-C16)*10000</f>
        <v>-124.54212454212455</v>
      </c>
      <c r="F17" s="25">
        <f>(F16-E16)*10000</f>
        <v>257.4092574092574</v>
      </c>
      <c r="G17" s="30">
        <f>(G16-F16)*10000</f>
        <v>-109.7902097902098</v>
      </c>
      <c r="H17" s="22"/>
    </row>
    <row r="18">
      <c r="A18" s="7" t="s">
        <v>187</v>
      </c>
      <c r="B18" s="25" t="str">
        <f>"n.a."</f>
        <v>n.a.</v>
      </c>
      <c r="C18" s="25" t="str">
        <f>"n.a."</f>
        <v>n.a.</v>
      </c>
      <c r="D18" s="25" t="str">
        <f>"n.a."</f>
        <v>n.a.</v>
      </c>
      <c r="E18" s="25" t="str">
        <f>"n.a."</f>
        <v>n.a.</v>
      </c>
      <c r="F18" s="25" t="str">
        <f>"n.a."</f>
        <v>n.a.</v>
      </c>
      <c r="G18" s="30">
        <f>(G16-B16)*10000</f>
        <v>-88.67924528301886</v>
      </c>
      <c r="H18" s="22"/>
    </row>
    <row r="19">
      <c r="A19" s="17" t="s">
        <v>188</v>
      </c>
      <c r="B19" s="36">
        <v>390</v>
      </c>
      <c r="C19" s="36">
        <v>420</v>
      </c>
      <c r="D19" s="26">
        <f>C19</f>
        <v>420</v>
      </c>
      <c r="E19" s="36">
        <v>429</v>
      </c>
      <c r="F19" s="36">
        <v>459</v>
      </c>
      <c r="G19" s="52">
        <f>G10+G11+G15</f>
        <v>483.59</v>
      </c>
      <c r="H19" s="22"/>
    </row>
    <row r="20">
      <c r="A20" s="7" t="s">
        <v>181</v>
      </c>
      <c r="B20" s="23" t="str">
        <f>IF(ISNUMBER(Inputs!B166),IF(OR(Inputs!B166&lt;=0,B19&lt;0),"n.m.",B19/Inputs!B166-1),"n.a.")</f>
        <v>n.a.</v>
      </c>
      <c r="C20" s="23">
        <f>IF(ISNUMBER(Inputs!C166),IF(OR(Inputs!C166&lt;=0,C19&lt;0),"n.m.",C19/Inputs!C166-1),"n.a.")</f>
        <v>0.19999999999999996</v>
      </c>
      <c r="D20" s="23">
        <f>IF(ISNUMBER(Inputs!D166),IF(OR(Inputs!D166&lt;=0,D19&lt;0),"n.m.",D19/Inputs!D166-1),"n.a.")</f>
        <v>0.19999999999999996</v>
      </c>
      <c r="E20" s="23" t="str">
        <f>IF(ISNUMBER(Inputs!E166),IF(OR(Inputs!E166&lt;=0,E19&lt;0),"n.m.",E19/Inputs!E166-1),"n.a.")</f>
        <v>n.a.</v>
      </c>
      <c r="F20" s="23">
        <f>IF(ISNUMBER(Inputs!F166),IF(OR(Inputs!F166&lt;=0,F19&lt;0),"n.m.",F19/Inputs!F166-1),"n.a.")</f>
        <v>0.2371967654986522</v>
      </c>
      <c r="G20" s="31">
        <f>IF(ISNUMBER(B19),IF(OR(B19&lt;=0,G19&lt;0),"n.m.",G19/B19-1),"n.a.")</f>
        <v>0.23997435897435881</v>
      </c>
      <c r="H20" s="22"/>
    </row>
    <row r="21">
      <c r="A21" s="1" t="s">
        <v>189</v>
      </c>
      <c r="B21" s="3">
        <f>B19-B10</f>
        <v>19</v>
      </c>
      <c r="C21" s="3">
        <f>C19-C10</f>
        <v>30</v>
      </c>
      <c r="D21" s="3">
        <f>D19-D10</f>
        <v>70</v>
      </c>
      <c r="E21" s="3">
        <f>E19-E10</f>
        <v>9</v>
      </c>
      <c r="F21" s="3">
        <f>F19-F10</f>
        <v>30</v>
      </c>
      <c r="G21" s="29">
        <f>G19-G10</f>
        <v>24.589999999999975</v>
      </c>
      <c r="H21" s="22"/>
    </row>
    <row r="22">
      <c r="A22" s="1" t="s">
        <v>190</v>
      </c>
      <c r="B22" s="8">
        <f>Inputs!F167</f>
        <v>857</v>
      </c>
      <c r="C22" s="3">
        <f>B31</f>
        <v>914</v>
      </c>
      <c r="D22" s="8">
        <f>Inputs!D167</f>
        <v>772</v>
      </c>
      <c r="E22" s="3">
        <f>C31</f>
        <v>951</v>
      </c>
      <c r="F22" s="3">
        <f>E31</f>
        <v>954</v>
      </c>
      <c r="G22" s="29">
        <f>F31</f>
        <v>1123</v>
      </c>
      <c r="H22" s="22"/>
    </row>
    <row r="23">
      <c r="A23" s="1" t="s">
        <v>180</v>
      </c>
      <c r="B23" s="20">
        <v>5</v>
      </c>
      <c r="C23" s="20">
        <v>11</v>
      </c>
      <c r="D23" s="20">
        <v>35</v>
      </c>
      <c r="E23" s="20">
        <v>24</v>
      </c>
      <c r="F23" s="20">
        <v>46</v>
      </c>
      <c r="G23" s="51">
        <v>15</v>
      </c>
      <c r="H23" s="22"/>
    </row>
    <row r="24">
      <c r="A24" s="7" t="s">
        <v>181</v>
      </c>
      <c r="B24" s="23" t="str">
        <f>IF(ISNUMBER(Inputs!B160),IF(OR(Inputs!B160&lt;=0,B23&lt;0),"n.m.",B23/Inputs!B160-1),"n.a.")</f>
        <v>n.a.</v>
      </c>
      <c r="C24" s="23">
        <f>IF(ISNUMBER(Inputs!C160),IF(OR(Inputs!C160&lt;=0,C23&lt;0),"n.m.",C23/Inputs!C160-1),"n.a.")</f>
        <v>1.75</v>
      </c>
      <c r="D24" s="23">
        <f>IF(ISNUMBER(Inputs!D160),IF(OR(Inputs!D160&lt;=0,D23&lt;0),"n.m.",D23/Inputs!D160-1),"n.a.")</f>
        <v>1.3333333333333335</v>
      </c>
      <c r="E24" s="23" t="str">
        <f>IF(ISNUMBER(Inputs!E160),IF(OR(Inputs!E160&lt;=0,E23&lt;0),"n.m.",E23/Inputs!E160-1),"n.a.")</f>
        <v>n.a.</v>
      </c>
      <c r="F24" s="23">
        <f>IF(ISNUMBER(Inputs!F160),IF(OR(Inputs!F160&lt;=0,F23&lt;0),"n.m.",F23/Inputs!F160-1),"n.a.")</f>
        <v>4.75</v>
      </c>
      <c r="G24" s="31">
        <f>IF(ISNUMBER(B23),IF(OR(B23&lt;=0,G23&lt;0),"n.m.",G23/B23-1),"n.a.")</f>
        <v>2</v>
      </c>
      <c r="H24" s="22"/>
    </row>
    <row r="25">
      <c r="A25" s="7" t="s">
        <v>182</v>
      </c>
      <c r="B25" s="23">
        <f>IF(ISNUMBER(Inputs!F160),IF(OR(Inputs!F160&lt;=0,B23&lt;0),"n.m.",B23/Inputs!F160-1),"n.a.")</f>
        <v>-0.375</v>
      </c>
      <c r="C25" s="21">
        <f>IF(ISNUMBER(B23),IF(OR(B23&lt;=0,C23&lt;0),"n.m.",C23/B23-1),"n.a.")</f>
        <v>1.2000000000000002</v>
      </c>
      <c r="D25" s="21" t="str">
        <f>"n.a."</f>
        <v>n.a.</v>
      </c>
      <c r="E25" s="21">
        <f>IF(ISNUMBER(C23),IF(OR(C23&lt;=0,E23&lt;0),"n.m.",E23/C23-1),"n.a.")</f>
        <v>1.1818181818181817</v>
      </c>
      <c r="F25" s="21">
        <f>IF(ISNUMBER(E23),IF(OR(E23&lt;=0,F23&lt;0),"n.m.",F23/E23-1),"n.a.")</f>
        <v>0.9166666666666667</v>
      </c>
      <c r="G25" s="31">
        <f>IF(ISNUMBER(F23),IF(OR(F23&lt;=0,G23&lt;0),"n.m.",G23/F23-1),"n.a.")</f>
        <v>-0.6739130434782609</v>
      </c>
      <c r="H25" s="22"/>
    </row>
    <row r="26">
      <c r="A26" s="1" t="s">
        <v>183</v>
      </c>
      <c r="B26" s="8">
        <f>IF(ISNUMBER(Inputs!F160),B23-Inputs!F160,"n.a.")</f>
        <v>-3</v>
      </c>
      <c r="C26" s="3">
        <f>IF(ISNUMBER(B23),C23-B23,"n.a.")</f>
        <v>6</v>
      </c>
      <c r="D26" s="3" t="str">
        <f>"n.a."</f>
        <v>n.a.</v>
      </c>
      <c r="E26" s="3">
        <f>IF(ISNUMBER(C23),E23-C23,"n.a.")</f>
        <v>13</v>
      </c>
      <c r="F26" s="3">
        <f>IF(ISNUMBER(E23),F23-E23,"n.a.")</f>
        <v>22</v>
      </c>
      <c r="G26" s="29">
        <f>IF(ISNUMBER(F23),G23-F23,"n.a.")</f>
        <v>-31</v>
      </c>
      <c r="H26" s="22"/>
    </row>
    <row r="27">
      <c r="A27" s="1" t="s">
        <v>184</v>
      </c>
      <c r="B27" s="3">
        <f>B31-B22-B23</f>
        <v>52</v>
      </c>
      <c r="C27" s="3">
        <f>C31-C22-C23</f>
        <v>26</v>
      </c>
      <c r="D27" s="3">
        <f>D31-D22-D23</f>
        <v>144</v>
      </c>
      <c r="E27" s="3">
        <f>E31-E22-E23</f>
        <v>-21</v>
      </c>
      <c r="F27" s="3">
        <f>F31-F22-F23</f>
        <v>123</v>
      </c>
      <c r="G27" s="29">
        <f>G22*G28</f>
        <v>28.075000000000003</v>
      </c>
      <c r="H27" s="22"/>
    </row>
    <row r="28">
      <c r="A28" s="7" t="s">
        <v>185</v>
      </c>
      <c r="B28" s="21">
        <f>B27/B22</f>
        <v>0.060676779463243874</v>
      </c>
      <c r="C28" s="21">
        <f>C27/C22</f>
        <v>0.028446389496717725</v>
      </c>
      <c r="D28" s="21">
        <f>D27/D22</f>
        <v>0.18652849740932642</v>
      </c>
      <c r="E28" s="21">
        <f>E27/E22</f>
        <v>-0.022082018927444796</v>
      </c>
      <c r="F28" s="21">
        <f>F27/F22</f>
        <v>0.1289308176100629</v>
      </c>
      <c r="G28" s="27">
        <v>0.025</v>
      </c>
      <c r="H28" s="22"/>
    </row>
    <row r="29">
      <c r="A29" s="7" t="s">
        <v>186</v>
      </c>
      <c r="B29" s="25" t="str">
        <f>"n.a."</f>
        <v>n.a.</v>
      </c>
      <c r="C29" s="25">
        <f>(C28-B28)*10000</f>
        <v>-322.3038996652615</v>
      </c>
      <c r="D29" s="25" t="str">
        <f>"n.a."</f>
        <v>n.a.</v>
      </c>
      <c r="E29" s="25">
        <f>(E28-C28)*10000</f>
        <v>-505.28408424162524</v>
      </c>
      <c r="F29" s="25">
        <f>(F28-E28)*10000</f>
        <v>1510.1283653750768</v>
      </c>
      <c r="G29" s="30">
        <f>(G28-F28)*10000</f>
        <v>-1039.308176100629</v>
      </c>
      <c r="H29" s="22"/>
    </row>
    <row r="30">
      <c r="A30" s="7" t="s">
        <v>187</v>
      </c>
      <c r="B30" s="25" t="str">
        <f>"n.a."</f>
        <v>n.a.</v>
      </c>
      <c r="C30" s="25" t="str">
        <f>"n.a."</f>
        <v>n.a.</v>
      </c>
      <c r="D30" s="25" t="str">
        <f>"n.a."</f>
        <v>n.a.</v>
      </c>
      <c r="E30" s="25" t="str">
        <f>"n.a."</f>
        <v>n.a.</v>
      </c>
      <c r="F30" s="25" t="str">
        <f>"n.a."</f>
        <v>n.a.</v>
      </c>
      <c r="G30" s="30">
        <f>(G28-B28)*10000</f>
        <v>-356.7677946324387</v>
      </c>
      <c r="H30" s="22"/>
    </row>
    <row r="31">
      <c r="A31" s="17" t="s">
        <v>191</v>
      </c>
      <c r="B31" s="36">
        <v>914</v>
      </c>
      <c r="C31" s="36">
        <v>951</v>
      </c>
      <c r="D31" s="26">
        <f>C31</f>
        <v>951</v>
      </c>
      <c r="E31" s="36">
        <v>954</v>
      </c>
      <c r="F31" s="36">
        <v>1123</v>
      </c>
      <c r="G31" s="52">
        <f>G22+G23+G27</f>
        <v>1166.075</v>
      </c>
      <c r="H31" s="22"/>
    </row>
    <row r="32">
      <c r="A32" s="7" t="s">
        <v>181</v>
      </c>
      <c r="B32" s="23" t="str">
        <f>IF(ISNUMBER(Inputs!B167),IF(OR(Inputs!B167&lt;=0,B31&lt;0),"n.m.",B31/Inputs!B167-1),"n.a.")</f>
        <v>n.a.</v>
      </c>
      <c r="C32" s="23">
        <f>IF(ISNUMBER(Inputs!C167),IF(OR(Inputs!C167&lt;=0,C31&lt;0),"n.m.",C31/Inputs!C167-1),"n.a.")</f>
        <v>0.2318652849740932</v>
      </c>
      <c r="D32" s="23">
        <f>IF(ISNUMBER(Inputs!D167),IF(OR(Inputs!D167&lt;=0,D31&lt;0),"n.m.",D31/Inputs!D167-1),"n.a.")</f>
        <v>0.2318652849740932</v>
      </c>
      <c r="E32" s="23" t="str">
        <f>IF(ISNUMBER(Inputs!E167),IF(OR(Inputs!E167&lt;=0,E31&lt;0),"n.m.",E31/Inputs!E167-1),"n.a.")</f>
        <v>n.a.</v>
      </c>
      <c r="F32" s="23">
        <f>IF(ISNUMBER(Inputs!F167),IF(OR(Inputs!F167&lt;=0,F31&lt;0),"n.m.",F31/Inputs!F167-1),"n.a.")</f>
        <v>0.3103850641773629</v>
      </c>
      <c r="G32" s="31">
        <f>IF(ISNUMBER(B31),IF(OR(B31&lt;=0,G31&lt;0),"n.m.",G31/B31-1),"n.a.")</f>
        <v>0.27579321663019707</v>
      </c>
      <c r="H32" s="22"/>
    </row>
    <row r="33">
      <c r="A33" s="1" t="s">
        <v>189</v>
      </c>
      <c r="B33" s="3">
        <f>B31-B22</f>
        <v>57</v>
      </c>
      <c r="C33" s="3">
        <f>C31-C22</f>
        <v>37</v>
      </c>
      <c r="D33" s="3">
        <f>D31-D22</f>
        <v>179</v>
      </c>
      <c r="E33" s="3">
        <f>E31-E22</f>
        <v>3</v>
      </c>
      <c r="F33" s="3">
        <f>F31-F22</f>
        <v>169</v>
      </c>
      <c r="G33" s="29">
        <f>G31-G22</f>
        <v>43.075000000000045</v>
      </c>
      <c r="H33" s="22"/>
    </row>
    <row r="34">
      <c r="A34" s="1" t="s">
        <v>192</v>
      </c>
      <c r="B34" s="8">
        <f>Inputs!F168</f>
        <v>1237</v>
      </c>
      <c r="C34" s="3">
        <f>B43</f>
        <v>1297</v>
      </c>
      <c r="D34" s="8">
        <f>Inputs!D168</f>
        <v>1170</v>
      </c>
      <c r="E34" s="3">
        <f>C43</f>
        <v>1334</v>
      </c>
      <c r="F34" s="3">
        <f>E43</f>
        <v>1341</v>
      </c>
      <c r="G34" s="29">
        <f>F43</f>
        <v>1394</v>
      </c>
      <c r="H34" s="22"/>
    </row>
    <row r="35">
      <c r="A35" s="1" t="s">
        <v>180</v>
      </c>
      <c r="B35" s="20">
        <v>39</v>
      </c>
      <c r="C35" s="20">
        <v>28</v>
      </c>
      <c r="D35" s="20">
        <v>81</v>
      </c>
      <c r="E35" s="20">
        <v>27</v>
      </c>
      <c r="F35" s="20">
        <v>24</v>
      </c>
      <c r="G35" s="51">
        <v>25</v>
      </c>
      <c r="H35" s="22"/>
    </row>
    <row r="36">
      <c r="A36" s="7" t="s">
        <v>181</v>
      </c>
      <c r="B36" s="23" t="str">
        <f>IF(ISNUMBER(Inputs!B161),IF(OR(Inputs!B161&lt;=0,B35&lt;0),"n.m.",B35/Inputs!B161-1),"n.a.")</f>
        <v>n.a.</v>
      </c>
      <c r="C36" s="23">
        <f>IF(ISNUMBER(Inputs!C161),IF(OR(Inputs!C161&lt;=0,C35&lt;0),"n.m.",C35/Inputs!C161-1),"n.a.")</f>
        <v>3</v>
      </c>
      <c r="D36" s="23">
        <f>IF(ISNUMBER(Inputs!D161),IF(OR(Inputs!D161&lt;=0,D35&lt;0),"n.m.",D35/Inputs!D161-1),"n.a.")</f>
        <v>0.5283018867924529</v>
      </c>
      <c r="E36" s="23" t="str">
        <f>IF(ISNUMBER(Inputs!E161),IF(OR(Inputs!E161&lt;=0,E35&lt;0),"n.m.",E35/Inputs!E161-1),"n.a.")</f>
        <v>n.a.</v>
      </c>
      <c r="F36" s="23" t="str">
        <f>IF(ISNUMBER(Inputs!F161),IF(OR(Inputs!F161&lt;=0,F35&lt;0),"n.m.",F35/Inputs!F161-1),"n.a.")</f>
        <v>n.m.</v>
      </c>
      <c r="G36" s="31">
        <f>IF(ISNUMBER(B35),IF(OR(B35&lt;=0,G35&lt;0),"n.m.",G35/B35-1),"n.a.")</f>
        <v>-0.3589743589743589</v>
      </c>
      <c r="H36" s="22"/>
    </row>
    <row r="37">
      <c r="A37" s="7" t="s">
        <v>182</v>
      </c>
      <c r="B37" s="23" t="str">
        <f>IF(ISNUMBER(Inputs!F161),IF(OR(Inputs!F161&lt;=0,B35&lt;0),"n.m.",B35/Inputs!F161-1),"n.a.")</f>
        <v>n.m.</v>
      </c>
      <c r="C37" s="21">
        <f>IF(ISNUMBER(B35),IF(OR(B35&lt;=0,C35&lt;0),"n.m.",C35/B35-1),"n.a.")</f>
        <v>-0.28205128205128205</v>
      </c>
      <c r="D37" s="21" t="str">
        <f>"n.a."</f>
        <v>n.a.</v>
      </c>
      <c r="E37" s="21">
        <f>IF(ISNUMBER(C35),IF(OR(C35&lt;=0,E35&lt;0),"n.m.",E35/C35-1),"n.a.")</f>
        <v>-0.0357142857142857</v>
      </c>
      <c r="F37" s="21">
        <f>IF(ISNUMBER(E35),IF(OR(E35&lt;=0,F35&lt;0),"n.m.",F35/E35-1),"n.a.")</f>
        <v>-0.11111111111111116</v>
      </c>
      <c r="G37" s="31">
        <f>IF(ISNUMBER(F35),IF(OR(F35&lt;=0,G35&lt;0),"n.m.",G35/F35-1),"n.a.")</f>
        <v>0.04166666666666674</v>
      </c>
      <c r="H37" s="22"/>
    </row>
    <row r="38">
      <c r="A38" s="1" t="s">
        <v>183</v>
      </c>
      <c r="B38" s="8">
        <f>IF(ISNUMBER(Inputs!F161),B35-Inputs!F161,"n.a.")</f>
        <v>39</v>
      </c>
      <c r="C38" s="3">
        <f>IF(ISNUMBER(B35),C35-B35,"n.a.")</f>
        <v>-11</v>
      </c>
      <c r="D38" s="3" t="str">
        <f>"n.a."</f>
        <v>n.a.</v>
      </c>
      <c r="E38" s="3">
        <f>IF(ISNUMBER(C35),E35-C35,"n.a.")</f>
        <v>-1</v>
      </c>
      <c r="F38" s="3">
        <f>IF(ISNUMBER(E35),F35-E35,"n.a.")</f>
        <v>-3</v>
      </c>
      <c r="G38" s="29">
        <f>IF(ISNUMBER(F35),G35-F35,"n.a.")</f>
        <v>1</v>
      </c>
      <c r="H38" s="22"/>
    </row>
    <row r="39">
      <c r="A39" s="1" t="s">
        <v>184</v>
      </c>
      <c r="B39" s="3">
        <f>B43-B34-B35</f>
        <v>21</v>
      </c>
      <c r="C39" s="3">
        <f>C43-C34-C35</f>
        <v>9</v>
      </c>
      <c r="D39" s="3">
        <f>D43-D34-D35</f>
        <v>83</v>
      </c>
      <c r="E39" s="3">
        <f>E43-E34-E35</f>
        <v>-20</v>
      </c>
      <c r="F39" s="3">
        <f>F43-F34-F35</f>
        <v>29</v>
      </c>
      <c r="G39" s="29">
        <f>G34*G40</f>
        <v>-20.91</v>
      </c>
      <c r="H39" s="22"/>
    </row>
    <row r="40">
      <c r="A40" s="7" t="s">
        <v>185</v>
      </c>
      <c r="B40" s="21">
        <f>B39/B34</f>
        <v>0.016976556184316895</v>
      </c>
      <c r="C40" s="21">
        <f>C39/C34</f>
        <v>0.006939090208172706</v>
      </c>
      <c r="D40" s="21">
        <f>D39/D34</f>
        <v>0.07094017094017094</v>
      </c>
      <c r="E40" s="21">
        <f>E39/E34</f>
        <v>-0.014992503748125937</v>
      </c>
      <c r="F40" s="21">
        <f>F39/F34</f>
        <v>0.02162565249813572</v>
      </c>
      <c r="G40" s="27">
        <v>-0.015</v>
      </c>
      <c r="H40" s="22"/>
    </row>
    <row r="41">
      <c r="A41" s="7" t="s">
        <v>186</v>
      </c>
      <c r="B41" s="25" t="str">
        <f>"n.a."</f>
        <v>n.a.</v>
      </c>
      <c r="C41" s="25">
        <f>(C40-B40)*10000</f>
        <v>-100.37465976144189</v>
      </c>
      <c r="D41" s="25" t="str">
        <f>"n.a."</f>
        <v>n.a.</v>
      </c>
      <c r="E41" s="25">
        <f>(E40-C40)*10000</f>
        <v>-219.31593956298644</v>
      </c>
      <c r="F41" s="25">
        <f>(F40-E40)*10000</f>
        <v>366.18156246261657</v>
      </c>
      <c r="G41" s="30">
        <f>(G40-F40)*10000</f>
        <v>-366.25652498135724</v>
      </c>
      <c r="H41" s="22"/>
    </row>
    <row r="42">
      <c r="A42" s="7" t="s">
        <v>187</v>
      </c>
      <c r="B42" s="25" t="str">
        <f>"n.a."</f>
        <v>n.a.</v>
      </c>
      <c r="C42" s="25" t="str">
        <f>"n.a."</f>
        <v>n.a.</v>
      </c>
      <c r="D42" s="25" t="str">
        <f>"n.a."</f>
        <v>n.a.</v>
      </c>
      <c r="E42" s="25" t="str">
        <f>"n.a."</f>
        <v>n.a.</v>
      </c>
      <c r="F42" s="25" t="str">
        <f>"n.a."</f>
        <v>n.a.</v>
      </c>
      <c r="G42" s="30">
        <f>(G40-B40)*10000</f>
        <v>-319.765561843169</v>
      </c>
      <c r="H42" s="22"/>
    </row>
    <row r="43">
      <c r="A43" s="17" t="s">
        <v>193</v>
      </c>
      <c r="B43" s="36">
        <v>1297</v>
      </c>
      <c r="C43" s="36">
        <v>1334</v>
      </c>
      <c r="D43" s="26">
        <f>C43</f>
        <v>1334</v>
      </c>
      <c r="E43" s="36">
        <v>1341</v>
      </c>
      <c r="F43" s="36">
        <v>1394</v>
      </c>
      <c r="G43" s="52">
        <f>G34+G35+G39</f>
        <v>1398.09</v>
      </c>
      <c r="H43" s="22"/>
    </row>
    <row r="44">
      <c r="A44" s="7" t="s">
        <v>181</v>
      </c>
      <c r="B44" s="23" t="str">
        <f>IF(ISNUMBER(Inputs!B168),IF(OR(Inputs!B168&lt;=0,B43&lt;0),"n.m.",B43/Inputs!B168-1),"n.a.")</f>
        <v>n.a.</v>
      </c>
      <c r="C44" s="23">
        <f>IF(ISNUMBER(Inputs!C168),IF(OR(Inputs!C168&lt;=0,C43&lt;0),"n.m.",C43/Inputs!C168-1),"n.a.")</f>
        <v>0.14017094017094012</v>
      </c>
      <c r="D44" s="23">
        <f>IF(ISNUMBER(Inputs!D168),IF(OR(Inputs!D168&lt;=0,D43&lt;0),"n.m.",D43/Inputs!D168-1),"n.a.")</f>
        <v>0.14017094017094012</v>
      </c>
      <c r="E44" s="23" t="str">
        <f>IF(ISNUMBER(Inputs!E168),IF(OR(Inputs!E168&lt;=0,E43&lt;0),"n.m.",E43/Inputs!E168-1),"n.a.")</f>
        <v>n.a.</v>
      </c>
      <c r="F44" s="23">
        <f>IF(ISNUMBER(Inputs!F168),IF(OR(Inputs!F168&lt;=0,F43&lt;0),"n.m.",F43/Inputs!F168-1),"n.a.")</f>
        <v>0.1269199676637025</v>
      </c>
      <c r="G44" s="31">
        <f>IF(ISNUMBER(B43),IF(OR(B43&lt;=0,G43&lt;0),"n.m.",G43/B43-1),"n.a.")</f>
        <v>0.07794140323824195</v>
      </c>
      <c r="H44" s="22"/>
    </row>
    <row r="45">
      <c r="A45" s="1" t="s">
        <v>189</v>
      </c>
      <c r="B45" s="3">
        <f>B43-B34</f>
        <v>60</v>
      </c>
      <c r="C45" s="3">
        <f>C43-C34</f>
        <v>37</v>
      </c>
      <c r="D45" s="3">
        <f>D43-D34</f>
        <v>164</v>
      </c>
      <c r="E45" s="3">
        <f>E43-E34</f>
        <v>7</v>
      </c>
      <c r="F45" s="3">
        <f>F43-F34</f>
        <v>53</v>
      </c>
      <c r="G45" s="29">
        <f>G43-G34</f>
        <v>4.089999999999918</v>
      </c>
      <c r="H45" s="22"/>
    </row>
    <row r="46">
      <c r="A46" s="1" t="s">
        <v>194</v>
      </c>
      <c r="B46" s="8">
        <f>Inputs!F170</f>
        <v>828</v>
      </c>
      <c r="C46" s="3">
        <f>B55</f>
        <v>851</v>
      </c>
      <c r="D46" s="8">
        <f>Inputs!D170</f>
        <v>845</v>
      </c>
      <c r="E46" s="3">
        <f>C55</f>
        <v>901</v>
      </c>
      <c r="F46" s="3">
        <f>E55</f>
        <v>926</v>
      </c>
      <c r="G46" s="29">
        <f>F55</f>
        <v>1065</v>
      </c>
      <c r="H46" s="22"/>
    </row>
    <row r="47">
      <c r="A47" s="1" t="s">
        <v>180</v>
      </c>
      <c r="B47" s="20">
        <v>23</v>
      </c>
      <c r="C47" s="20">
        <v>50</v>
      </c>
      <c r="D47" s="20">
        <v>56</v>
      </c>
      <c r="E47" s="20">
        <v>25</v>
      </c>
      <c r="F47" s="20">
        <v>139</v>
      </c>
      <c r="G47" s="51">
        <v>30</v>
      </c>
      <c r="H47" s="22"/>
    </row>
    <row r="48">
      <c r="A48" s="7" t="s">
        <v>181</v>
      </c>
      <c r="B48" s="23" t="str">
        <f>IF(ISNUMBER(Inputs!B163),IF(OR(Inputs!B163&lt;=0,B47&lt;0),"n.m.",B47/Inputs!B163-1),"n.a.")</f>
        <v>n.a.</v>
      </c>
      <c r="C48" s="23">
        <f>IF(ISNUMBER(Inputs!C163),IF(OR(Inputs!C163&lt;=0,C47&lt;0),"n.m.",C47/Inputs!C163-1),"n.a.")</f>
        <v>-0.2857142857142857</v>
      </c>
      <c r="D48" s="23">
        <f>IF(ISNUMBER(Inputs!D163),IF(OR(Inputs!D163&lt;=0,D47&lt;0),"n.m.",D47/Inputs!D163-1),"n.a.")</f>
        <v>-0.4814814814814815</v>
      </c>
      <c r="E48" s="23" t="str">
        <f>IF(ISNUMBER(Inputs!E163),IF(OR(Inputs!E163&lt;=0,E47&lt;0),"n.m.",E47/Inputs!E163-1),"n.a.")</f>
        <v>n.a.</v>
      </c>
      <c r="F48" s="23" t="str">
        <f>IF(ISNUMBER(Inputs!F163),IF(OR(Inputs!F163&lt;=0,F47&lt;0),"n.m.",F47/Inputs!F163-1),"n.a.")</f>
        <v>n.m.</v>
      </c>
      <c r="G48" s="31">
        <f>IF(ISNUMBER(B47),IF(OR(B47&lt;=0,G47&lt;0),"n.m.",G47/B47-1),"n.a.")</f>
        <v>0.30434782608695654</v>
      </c>
      <c r="H48" s="22"/>
    </row>
    <row r="49">
      <c r="A49" s="7" t="s">
        <v>182</v>
      </c>
      <c r="B49" s="23" t="str">
        <f>IF(ISNUMBER(Inputs!F163),IF(OR(Inputs!F163&lt;=0,B47&lt;0),"n.m.",B47/Inputs!F163-1),"n.a.")</f>
        <v>n.m.</v>
      </c>
      <c r="C49" s="21">
        <f>IF(ISNUMBER(B47),IF(OR(B47&lt;=0,C47&lt;0),"n.m.",C47/B47-1),"n.a.")</f>
        <v>1.1739130434782608</v>
      </c>
      <c r="D49" s="21" t="str">
        <f>"n.a."</f>
        <v>n.a.</v>
      </c>
      <c r="E49" s="21">
        <f>IF(ISNUMBER(C47),IF(OR(C47&lt;=0,E47&lt;0),"n.m.",E47/C47-1),"n.a.")</f>
        <v>-0.5</v>
      </c>
      <c r="F49" s="21">
        <f>IF(ISNUMBER(E47),IF(OR(E47&lt;=0,F47&lt;0),"n.m.",F47/E47-1),"n.a.")</f>
        <v>4.56</v>
      </c>
      <c r="G49" s="31">
        <f>IF(ISNUMBER(F47),IF(OR(F47&lt;=0,G47&lt;0),"n.m.",G47/F47-1),"n.a.")</f>
        <v>-0.7841726618705036</v>
      </c>
      <c r="H49" s="22"/>
    </row>
    <row r="50">
      <c r="A50" s="1" t="s">
        <v>183</v>
      </c>
      <c r="B50" s="8">
        <f>IF(ISNUMBER(Inputs!F163),B47-Inputs!F163,"n.a.")</f>
        <v>35</v>
      </c>
      <c r="C50" s="3">
        <f>IF(ISNUMBER(B47),C47-B47,"n.a.")</f>
        <v>27</v>
      </c>
      <c r="D50" s="3" t="str">
        <f>"n.a."</f>
        <v>n.a.</v>
      </c>
      <c r="E50" s="3">
        <f>IF(ISNUMBER(C47),E47-C47,"n.a.")</f>
        <v>-25</v>
      </c>
      <c r="F50" s="3">
        <f>IF(ISNUMBER(E47),F47-E47,"n.a.")</f>
        <v>114</v>
      </c>
      <c r="G50" s="29">
        <f>IF(ISNUMBER(F47),G47-F47,"n.a.")</f>
        <v>-109</v>
      </c>
      <c r="H50" s="22"/>
    </row>
    <row r="51">
      <c r="A51" s="1" t="s">
        <v>184</v>
      </c>
      <c r="B51" s="3">
        <f>B55-B46-B47</f>
        <v>0</v>
      </c>
      <c r="C51" s="3">
        <f>C55-C46-C47</f>
        <v>0</v>
      </c>
      <c r="D51" s="3">
        <f>D55-D46-D47</f>
        <v>0</v>
      </c>
      <c r="E51" s="3">
        <f>E55-E46-E47</f>
        <v>0</v>
      </c>
      <c r="F51" s="3">
        <f>F55-F46-F47</f>
        <v>0</v>
      </c>
      <c r="G51" s="29">
        <f>G46*G52</f>
        <v>0</v>
      </c>
      <c r="H51" s="22"/>
    </row>
    <row r="52">
      <c r="A52" s="7" t="s">
        <v>185</v>
      </c>
      <c r="B52" s="21">
        <f>B51/B46</f>
        <v>0</v>
      </c>
      <c r="C52" s="21">
        <f>C51/C46</f>
        <v>0</v>
      </c>
      <c r="D52" s="21">
        <f>D51/D46</f>
        <v>0</v>
      </c>
      <c r="E52" s="21">
        <f>E51/E46</f>
        <v>0</v>
      </c>
      <c r="F52" s="21">
        <f>F51/F46</f>
        <v>0</v>
      </c>
      <c r="G52" s="27">
        <v>0</v>
      </c>
      <c r="H52" s="22"/>
    </row>
    <row r="53">
      <c r="A53" s="7" t="s">
        <v>186</v>
      </c>
      <c r="B53" s="25" t="str">
        <f>"n.a."</f>
        <v>n.a.</v>
      </c>
      <c r="C53" s="25">
        <f>(C52-B52)*10000</f>
        <v>0</v>
      </c>
      <c r="D53" s="25" t="str">
        <f>"n.a."</f>
        <v>n.a.</v>
      </c>
      <c r="E53" s="25">
        <f>(E52-C52)*10000</f>
        <v>0</v>
      </c>
      <c r="F53" s="25">
        <f>(F52-E52)*10000</f>
        <v>0</v>
      </c>
      <c r="G53" s="30">
        <f>(G52-F52)*10000</f>
        <v>0</v>
      </c>
      <c r="H53" s="22"/>
    </row>
    <row r="54">
      <c r="A54" s="7" t="s">
        <v>187</v>
      </c>
      <c r="B54" s="25" t="str">
        <f>"n.a."</f>
        <v>n.a.</v>
      </c>
      <c r="C54" s="25" t="str">
        <f>"n.a."</f>
        <v>n.a.</v>
      </c>
      <c r="D54" s="25" t="str">
        <f>"n.a."</f>
        <v>n.a.</v>
      </c>
      <c r="E54" s="25" t="str">
        <f>"n.a."</f>
        <v>n.a.</v>
      </c>
      <c r="F54" s="25" t="str">
        <f>"n.a."</f>
        <v>n.a.</v>
      </c>
      <c r="G54" s="30">
        <f>(G52-B52)*10000</f>
        <v>0</v>
      </c>
      <c r="H54" s="22"/>
    </row>
    <row r="55">
      <c r="A55" s="17" t="s">
        <v>195</v>
      </c>
      <c r="B55" s="36">
        <v>851</v>
      </c>
      <c r="C55" s="36">
        <v>901</v>
      </c>
      <c r="D55" s="26">
        <f>C55</f>
        <v>901</v>
      </c>
      <c r="E55" s="36">
        <v>926</v>
      </c>
      <c r="F55" s="36">
        <v>1065</v>
      </c>
      <c r="G55" s="52">
        <f>G46+G47+G51</f>
        <v>1095</v>
      </c>
      <c r="H55" s="22"/>
    </row>
    <row r="56">
      <c r="A56" s="7" t="s">
        <v>181</v>
      </c>
      <c r="B56" s="23" t="str">
        <f>IF(ISNUMBER(Inputs!B170),IF(OR(Inputs!B170&lt;=0,B55&lt;0),"n.m.",B55/Inputs!B170-1),"n.a.")</f>
        <v>n.a.</v>
      </c>
      <c r="C56" s="23">
        <f>IF(ISNUMBER(Inputs!C170),IF(OR(Inputs!C170&lt;=0,C55&lt;0),"n.m.",C55/Inputs!C170-1),"n.a.")</f>
        <v>0.0662721893491125</v>
      </c>
      <c r="D56" s="23">
        <f>IF(ISNUMBER(Inputs!D170),IF(OR(Inputs!D170&lt;=0,D55&lt;0),"n.m.",D55/Inputs!D170-1),"n.a.")</f>
        <v>0.0662721893491125</v>
      </c>
      <c r="E56" s="23" t="str">
        <f>IF(ISNUMBER(Inputs!E170),IF(OR(Inputs!E170&lt;=0,E55&lt;0),"n.m.",E55/Inputs!E170-1),"n.a.")</f>
        <v>n.a.</v>
      </c>
      <c r="F56" s="23">
        <f>IF(ISNUMBER(Inputs!F170),IF(OR(Inputs!F170&lt;=0,F55&lt;0),"n.m.",F55/Inputs!F170-1),"n.a.")</f>
        <v>0.28623188405797095</v>
      </c>
      <c r="G56" s="31">
        <f>IF(ISNUMBER(B55),IF(OR(B55&lt;=0,G55&lt;0),"n.m.",G55/B55-1),"n.a.")</f>
        <v>0.2867215041128084</v>
      </c>
      <c r="H56" s="22"/>
    </row>
    <row r="57">
      <c r="A57" s="1" t="s">
        <v>189</v>
      </c>
      <c r="B57" s="3">
        <f>B55-B46</f>
        <v>23</v>
      </c>
      <c r="C57" s="3">
        <f>C55-C46</f>
        <v>50</v>
      </c>
      <c r="D57" s="3">
        <f>D55-D46</f>
        <v>56</v>
      </c>
      <c r="E57" s="3">
        <f>E55-E46</f>
        <v>25</v>
      </c>
      <c r="F57" s="3">
        <f>F55-F46</f>
        <v>139</v>
      </c>
      <c r="G57" s="29">
        <f>G55-G46</f>
        <v>30</v>
      </c>
      <c r="H57" s="22"/>
    </row>
    <row r="58">
      <c r="A58" s="1"/>
      <c r="B58" s="1"/>
      <c r="C58" s="1"/>
      <c r="D58" s="1"/>
      <c r="E58" s="1"/>
      <c r="F58" s="1"/>
      <c r="G58" s="24"/>
      <c r="H58" s="22"/>
    </row>
    <row r="59">
      <c r="A59" s="17" t="s">
        <v>196</v>
      </c>
      <c r="B59" s="26">
        <f>B10+B22+B34+B46</f>
        <v>3293</v>
      </c>
      <c r="C59" s="26">
        <f>C10+C22+C34+C46</f>
        <v>3452</v>
      </c>
      <c r="D59" s="26">
        <f>D10+D22+D34+D46</f>
        <v>3137</v>
      </c>
      <c r="E59" s="26">
        <f>E10+E22+E34+E46</f>
        <v>3606</v>
      </c>
      <c r="F59" s="26">
        <f>F10+F22+F34+F46</f>
        <v>3650</v>
      </c>
      <c r="G59" s="52">
        <f>G10+G22+G34+G46</f>
        <v>4041</v>
      </c>
      <c r="H59" s="22"/>
    </row>
    <row r="60">
      <c r="A60" s="17" t="s">
        <v>197</v>
      </c>
      <c r="B60" s="26">
        <f>B11+B23+B35</f>
        <v>56</v>
      </c>
      <c r="C60" s="26">
        <f>C11+C23+C35</f>
        <v>66</v>
      </c>
      <c r="D60" s="26">
        <f>D11+D23+D35</f>
        <v>168</v>
      </c>
      <c r="E60" s="26">
        <f>E11+E23+E35</f>
        <v>62</v>
      </c>
      <c r="F60" s="26">
        <f>F11+F23+F35</f>
        <v>91</v>
      </c>
      <c r="G60" s="52">
        <f>G11+G23+G35</f>
        <v>60</v>
      </c>
      <c r="H60" s="22"/>
    </row>
    <row r="61">
      <c r="A61" s="7" t="s">
        <v>78</v>
      </c>
      <c r="B61" s="23" t="str">
        <f>IF(ISNUMBER(Inputs!B162),IF(OR(Inputs!B162&lt;=0,B60&lt;0),"n.m.",B60/Inputs!B162-1),"n.a.")</f>
        <v>n.a.</v>
      </c>
      <c r="C61" s="23">
        <f>IF(ISNUMBER(Inputs!C162),IF(OR(Inputs!C162&lt;=0,C60&lt;0),"n.m.",C60/Inputs!C162-1),"n.a.")</f>
        <v>2</v>
      </c>
      <c r="D61" s="23">
        <f>IF(ISNUMBER(Inputs!D162),IF(OR(Inputs!D162&lt;=0,D60&lt;0),"n.m.",D60/Inputs!D162-1),"n.a.")</f>
        <v>0.5849056603773586</v>
      </c>
      <c r="E61" s="23" t="str">
        <f>IF(ISNUMBER(Inputs!E162),IF(OR(Inputs!E162&lt;=0,E60&lt;0),"n.m.",E60/Inputs!E162-1),"n.a.")</f>
        <v>n.a.</v>
      </c>
      <c r="F61" s="23">
        <f>IF(ISNUMBER(Inputs!F162),IF(OR(Inputs!F162&lt;=0,F60&lt;0),"n.m.",F60/Inputs!F162-1),"n.a.")</f>
        <v>4.352941176470588</v>
      </c>
      <c r="G61" s="31">
        <f>IF(ISNUMBER(B60),IF(OR(B60&lt;=0,G60&lt;0),"n.m.",G60/B60-1),"n.a.")</f>
        <v>0.0714285714285714</v>
      </c>
      <c r="H61" s="22"/>
    </row>
    <row r="62">
      <c r="A62" s="7" t="s">
        <v>79</v>
      </c>
      <c r="B62" s="23">
        <f>IF(ISNUMBER(Inputs!F162),IF(OR(Inputs!F162&lt;=0,B60&lt;0),"n.m.",B60/Inputs!F162-1),"n.a.")</f>
        <v>2.2941176470588234</v>
      </c>
      <c r="C62" s="21">
        <f>IF(ISNUMBER(B60),IF(OR(B60&lt;=0,C60&lt;0),"n.m.",C60/B60-1),"n.a.")</f>
        <v>0.1785714285714286</v>
      </c>
      <c r="D62" s="21" t="str">
        <f>"n.a."</f>
        <v>n.a.</v>
      </c>
      <c r="E62" s="21">
        <f>IF(ISNUMBER(C60),IF(OR(C60&lt;=0,E60&lt;0),"n.m.",E60/C60-1),"n.a.")</f>
        <v>-0.06060606060606055</v>
      </c>
      <c r="F62" s="21">
        <f>IF(ISNUMBER(E60),IF(OR(E60&lt;=0,F60&lt;0),"n.m.",F60/E60-1),"n.a.")</f>
        <v>0.467741935483871</v>
      </c>
      <c r="G62" s="31">
        <f>IF(ISNUMBER(F60),IF(OR(F60&lt;=0,G60&lt;0),"n.m.",G60/F60-1),"n.a.")</f>
        <v>-0.34065934065934067</v>
      </c>
      <c r="H62" s="22"/>
    </row>
    <row r="63">
      <c r="A63" s="1" t="s">
        <v>198</v>
      </c>
      <c r="B63" s="8">
        <f>IF(ISNUMBER(Inputs!F162),B60-Inputs!F162,"n.a.")</f>
        <v>39</v>
      </c>
      <c r="C63" s="3">
        <f>IF(ISNUMBER(B60),C60-B60,"n.a.")</f>
        <v>10</v>
      </c>
      <c r="D63" s="3" t="str">
        <f>"n.a."</f>
        <v>n.a.</v>
      </c>
      <c r="E63" s="3">
        <f>IF(ISNUMBER(C60),E60-C60,"n.a.")</f>
        <v>-4</v>
      </c>
      <c r="F63" s="3">
        <f>IF(ISNUMBER(E60),F60-E60,"n.a.")</f>
        <v>29</v>
      </c>
      <c r="G63" s="29">
        <f>IF(ISNUMBER(F60),G60-F60,"n.a.")</f>
        <v>-31</v>
      </c>
      <c r="H63" s="22"/>
    </row>
    <row r="64">
      <c r="A64" s="1" t="s">
        <v>199</v>
      </c>
      <c r="B64" s="3">
        <f>B47</f>
        <v>23</v>
      </c>
      <c r="C64" s="3">
        <f>C47</f>
        <v>50</v>
      </c>
      <c r="D64" s="3">
        <f>D47</f>
        <v>56</v>
      </c>
      <c r="E64" s="3">
        <f>E47</f>
        <v>25</v>
      </c>
      <c r="F64" s="3">
        <f>F47</f>
        <v>139</v>
      </c>
      <c r="G64" s="29">
        <f>G47</f>
        <v>30</v>
      </c>
      <c r="H64" s="22"/>
    </row>
    <row r="65">
      <c r="A65" s="17" t="s">
        <v>200</v>
      </c>
      <c r="B65" s="26">
        <f>B11+B23+B35+B47</f>
        <v>79</v>
      </c>
      <c r="C65" s="26">
        <f>C11+C23+C35+C47</f>
        <v>116</v>
      </c>
      <c r="D65" s="26">
        <f>D11+D23+D35+D47</f>
        <v>224</v>
      </c>
      <c r="E65" s="26">
        <f>E11+E23+E35+E47</f>
        <v>87</v>
      </c>
      <c r="F65" s="26">
        <f>F11+F23+F35+F47</f>
        <v>230</v>
      </c>
      <c r="G65" s="52">
        <f>G11+G23+G35+G47</f>
        <v>90</v>
      </c>
      <c r="H65" s="22"/>
    </row>
    <row r="66">
      <c r="A66" s="7" t="s">
        <v>78</v>
      </c>
      <c r="B66" s="23" t="str">
        <f>IF(ISNUMBER(Inputs!B164),IF(OR(Inputs!B164&lt;=0,B65&lt;0),"n.m.",B65/Inputs!B164-1),"n.a.")</f>
        <v>n.a.</v>
      </c>
      <c r="C66" s="23">
        <f>IF(ISNUMBER(Inputs!C164),IF(OR(Inputs!C164&lt;=0,C65&lt;0),"n.m.",C65/Inputs!C164-1),"n.a.")</f>
        <v>0.26086956521739135</v>
      </c>
      <c r="D66" s="23">
        <f>IF(ISNUMBER(Inputs!D164),IF(OR(Inputs!D164&lt;=0,D65&lt;0),"n.m.",D65/Inputs!D164-1),"n.a.")</f>
        <v>0.04672897196261672</v>
      </c>
      <c r="E66" s="23" t="str">
        <f>IF(ISNUMBER(Inputs!E164),IF(OR(Inputs!E164&lt;=0,E65&lt;0),"n.m.",E65/Inputs!E164-1),"n.a.")</f>
        <v>n.a.</v>
      </c>
      <c r="F66" s="23">
        <f>IF(ISNUMBER(Inputs!F164),IF(OR(Inputs!F164&lt;=0,F65&lt;0),"n.m.",F65/Inputs!F164-1),"n.a.")</f>
        <v>45</v>
      </c>
      <c r="G66" s="31">
        <f>IF(ISNUMBER(B65),IF(OR(B65&lt;=0,G65&lt;0),"n.m.",G65/B65-1),"n.a.")</f>
        <v>0.139240506329114</v>
      </c>
      <c r="H66" s="22"/>
    </row>
    <row r="67">
      <c r="A67" s="7" t="s">
        <v>79</v>
      </c>
      <c r="B67" s="23">
        <f>IF(ISNUMBER(Inputs!F164),IF(OR(Inputs!F164&lt;=0,B65&lt;0),"n.m.",B65/Inputs!F164-1),"n.a.")</f>
        <v>14.8</v>
      </c>
      <c r="C67" s="21">
        <f>IF(ISNUMBER(B65),IF(OR(B65&lt;=0,C65&lt;0),"n.m.",C65/B65-1),"n.a.")</f>
        <v>0.4683544303797469</v>
      </c>
      <c r="D67" s="21" t="str">
        <f>"n.a."</f>
        <v>n.a.</v>
      </c>
      <c r="E67" s="21">
        <f>IF(ISNUMBER(C65),IF(OR(C65&lt;=0,E65&lt;0),"n.m.",E65/C65-1),"n.a.")</f>
        <v>-0.25</v>
      </c>
      <c r="F67" s="21">
        <f>IF(ISNUMBER(E65),IF(OR(E65&lt;=0,F65&lt;0),"n.m.",F65/E65-1),"n.a.")</f>
        <v>1.6436781609195403</v>
      </c>
      <c r="G67" s="31">
        <f>IF(ISNUMBER(F65),IF(OR(F65&lt;=0,G65&lt;0),"n.m.",G65/F65-1),"n.a.")</f>
        <v>-0.6086956521739131</v>
      </c>
      <c r="H67" s="22"/>
    </row>
    <row r="68">
      <c r="A68" s="1" t="s">
        <v>198</v>
      </c>
      <c r="B68" s="8">
        <f>IF(ISNUMBER(Inputs!F164),B65-Inputs!F164,"n.a.")</f>
        <v>74</v>
      </c>
      <c r="C68" s="3">
        <f>IF(ISNUMBER(B65),C65-B65,"n.a.")</f>
        <v>37</v>
      </c>
      <c r="D68" s="3" t="str">
        <f>"n.a."</f>
        <v>n.a.</v>
      </c>
      <c r="E68" s="3">
        <f>IF(ISNUMBER(C65),E65-C65,"n.a.")</f>
        <v>-29</v>
      </c>
      <c r="F68" s="3">
        <f>IF(ISNUMBER(E65),F65-E65,"n.a.")</f>
        <v>143</v>
      </c>
      <c r="G68" s="29">
        <f>IF(ISNUMBER(F65),G65-F65,"n.a.")</f>
        <v>-140</v>
      </c>
      <c r="H68" s="22"/>
    </row>
    <row r="69">
      <c r="A69" s="1" t="s">
        <v>201</v>
      </c>
      <c r="B69" s="3" t="s">
        <v>82</v>
      </c>
      <c r="C69" s="3" t="s">
        <v>82</v>
      </c>
      <c r="D69" s="3" t="s">
        <v>82</v>
      </c>
      <c r="E69" s="20">
        <v>5</v>
      </c>
      <c r="F69" s="20">
        <v>16</v>
      </c>
      <c r="G69" s="51">
        <v>0</v>
      </c>
      <c r="H69" s="22"/>
    </row>
    <row r="70">
      <c r="A70" s="1" t="s">
        <v>202</v>
      </c>
      <c r="B70" s="3" t="str">
        <f>IF(ISNUMBER(B69),B60-B69,"n.a.")</f>
        <v>n.a.</v>
      </c>
      <c r="C70" s="3" t="str">
        <f>IF(ISNUMBER(C69),C60-C69,"n.a.")</f>
        <v>n.a.</v>
      </c>
      <c r="D70" s="3" t="str">
        <f>IF(ISNUMBER(D69),D60-D69,"n.a.")</f>
        <v>n.a.</v>
      </c>
      <c r="E70" s="3">
        <f>IF(ISNUMBER(E69),E60-E69,"n.a.")</f>
        <v>57</v>
      </c>
      <c r="F70" s="3">
        <f>IF(ISNUMBER(F69),F60-F69,"n.a.")</f>
        <v>75</v>
      </c>
      <c r="G70" s="29">
        <f>IF(ISNUMBER(G69),G60-G69,"n.a.")</f>
        <v>60</v>
      </c>
      <c r="H70" s="22"/>
    </row>
    <row r="71">
      <c r="A71" s="7" t="s">
        <v>203</v>
      </c>
      <c r="B71" s="21" t="str">
        <f>IF(ISNUMBER(B70),B70/(B10+B22+B34)*365/B$7,"n.a.")</f>
        <v>n.a.</v>
      </c>
      <c r="C71" s="21" t="str">
        <f>IF(ISNUMBER(C70),C70/(C10+C22+C34)*365/C$7,"n.a.")</f>
        <v>n.a.</v>
      </c>
      <c r="D71" s="21" t="str">
        <f>IF(ISNUMBER(D70),D70/(D10+D22+D34)*365/D$7,"n.a.")</f>
        <v>n.a.</v>
      </c>
      <c r="E71" s="21">
        <f>IF(ISNUMBER(E70),E70/(E10+E22+E34)*365/E$7,"n.a.")</f>
        <v>0.08545902649414665</v>
      </c>
      <c r="F71" s="21">
        <f>IF(ISNUMBER(F70),F70/(F10+F22+F34)*365/F$7,"n.a.")</f>
        <v>0.11043471946555647</v>
      </c>
      <c r="G71" s="31">
        <f>IF(ISNUMBER(G70),G70/(G10+G22+G34)*365/G$7,"n.a.")</f>
        <v>0.07998772791023842</v>
      </c>
      <c r="H71" s="22"/>
    </row>
    <row r="72">
      <c r="A72" s="7" t="s">
        <v>204</v>
      </c>
      <c r="B72" s="25" t="str">
        <f>"n.a."</f>
        <v>n.a.</v>
      </c>
      <c r="C72" s="25" t="str">
        <f>"n.a."</f>
        <v>n.a.</v>
      </c>
      <c r="D72" s="25" t="str">
        <f>"n.a."</f>
        <v>n.a.</v>
      </c>
      <c r="E72" s="25" t="str">
        <f>"n.a."</f>
        <v>n.a.</v>
      </c>
      <c r="F72" s="25">
        <f>IF(AND(ISNUMBER(F71),ISNUMBER(E71)),(F71-E71)*10000,"n.a.")</f>
        <v>249.75692971409822</v>
      </c>
      <c r="G72" s="30">
        <f>IF(AND(ISNUMBER(G71),ISNUMBER(F71)),(G71-F71)*10000,"n.a.")</f>
        <v>-304.4699155531805</v>
      </c>
      <c r="H72" s="22"/>
    </row>
    <row r="73">
      <c r="A73" s="7" t="s">
        <v>93</v>
      </c>
      <c r="B73" s="25" t="str">
        <f>"n.a."</f>
        <v>n.a.</v>
      </c>
      <c r="C73" s="25" t="str">
        <f>"n.a."</f>
        <v>n.a.</v>
      </c>
      <c r="D73" s="25" t="str">
        <f>"n.a."</f>
        <v>n.a.</v>
      </c>
      <c r="E73" s="25" t="str">
        <f>"n.a."</f>
        <v>n.a.</v>
      </c>
      <c r="F73" s="25" t="str">
        <f>"n.a."</f>
        <v>n.a.</v>
      </c>
      <c r="G73" s="30" t="str">
        <f>IF(AND(ISNUMBER(G71),ISNUMBER(B71)),(G71-B71)*10000,"n.a.")</f>
        <v>n.a.</v>
      </c>
      <c r="H73" s="22"/>
    </row>
    <row r="74">
      <c r="A74" s="17" t="s">
        <v>205</v>
      </c>
      <c r="B74" s="26">
        <f>B15+B27+B39+B51</f>
        <v>80</v>
      </c>
      <c r="C74" s="26">
        <f>C15+C27+C39+C51</f>
        <v>38</v>
      </c>
      <c r="D74" s="26">
        <f>D15+D27+D39+D51</f>
        <v>245</v>
      </c>
      <c r="E74" s="26">
        <f>E15+E27+E39+E51</f>
        <v>-43</v>
      </c>
      <c r="F74" s="26">
        <f>F15+F27+F39+F51</f>
        <v>161</v>
      </c>
      <c r="G74" s="52">
        <f>G15+G27+G39+G51</f>
        <v>11.755000000000006</v>
      </c>
      <c r="H74" s="22"/>
    </row>
    <row r="75">
      <c r="A75" s="7" t="s">
        <v>78</v>
      </c>
      <c r="B75" s="23" t="str">
        <f>IF(ISNUMBER(Inputs!B165),IF(OR(Inputs!B165&lt;=0,B74&lt;0),"n.m.",B74/Inputs!B165-1),"n.a.")</f>
        <v>n.a.</v>
      </c>
      <c r="C75" s="23" t="str">
        <f>IF(ISNUMBER(Inputs!C165),IF(OR(Inputs!C165&lt;=0,C74&lt;0),"n.m.",C74/Inputs!C165-1),"n.a.")</f>
        <v>n.m.</v>
      </c>
      <c r="D75" s="23">
        <f>IF(ISNUMBER(Inputs!D165),IF(OR(Inputs!D165&lt;=0,D74&lt;0),"n.m.",D74/Inputs!D165-1),"n.a.")</f>
        <v>1.2072072072072073</v>
      </c>
      <c r="E75" s="23" t="str">
        <f>IF(ISNUMBER(Inputs!E165),IF(OR(Inputs!E165&lt;=0,E74&lt;0),"n.m.",E74/Inputs!E165-1),"n.a.")</f>
        <v>n.a.</v>
      </c>
      <c r="F75" s="23">
        <f>IF(ISNUMBER(Inputs!F165),IF(OR(Inputs!F165&lt;=0,F74&lt;0),"n.m.",F74/Inputs!F165-1),"n.a.")</f>
        <v>0.3999999999999999</v>
      </c>
      <c r="G75" s="31">
        <f>IF(ISNUMBER(B74),IF(OR(B74&lt;=0,G74&lt;0),"n.m.",G74/B74-1),"n.a.")</f>
        <v>-0.8530625</v>
      </c>
      <c r="H75" s="22"/>
    </row>
    <row r="76">
      <c r="A76" s="7" t="s">
        <v>79</v>
      </c>
      <c r="B76" s="23">
        <f>IF(ISNUMBER(Inputs!F165),IF(OR(Inputs!F165&lt;=0,B74&lt;0),"n.m.",B74/Inputs!F165-1),"n.a.")</f>
        <v>-0.30434782608695654</v>
      </c>
      <c r="C76" s="21">
        <f>IF(ISNUMBER(B74),IF(OR(B74&lt;=0,C74&lt;0),"n.m.",C74/B74-1),"n.a.")</f>
        <v>-0.525</v>
      </c>
      <c r="D76" s="21" t="str">
        <f>"n.a."</f>
        <v>n.a.</v>
      </c>
      <c r="E76" s="21" t="str">
        <f>IF(ISNUMBER(C74),IF(OR(C74&lt;=0,E74&lt;0),"n.m.",E74/C74-1),"n.a.")</f>
        <v>n.m.</v>
      </c>
      <c r="F76" s="21" t="str">
        <f>IF(ISNUMBER(E74),IF(OR(E74&lt;=0,F74&lt;0),"n.m.",F74/E74-1),"n.a.")</f>
        <v>n.m.</v>
      </c>
      <c r="G76" s="31">
        <f>IF(ISNUMBER(F74),IF(OR(F74&lt;=0,G74&lt;0),"n.m.",G74/F74-1),"n.a.")</f>
        <v>-0.9269875776397515</v>
      </c>
      <c r="H76" s="22"/>
    </row>
    <row r="77">
      <c r="A77" s="1" t="s">
        <v>198</v>
      </c>
      <c r="B77" s="8">
        <f>IF(ISNUMBER(Inputs!F165),B74-Inputs!F165,"n.a.")</f>
        <v>-35</v>
      </c>
      <c r="C77" s="3">
        <f>IF(ISNUMBER(B74),C74-B74,"n.a.")</f>
        <v>-42</v>
      </c>
      <c r="D77" s="3" t="str">
        <f>"n.a."</f>
        <v>n.a.</v>
      </c>
      <c r="E77" s="3">
        <f>IF(ISNUMBER(C74),E74-C74,"n.a.")</f>
        <v>-81</v>
      </c>
      <c r="F77" s="3">
        <f>IF(ISNUMBER(E74),F74-E74,"n.a.")</f>
        <v>204</v>
      </c>
      <c r="G77" s="29">
        <f>IF(ISNUMBER(F74),G74-F74,"n.a.")</f>
        <v>-149.245</v>
      </c>
      <c r="H77" s="22"/>
    </row>
    <row r="78">
      <c r="A78" s="17" t="s">
        <v>206</v>
      </c>
      <c r="B78" s="26">
        <f>B19+B31+B43+B55</f>
        <v>3452</v>
      </c>
      <c r="C78" s="26">
        <f>C19+C31+C43+C55</f>
        <v>3606</v>
      </c>
      <c r="D78" s="26">
        <f>D19+D31+D43+D55</f>
        <v>3606</v>
      </c>
      <c r="E78" s="26">
        <f>E19+E31+E43+E55</f>
        <v>3650</v>
      </c>
      <c r="F78" s="26">
        <f>F19+F31+F43+F55</f>
        <v>4041</v>
      </c>
      <c r="G78" s="52">
        <f>G19+G31+G43+G55</f>
        <v>4142.755</v>
      </c>
      <c r="H78" s="22"/>
    </row>
    <row r="79">
      <c r="A79" s="7" t="s">
        <v>78</v>
      </c>
      <c r="B79" s="23" t="str">
        <f>IF(ISNUMBER(Inputs!B171),IF(OR(Inputs!B171&lt;=0,B78&lt;0),"n.m.",B78/Inputs!B171-1),"n.a.")</f>
        <v>n.a.</v>
      </c>
      <c r="C79" s="23">
        <f>IF(ISNUMBER(Inputs!C171),IF(OR(Inputs!C171&lt;=0,C78&lt;0),"n.m.",C78/Inputs!C171-1),"n.a.")</f>
        <v>0.1495058973541601</v>
      </c>
      <c r="D79" s="23">
        <f>IF(ISNUMBER(Inputs!D171),IF(OR(Inputs!D171&lt;=0,D78&lt;0),"n.m.",D78/Inputs!D171-1),"n.a.")</f>
        <v>0.1495058973541601</v>
      </c>
      <c r="E79" s="23" t="str">
        <f>IF(ISNUMBER(Inputs!E171),IF(OR(Inputs!E171&lt;=0,E78&lt;0),"n.m.",E78/Inputs!E171-1),"n.a.")</f>
        <v>n.a.</v>
      </c>
      <c r="F79" s="23">
        <f>IF(ISNUMBER(Inputs!F171),IF(OR(Inputs!F171&lt;=0,F78&lt;0),"n.m.",F78/Inputs!F171-1),"n.a.")</f>
        <v>0.22714849681141813</v>
      </c>
      <c r="G79" s="31">
        <f>IF(ISNUMBER(B78),IF(OR(B78&lt;=0,G78&lt;0),"n.m.",G78/B78-1),"n.a.")</f>
        <v>0.20010283893395142</v>
      </c>
      <c r="H79" s="22"/>
    </row>
    <row r="80">
      <c r="A80" s="7" t="s">
        <v>79</v>
      </c>
      <c r="B80" s="23">
        <f>IF(ISNUMBER(Inputs!F171),IF(OR(Inputs!F171&lt;=0,B78&lt;0),"n.m.",B78/Inputs!F171-1),"n.a.")</f>
        <v>0.048284239295475206</v>
      </c>
      <c r="C80" s="21">
        <f>IF(ISNUMBER(B78),IF(OR(B78&lt;=0,C78&lt;0),"n.m.",C78/B78-1),"n.a.")</f>
        <v>0.04461181923522606</v>
      </c>
      <c r="D80" s="21" t="str">
        <f>"n.a."</f>
        <v>n.a.</v>
      </c>
      <c r="E80" s="21">
        <f>IF(ISNUMBER(C78),IF(OR(C78&lt;=0,E78&lt;0),"n.m.",E78/C78-1),"n.a.")</f>
        <v>0.012201885745978913</v>
      </c>
      <c r="F80" s="21">
        <f>IF(ISNUMBER(E78),IF(OR(E78&lt;=0,F78&lt;0),"n.m.",F78/E78-1),"n.a.")</f>
        <v>0.10712328767123291</v>
      </c>
      <c r="G80" s="31">
        <f>IF(ISNUMBER(F78),IF(OR(F78&lt;=0,G78&lt;0),"n.m.",G78/F78-1),"n.a.")</f>
        <v>0.02518064835436773</v>
      </c>
      <c r="H80" s="22"/>
    </row>
    <row r="81">
      <c r="A81" s="1" t="s">
        <v>198</v>
      </c>
      <c r="B81" s="8">
        <f>IF(ISNUMBER(Inputs!F171),B78-Inputs!F171,"n.a.")</f>
        <v>159</v>
      </c>
      <c r="C81" s="3">
        <f>IF(ISNUMBER(B78),C78-B78,"n.a.")</f>
        <v>154</v>
      </c>
      <c r="D81" s="3" t="str">
        <f>"n.a."</f>
        <v>n.a.</v>
      </c>
      <c r="E81" s="3">
        <f>IF(ISNUMBER(C78),E78-C78,"n.a.")</f>
        <v>44</v>
      </c>
      <c r="F81" s="3">
        <f>IF(ISNUMBER(E78),F78-E78,"n.a.")</f>
        <v>391</v>
      </c>
      <c r="G81" s="29">
        <f>IF(ISNUMBER(F78),G78-F78,"n.a.")</f>
        <v>101.75500000000011</v>
      </c>
      <c r="H81" s="22"/>
    </row>
    <row r="82">
      <c r="A82" s="17" t="s">
        <v>207</v>
      </c>
      <c r="B82" s="26">
        <f>B19+B31+B43</f>
        <v>2601</v>
      </c>
      <c r="C82" s="26">
        <f>C19+C31+C43</f>
        <v>2705</v>
      </c>
      <c r="D82" s="26">
        <f>D19+D31+D43</f>
        <v>2705</v>
      </c>
      <c r="E82" s="26">
        <f>E19+E31+E43</f>
        <v>2724</v>
      </c>
      <c r="F82" s="26">
        <f>F19+F31+F43</f>
        <v>2976</v>
      </c>
      <c r="G82" s="52">
        <f>G19+G31+G43</f>
        <v>3047.755</v>
      </c>
      <c r="H82" s="22"/>
    </row>
    <row r="83">
      <c r="A83" s="7" t="s">
        <v>78</v>
      </c>
      <c r="B83" s="23" t="str">
        <f>IF(ISNUMBER(Inputs!B169),IF(OR(Inputs!B169&lt;=0,B82&lt;0),"n.m.",B82/Inputs!B169-1),"n.a.")</f>
        <v>n.a.</v>
      </c>
      <c r="C83" s="23">
        <f>IF(ISNUMBER(Inputs!C169),IF(OR(Inputs!C169&lt;=0,C82&lt;0),"n.m.",C82/Inputs!C169-1),"n.a.")</f>
        <v>0.18019197207678883</v>
      </c>
      <c r="D83" s="23">
        <f>IF(ISNUMBER(Inputs!D169),IF(OR(Inputs!D169&lt;=0,D82&lt;0),"n.m.",D82/Inputs!D169-1),"n.a.")</f>
        <v>0.18019197207678883</v>
      </c>
      <c r="E83" s="23" t="str">
        <f>IF(ISNUMBER(Inputs!E169),IF(OR(Inputs!E169&lt;=0,E82&lt;0),"n.m.",E82/Inputs!E169-1),"n.a.")</f>
        <v>n.a.</v>
      </c>
      <c r="F83" s="23">
        <f>IF(ISNUMBER(Inputs!F169),IF(OR(Inputs!F169&lt;=0,F82&lt;0),"n.m.",F82/Inputs!F169-1),"n.a.")</f>
        <v>0.2073022312373225</v>
      </c>
      <c r="G83" s="31">
        <f>IF(ISNUMBER(B82),IF(OR(B82&lt;=0,G82&lt;0),"n.m.",G82/B82-1),"n.a.")</f>
        <v>0.17176278354479058</v>
      </c>
      <c r="H83" s="22"/>
    </row>
    <row r="84">
      <c r="A84" s="7" t="s">
        <v>79</v>
      </c>
      <c r="B84" s="23">
        <f>IF(ISNUMBER(Inputs!F169),IF(OR(Inputs!F169&lt;=0,B82&lt;0),"n.m.",B82/Inputs!F169-1),"n.a.")</f>
        <v>0.05517241379310356</v>
      </c>
      <c r="C84" s="21">
        <f>IF(ISNUMBER(B82),IF(OR(B82&lt;=0,C82&lt;0),"n.m.",C82/B82-1),"n.a.")</f>
        <v>0.03998462129950009</v>
      </c>
      <c r="D84" s="21" t="str">
        <f>"n.a."</f>
        <v>n.a.</v>
      </c>
      <c r="E84" s="21">
        <f>IF(ISNUMBER(C82),IF(OR(C82&lt;=0,E82&lt;0),"n.m.",E82/C82-1),"n.a.")</f>
        <v>0.007024029574861368</v>
      </c>
      <c r="F84" s="21">
        <f>IF(ISNUMBER(E82),IF(OR(E82&lt;=0,F82&lt;0),"n.m.",F82/E82-1),"n.a.")</f>
        <v>0.09251101321585908</v>
      </c>
      <c r="G84" s="31">
        <f>IF(ISNUMBER(F82),IF(OR(F82&lt;=0,G82&lt;0),"n.m.",G82/F82-1),"n.a.")</f>
        <v>0.024111223118279623</v>
      </c>
      <c r="H84" s="22"/>
    </row>
    <row r="85">
      <c r="A85" s="1" t="s">
        <v>198</v>
      </c>
      <c r="B85" s="8">
        <f>IF(ISNUMBER(Inputs!F169),B82-Inputs!F169,"n.a.")</f>
        <v>136</v>
      </c>
      <c r="C85" s="3">
        <f>IF(ISNUMBER(B82),C82-B82,"n.a.")</f>
        <v>104</v>
      </c>
      <c r="D85" s="3" t="str">
        <f>"n.a."</f>
        <v>n.a.</v>
      </c>
      <c r="E85" s="3">
        <f>IF(ISNUMBER(C82),E82-C82,"n.a.")</f>
        <v>19</v>
      </c>
      <c r="F85" s="3">
        <f>IF(ISNUMBER(E82),F82-E82,"n.a.")</f>
        <v>252</v>
      </c>
      <c r="G85" s="29">
        <f>IF(ISNUMBER(F82),G82-F82,"n.a.")</f>
        <v>71.75500000000011</v>
      </c>
      <c r="H85" s="22"/>
    </row>
    <row r="86">
      <c r="A86" s="1" t="s">
        <v>208</v>
      </c>
      <c r="B86" s="20">
        <v>80</v>
      </c>
      <c r="C86" s="20">
        <v>38</v>
      </c>
      <c r="D86" s="20">
        <v>245</v>
      </c>
      <c r="E86" s="20">
        <v>-43</v>
      </c>
      <c r="F86" s="20">
        <v>161</v>
      </c>
      <c r="G86" s="29"/>
      <c r="H86" s="22" t="s">
        <v>209</v>
      </c>
    </row>
    <row r="87">
      <c r="A87" s="1" t="s">
        <v>210</v>
      </c>
      <c r="B87" s="3">
        <f>B74-B86</f>
        <v>0</v>
      </c>
      <c r="C87" s="3">
        <f>C74-C86</f>
        <v>0</v>
      </c>
      <c r="D87" s="3">
        <f>D74-D86</f>
        <v>0</v>
      </c>
      <c r="E87" s="3">
        <f>E74-E86</f>
        <v>0</v>
      </c>
      <c r="F87" s="3">
        <f>F74-F86</f>
        <v>0</v>
      </c>
      <c r="G87" s="29"/>
      <c r="H87" s="22"/>
    </row>
    <row r="88">
      <c r="A88" s="1" t="s">
        <v>211</v>
      </c>
      <c r="B88" s="3">
        <f>(B59+B78)/2</f>
        <v>3372.5</v>
      </c>
      <c r="C88" s="3">
        <f>(C59+C78)/2</f>
        <v>3529</v>
      </c>
      <c r="D88" s="3">
        <f>(D59+D78)/2</f>
        <v>3371.5</v>
      </c>
      <c r="E88" s="3">
        <f>(E59+E78)/2</f>
        <v>3628</v>
      </c>
      <c r="F88" s="3">
        <f>(F59+F78)/2</f>
        <v>3845.5</v>
      </c>
      <c r="G88" s="29">
        <f>(G59+G78)/2</f>
        <v>4091.8775</v>
      </c>
      <c r="H88" s="22" t="s">
        <v>212</v>
      </c>
    </row>
    <row r="89">
      <c r="A89" s="7" t="s">
        <v>78</v>
      </c>
      <c r="B89" s="21" t="str">
        <f>"n.a."</f>
        <v>n.a.</v>
      </c>
      <c r="C89" s="21" t="str">
        <f>"n.a."</f>
        <v>n.a.</v>
      </c>
      <c r="D89" s="21" t="str">
        <f>"n.a."</f>
        <v>n.a.</v>
      </c>
      <c r="E89" s="21" t="str">
        <f>"n.a."</f>
        <v>n.a.</v>
      </c>
      <c r="F89" s="21" t="str">
        <f>"n.a."</f>
        <v>n.a.</v>
      </c>
      <c r="G89" s="31">
        <f>IF(ISNUMBER(B88),IF(OR(B88&lt;=0,G88&lt;0),"n.m.",G88/B88-1),"n.a.")</f>
        <v>0.21330689399555225</v>
      </c>
      <c r="H89" s="22"/>
    </row>
    <row r="90">
      <c r="A90" s="7" t="s">
        <v>79</v>
      </c>
      <c r="B90" s="21" t="str">
        <f>"n.a."</f>
        <v>n.a.</v>
      </c>
      <c r="C90" s="21">
        <f>IF(ISNUMBER(B88),IF(OR(B88&lt;=0,C88&lt;0),"n.m.",C88/B88-1),"n.a.")</f>
        <v>0.04640474425500374</v>
      </c>
      <c r="D90" s="21" t="str">
        <f>"n.a."</f>
        <v>n.a.</v>
      </c>
      <c r="E90" s="21">
        <f>IF(ISNUMBER(C88),IF(OR(C88&lt;=0,E88&lt;0),"n.m.",E88/C88-1),"n.a.")</f>
        <v>0.028053272881836122</v>
      </c>
      <c r="F90" s="21">
        <f>IF(ISNUMBER(E88),IF(OR(E88&lt;=0,F88&lt;0),"n.m.",F88/E88-1),"n.a.")</f>
        <v>0.059950385887541424</v>
      </c>
      <c r="G90" s="31">
        <f>IF(ISNUMBER(F88),IF(OR(F88&lt;=0,G88&lt;0),"n.m.",G88/F88-1),"n.a.")</f>
        <v>0.06406904173709527</v>
      </c>
      <c r="H90" s="22"/>
    </row>
    <row r="91">
      <c r="A91" s="1" t="s">
        <v>198</v>
      </c>
      <c r="B91" s="3" t="str">
        <f>"n.a."</f>
        <v>n.a.</v>
      </c>
      <c r="C91" s="3">
        <f>IF(ISNUMBER(B88),C88-B88,"n.a.")</f>
        <v>156.5</v>
      </c>
      <c r="D91" s="3" t="str">
        <f>"n.a."</f>
        <v>n.a.</v>
      </c>
      <c r="E91" s="3">
        <f>IF(ISNUMBER(C88),E88-C88,"n.a.")</f>
        <v>99</v>
      </c>
      <c r="F91" s="3">
        <f>IF(ISNUMBER(E88),F88-E88,"n.a.")</f>
        <v>217.5</v>
      </c>
      <c r="G91" s="29">
        <f>IF(ISNUMBER(F88),G88-F88,"n.a.")</f>
        <v>246.37750000000005</v>
      </c>
      <c r="H91" s="22"/>
    </row>
    <row r="92">
      <c r="A92" s="1" t="s">
        <v>213</v>
      </c>
      <c r="B92" s="3"/>
      <c r="C92" s="3"/>
      <c r="D92" s="3"/>
      <c r="E92" s="3"/>
      <c r="F92" s="3"/>
      <c r="G92" s="35">
        <f>Inputs!B241</f>
        <v>4179.41</v>
      </c>
      <c r="H92" s="22"/>
    </row>
    <row r="93">
      <c r="A93" s="1"/>
      <c r="B93" s="1"/>
      <c r="C93" s="1"/>
      <c r="D93" s="1"/>
      <c r="E93" s="1"/>
      <c r="F93" s="1"/>
      <c r="G93" s="24"/>
      <c r="H93" s="22"/>
    </row>
    <row r="94">
      <c r="A94" s="17" t="s">
        <v>214</v>
      </c>
      <c r="B94" s="1"/>
      <c r="C94" s="1"/>
      <c r="D94" s="1"/>
      <c r="E94" s="1"/>
      <c r="F94" s="1"/>
      <c r="G94" s="24"/>
      <c r="H94" s="22"/>
    </row>
    <row r="95">
      <c r="A95" s="1" t="s">
        <v>215</v>
      </c>
      <c r="B95" s="20">
        <v>2943</v>
      </c>
      <c r="C95" s="20">
        <v>3092</v>
      </c>
      <c r="D95" s="8">
        <f>Inputs!G115+B95+C95</f>
        <v>11538</v>
      </c>
      <c r="E95" s="20">
        <v>3077</v>
      </c>
      <c r="F95" s="20">
        <v>3355</v>
      </c>
      <c r="G95" s="29">
        <f>G88*1000*G96/10000*G$7/365</f>
        <v>3578.8793783561646</v>
      </c>
      <c r="H95" s="22" t="s">
        <v>216</v>
      </c>
    </row>
    <row r="96">
      <c r="A96" s="1" t="s">
        <v>217</v>
      </c>
      <c r="B96" s="3">
        <f>B95/(B88*1000)*365/B$7*10000</f>
        <v>34.62129757952751</v>
      </c>
      <c r="C96" s="3">
        <f>C95/(C88*1000)*365/C$7*10000</f>
        <v>34.7610482092476</v>
      </c>
      <c r="D96" s="3">
        <f>D95/(D88*1000)*365/D$7*10000</f>
        <v>34.22215631024766</v>
      </c>
      <c r="E96" s="3">
        <f>E95/(E88*1000)*365/E$7*10000</f>
        <v>34.39620850177631</v>
      </c>
      <c r="F96" s="3">
        <f>F95/(F88*1000)*365/F$7*10000</f>
        <v>34.99380608989242</v>
      </c>
      <c r="G96" s="51">
        <v>34.7</v>
      </c>
      <c r="H96" s="22" t="s">
        <v>218</v>
      </c>
    </row>
    <row r="97">
      <c r="A97" s="7" t="s">
        <v>93</v>
      </c>
      <c r="B97" s="25" t="str">
        <f>"n.a."</f>
        <v>n.a.</v>
      </c>
      <c r="C97" s="28">
        <f>IF(AND(ISNUMBER(Inputs!C115),ISNUMBER(Inputs!C158)),C96-Inputs!C115/((Inputs!C158+Inputs!C171)/2*1000)*365/C$7*10000,"n.a.")</f>
        <v>-1.0344855142752536</v>
      </c>
      <c r="D97" s="28">
        <f>IF(AND(ISNUMBER(Inputs!D115),ISNUMBER(Inputs!D158)),D96-Inputs!D115/((Inputs!D158+Inputs!D171)/2*1000)*365/D$7*10000,"n.a.")</f>
        <v>-0.792131805402029</v>
      </c>
      <c r="E97" s="25" t="str">
        <f>"n.a."</f>
        <v>n.a.</v>
      </c>
      <c r="F97" s="28">
        <f>IF(AND(ISNUMBER(Inputs!F115),ISNUMBER(Inputs!F158)),F96-Inputs!F115/((Inputs!F158+Inputs!F171)/2*1000)*365/F$7*10000,"n.a.")</f>
        <v>0.23107423467680377</v>
      </c>
      <c r="G97" s="30">
        <f>G96-B96</f>
        <v>0.07870242047249576</v>
      </c>
      <c r="H97" s="22"/>
    </row>
    <row r="98">
      <c r="A98" s="7" t="s">
        <v>204</v>
      </c>
      <c r="B98" s="25" t="str">
        <f>"n.a."</f>
        <v>n.a.</v>
      </c>
      <c r="C98" s="25">
        <f>C96-B96</f>
        <v>0.13975062972009056</v>
      </c>
      <c r="D98" s="25" t="str">
        <f>"n.a."</f>
        <v>n.a.</v>
      </c>
      <c r="E98" s="25">
        <f>E96-C96</f>
        <v>-0.36483970747129035</v>
      </c>
      <c r="F98" s="25">
        <f>F96-E96</f>
        <v>0.5975975881161162</v>
      </c>
      <c r="G98" s="30">
        <f>G96-F96</f>
        <v>-0.29380608989242063</v>
      </c>
      <c r="H98" s="22"/>
    </row>
    <row r="99">
      <c r="A99" s="7" t="s">
        <v>78</v>
      </c>
      <c r="B99" s="23" t="str">
        <f>IF(ISNUMBER(Inputs!B115),IF(OR(Inputs!B115&lt;=0,B95&lt;0),"n.m.",B95/Inputs!B115-1),"n.a.")</f>
        <v>n.a.</v>
      </c>
      <c r="C99" s="23">
        <f>IF(ISNUMBER(Inputs!C115),IF(OR(Inputs!C115&lt;=0,C95&lt;0),"n.m.",C95/Inputs!C115-1),"n.a.")</f>
        <v>0.0984014209591475</v>
      </c>
      <c r="D99" s="23">
        <f>IF(ISNUMBER(Inputs!D115),IF(OR(Inputs!D115&lt;=0,D95&lt;0),"n.m.",D95/Inputs!D115-1),"n.a.")</f>
        <v>0.10782525204032645</v>
      </c>
      <c r="E99" s="23">
        <f>IF(ISNUMBER(Inputs!E115),IF(OR(Inputs!E115&lt;=0,E95&lt;0),"n.m.",E95/Inputs!E115-1),"n.a.")</f>
        <v>0.13920770085153644</v>
      </c>
      <c r="F99" s="23">
        <f>IF(ISNUMBER(Inputs!F115),IF(OR(Inputs!F115&lt;=0,F95&lt;0),"n.m.",F95/Inputs!F115-1),"n.a.")</f>
        <v>0.19735902926481086</v>
      </c>
      <c r="G99" s="31">
        <f>IF(ISNUMBER(B95),IF(OR(B95&lt;=0,G95&lt;0),"n.m.",G95/B95-1),"n.a.")</f>
        <v>0.21606502832353547</v>
      </c>
      <c r="H99" s="22"/>
    </row>
    <row r="100">
      <c r="A100" s="7" t="s">
        <v>79</v>
      </c>
      <c r="B100" s="23">
        <f>IF(ISNUMBER(Inputs!F115),IF(OR(Inputs!F115&lt;=0,B95&lt;0),"n.m.",B95/Inputs!F115-1),"n.a.")</f>
        <v>0.05032119914346889</v>
      </c>
      <c r="C100" s="21">
        <f>IF(ISNUMBER(B95),IF(OR(B95&lt;=0,C95&lt;0),"n.m.",C95/B95-1),"n.a.")</f>
        <v>0.050628610261637785</v>
      </c>
      <c r="D100" s="21" t="str">
        <f>"n.a."</f>
        <v>n.a.</v>
      </c>
      <c r="E100" s="21">
        <f>IF(ISNUMBER(C95),IF(OR(C95&lt;=0,E95&lt;0),"n.m.",E95/C95-1),"n.a.")</f>
        <v>-0.004851228978007716</v>
      </c>
      <c r="F100" s="21">
        <f>IF(ISNUMBER(E95),IF(OR(E95&lt;=0,F95&lt;0),"n.m.",F95/E95-1),"n.a.")</f>
        <v>0.09034774130646728</v>
      </c>
      <c r="G100" s="31">
        <f>IF(ISNUMBER(F95),IF(OR(F95&lt;=0,G95&lt;0),"n.m.",G95/F95-1),"n.a.")</f>
        <v>0.06673006806443049</v>
      </c>
      <c r="H100" s="22"/>
    </row>
    <row r="101">
      <c r="A101" s="1" t="s">
        <v>80</v>
      </c>
      <c r="B101" s="8">
        <f>IF(ISNUMBER(Inputs!F115),B95-Inputs!F115,"n.a.")</f>
        <v>141</v>
      </c>
      <c r="C101" s="3">
        <f>IF(ISNUMBER(B95),C95-B95,"n.a.")</f>
        <v>149</v>
      </c>
      <c r="D101" s="3" t="str">
        <f>"n.a."</f>
        <v>n.a.</v>
      </c>
      <c r="E101" s="3">
        <f>IF(ISNUMBER(C95),E95-C95,"n.a.")</f>
        <v>-15</v>
      </c>
      <c r="F101" s="3">
        <f>IF(ISNUMBER(E95),F95-E95,"n.a.")</f>
        <v>278</v>
      </c>
      <c r="G101" s="29">
        <f>IF(ISNUMBER(F95),G95-F95,"n.a.")</f>
        <v>223.87937835616458</v>
      </c>
      <c r="H101" s="22"/>
    </row>
    <row r="102">
      <c r="A102" s="7" t="s">
        <v>81</v>
      </c>
      <c r="B102" s="21" t="s">
        <v>82</v>
      </c>
      <c r="C102" s="21" t="s">
        <v>82</v>
      </c>
      <c r="D102" s="21" t="s">
        <v>82</v>
      </c>
      <c r="E102" s="21" t="s">
        <v>82</v>
      </c>
      <c r="F102" s="21" t="s">
        <v>82</v>
      </c>
      <c r="G102" s="31" t="s">
        <v>82</v>
      </c>
      <c r="H102" s="22"/>
    </row>
    <row r="103">
      <c r="A103" s="7" t="s">
        <v>83</v>
      </c>
      <c r="B103" s="21" t="s">
        <v>82</v>
      </c>
      <c r="C103" s="21" t="s">
        <v>82</v>
      </c>
      <c r="D103" s="21" t="s">
        <v>82</v>
      </c>
      <c r="E103" s="21" t="s">
        <v>82</v>
      </c>
      <c r="F103" s="21" t="s">
        <v>82</v>
      </c>
      <c r="G103" s="31" t="s">
        <v>82</v>
      </c>
      <c r="H103" s="22"/>
    </row>
    <row r="104">
      <c r="A104" s="7" t="s">
        <v>84</v>
      </c>
      <c r="B104" s="21" t="str">
        <f>IF(AND(ISNUMBER(B99),ISNUMBER(B102),ISNUMBER(B103)),(1+B99)/((1+B102)*(1+B103))-1,"n.a.")</f>
        <v>n.a.</v>
      </c>
      <c r="C104" s="21" t="str">
        <f>IF(AND(ISNUMBER(C99),ISNUMBER(C102),ISNUMBER(C103)),(1+C99)/((1+C102)*(1+C103))-1,"n.a.")</f>
        <v>n.a.</v>
      </c>
      <c r="D104" s="21" t="str">
        <f>IF(AND(ISNUMBER(D99),ISNUMBER(D102),ISNUMBER(D103)),(1+D99)/((1+D102)*(1+D103))-1,"n.a.")</f>
        <v>n.a.</v>
      </c>
      <c r="E104" s="21" t="str">
        <f>IF(AND(ISNUMBER(E99),ISNUMBER(E102),ISNUMBER(E103)),(1+E99)/((1+E102)*(1+E103))-1,"n.a.")</f>
        <v>n.a.</v>
      </c>
      <c r="F104" s="21" t="str">
        <f>IF(AND(ISNUMBER(F99),ISNUMBER(F102),ISNUMBER(F103)),(1+F99)/((1+F102)*(1+F103))-1,"n.a.")</f>
        <v>n.a.</v>
      </c>
      <c r="G104" s="31" t="str">
        <f>IF(AND(ISNUMBER(G99),ISNUMBER(G102),ISNUMBER(G103)),(1+G99)/((1+G102)*(1+G103))-1,"n.a.")</f>
        <v>n.a.</v>
      </c>
      <c r="H104" s="22"/>
    </row>
    <row r="105">
      <c r="A105" s="1" t="s">
        <v>219</v>
      </c>
      <c r="B105" s="20">
        <v>76</v>
      </c>
      <c r="C105" s="20">
        <v>181</v>
      </c>
      <c r="D105" s="8">
        <f>Inputs!G116+B105+C105</f>
        <v>489</v>
      </c>
      <c r="E105" s="20">
        <v>183</v>
      </c>
      <c r="F105" s="20">
        <v>112</v>
      </c>
      <c r="G105" s="51">
        <v>175</v>
      </c>
      <c r="H105" s="22" t="s">
        <v>220</v>
      </c>
    </row>
    <row r="106">
      <c r="A106" s="7" t="s">
        <v>78</v>
      </c>
      <c r="B106" s="23" t="str">
        <f>IF(ISNUMBER(Inputs!B116),IF(OR(Inputs!B116&lt;=0,B105&lt;0),"n.m.",B105/Inputs!B116-1),"n.a.")</f>
        <v>n.a.</v>
      </c>
      <c r="C106" s="23">
        <f>IF(ISNUMBER(Inputs!C116),IF(OR(Inputs!C116&lt;=0,C105&lt;0),"n.m.",C105/Inputs!C116-1),"n.a.")</f>
        <v>0.04022988505747116</v>
      </c>
      <c r="D106" s="23">
        <f>IF(ISNUMBER(Inputs!D116),IF(OR(Inputs!D116&lt;=0,D105&lt;0),"n.m.",D105/Inputs!D116-1),"n.a.")</f>
        <v>0.2442748091603053</v>
      </c>
      <c r="E106" s="23">
        <f>IF(ISNUMBER(Inputs!E116),IF(OR(Inputs!E116&lt;=0,E105&lt;0),"n.m.",E105/Inputs!E116-1),"n.a.")</f>
        <v>0.4186046511627908</v>
      </c>
      <c r="F106" s="23">
        <f>IF(ISNUMBER(Inputs!F116),IF(OR(Inputs!F116&lt;=0,F105&lt;0),"n.m.",F105/Inputs!F116-1),"n.a.")</f>
        <v>0.08737864077669899</v>
      </c>
      <c r="G106" s="31">
        <f>IF(ISNUMBER(B105),IF(OR(B105&lt;=0,G105&lt;0),"n.m.",G105/B105-1),"n.a.")</f>
        <v>1.3026315789473686</v>
      </c>
      <c r="H106" s="22"/>
    </row>
    <row r="107">
      <c r="A107" s="7" t="s">
        <v>79</v>
      </c>
      <c r="B107" s="23">
        <f>IF(ISNUMBER(Inputs!F116),IF(OR(Inputs!F116&lt;=0,B105&lt;0),"n.m.",B105/Inputs!F116-1),"n.a.")</f>
        <v>-0.2621359223300971</v>
      </c>
      <c r="C107" s="21">
        <f>IF(ISNUMBER(B105),IF(OR(B105&lt;=0,C105&lt;0),"n.m.",C105/B105-1),"n.a.")</f>
        <v>1.3815789473684212</v>
      </c>
      <c r="D107" s="21" t="str">
        <f>"n.a."</f>
        <v>n.a.</v>
      </c>
      <c r="E107" s="21">
        <f>IF(ISNUMBER(C105),IF(OR(C105&lt;=0,E105&lt;0),"n.m.",E105/C105-1),"n.a.")</f>
        <v>0.011049723756906049</v>
      </c>
      <c r="F107" s="21">
        <f>IF(ISNUMBER(E105),IF(OR(E105&lt;=0,F105&lt;0),"n.m.",F105/E105-1),"n.a.")</f>
        <v>-0.3879781420765027</v>
      </c>
      <c r="G107" s="31">
        <f>IF(ISNUMBER(F105),IF(OR(F105&lt;=0,G105&lt;0),"n.m.",G105/F105-1),"n.a.")</f>
        <v>0.5625</v>
      </c>
      <c r="H107" s="22"/>
    </row>
    <row r="108">
      <c r="A108" s="1" t="s">
        <v>80</v>
      </c>
      <c r="B108" s="8">
        <f>IF(ISNUMBER(Inputs!F116),B105-Inputs!F116,"n.a.")</f>
        <v>-27</v>
      </c>
      <c r="C108" s="3">
        <f>IF(ISNUMBER(B105),C105-B105,"n.a.")</f>
        <v>105</v>
      </c>
      <c r="D108" s="3" t="str">
        <f>"n.a."</f>
        <v>n.a.</v>
      </c>
      <c r="E108" s="3">
        <f>IF(ISNUMBER(C105),E105-C105,"n.a.")</f>
        <v>2</v>
      </c>
      <c r="F108" s="3">
        <f>IF(ISNUMBER(E105),F105-E105,"n.a.")</f>
        <v>-71</v>
      </c>
      <c r="G108" s="29">
        <f>IF(ISNUMBER(F105),G105-F105,"n.a.")</f>
        <v>63</v>
      </c>
      <c r="H108" s="22"/>
    </row>
    <row r="109">
      <c r="A109" s="7" t="s">
        <v>81</v>
      </c>
      <c r="B109" s="21" t="s">
        <v>82</v>
      </c>
      <c r="C109" s="21" t="s">
        <v>82</v>
      </c>
      <c r="D109" s="21" t="s">
        <v>82</v>
      </c>
      <c r="E109" s="21" t="s">
        <v>82</v>
      </c>
      <c r="F109" s="21" t="s">
        <v>82</v>
      </c>
      <c r="G109" s="31" t="s">
        <v>82</v>
      </c>
      <c r="H109" s="22"/>
    </row>
    <row r="110">
      <c r="A110" s="7" t="s">
        <v>83</v>
      </c>
      <c r="B110" s="21" t="s">
        <v>82</v>
      </c>
      <c r="C110" s="21" t="s">
        <v>82</v>
      </c>
      <c r="D110" s="21" t="s">
        <v>82</v>
      </c>
      <c r="E110" s="21" t="s">
        <v>82</v>
      </c>
      <c r="F110" s="21" t="s">
        <v>82</v>
      </c>
      <c r="G110" s="31" t="s">
        <v>82</v>
      </c>
      <c r="H110" s="22"/>
    </row>
    <row r="111">
      <c r="A111" s="7" t="s">
        <v>84</v>
      </c>
      <c r="B111" s="21" t="str">
        <f>IF(AND(ISNUMBER(B106),ISNUMBER(B109),ISNUMBER(B110)),(1+B106)/((1+B109)*(1+B110))-1,"n.a.")</f>
        <v>n.a.</v>
      </c>
      <c r="C111" s="21" t="str">
        <f>IF(AND(ISNUMBER(C106),ISNUMBER(C109),ISNUMBER(C110)),(1+C106)/((1+C109)*(1+C110))-1,"n.a.")</f>
        <v>n.a.</v>
      </c>
      <c r="D111" s="21" t="str">
        <f>IF(AND(ISNUMBER(D106),ISNUMBER(D109),ISNUMBER(D110)),(1+D106)/((1+D109)*(1+D110))-1,"n.a.")</f>
        <v>n.a.</v>
      </c>
      <c r="E111" s="21" t="str">
        <f>IF(AND(ISNUMBER(E106),ISNUMBER(E109),ISNUMBER(E110)),(1+E106)/((1+E109)*(1+E110))-1,"n.a.")</f>
        <v>n.a.</v>
      </c>
      <c r="F111" s="21" t="str">
        <f>IF(AND(ISNUMBER(F106),ISNUMBER(F109),ISNUMBER(F110)),(1+F106)/((1+F109)*(1+F110))-1,"n.a.")</f>
        <v>n.a.</v>
      </c>
      <c r="G111" s="31" t="str">
        <f>IF(AND(ISNUMBER(G106),ISNUMBER(G109),ISNUMBER(G110)),(1+G106)/((1+G109)*(1+G110))-1,"n.a.")</f>
        <v>n.a.</v>
      </c>
      <c r="H111" s="22"/>
    </row>
    <row r="112">
      <c r="A112" s="1" t="s">
        <v>221</v>
      </c>
      <c r="B112" s="20">
        <v>1057</v>
      </c>
      <c r="C112" s="20">
        <v>776</v>
      </c>
      <c r="D112" s="8">
        <f>Inputs!G117+B112+C112</f>
        <v>3347</v>
      </c>
      <c r="E112" s="20">
        <v>638</v>
      </c>
      <c r="F112" s="20">
        <v>689</v>
      </c>
      <c r="G112" s="51">
        <v>700</v>
      </c>
      <c r="H112" s="22" t="s">
        <v>222</v>
      </c>
    </row>
    <row r="113">
      <c r="A113" s="7" t="s">
        <v>78</v>
      </c>
      <c r="B113" s="23" t="str">
        <f>IF(ISNUMBER(Inputs!B117),IF(OR(Inputs!B117&lt;=0,B112&lt;0),"n.m.",B112/Inputs!B117-1),"n.a.")</f>
        <v>n.a.</v>
      </c>
      <c r="C113" s="23">
        <f>IF(ISNUMBER(Inputs!C117),IF(OR(Inputs!C117&lt;=0,C112&lt;0),"n.m.",C112/Inputs!C117-1),"n.a.")</f>
        <v>0.05434782608695654</v>
      </c>
      <c r="D113" s="23">
        <f>IF(ISNUMBER(Inputs!D117),IF(OR(Inputs!D117&lt;=0,D112&lt;0),"n.m.",D112/Inputs!D117-1),"n.a.")</f>
        <v>0.1617493925720237</v>
      </c>
      <c r="E113" s="23">
        <f>IF(ISNUMBER(Inputs!E117),IF(OR(Inputs!E117&lt;=0,E112&lt;0),"n.m.",E112/Inputs!E117-1),"n.a.")</f>
        <v>-0.12</v>
      </c>
      <c r="F113" s="23">
        <f>IF(ISNUMBER(Inputs!F117),IF(OR(Inputs!F117&lt;=0,F112&lt;0),"n.m.",F112/Inputs!F117-1),"n.a.")</f>
        <v>-0.1267427122940431</v>
      </c>
      <c r="G113" s="31">
        <f>IF(ISNUMBER(B112),IF(OR(B112&lt;=0,G112&lt;0),"n.m.",G112/B112-1),"n.a.")</f>
        <v>-0.3377483443708609</v>
      </c>
      <c r="H113" s="22"/>
    </row>
    <row r="114">
      <c r="A114" s="7" t="s">
        <v>79</v>
      </c>
      <c r="B114" s="23">
        <f>IF(ISNUMBER(Inputs!F117),IF(OR(Inputs!F117&lt;=0,B112&lt;0),"n.m.",B112/Inputs!F117-1),"n.a.")</f>
        <v>0.33967046894803543</v>
      </c>
      <c r="C114" s="21">
        <f>IF(ISNUMBER(B112),IF(OR(B112&lt;=0,C112&lt;0),"n.m.",C112/B112-1),"n.a.")</f>
        <v>-0.26584673604541154</v>
      </c>
      <c r="D114" s="21" t="str">
        <f>"n.a."</f>
        <v>n.a.</v>
      </c>
      <c r="E114" s="21">
        <f>IF(ISNUMBER(C112),IF(OR(C112&lt;=0,E112&lt;0),"n.m.",E112/C112-1),"n.a.")</f>
        <v>-0.1778350515463918</v>
      </c>
      <c r="F114" s="21">
        <f>IF(ISNUMBER(E112),IF(OR(E112&lt;=0,F112&lt;0),"n.m.",F112/E112-1),"n.a.")</f>
        <v>0.07993730407523514</v>
      </c>
      <c r="G114" s="31">
        <f>IF(ISNUMBER(F112),IF(OR(F112&lt;=0,G112&lt;0),"n.m.",G112/F112-1),"n.a.")</f>
        <v>0.0159651669085632</v>
      </c>
      <c r="H114" s="22"/>
    </row>
    <row r="115">
      <c r="A115" s="1" t="s">
        <v>80</v>
      </c>
      <c r="B115" s="8">
        <f>IF(ISNUMBER(Inputs!F117),B112-Inputs!F117,"n.a.")</f>
        <v>268</v>
      </c>
      <c r="C115" s="3">
        <f>IF(ISNUMBER(B112),C112-B112,"n.a.")</f>
        <v>-281</v>
      </c>
      <c r="D115" s="3" t="str">
        <f>"n.a."</f>
        <v>n.a.</v>
      </c>
      <c r="E115" s="3">
        <f>IF(ISNUMBER(C112),E112-C112,"n.a.")</f>
        <v>-138</v>
      </c>
      <c r="F115" s="3">
        <f>IF(ISNUMBER(E112),F112-E112,"n.a.")</f>
        <v>51</v>
      </c>
      <c r="G115" s="29">
        <f>IF(ISNUMBER(F112),G112-F112,"n.a.")</f>
        <v>11</v>
      </c>
      <c r="H115" s="22"/>
    </row>
    <row r="116">
      <c r="A116" s="7" t="s">
        <v>81</v>
      </c>
      <c r="B116" s="21" t="s">
        <v>82</v>
      </c>
      <c r="C116" s="21" t="s">
        <v>82</v>
      </c>
      <c r="D116" s="21" t="s">
        <v>82</v>
      </c>
      <c r="E116" s="21" t="s">
        <v>82</v>
      </c>
      <c r="F116" s="21" t="s">
        <v>82</v>
      </c>
      <c r="G116" s="31" t="s">
        <v>82</v>
      </c>
      <c r="H116" s="22"/>
    </row>
    <row r="117">
      <c r="A117" s="7" t="s">
        <v>83</v>
      </c>
      <c r="B117" s="21" t="s">
        <v>82</v>
      </c>
      <c r="C117" s="21" t="s">
        <v>82</v>
      </c>
      <c r="D117" s="21" t="s">
        <v>82</v>
      </c>
      <c r="E117" s="21" t="s">
        <v>82</v>
      </c>
      <c r="F117" s="21" t="s">
        <v>82</v>
      </c>
      <c r="G117" s="31" t="s">
        <v>82</v>
      </c>
      <c r="H117" s="22"/>
    </row>
    <row r="118">
      <c r="A118" s="7" t="s">
        <v>84</v>
      </c>
      <c r="B118" s="21" t="str">
        <f>IF(AND(ISNUMBER(B113),ISNUMBER(B116),ISNUMBER(B117)),(1+B113)/((1+B116)*(1+B117))-1,"n.a.")</f>
        <v>n.a.</v>
      </c>
      <c r="C118" s="21" t="str">
        <f>IF(AND(ISNUMBER(C113),ISNUMBER(C116),ISNUMBER(C117)),(1+C113)/((1+C116)*(1+C117))-1,"n.a.")</f>
        <v>n.a.</v>
      </c>
      <c r="D118" s="21" t="str">
        <f>IF(AND(ISNUMBER(D113),ISNUMBER(D116),ISNUMBER(D117)),(1+D113)/((1+D116)*(1+D117))-1,"n.a.")</f>
        <v>n.a.</v>
      </c>
      <c r="E118" s="21" t="str">
        <f>IF(AND(ISNUMBER(E113),ISNUMBER(E116),ISNUMBER(E117)),(1+E113)/((1+E116)*(1+E117))-1,"n.a.")</f>
        <v>n.a.</v>
      </c>
      <c r="F118" s="21" t="str">
        <f>IF(AND(ISNUMBER(F113),ISNUMBER(F116),ISNUMBER(F117)),(1+F113)/((1+F116)*(1+F117))-1,"n.a.")</f>
        <v>n.a.</v>
      </c>
      <c r="G118" s="31" t="str">
        <f>IF(AND(ISNUMBER(G113),ISNUMBER(G116),ISNUMBER(G117)),(1+G113)/((1+G116)*(1+G117))-1,"n.a.")</f>
        <v>n.a.</v>
      </c>
      <c r="H118" s="22"/>
    </row>
    <row r="119">
      <c r="A119" s="1" t="s">
        <v>223</v>
      </c>
      <c r="B119" s="20">
        <v>342</v>
      </c>
      <c r="C119" s="20">
        <v>670</v>
      </c>
      <c r="D119" s="8">
        <f>Inputs!G118+B119+C119</f>
        <v>1305</v>
      </c>
      <c r="E119" s="20">
        <v>180</v>
      </c>
      <c r="F119" s="20">
        <v>441</v>
      </c>
      <c r="G119" s="51">
        <v>150</v>
      </c>
      <c r="H119" s="22" t="s">
        <v>224</v>
      </c>
    </row>
    <row r="120">
      <c r="A120" s="7" t="s">
        <v>78</v>
      </c>
      <c r="B120" s="23" t="str">
        <f>IF(ISNUMBER(Inputs!B118),IF(OR(Inputs!B118&lt;=0,B119&lt;0),"n.m.",B119/Inputs!B118-1),"n.a.")</f>
        <v>n.a.</v>
      </c>
      <c r="C120" s="23">
        <f>IF(ISNUMBER(Inputs!C118),IF(OR(Inputs!C118&lt;=0,C119&lt;0),"n.m.",C119/Inputs!C118-1),"n.a.")</f>
        <v>-0.35823754789272033</v>
      </c>
      <c r="D120" s="23">
        <f>IF(ISNUMBER(Inputs!D118),IF(OR(Inputs!D118&lt;=0,D119&lt;0),"n.m.",D119/Inputs!D118-1),"n.a.")</f>
        <v>-0.5032356299961933</v>
      </c>
      <c r="E120" s="23">
        <f>IF(ISNUMBER(Inputs!E118),IF(OR(Inputs!E118&lt;=0,E119&lt;0),"n.m.",E119/Inputs!E118-1),"n.a.")</f>
        <v>0.15384615384615374</v>
      </c>
      <c r="F120" s="23">
        <f>IF(ISNUMBER(Inputs!F118),IF(OR(Inputs!F118&lt;=0,F119&lt;0),"n.m.",F119/Inputs!F118-1),"n.a.")</f>
        <v>2.218978102189781</v>
      </c>
      <c r="G120" s="31">
        <f>IF(ISNUMBER(B119),IF(OR(B119&lt;=0,G119&lt;0),"n.m.",G119/B119-1),"n.a.")</f>
        <v>-0.5614035087719298</v>
      </c>
      <c r="H120" s="22"/>
    </row>
    <row r="121">
      <c r="A121" s="7" t="s">
        <v>79</v>
      </c>
      <c r="B121" s="23">
        <f>IF(ISNUMBER(Inputs!F118),IF(OR(Inputs!F118&lt;=0,B119&lt;0),"n.m.",B119/Inputs!F118-1),"n.a.")</f>
        <v>1.4963503649635035</v>
      </c>
      <c r="C121" s="21">
        <f>IF(ISNUMBER(B119),IF(OR(B119&lt;=0,C119&lt;0),"n.m.",C119/B119-1),"n.a.")</f>
        <v>0.9590643274853801</v>
      </c>
      <c r="D121" s="21" t="str">
        <f>"n.a."</f>
        <v>n.a.</v>
      </c>
      <c r="E121" s="21">
        <f>IF(ISNUMBER(C119),IF(OR(C119&lt;=0,E119&lt;0),"n.m.",E119/C119-1),"n.a.")</f>
        <v>-0.7313432835820896</v>
      </c>
      <c r="F121" s="21">
        <f>IF(ISNUMBER(E119),IF(OR(E119&lt;=0,F119&lt;0),"n.m.",F119/E119-1),"n.a.")</f>
        <v>1.4500000000000002</v>
      </c>
      <c r="G121" s="31">
        <f>IF(ISNUMBER(F119),IF(OR(F119&lt;=0,G119&lt;0),"n.m.",G119/F119-1),"n.a.")</f>
        <v>-0.6598639455782314</v>
      </c>
      <c r="H121" s="22"/>
    </row>
    <row r="122">
      <c r="A122" s="1" t="s">
        <v>80</v>
      </c>
      <c r="B122" s="8">
        <f>IF(ISNUMBER(Inputs!F118),B119-Inputs!F118,"n.a.")</f>
        <v>205</v>
      </c>
      <c r="C122" s="3">
        <f>IF(ISNUMBER(B119),C119-B119,"n.a.")</f>
        <v>328</v>
      </c>
      <c r="D122" s="3" t="str">
        <f>"n.a."</f>
        <v>n.a.</v>
      </c>
      <c r="E122" s="3">
        <f>IF(ISNUMBER(C119),E119-C119,"n.a.")</f>
        <v>-490</v>
      </c>
      <c r="F122" s="3">
        <f>IF(ISNUMBER(E119),F119-E119,"n.a.")</f>
        <v>261</v>
      </c>
      <c r="G122" s="29">
        <f>IF(ISNUMBER(F119),G119-F119,"n.a.")</f>
        <v>-291</v>
      </c>
      <c r="H122" s="22"/>
    </row>
    <row r="123">
      <c r="A123" s="7" t="s">
        <v>81</v>
      </c>
      <c r="B123" s="21" t="s">
        <v>82</v>
      </c>
      <c r="C123" s="21" t="s">
        <v>82</v>
      </c>
      <c r="D123" s="21" t="s">
        <v>82</v>
      </c>
      <c r="E123" s="21" t="s">
        <v>82</v>
      </c>
      <c r="F123" s="21" t="s">
        <v>82</v>
      </c>
      <c r="G123" s="31" t="s">
        <v>82</v>
      </c>
      <c r="H123" s="22"/>
    </row>
    <row r="124">
      <c r="A124" s="7" t="s">
        <v>83</v>
      </c>
      <c r="B124" s="21" t="s">
        <v>82</v>
      </c>
      <c r="C124" s="21" t="s">
        <v>82</v>
      </c>
      <c r="D124" s="21" t="s">
        <v>82</v>
      </c>
      <c r="E124" s="21" t="s">
        <v>82</v>
      </c>
      <c r="F124" s="21" t="s">
        <v>82</v>
      </c>
      <c r="G124" s="31" t="s">
        <v>82</v>
      </c>
      <c r="H124" s="22"/>
    </row>
    <row r="125">
      <c r="A125" s="7" t="s">
        <v>84</v>
      </c>
      <c r="B125" s="21" t="str">
        <f>IF(AND(ISNUMBER(B120),ISNUMBER(B123),ISNUMBER(B124)),(1+B120)/((1+B123)*(1+B124))-1,"n.a.")</f>
        <v>n.a.</v>
      </c>
      <c r="C125" s="21" t="str">
        <f>IF(AND(ISNUMBER(C120),ISNUMBER(C123),ISNUMBER(C124)),(1+C120)/((1+C123)*(1+C124))-1,"n.a.")</f>
        <v>n.a.</v>
      </c>
      <c r="D125" s="21" t="str">
        <f>IF(AND(ISNUMBER(D120),ISNUMBER(D123),ISNUMBER(D124)),(1+D120)/((1+D123)*(1+D124))-1,"n.a.")</f>
        <v>n.a.</v>
      </c>
      <c r="E125" s="21" t="str">
        <f>IF(AND(ISNUMBER(E120),ISNUMBER(E123),ISNUMBER(E124)),(1+E120)/((1+E123)*(1+E124))-1,"n.a.")</f>
        <v>n.a.</v>
      </c>
      <c r="F125" s="21" t="str">
        <f>IF(AND(ISNUMBER(F120),ISNUMBER(F123),ISNUMBER(F124)),(1+F120)/((1+F123)*(1+F124))-1,"n.a.")</f>
        <v>n.a.</v>
      </c>
      <c r="G125" s="31" t="str">
        <f>IF(AND(ISNUMBER(G120),ISNUMBER(G123),ISNUMBER(G124)),(1+G120)/((1+G123)*(1+G124))-1,"n.a.")</f>
        <v>n.a.</v>
      </c>
      <c r="H125" s="22"/>
    </row>
    <row r="126">
      <c r="A126" s="17" t="s">
        <v>225</v>
      </c>
      <c r="B126" s="26">
        <f>B95+B105+B112+B119</f>
        <v>4418</v>
      </c>
      <c r="C126" s="26">
        <f>C95+C105+C112+C119</f>
        <v>4719</v>
      </c>
      <c r="D126" s="26">
        <f>D95+D105+D112+D119</f>
        <v>16679</v>
      </c>
      <c r="E126" s="26">
        <f>E95+E105+E112+E119</f>
        <v>4078</v>
      </c>
      <c r="F126" s="26">
        <f>F95+F105+F112+F119</f>
        <v>4597</v>
      </c>
      <c r="G126" s="52">
        <f>G95+G105+G112+G119</f>
        <v>4603.879378356165</v>
      </c>
      <c r="H126" s="22"/>
    </row>
    <row r="127">
      <c r="A127" s="7" t="s">
        <v>78</v>
      </c>
      <c r="B127" s="23" t="str">
        <f>IF(ISNUMBER(Inputs!B119),IF(OR(Inputs!B119&lt;=0,B126&lt;0),"n.m.",B126/Inputs!B119-1),"n.a.")</f>
        <v>n.a.</v>
      </c>
      <c r="C127" s="23">
        <f>IF(ISNUMBER(Inputs!C119),IF(OR(Inputs!C119&lt;=0,C126&lt;0),"n.m.",C126/Inputs!C119-1),"n.a.")</f>
        <v>-0.010484378276368167</v>
      </c>
      <c r="D127" s="23">
        <f>IF(ISNUMBER(Inputs!D119),IF(OR(Inputs!D119&lt;=0,D126&lt;0),"n.m.",D126/Inputs!D119-1),"n.a.")</f>
        <v>0.022248100024515827</v>
      </c>
      <c r="E127" s="23">
        <f>IF(ISNUMBER(Inputs!E119),IF(OR(Inputs!E119&lt;=0,E126&lt;0),"n.m.",E126/Inputs!E119-1),"n.a.")</f>
        <v>0.09889517650229052</v>
      </c>
      <c r="F127" s="23">
        <f>IF(ISNUMBER(Inputs!F119),IF(OR(Inputs!F119&lt;=0,F126&lt;0),"n.m.",F126/Inputs!F119-1),"n.a.")</f>
        <v>0.19994779430957976</v>
      </c>
      <c r="G127" s="31">
        <f>IF(ISNUMBER(B126),IF(OR(B126&lt;=0,G126&lt;0),"n.m.",G126/B126-1),"n.a.")</f>
        <v>0.042073195644220185</v>
      </c>
      <c r="H127" s="22"/>
    </row>
    <row r="128">
      <c r="A128" s="7" t="s">
        <v>79</v>
      </c>
      <c r="B128" s="23">
        <f>IF(ISNUMBER(Inputs!F119),IF(OR(Inputs!F119&lt;=0,B126&lt;0),"n.m.",B126/Inputs!F119-1),"n.a.")</f>
        <v>0.15322370138345076</v>
      </c>
      <c r="C128" s="21">
        <f>IF(ISNUMBER(B126),IF(OR(B126&lt;=0,C126&lt;0),"n.m.",C126/B126-1),"n.a.")</f>
        <v>0.06813037573562708</v>
      </c>
      <c r="D128" s="21" t="str">
        <f>"n.a."</f>
        <v>n.a.</v>
      </c>
      <c r="E128" s="21">
        <f>IF(ISNUMBER(C126),IF(OR(C126&lt;=0,E126&lt;0),"n.m.",E126/C126-1),"n.a.")</f>
        <v>-0.1358338631065904</v>
      </c>
      <c r="F128" s="21">
        <f>IF(ISNUMBER(E126),IF(OR(E126&lt;=0,F126&lt;0),"n.m.",F126/E126-1),"n.a.")</f>
        <v>0.12726826875919572</v>
      </c>
      <c r="G128" s="31">
        <f>IF(ISNUMBER(F126),IF(OR(F126&lt;=0,G126&lt;0),"n.m.",G126/F126-1),"n.a.")</f>
        <v>0.0014964930076495353</v>
      </c>
      <c r="H128" s="22"/>
    </row>
    <row r="129">
      <c r="A129" s="1" t="s">
        <v>80</v>
      </c>
      <c r="B129" s="8">
        <f>IF(ISNUMBER(Inputs!F119),B126-Inputs!F119,"n.a.")</f>
        <v>587</v>
      </c>
      <c r="C129" s="3">
        <f>IF(ISNUMBER(B126),C126-B126,"n.a.")</f>
        <v>301</v>
      </c>
      <c r="D129" s="3" t="str">
        <f>"n.a."</f>
        <v>n.a.</v>
      </c>
      <c r="E129" s="3">
        <f>IF(ISNUMBER(C126),E126-C126,"n.a.")</f>
        <v>-641</v>
      </c>
      <c r="F129" s="3">
        <f>IF(ISNUMBER(E126),F126-E126,"n.a.")</f>
        <v>519</v>
      </c>
      <c r="G129" s="29">
        <f>IF(ISNUMBER(F126),G126-F126,"n.a.")</f>
        <v>6.879378356165034</v>
      </c>
      <c r="H129" s="22"/>
    </row>
    <row r="130">
      <c r="A130" s="7" t="s">
        <v>81</v>
      </c>
      <c r="B130" s="21" t="s">
        <v>82</v>
      </c>
      <c r="C130" s="21" t="s">
        <v>82</v>
      </c>
      <c r="D130" s="21" t="s">
        <v>82</v>
      </c>
      <c r="E130" s="21" t="s">
        <v>82</v>
      </c>
      <c r="F130" s="21" t="s">
        <v>82</v>
      </c>
      <c r="G130" s="31" t="s">
        <v>82</v>
      </c>
      <c r="H130" s="22"/>
    </row>
    <row r="131">
      <c r="A131" s="7" t="s">
        <v>83</v>
      </c>
      <c r="B131" s="21" t="s">
        <v>82</v>
      </c>
      <c r="C131" s="21" t="s">
        <v>82</v>
      </c>
      <c r="D131" s="21" t="s">
        <v>82</v>
      </c>
      <c r="E131" s="21" t="s">
        <v>82</v>
      </c>
      <c r="F131" s="21" t="s">
        <v>82</v>
      </c>
      <c r="G131" s="31" t="s">
        <v>82</v>
      </c>
      <c r="H131" s="22"/>
    </row>
    <row r="132">
      <c r="A132" s="7" t="s">
        <v>84</v>
      </c>
      <c r="B132" s="21" t="str">
        <f>IF(AND(ISNUMBER(B127),ISNUMBER(B130),ISNUMBER(B131)),(1+B127)/((1+B130)*(1+B131))-1,"n.a.")</f>
        <v>n.a.</v>
      </c>
      <c r="C132" s="21" t="str">
        <f>IF(AND(ISNUMBER(C127),ISNUMBER(C130),ISNUMBER(C131)),(1+C127)/((1+C130)*(1+C131))-1,"n.a.")</f>
        <v>n.a.</v>
      </c>
      <c r="D132" s="21" t="str">
        <f>IF(AND(ISNUMBER(D127),ISNUMBER(D130),ISNUMBER(D131)),(1+D127)/((1+D130)*(1+D131))-1,"n.a.")</f>
        <v>n.a.</v>
      </c>
      <c r="E132" s="21" t="str">
        <f>IF(AND(ISNUMBER(E127),ISNUMBER(E130),ISNUMBER(E131)),(1+E127)/((1+E130)*(1+E131))-1,"n.a.")</f>
        <v>n.a.</v>
      </c>
      <c r="F132" s="21" t="str">
        <f>IF(AND(ISNUMBER(F127),ISNUMBER(F130),ISNUMBER(F131)),(1+F127)/((1+F130)*(1+F131))-1,"n.a.")</f>
        <v>n.a.</v>
      </c>
      <c r="G132" s="31" t="str">
        <f>IF(AND(ISNUMBER(G127),ISNUMBER(G130),ISNUMBER(G131)),(1+G127)/((1+G130)*(1+G131))-1,"n.a.")</f>
        <v>n.a.</v>
      </c>
      <c r="H132" s="22"/>
    </row>
    <row r="133">
      <c r="A133" s="1"/>
      <c r="B133" s="1"/>
      <c r="C133" s="1"/>
      <c r="D133" s="1"/>
      <c r="E133" s="1"/>
      <c r="F133" s="1"/>
      <c r="G133" s="24"/>
      <c r="H133" s="22"/>
    </row>
    <row r="134">
      <c r="A134" s="17" t="s">
        <v>123</v>
      </c>
      <c r="B134" s="1"/>
      <c r="C134" s="1"/>
      <c r="D134" s="1"/>
      <c r="E134" s="1"/>
      <c r="F134" s="1"/>
      <c r="G134" s="24"/>
      <c r="H134" s="22"/>
    </row>
    <row r="135">
      <c r="A135" s="7" t="s">
        <v>226</v>
      </c>
      <c r="B135" s="21">
        <f>B95/B126</f>
        <v>0.6661385242191037</v>
      </c>
      <c r="C135" s="21">
        <f>C95/C126</f>
        <v>0.6552235643144734</v>
      </c>
      <c r="D135" s="21">
        <f>D95/D126</f>
        <v>0.691768091612207</v>
      </c>
      <c r="E135" s="21">
        <f>E95/E126</f>
        <v>0.7545365375183913</v>
      </c>
      <c r="F135" s="21">
        <f>F95/F126</f>
        <v>0.7298237981292147</v>
      </c>
      <c r="G135" s="31">
        <f>G95/G126</f>
        <v>0.7773616735445442</v>
      </c>
      <c r="H135" s="22"/>
    </row>
    <row r="136">
      <c r="A136" s="7" t="s">
        <v>93</v>
      </c>
      <c r="B136" s="28" t="str">
        <f>IF(AND(ISNUMBER(Inputs!B115),ISNUMBER(Inputs!B119)),(B135-Inputs!B115/Inputs!B119)*10000,"n.a.")</f>
        <v>n.a.</v>
      </c>
      <c r="C136" s="28">
        <f>IF(AND(ISNUMBER(Inputs!C115),ISNUMBER(Inputs!C119)),(C135-Inputs!C115/Inputs!C119)*10000,"n.a.")</f>
        <v>649.5306735494311</v>
      </c>
      <c r="D136" s="28">
        <f>IF(AND(ISNUMBER(Inputs!D115),ISNUMBER(Inputs!D119)),(D135-Inputs!D115/Inputs!D119)*10000,"n.a.")</f>
        <v>534.3761845702188</v>
      </c>
      <c r="E136" s="28">
        <f>IF(AND(ISNUMBER(Inputs!E115),ISNUMBER(Inputs!E119)),(E135-Inputs!E115/Inputs!E119)*10000,"n.a.")</f>
        <v>267.0037475902731</v>
      </c>
      <c r="F136" s="28">
        <f>IF(AND(ISNUMBER(Inputs!F115),ISNUMBER(Inputs!F119)),(F135-Inputs!F115/Inputs!F119)*10000,"n.a.")</f>
        <v>-15.779246585690965</v>
      </c>
      <c r="G136" s="30">
        <f>(G135-B135)*10000</f>
        <v>1112.2314932544052</v>
      </c>
      <c r="H136" s="22"/>
    </row>
    <row r="137">
      <c r="A137" s="7" t="s">
        <v>227</v>
      </c>
      <c r="B137" s="21">
        <f>B105/B126</f>
        <v>0.017202354006337708</v>
      </c>
      <c r="C137" s="21">
        <f>C105/C126</f>
        <v>0.03835558381012927</v>
      </c>
      <c r="D137" s="21">
        <f>D105/D126</f>
        <v>0.029318304454703518</v>
      </c>
      <c r="E137" s="21">
        <f>E105/E126</f>
        <v>0.04487493869543894</v>
      </c>
      <c r="F137" s="21">
        <f>F105/F126</f>
        <v>0.02436371546660866</v>
      </c>
      <c r="G137" s="31">
        <f>G105/G126</f>
        <v>0.03801142158995584</v>
      </c>
      <c r="H137" s="22"/>
    </row>
    <row r="138">
      <c r="A138" s="7" t="s">
        <v>93</v>
      </c>
      <c r="B138" s="28" t="str">
        <f>IF(AND(ISNUMBER(Inputs!B116),ISNUMBER(Inputs!B119)),(B137-Inputs!B116/Inputs!B119)*10000,"n.a.")</f>
        <v>n.a.</v>
      </c>
      <c r="C138" s="28">
        <f>IF(AND(ISNUMBER(Inputs!C116),ISNUMBER(Inputs!C119)),(C137-Inputs!C116/Inputs!C119)*10000,"n.a.")</f>
        <v>18.69947408367892</v>
      </c>
      <c r="D138" s="28">
        <f>IF(AND(ISNUMBER(Inputs!D116),ISNUMBER(Inputs!D119)),(D137-Inputs!D116/Inputs!D119)*10000,"n.a.")</f>
        <v>52.3151847774838</v>
      </c>
      <c r="E138" s="28">
        <f>IF(AND(ISNUMBER(Inputs!E116),ISNUMBER(Inputs!E119)),(E137-Inputs!E116/Inputs!E119)*10000,"n.a.")</f>
        <v>101.13418889456723</v>
      </c>
      <c r="F138" s="28">
        <f>IF(AND(ISNUMBER(Inputs!F116),ISNUMBER(Inputs!F119)),(F137-Inputs!F116/Inputs!F119)*10000,"n.a.")</f>
        <v>-25.222150998230816</v>
      </c>
      <c r="G138" s="30">
        <f>(G137-B137)*10000</f>
        <v>208.0906758361813</v>
      </c>
      <c r="H138" s="22"/>
    </row>
    <row r="139">
      <c r="A139" s="7" t="s">
        <v>228</v>
      </c>
      <c r="B139" s="21">
        <f>B112/B126</f>
        <v>0.23924852874603894</v>
      </c>
      <c r="C139" s="21">
        <f>C112/C126</f>
        <v>0.16444161898707355</v>
      </c>
      <c r="D139" s="21">
        <f>D112/D126</f>
        <v>0.2006715030877151</v>
      </c>
      <c r="E139" s="21">
        <f>E112/E126</f>
        <v>0.15644923982344286</v>
      </c>
      <c r="F139" s="21">
        <f>F112/F126</f>
        <v>0.14988035675440506</v>
      </c>
      <c r="G139" s="31">
        <f>G112/G126</f>
        <v>0.15204568635982335</v>
      </c>
      <c r="H139" s="22"/>
    </row>
    <row r="140">
      <c r="A140" s="7" t="s">
        <v>93</v>
      </c>
      <c r="B140" s="28" t="str">
        <f>IF(AND(ISNUMBER(Inputs!B117),ISNUMBER(Inputs!B119)),(B139-Inputs!B117/Inputs!B119)*10000,"n.a.")</f>
        <v>n.a.</v>
      </c>
      <c r="C140" s="28">
        <f>IF(AND(ISNUMBER(Inputs!C117),ISNUMBER(Inputs!C119)),(C139-Inputs!C117/Inputs!C119)*10000,"n.a.")</f>
        <v>101.11570758933486</v>
      </c>
      <c r="D140" s="28">
        <f>IF(AND(ISNUMBER(Inputs!D117),ISNUMBER(Inputs!D119)),(D139-Inputs!D117/Inputs!D119)*10000,"n.a.")</f>
        <v>240.96362121792058</v>
      </c>
      <c r="E140" s="28">
        <f>IF(AND(ISNUMBER(Inputs!E117),ISNUMBER(Inputs!E119)),(E139-Inputs!E117/Inputs!E119)*10000,"n.a.")</f>
        <v>-389.15890869092834</v>
      </c>
      <c r="F140" s="28">
        <f>IF(AND(ISNUMBER(Inputs!F117),ISNUMBER(Inputs!F119)),(F139-Inputs!F117/Inputs!F119)*10000,"n.a.")</f>
        <v>-560.710919535041</v>
      </c>
      <c r="G140" s="30">
        <f>(G139-B139)*10000</f>
        <v>-872.0284238621559</v>
      </c>
      <c r="H140" s="22"/>
    </row>
    <row r="141">
      <c r="A141" s="7" t="s">
        <v>229</v>
      </c>
      <c r="B141" s="21">
        <f>B119/B126</f>
        <v>0.07741059302851969</v>
      </c>
      <c r="C141" s="21">
        <f>C119/C126</f>
        <v>0.1419792328883238</v>
      </c>
      <c r="D141" s="21">
        <f>D119/D126</f>
        <v>0.07824210084537442</v>
      </c>
      <c r="E141" s="21">
        <f>E119/E126</f>
        <v>0.04413928396272683</v>
      </c>
      <c r="F141" s="21">
        <f>F119/F126</f>
        <v>0.09593212964977159</v>
      </c>
      <c r="G141" s="31">
        <f>G119/G126</f>
        <v>0.03258121850567643</v>
      </c>
      <c r="H141" s="22"/>
    </row>
    <row r="142">
      <c r="A142" s="7" t="s">
        <v>93</v>
      </c>
      <c r="B142" s="28" t="str">
        <f>IF(AND(ISNUMBER(Inputs!B118),ISNUMBER(Inputs!B119)),(B141-Inputs!B118/Inputs!B119)*10000,"n.a.")</f>
        <v>n.a.</v>
      </c>
      <c r="C142" s="28">
        <f>IF(AND(ISNUMBER(Inputs!C118),ISNUMBER(Inputs!C119)),(C141-Inputs!C118/Inputs!C119)*10000,"n.a.")</f>
        <v>-769.3458552224447</v>
      </c>
      <c r="D142" s="28">
        <f>IF(AND(ISNUMBER(Inputs!D118),ISNUMBER(Inputs!D119)),(D141-Inputs!D118/Inputs!D119)*10000,"n.a.")</f>
        <v>-827.6549905656233</v>
      </c>
      <c r="E142" s="28">
        <f>IF(AND(ISNUMBER(Inputs!E118),ISNUMBER(Inputs!E119)),(E141-Inputs!E118/Inputs!E119)*10000,"n.a.")</f>
        <v>21.020972206087993</v>
      </c>
      <c r="F142" s="28">
        <f>IF(AND(ISNUMBER(Inputs!F118),ISNUMBER(Inputs!F119)),(F141-Inputs!F118/Inputs!F119)*10000,"n.a.")</f>
        <v>601.7123171189636</v>
      </c>
      <c r="G142" s="30">
        <f>(G141-B141)*10000</f>
        <v>-448.29374522843256</v>
      </c>
      <c r="H142" s="22"/>
    </row>
    <row r="143">
      <c r="A143" s="1"/>
      <c r="B143" s="1"/>
      <c r="C143" s="1"/>
      <c r="D143" s="1"/>
      <c r="E143" s="1"/>
      <c r="F143" s="1"/>
      <c r="G143" s="24"/>
      <c r="H143" s="22"/>
    </row>
    <row r="144">
      <c r="A144" s="1" t="s">
        <v>230</v>
      </c>
      <c r="B144" s="3"/>
      <c r="C144" s="3"/>
      <c r="D144" s="3"/>
      <c r="E144" s="3"/>
      <c r="F144" s="3"/>
      <c r="G144" s="35">
        <f>Inputs!C239</f>
        <v>4490</v>
      </c>
      <c r="H144" s="22"/>
    </row>
    <row r="145">
      <c r="A145" s="7" t="s">
        <v>137</v>
      </c>
      <c r="B145" s="21"/>
      <c r="C145" s="21"/>
      <c r="D145" s="21"/>
      <c r="E145" s="21"/>
      <c r="F145" s="21"/>
      <c r="G145" s="31">
        <f>G126/G144-1</f>
        <v>0.025362890502486746</v>
      </c>
      <c r="H145" s="22"/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87"/>
  <sheetViews>
    <sheetView showGridLines="0" workbookViewId="0"/>
  </sheetViews>
  <sheetFormatPr defaultColWidth="8.42578125" defaultRowHeight="15"/>
  <cols>
    <col min="1" max="1" width="32" customWidth="1"/>
    <col min="2" max="7" width="12" customWidth="1"/>
    <col min="8" max="8" width="40" customWidth="1"/>
  </cols>
  <sheetData>
    <row r="1">
      <c r="A1" s="15" t="s">
        <v>0</v>
      </c>
      <c r="B1" s="1"/>
      <c r="C1" s="1"/>
      <c r="D1" s="1"/>
      <c r="E1" s="1"/>
      <c r="F1" s="1"/>
      <c r="G1" s="1"/>
      <c r="H1" s="1"/>
    </row>
    <row r="2">
      <c r="A2" s="17" t="s">
        <v>231</v>
      </c>
      <c r="B2" s="1"/>
      <c r="C2" s="1"/>
      <c r="D2" s="1"/>
      <c r="E2" s="1"/>
      <c r="F2" s="1"/>
      <c r="G2" s="1"/>
      <c r="H2" s="1"/>
    </row>
    <row r="3">
      <c r="A3" s="7" t="s">
        <v>2</v>
      </c>
      <c r="B3" s="1"/>
      <c r="C3" s="1"/>
      <c r="D3" s="1"/>
      <c r="E3" s="1"/>
      <c r="F3" s="1"/>
      <c r="G3" s="1"/>
      <c r="H3" s="1"/>
    </row>
    <row r="4">
      <c r="A4" s="1"/>
      <c r="B4" s="1"/>
      <c r="C4" s="1"/>
      <c r="D4" s="1"/>
      <c r="E4" s="1"/>
      <c r="F4" s="1"/>
      <c r="G4" s="1"/>
      <c r="H4" s="1"/>
    </row>
    <row r="5">
      <c r="A5" s="16" t="s">
        <v>65</v>
      </c>
      <c r="B5" s="2" t="s">
        <v>66</v>
      </c>
      <c r="C5" s="2" t="s">
        <v>67</v>
      </c>
      <c r="D5" s="2" t="s">
        <v>68</v>
      </c>
      <c r="E5" s="2" t="s">
        <v>69</v>
      </c>
      <c r="F5" s="2" t="s">
        <v>70</v>
      </c>
      <c r="G5" s="59" t="s">
        <v>71</v>
      </c>
      <c r="H5" s="16" t="s">
        <v>72</v>
      </c>
    </row>
    <row r="6">
      <c r="A6" s="11" t="s">
        <v>73</v>
      </c>
      <c r="B6" s="5">
        <f>DATE(2025,9,30)</f>
        <v>45930</v>
      </c>
      <c r="C6" s="5">
        <f>DATE(2025,12,31)</f>
        <v>46022</v>
      </c>
      <c r="D6" s="5">
        <f>DATE(2025,12,31)</f>
        <v>46022</v>
      </c>
      <c r="E6" s="5">
        <f>DATE(2026,3,31)</f>
        <v>46112</v>
      </c>
      <c r="F6" s="5">
        <f>DATE(2026,6,30)</f>
        <v>46203</v>
      </c>
      <c r="G6" s="43">
        <f>DATE(2026,9,30)</f>
        <v>46295</v>
      </c>
      <c r="H6" s="11"/>
    </row>
    <row r="7">
      <c r="A7" s="4" t="s">
        <v>74</v>
      </c>
      <c r="B7" s="12">
        <f>B6-DATE(2025,6,30)</f>
        <v>92</v>
      </c>
      <c r="C7" s="12">
        <f>C6-B6</f>
        <v>92</v>
      </c>
      <c r="D7" s="12">
        <f>D6-DATE(2024,12,31)</f>
        <v>365</v>
      </c>
      <c r="E7" s="12">
        <f>E6-C6</f>
        <v>90</v>
      </c>
      <c r="F7" s="12">
        <f>F6-E6</f>
        <v>91</v>
      </c>
      <c r="G7" s="55">
        <f>G6-F6</f>
        <v>92</v>
      </c>
      <c r="H7" s="4"/>
    </row>
    <row r="8">
      <c r="A8" s="1"/>
      <c r="B8" s="1"/>
      <c r="C8" s="1"/>
      <c r="D8" s="1"/>
      <c r="E8" s="1"/>
      <c r="F8" s="1"/>
      <c r="G8" s="1"/>
      <c r="H8" s="1"/>
    </row>
    <row r="9">
      <c r="A9" s="17" t="s">
        <v>232</v>
      </c>
      <c r="B9" s="1"/>
      <c r="C9" s="1"/>
      <c r="D9" s="1"/>
      <c r="E9" s="1"/>
      <c r="F9" s="1"/>
      <c r="G9" s="24"/>
      <c r="H9" s="22"/>
    </row>
    <row r="10">
      <c r="A10" s="1" t="s">
        <v>233</v>
      </c>
      <c r="B10" s="20">
        <v>2659</v>
      </c>
      <c r="C10" s="20">
        <v>2579</v>
      </c>
      <c r="D10" s="8">
        <f>Inputs!G125+B10+C10</f>
        <v>9348</v>
      </c>
      <c r="E10" s="20">
        <v>2844</v>
      </c>
      <c r="F10" s="20">
        <v>3400</v>
      </c>
      <c r="G10" s="35">
        <f>'Segment - Banking &amp; Markets'!G31*(F10/'Segment - Banking &amp; Markets'!F31)</f>
        <v>2779.6445557547254</v>
      </c>
      <c r="H10" s="22" t="s">
        <v>234</v>
      </c>
    </row>
    <row r="11">
      <c r="A11" s="7" t="s">
        <v>78</v>
      </c>
      <c r="B11" s="23">
        <f>IF(ISNUMBER(Inputs!B125),IF(OR(Inputs!B125&lt;=0,B10&lt;0),"n.m.",B10/Inputs!B125-1),"n.a.")</f>
        <v>0.4265021459227467</v>
      </c>
      <c r="C11" s="23">
        <f>IF(ISNUMBER(Inputs!C125),IF(OR(Inputs!C125&lt;=0,C10&lt;0),"n.m.",C10/Inputs!C125-1),"n.a.")</f>
        <v>0.25437743190661477</v>
      </c>
      <c r="D11" s="23">
        <f>IF(ISNUMBER(Inputs!D125),IF(OR(Inputs!D125&lt;=0,D10&lt;0),"n.m.",D10/Inputs!D125-1),"n.a.")</f>
        <v>0.20806409925045233</v>
      </c>
      <c r="E11" s="23">
        <f>IF(ISNUMBER(Inputs!E125),IF(OR(Inputs!E125&lt;=0,E10&lt;0),"n.m.",E10/Inputs!E125-1),"n.a.")</f>
        <v>0.48434237995824625</v>
      </c>
      <c r="F11" s="23">
        <f>IF(ISNUMBER(Inputs!F125),IF(OR(Inputs!F125&lt;=0,F10&lt;0),"n.m.",F10/Inputs!F125-1),"n.a.")</f>
        <v>0.5496809480401095</v>
      </c>
      <c r="G11" s="31">
        <f>IF(ISNUMBER(B10),IF(OR(B10&lt;=0,G10&lt;0),"n.m.",G10/B10-1),"n.a.")</f>
        <v>0.04537215334890021</v>
      </c>
      <c r="H11" s="22"/>
    </row>
    <row r="12">
      <c r="A12" s="7" t="s">
        <v>79</v>
      </c>
      <c r="B12" s="23">
        <f>IF(ISNUMBER(Inputs!F125),IF(OR(Inputs!F125&lt;=0,B10&lt;0),"n.m.",B10/Inputs!F125-1),"n.a.")</f>
        <v>0.21194165907019147</v>
      </c>
      <c r="C12" s="21">
        <f>IF(ISNUMBER(B10),IF(OR(B10&lt;=0,C10&lt;0),"n.m.",C10/B10-1),"n.a.")</f>
        <v>-0.030086498683715712</v>
      </c>
      <c r="D12" s="21" t="str">
        <f>"n.a."</f>
        <v>n.a.</v>
      </c>
      <c r="E12" s="21">
        <f>IF(ISNUMBER(C10),IF(OR(C10&lt;=0,E10&lt;0),"n.m.",E10/C10-1),"n.a.")</f>
        <v>0.1027530050407135</v>
      </c>
      <c r="F12" s="21">
        <f>IF(ISNUMBER(E10),IF(OR(E10&lt;=0,F10&lt;0),"n.m.",F10/E10-1),"n.a.")</f>
        <v>0.19549929676511946</v>
      </c>
      <c r="G12" s="31">
        <f>IF(ISNUMBER(F10),IF(OR(F10&lt;=0,G10&lt;0),"n.m.",G10/F10-1),"n.a.")</f>
        <v>-0.18245748360155134</v>
      </c>
      <c r="H12" s="22"/>
    </row>
    <row r="13">
      <c r="A13" s="1" t="s">
        <v>80</v>
      </c>
      <c r="B13" s="8">
        <f>IF(ISNUMBER(Inputs!F125),B10-Inputs!F125,"n.a.")</f>
        <v>465</v>
      </c>
      <c r="C13" s="3">
        <f>IF(ISNUMBER(B10),C10-B10,"n.a.")</f>
        <v>-80</v>
      </c>
      <c r="D13" s="3" t="str">
        <f>"n.a."</f>
        <v>n.a.</v>
      </c>
      <c r="E13" s="3">
        <f>IF(ISNUMBER(C10),E10-C10,"n.a.")</f>
        <v>265</v>
      </c>
      <c r="F13" s="3">
        <f>IF(ISNUMBER(E10),F10-E10,"n.a.")</f>
        <v>556</v>
      </c>
      <c r="G13" s="29">
        <f>IF(ISNUMBER(F10),G10-F10,"n.a.")</f>
        <v>-620.3554442452746</v>
      </c>
      <c r="H13" s="22"/>
    </row>
    <row r="14">
      <c r="A14" s="7" t="s">
        <v>81</v>
      </c>
      <c r="B14" s="21" t="s">
        <v>82</v>
      </c>
      <c r="C14" s="21" t="s">
        <v>82</v>
      </c>
      <c r="D14" s="21" t="s">
        <v>82</v>
      </c>
      <c r="E14" s="21" t="s">
        <v>82</v>
      </c>
      <c r="F14" s="21" t="s">
        <v>82</v>
      </c>
      <c r="G14" s="31" t="s">
        <v>82</v>
      </c>
      <c r="H14" s="22"/>
    </row>
    <row r="15">
      <c r="A15" s="7" t="s">
        <v>83</v>
      </c>
      <c r="B15" s="21" t="s">
        <v>82</v>
      </c>
      <c r="C15" s="21" t="s">
        <v>82</v>
      </c>
      <c r="D15" s="21" t="s">
        <v>82</v>
      </c>
      <c r="E15" s="21" t="s">
        <v>82</v>
      </c>
      <c r="F15" s="21" t="s">
        <v>82</v>
      </c>
      <c r="G15" s="31" t="s">
        <v>82</v>
      </c>
      <c r="H15" s="22"/>
    </row>
    <row r="16">
      <c r="A16" s="7" t="s">
        <v>84</v>
      </c>
      <c r="B16" s="21" t="str">
        <f>IF(AND(ISNUMBER(B11),ISNUMBER(B14),ISNUMBER(B15)),(1+B11)/((1+B14)*(1+B15))-1,"n.a.")</f>
        <v>n.a.</v>
      </c>
      <c r="C16" s="21" t="str">
        <f>IF(AND(ISNUMBER(C11),ISNUMBER(C14),ISNUMBER(C15)),(1+C11)/((1+C14)*(1+C15))-1,"n.a.")</f>
        <v>n.a.</v>
      </c>
      <c r="D16" s="21" t="str">
        <f>IF(AND(ISNUMBER(D11),ISNUMBER(D14),ISNUMBER(D15)),(1+D11)/((1+D14)*(1+D15))-1,"n.a.")</f>
        <v>n.a.</v>
      </c>
      <c r="E16" s="21" t="str">
        <f>IF(AND(ISNUMBER(E11),ISNUMBER(E14),ISNUMBER(E15)),(1+E11)/((1+E14)*(1+E15))-1,"n.a.")</f>
        <v>n.a.</v>
      </c>
      <c r="F16" s="21" t="str">
        <f>IF(AND(ISNUMBER(F11),ISNUMBER(F14),ISNUMBER(F15)),(1+F11)/((1+F14)*(1+F15))-1,"n.a.")</f>
        <v>n.a.</v>
      </c>
      <c r="G16" s="31" t="str">
        <f>IF(AND(ISNUMBER(G11),ISNUMBER(G14),ISNUMBER(G15)),(1+G11)/((1+G14)*(1+G15))-1,"n.a.")</f>
        <v>n.a.</v>
      </c>
      <c r="H16" s="22"/>
    </row>
    <row r="17">
      <c r="A17" s="1" t="s">
        <v>235</v>
      </c>
      <c r="B17" s="20">
        <v>2952</v>
      </c>
      <c r="C17" s="20">
        <v>3201</v>
      </c>
      <c r="D17" s="8">
        <f>Inputs!G126+B17+C17</f>
        <v>11749</v>
      </c>
      <c r="E17" s="20">
        <v>3179</v>
      </c>
      <c r="F17" s="20">
        <v>3378</v>
      </c>
      <c r="G17" s="35">
        <f>('Segment - Asset &amp; Wealth Mgmt'!G95+'Segment - Asset &amp; Wealth Mgmt'!G105)*(F17/('Segment - Asset &amp; Wealth Mgmt'!F95+'Segment - Asset &amp; Wealth Mgmt'!F105))</f>
        <v>3657.515010120313</v>
      </c>
      <c r="H17" s="22" t="s">
        <v>234</v>
      </c>
    </row>
    <row r="18">
      <c r="A18" s="7" t="s">
        <v>78</v>
      </c>
      <c r="B18" s="23">
        <f>IF(ISNUMBER(Inputs!B126),IF(OR(Inputs!B126&lt;=0,B17&lt;0),"n.m.",B17/Inputs!B126-1),"n.a.")</f>
        <v>0.11438278595696483</v>
      </c>
      <c r="C18" s="23">
        <f>IF(ISNUMBER(Inputs!C126),IF(OR(Inputs!C126&lt;=0,C17&lt;0),"n.m.",C17/Inputs!C126-1),"n.a.")</f>
        <v>0.09510776599384196</v>
      </c>
      <c r="D18" s="23">
        <f>IF(ISNUMBER(Inputs!D126),IF(OR(Inputs!D126&lt;=0,D17&lt;0),"n.m.",D17/Inputs!D126-1),"n.a.")</f>
        <v>0.10881464703661758</v>
      </c>
      <c r="E18" s="23">
        <f>IF(ISNUMBER(Inputs!E126),IF(OR(Inputs!E126&lt;=0,E17&lt;0),"n.m.",E17/Inputs!E126-1),"n.a.")</f>
        <v>0.15222906850308093</v>
      </c>
      <c r="F18" s="23">
        <f>IF(ISNUMBER(Inputs!F126),IF(OR(Inputs!F126&lt;=0,F17&lt;0),"n.m.",F17/Inputs!F126-1),"n.a.")</f>
        <v>0.19069439548819167</v>
      </c>
      <c r="G18" s="31">
        <f>IF(ISNUMBER(B17),IF(OR(B17&lt;=0,G17&lt;0),"n.m.",G17/B17-1),"n.a.")</f>
        <v>0.23899559963425232</v>
      </c>
      <c r="H18" s="22"/>
    </row>
    <row r="19">
      <c r="A19" s="7" t="s">
        <v>79</v>
      </c>
      <c r="B19" s="23">
        <f>IF(ISNUMBER(Inputs!F126),IF(OR(Inputs!F126&lt;=0,B17&lt;0),"n.m.",B17/Inputs!F126-1),"n.a.")</f>
        <v>0.04053577722946766</v>
      </c>
      <c r="C19" s="21">
        <f>IF(ISNUMBER(B17),IF(OR(B17&lt;=0,C17&lt;0),"n.m.",C17/B17-1),"n.a.")</f>
        <v>0.08434959349593485</v>
      </c>
      <c r="D19" s="21" t="str">
        <f>"n.a."</f>
        <v>n.a.</v>
      </c>
      <c r="E19" s="21">
        <f>IF(ISNUMBER(C17),IF(OR(C17&lt;=0,E17&lt;0),"n.m.",E17/C17-1),"n.a.")</f>
        <v>-0.0068728522336769515</v>
      </c>
      <c r="F19" s="21">
        <f>IF(ISNUMBER(E17),IF(OR(E17&lt;=0,F17&lt;0),"n.m.",F17/E17-1),"n.a.")</f>
        <v>0.06259830135262656</v>
      </c>
      <c r="G19" s="31">
        <f>IF(ISNUMBER(F17),IF(OR(F17&lt;=0,G17&lt;0),"n.m.",G17/F17-1),"n.a.")</f>
        <v>0.08274571051519031</v>
      </c>
      <c r="H19" s="22"/>
    </row>
    <row r="20">
      <c r="A20" s="1" t="s">
        <v>80</v>
      </c>
      <c r="B20" s="8">
        <f>IF(ISNUMBER(Inputs!F126),B17-Inputs!F126,"n.a.")</f>
        <v>115</v>
      </c>
      <c r="C20" s="3">
        <f>IF(ISNUMBER(B17),C17-B17,"n.a.")</f>
        <v>249</v>
      </c>
      <c r="D20" s="3" t="str">
        <f>"n.a."</f>
        <v>n.a.</v>
      </c>
      <c r="E20" s="3">
        <f>IF(ISNUMBER(C17),E17-C17,"n.a.")</f>
        <v>-22</v>
      </c>
      <c r="F20" s="3">
        <f>IF(ISNUMBER(E17),F17-E17,"n.a.")</f>
        <v>199</v>
      </c>
      <c r="G20" s="29">
        <f>IF(ISNUMBER(F17),G17-F17,"n.a.")</f>
        <v>279.51501012031304</v>
      </c>
      <c r="H20" s="22"/>
    </row>
    <row r="21">
      <c r="A21" s="7" t="s">
        <v>81</v>
      </c>
      <c r="B21" s="21" t="s">
        <v>82</v>
      </c>
      <c r="C21" s="21" t="s">
        <v>82</v>
      </c>
      <c r="D21" s="21" t="s">
        <v>82</v>
      </c>
      <c r="E21" s="21" t="s">
        <v>82</v>
      </c>
      <c r="F21" s="21" t="s">
        <v>82</v>
      </c>
      <c r="G21" s="31" t="s">
        <v>82</v>
      </c>
      <c r="H21" s="22"/>
    </row>
    <row r="22">
      <c r="A22" s="7" t="s">
        <v>83</v>
      </c>
      <c r="B22" s="21" t="s">
        <v>82</v>
      </c>
      <c r="C22" s="21" t="s">
        <v>82</v>
      </c>
      <c r="D22" s="21" t="s">
        <v>82</v>
      </c>
      <c r="E22" s="21" t="s">
        <v>82</v>
      </c>
      <c r="F22" s="21" t="s">
        <v>82</v>
      </c>
      <c r="G22" s="31" t="s">
        <v>82</v>
      </c>
      <c r="H22" s="22"/>
    </row>
    <row r="23">
      <c r="A23" s="7" t="s">
        <v>84</v>
      </c>
      <c r="B23" s="21" t="str">
        <f>IF(AND(ISNUMBER(B18),ISNUMBER(B21),ISNUMBER(B22)),(1+B18)/((1+B21)*(1+B22))-1,"n.a.")</f>
        <v>n.a.</v>
      </c>
      <c r="C23" s="21" t="str">
        <f>IF(AND(ISNUMBER(C18),ISNUMBER(C21),ISNUMBER(C22)),(1+C18)/((1+C21)*(1+C22))-1,"n.a.")</f>
        <v>n.a.</v>
      </c>
      <c r="D23" s="21" t="str">
        <f>IF(AND(ISNUMBER(D18),ISNUMBER(D21),ISNUMBER(D22)),(1+D18)/((1+D21)*(1+D22))-1,"n.a.")</f>
        <v>n.a.</v>
      </c>
      <c r="E23" s="21" t="str">
        <f>IF(AND(ISNUMBER(E18),ISNUMBER(E21),ISNUMBER(E22)),(1+E18)/((1+E21)*(1+E22))-1,"n.a.")</f>
        <v>n.a.</v>
      </c>
      <c r="F23" s="21" t="str">
        <f>IF(AND(ISNUMBER(F18),ISNUMBER(F21),ISNUMBER(F22)),(1+F18)/((1+F21)*(1+F22))-1,"n.a.")</f>
        <v>n.a.</v>
      </c>
      <c r="G23" s="31" t="str">
        <f>IF(AND(ISNUMBER(G18),ISNUMBER(G21),ISNUMBER(G22)),(1+G18)/((1+G21)*(1+G22))-1,"n.a.")</f>
        <v>n.a.</v>
      </c>
      <c r="H23" s="22"/>
    </row>
    <row r="24">
      <c r="A24" s="1" t="s">
        <v>236</v>
      </c>
      <c r="B24" s="20">
        <v>1110</v>
      </c>
      <c r="C24" s="20">
        <v>505</v>
      </c>
      <c r="D24" s="8">
        <f>Inputs!G127+B24+C24</f>
        <v>4042</v>
      </c>
      <c r="E24" s="20">
        <v>1326</v>
      </c>
      <c r="F24" s="20">
        <v>1525</v>
      </c>
      <c r="G24" s="51">
        <v>1300</v>
      </c>
      <c r="H24" s="22" t="s">
        <v>237</v>
      </c>
    </row>
    <row r="25">
      <c r="A25" s="7" t="s">
        <v>78</v>
      </c>
      <c r="B25" s="23">
        <f>IF(ISNUMBER(Inputs!B127),IF(OR(Inputs!B127&lt;=0,B24&lt;0),"n.m.",B24/Inputs!B127-1),"n.a.")</f>
        <v>0.2714776632302405</v>
      </c>
      <c r="C25" s="23">
        <f>IF(ISNUMBER(Inputs!C127),IF(OR(Inputs!C127&lt;=0,C24&lt;0),"n.m.",C24/Inputs!C127-1),"n.a.")</f>
        <v>-0.5345622119815668</v>
      </c>
      <c r="D25" s="23">
        <f>IF(ISNUMBER(Inputs!D127),IF(OR(Inputs!D127&lt;=0,D24&lt;0),"n.m.",D24/Inputs!D127-1),"n.a.")</f>
        <v>-0.010768477728830161</v>
      </c>
      <c r="E25" s="23">
        <f>IF(ISNUMBER(Inputs!E127),IF(OR(Inputs!E127&lt;=0,E24&lt;0),"n.m.",E24/Inputs!E127-1),"n.a.")</f>
        <v>0.08156606851549753</v>
      </c>
      <c r="F25" s="23">
        <f>IF(ISNUMBER(Inputs!F127),IF(OR(Inputs!F127&lt;=0,F24&lt;0),"n.m.",F24/Inputs!F127-1),"n.a.")</f>
        <v>0.26977518734388006</v>
      </c>
      <c r="G25" s="31">
        <f>IF(ISNUMBER(B24),IF(OR(B24&lt;=0,G24&lt;0),"n.m.",G24/B24-1),"n.a.")</f>
        <v>0.1711711711711712</v>
      </c>
      <c r="H25" s="22"/>
    </row>
    <row r="26">
      <c r="A26" s="7" t="s">
        <v>79</v>
      </c>
      <c r="B26" s="23">
        <f>IF(ISNUMBER(Inputs!F127),IF(OR(Inputs!F127&lt;=0,B24&lt;0),"n.m.",B24/Inputs!F127-1),"n.a.")</f>
        <v>-0.07577019150707742</v>
      </c>
      <c r="C26" s="21">
        <f>IF(ISNUMBER(B24),IF(OR(B24&lt;=0,C24&lt;0),"n.m.",C24/B24-1),"n.a.")</f>
        <v>-0.545045045045045</v>
      </c>
      <c r="D26" s="21" t="str">
        <f>"n.a."</f>
        <v>n.a.</v>
      </c>
      <c r="E26" s="21">
        <f>IF(ISNUMBER(C24),IF(OR(C24&lt;=0,E24&lt;0),"n.m.",E24/C24-1),"n.a.")</f>
        <v>1.6257425742574259</v>
      </c>
      <c r="F26" s="21">
        <f>IF(ISNUMBER(E24),IF(OR(E24&lt;=0,F24&lt;0),"n.m.",F24/E24-1),"n.a.")</f>
        <v>0.15007541478129705</v>
      </c>
      <c r="G26" s="31">
        <f>IF(ISNUMBER(F24),IF(OR(F24&lt;=0,G24&lt;0),"n.m.",G24/F24-1),"n.a.")</f>
        <v>-0.14754098360655743</v>
      </c>
      <c r="H26" s="22"/>
    </row>
    <row r="27">
      <c r="A27" s="1" t="s">
        <v>80</v>
      </c>
      <c r="B27" s="8">
        <f>IF(ISNUMBER(Inputs!F127),B24-Inputs!F127,"n.a.")</f>
        <v>-91</v>
      </c>
      <c r="C27" s="3">
        <f>IF(ISNUMBER(B24),C24-B24,"n.a.")</f>
        <v>-605</v>
      </c>
      <c r="D27" s="3" t="str">
        <f>"n.a."</f>
        <v>n.a.</v>
      </c>
      <c r="E27" s="3">
        <f>IF(ISNUMBER(C24),E24-C24,"n.a.")</f>
        <v>821</v>
      </c>
      <c r="F27" s="3">
        <f>IF(ISNUMBER(E24),F24-E24,"n.a.")</f>
        <v>199</v>
      </c>
      <c r="G27" s="29">
        <f>IF(ISNUMBER(F24),G24-F24,"n.a.")</f>
        <v>-225</v>
      </c>
      <c r="H27" s="22"/>
    </row>
    <row r="28">
      <c r="A28" s="7" t="s">
        <v>81</v>
      </c>
      <c r="B28" s="21" t="s">
        <v>82</v>
      </c>
      <c r="C28" s="21" t="s">
        <v>82</v>
      </c>
      <c r="D28" s="21" t="s">
        <v>82</v>
      </c>
      <c r="E28" s="21" t="s">
        <v>82</v>
      </c>
      <c r="F28" s="21" t="s">
        <v>82</v>
      </c>
      <c r="G28" s="31" t="s">
        <v>82</v>
      </c>
      <c r="H28" s="22"/>
    </row>
    <row r="29">
      <c r="A29" s="7" t="s">
        <v>83</v>
      </c>
      <c r="B29" s="21" t="s">
        <v>82</v>
      </c>
      <c r="C29" s="21" t="s">
        <v>82</v>
      </c>
      <c r="D29" s="21" t="s">
        <v>82</v>
      </c>
      <c r="E29" s="21" t="s">
        <v>82</v>
      </c>
      <c r="F29" s="21" t="s">
        <v>82</v>
      </c>
      <c r="G29" s="31" t="s">
        <v>82</v>
      </c>
      <c r="H29" s="22"/>
    </row>
    <row r="30">
      <c r="A30" s="7" t="s">
        <v>84</v>
      </c>
      <c r="B30" s="21" t="str">
        <f>IF(AND(ISNUMBER(B25),ISNUMBER(B28),ISNUMBER(B29)),(1+B25)/((1+B28)*(1+B29))-1,"n.a.")</f>
        <v>n.a.</v>
      </c>
      <c r="C30" s="21" t="str">
        <f>IF(AND(ISNUMBER(C25),ISNUMBER(C28),ISNUMBER(C29)),(1+C25)/((1+C28)*(1+C29))-1,"n.a.")</f>
        <v>n.a.</v>
      </c>
      <c r="D30" s="21" t="str">
        <f>IF(AND(ISNUMBER(D25),ISNUMBER(D28),ISNUMBER(D29)),(1+D25)/((1+D28)*(1+D29))-1,"n.a.")</f>
        <v>n.a.</v>
      </c>
      <c r="E30" s="21" t="str">
        <f>IF(AND(ISNUMBER(E25),ISNUMBER(E28),ISNUMBER(E29)),(1+E25)/((1+E28)*(1+E29))-1,"n.a.")</f>
        <v>n.a.</v>
      </c>
      <c r="F30" s="21" t="str">
        <f>IF(AND(ISNUMBER(F25),ISNUMBER(F28),ISNUMBER(F29)),(1+F25)/((1+F28)*(1+F29))-1,"n.a.")</f>
        <v>n.a.</v>
      </c>
      <c r="G30" s="31" t="str">
        <f>IF(AND(ISNUMBER(G25),ISNUMBER(G28),ISNUMBER(G29)),(1+G25)/((1+G28)*(1+G29))-1,"n.a.")</f>
        <v>n.a.</v>
      </c>
      <c r="H30" s="22"/>
    </row>
    <row r="31">
      <c r="A31" s="1" t="s">
        <v>238</v>
      </c>
      <c r="B31" s="20">
        <v>3868</v>
      </c>
      <c r="C31" s="20">
        <v>3669</v>
      </c>
      <c r="D31" s="8">
        <f>Inputs!G128+B31+C31</f>
        <v>17993</v>
      </c>
      <c r="E31" s="20">
        <v>5461</v>
      </c>
      <c r="F31" s="20">
        <v>7637</v>
      </c>
      <c r="G31" s="35">
        <f>'Revenue summary'!G32-G10-G17-G24-G38-G60</f>
        <v>5182.610306853861</v>
      </c>
      <c r="H31" s="22" t="s">
        <v>239</v>
      </c>
    </row>
    <row r="32">
      <c r="A32" s="7" t="s">
        <v>78</v>
      </c>
      <c r="B32" s="23">
        <f>IF(ISNUMBER(Inputs!B128),IF(OR(Inputs!B128&lt;=0,B31&lt;0),"n.m.",B31/Inputs!B128-1),"n.a.")</f>
        <v>-0.06275745093288099</v>
      </c>
      <c r="C32" s="23">
        <f>IF(ISNUMBER(Inputs!C128),IF(OR(Inputs!C128&lt;=0,C31&lt;0),"n.m.",C31/Inputs!C128-1),"n.a.")</f>
        <v>-0.04278632924602144</v>
      </c>
      <c r="D32" s="23">
        <f>IF(ISNUMBER(Inputs!D128),IF(OR(Inputs!D128&lt;=0,D31&lt;0),"n.m.",D31/Inputs!D128-1),"n.a.")</f>
        <v>-0.021587819467101643</v>
      </c>
      <c r="E32" s="23">
        <f>IF(ISNUMBER(Inputs!E128),IF(OR(Inputs!E128&lt;=0,E31&lt;0),"n.m.",E31/Inputs!E128-1),"n.a.")</f>
        <v>-0.045780185217543234</v>
      </c>
      <c r="F32" s="23">
        <f>IF(ISNUMBER(Inputs!F128),IF(OR(Inputs!F128&lt;=0,F31&lt;0),"n.m.",F31/Inputs!F128-1),"n.a.")</f>
        <v>0.6135643355165856</v>
      </c>
      <c r="G32" s="31">
        <f>IF(ISNUMBER(B31),IF(OR(B31&lt;=0,G31&lt;0),"n.m.",G31/B31-1),"n.a.")</f>
        <v>0.33986822824556917</v>
      </c>
      <c r="H32" s="22"/>
    </row>
    <row r="33">
      <c r="A33" s="7" t="s">
        <v>79</v>
      </c>
      <c r="B33" s="23">
        <f>IF(ISNUMBER(Inputs!F128),IF(OR(Inputs!F128&lt;=0,B31&lt;0),"n.m.",B31/Inputs!F128-1),"n.a.")</f>
        <v>-0.1827593492499472</v>
      </c>
      <c r="C33" s="21">
        <f>IF(ISNUMBER(B31),IF(OR(B31&lt;=0,C31&lt;0),"n.m.",C31/B31-1),"n.a.")</f>
        <v>-0.051447776628748665</v>
      </c>
      <c r="D33" s="21" t="str">
        <f>"n.a."</f>
        <v>n.a.</v>
      </c>
      <c r="E33" s="21">
        <f>IF(ISNUMBER(C31),IF(OR(C31&lt;=0,E31&lt;0),"n.m.",E31/C31-1),"n.a.")</f>
        <v>0.48841646225129454</v>
      </c>
      <c r="F33" s="21">
        <f>IF(ISNUMBER(E31),IF(OR(E31&lt;=0,F31&lt;0),"n.m.",F31/E31-1),"n.a.")</f>
        <v>0.3984618201794543</v>
      </c>
      <c r="G33" s="31">
        <f>IF(ISNUMBER(F31),IF(OR(F31&lt;=0,G31&lt;0),"n.m.",G31/F31-1),"n.a.")</f>
        <v>-0.32138139231977725</v>
      </c>
      <c r="H33" s="22"/>
    </row>
    <row r="34">
      <c r="A34" s="1" t="s">
        <v>80</v>
      </c>
      <c r="B34" s="8">
        <f>IF(ISNUMBER(Inputs!F128),B31-Inputs!F128,"n.a.")</f>
        <v>-865</v>
      </c>
      <c r="C34" s="3">
        <f>IF(ISNUMBER(B31),C31-B31,"n.a.")</f>
        <v>-199</v>
      </c>
      <c r="D34" s="3" t="str">
        <f>"n.a."</f>
        <v>n.a.</v>
      </c>
      <c r="E34" s="3">
        <f>IF(ISNUMBER(C31),E31-C31,"n.a.")</f>
        <v>1792</v>
      </c>
      <c r="F34" s="3">
        <f>IF(ISNUMBER(E31),F31-E31,"n.a.")</f>
        <v>2176</v>
      </c>
      <c r="G34" s="29">
        <f>IF(ISNUMBER(F31),G31-F31,"n.a.")</f>
        <v>-2454.3896931461386</v>
      </c>
      <c r="H34" s="22"/>
    </row>
    <row r="35">
      <c r="A35" s="7" t="s">
        <v>81</v>
      </c>
      <c r="B35" s="21" t="s">
        <v>82</v>
      </c>
      <c r="C35" s="21" t="s">
        <v>82</v>
      </c>
      <c r="D35" s="21" t="s">
        <v>82</v>
      </c>
      <c r="E35" s="21" t="s">
        <v>82</v>
      </c>
      <c r="F35" s="21" t="s">
        <v>82</v>
      </c>
      <c r="G35" s="31" t="s">
        <v>82</v>
      </c>
      <c r="H35" s="22"/>
    </row>
    <row r="36">
      <c r="A36" s="7" t="s">
        <v>83</v>
      </c>
      <c r="B36" s="21" t="s">
        <v>82</v>
      </c>
      <c r="C36" s="21" t="s">
        <v>82</v>
      </c>
      <c r="D36" s="21" t="s">
        <v>82</v>
      </c>
      <c r="E36" s="21" t="s">
        <v>82</v>
      </c>
      <c r="F36" s="21" t="s">
        <v>82</v>
      </c>
      <c r="G36" s="31" t="s">
        <v>82</v>
      </c>
      <c r="H36" s="22"/>
    </row>
    <row r="37">
      <c r="A37" s="7" t="s">
        <v>84</v>
      </c>
      <c r="B37" s="21" t="str">
        <f>IF(AND(ISNUMBER(B32),ISNUMBER(B35),ISNUMBER(B36)),(1+B32)/((1+B35)*(1+B36))-1,"n.a.")</f>
        <v>n.a.</v>
      </c>
      <c r="C37" s="21" t="str">
        <f>IF(AND(ISNUMBER(C32),ISNUMBER(C35),ISNUMBER(C36)),(1+C32)/((1+C35)*(1+C36))-1,"n.a.")</f>
        <v>n.a.</v>
      </c>
      <c r="D37" s="21" t="str">
        <f>IF(AND(ISNUMBER(D32),ISNUMBER(D35),ISNUMBER(D36)),(1+D32)/((1+D35)*(1+D36))-1,"n.a.")</f>
        <v>n.a.</v>
      </c>
      <c r="E37" s="21" t="str">
        <f>IF(AND(ISNUMBER(E32),ISNUMBER(E35),ISNUMBER(E36)),(1+E32)/((1+E35)*(1+E36))-1,"n.a.")</f>
        <v>n.a.</v>
      </c>
      <c r="F37" s="21" t="str">
        <f>IF(AND(ISNUMBER(F32),ISNUMBER(F35),ISNUMBER(F36)),(1+F32)/((1+F35)*(1+F36))-1,"n.a.")</f>
        <v>n.a.</v>
      </c>
      <c r="G37" s="31" t="str">
        <f>IF(AND(ISNUMBER(G32),ISNUMBER(G35),ISNUMBER(G36)),(1+G32)/((1+G35)*(1+G36))-1,"n.a.")</f>
        <v>n.a.</v>
      </c>
      <c r="H37" s="22"/>
    </row>
    <row r="38">
      <c r="A38" s="1" t="s">
        <v>240</v>
      </c>
      <c r="B38" s="20">
        <v>743</v>
      </c>
      <c r="C38" s="20">
        <v>-208</v>
      </c>
      <c r="D38" s="8">
        <f>Inputs!G129+B38+C38</f>
        <v>1592</v>
      </c>
      <c r="E38" s="20">
        <v>862</v>
      </c>
      <c r="F38" s="20">
        <v>444</v>
      </c>
      <c r="G38" s="51">
        <v>300</v>
      </c>
      <c r="H38" s="22" t="s">
        <v>234</v>
      </c>
    </row>
    <row r="39">
      <c r="A39" s="7" t="s">
        <v>78</v>
      </c>
      <c r="B39" s="23">
        <f>IF(ISNUMBER(Inputs!B129),IF(OR(Inputs!B129&lt;=0,B38&lt;0),"n.m.",B38/Inputs!B129-1),"n.a.")</f>
        <v>-0.11442193087008345</v>
      </c>
      <c r="C39" s="23" t="str">
        <f>IF(ISNUMBER(Inputs!C129),IF(OR(Inputs!C129&lt;=0,C38&lt;0),"n.m.",C38/Inputs!C129-1),"n.a.")</f>
        <v>n.m.</v>
      </c>
      <c r="D39" s="23">
        <f>IF(ISNUMBER(Inputs!D129),IF(OR(Inputs!D129&lt;=0,D38&lt;0),"n.m.",D38/Inputs!D129-1),"n.a.")</f>
        <v>-0.6573396470081792</v>
      </c>
      <c r="E39" s="23">
        <f>IF(ISNUMBER(Inputs!E129),IF(OR(Inputs!E129&lt;=0,E38&lt;0),"n.m.",E38/Inputs!E129-1),"n.a.")</f>
        <v>0.587476979742173</v>
      </c>
      <c r="F39" s="23">
        <f>IF(ISNUMBER(Inputs!F129),IF(OR(Inputs!F129&lt;=0,F38&lt;0),"n.m.",F38/Inputs!F129-1),"n.a.")</f>
        <v>-0.13618677042801552</v>
      </c>
      <c r="G39" s="31">
        <f>IF(ISNUMBER(B38),IF(OR(B38&lt;=0,G38&lt;0),"n.m.",G38/B38-1),"n.a.")</f>
        <v>-0.5962314939434724</v>
      </c>
      <c r="H39" s="22"/>
    </row>
    <row r="40">
      <c r="A40" s="7" t="s">
        <v>79</v>
      </c>
      <c r="B40" s="23">
        <f>IF(ISNUMBER(Inputs!F129),IF(OR(Inputs!F129&lt;=0,B38&lt;0),"n.m.",B38/Inputs!F129-1),"n.a.")</f>
        <v>0.44552529182879375</v>
      </c>
      <c r="C40" s="21" t="str">
        <f>IF(ISNUMBER(B38),IF(OR(B38&lt;=0,C38&lt;0),"n.m.",C38/B38-1),"n.a.")</f>
        <v>n.m.</v>
      </c>
      <c r="D40" s="21" t="str">
        <f>"n.a."</f>
        <v>n.a.</v>
      </c>
      <c r="E40" s="21" t="str">
        <f>IF(ISNUMBER(C38),IF(OR(C38&lt;=0,E38&lt;0),"n.m.",E38/C38-1),"n.a.")</f>
        <v>n.m.</v>
      </c>
      <c r="F40" s="21">
        <f>IF(ISNUMBER(E38),IF(OR(E38&lt;=0,F38&lt;0),"n.m.",F38/E38-1),"n.a.")</f>
        <v>-0.4849187935034803</v>
      </c>
      <c r="G40" s="31">
        <f>IF(ISNUMBER(F38),IF(OR(F38&lt;=0,G38&lt;0),"n.m.",G38/F38-1),"n.a.")</f>
        <v>-0.32432432432432434</v>
      </c>
      <c r="H40" s="22"/>
    </row>
    <row r="41">
      <c r="A41" s="1" t="s">
        <v>80</v>
      </c>
      <c r="B41" s="8">
        <f>IF(ISNUMBER(Inputs!F129),B38-Inputs!F129,"n.a.")</f>
        <v>229</v>
      </c>
      <c r="C41" s="3">
        <f>IF(ISNUMBER(B38),C38-B38,"n.a.")</f>
        <v>-951</v>
      </c>
      <c r="D41" s="3" t="str">
        <f>"n.a."</f>
        <v>n.a.</v>
      </c>
      <c r="E41" s="3">
        <f>IF(ISNUMBER(C38),E38-C38,"n.a.")</f>
        <v>1070</v>
      </c>
      <c r="F41" s="3">
        <f>IF(ISNUMBER(E38),F38-E38,"n.a.")</f>
        <v>-418</v>
      </c>
      <c r="G41" s="29">
        <f>IF(ISNUMBER(F38),G38-F38,"n.a.")</f>
        <v>-144</v>
      </c>
      <c r="H41" s="22"/>
    </row>
    <row r="42">
      <c r="A42" s="7" t="s">
        <v>81</v>
      </c>
      <c r="B42" s="21" t="s">
        <v>82</v>
      </c>
      <c r="C42" s="21" t="s">
        <v>82</v>
      </c>
      <c r="D42" s="21" t="s">
        <v>82</v>
      </c>
      <c r="E42" s="21" t="s">
        <v>82</v>
      </c>
      <c r="F42" s="21" t="s">
        <v>82</v>
      </c>
      <c r="G42" s="31" t="s">
        <v>82</v>
      </c>
      <c r="H42" s="22"/>
    </row>
    <row r="43">
      <c r="A43" s="7" t="s">
        <v>83</v>
      </c>
      <c r="B43" s="21" t="s">
        <v>82</v>
      </c>
      <c r="C43" s="21" t="s">
        <v>82</v>
      </c>
      <c r="D43" s="21" t="s">
        <v>82</v>
      </c>
      <c r="E43" s="21" t="s">
        <v>82</v>
      </c>
      <c r="F43" s="21" t="s">
        <v>82</v>
      </c>
      <c r="G43" s="31" t="s">
        <v>82</v>
      </c>
      <c r="H43" s="22"/>
    </row>
    <row r="44">
      <c r="A44" s="7" t="s">
        <v>84</v>
      </c>
      <c r="B44" s="21" t="str">
        <f>IF(AND(ISNUMBER(B39),ISNUMBER(B42),ISNUMBER(B43)),(1+B39)/((1+B42)*(1+B43))-1,"n.a.")</f>
        <v>n.a.</v>
      </c>
      <c r="C44" s="21" t="str">
        <f>IF(AND(ISNUMBER(C39),ISNUMBER(C42),ISNUMBER(C43)),(1+C39)/((1+C42)*(1+C43))-1,"n.a.")</f>
        <v>n.a.</v>
      </c>
      <c r="D44" s="21" t="str">
        <f>IF(AND(ISNUMBER(D39),ISNUMBER(D42),ISNUMBER(D43)),(1+D39)/((1+D42)*(1+D43))-1,"n.a.")</f>
        <v>n.a.</v>
      </c>
      <c r="E44" s="21" t="str">
        <f>IF(AND(ISNUMBER(E39),ISNUMBER(E42),ISNUMBER(E43)),(1+E39)/((1+E42)*(1+E43))-1,"n.a.")</f>
        <v>n.a.</v>
      </c>
      <c r="F44" s="21" t="str">
        <f>IF(AND(ISNUMBER(F39),ISNUMBER(F42),ISNUMBER(F43)),(1+F39)/((1+F42)*(1+F43))-1,"n.a.")</f>
        <v>n.a.</v>
      </c>
      <c r="G44" s="31" t="str">
        <f>IF(AND(ISNUMBER(G39),ISNUMBER(G42),ISNUMBER(G43)),(1+G39)/((1+G42)*(1+G43))-1,"n.a.")</f>
        <v>n.a.</v>
      </c>
      <c r="H44" s="22"/>
    </row>
    <row r="45">
      <c r="A45" s="17" t="s">
        <v>241</v>
      </c>
      <c r="B45" s="26">
        <f>B10+B17+B24+B31+B38</f>
        <v>11332</v>
      </c>
      <c r="C45" s="26">
        <f>C10+C17+C24+C31+C38</f>
        <v>9746</v>
      </c>
      <c r="D45" s="26">
        <f>D10+D17+D24+D31+D38</f>
        <v>44724</v>
      </c>
      <c r="E45" s="26">
        <f>E10+E17+E24+E31+E38</f>
        <v>13672</v>
      </c>
      <c r="F45" s="26">
        <f>F10+F17+F24+F31+F38</f>
        <v>16384</v>
      </c>
      <c r="G45" s="52">
        <f>G10+G17+G24+G31+G38</f>
        <v>13219.769872728899</v>
      </c>
      <c r="H45" s="22"/>
    </row>
    <row r="46">
      <c r="A46" s="7" t="s">
        <v>78</v>
      </c>
      <c r="B46" s="23">
        <f>IF(ISNUMBER(Inputs!B130),IF(OR(Inputs!B130&lt;=0,B45&lt;0),"n.m.",B45/Inputs!B130-1),"n.a.")</f>
        <v>0.0946676970633693</v>
      </c>
      <c r="C46" s="23">
        <f>IF(ISNUMBER(Inputs!C130),IF(OR(Inputs!C130&lt;=0,C45&lt;0),"n.m.",C45/Inputs!C130-1),"n.a.")</f>
        <v>-0.1542867060048594</v>
      </c>
      <c r="D46" s="23">
        <f>IF(ISNUMBER(Inputs!D130),IF(OR(Inputs!D130&lt;=0,D45&lt;0),"n.m.",D45/Inputs!D130-1),"n.a.")</f>
        <v>-0.01610348468848999</v>
      </c>
      <c r="E46" s="23">
        <f>IF(ISNUMBER(Inputs!E130),IF(OR(Inputs!E130&lt;=0,E45&lt;0),"n.m.",E45/Inputs!E130-1),"n.a.")</f>
        <v>0.12369524122626774</v>
      </c>
      <c r="F46" s="23">
        <f>IF(ISNUMBER(Inputs!F130),IF(OR(Inputs!F130&lt;=0,F45&lt;0),"n.m.",F45/Inputs!F130-1),"n.a.")</f>
        <v>0.42730202979353593</v>
      </c>
      <c r="G46" s="31">
        <f>IF(ISNUMBER(B45),IF(OR(B45&lt;=0,G45&lt;0),"n.m.",G45/B45-1),"n.a.")</f>
        <v>0.16658752847942981</v>
      </c>
      <c r="H46" s="22"/>
    </row>
    <row r="47">
      <c r="A47" s="7" t="s">
        <v>79</v>
      </c>
      <c r="B47" s="23">
        <f>IF(ISNUMBER(Inputs!F130),IF(OR(Inputs!F130&lt;=0,B45&lt;0),"n.m.",B45/Inputs!F130-1),"n.a.")</f>
        <v>-0.012805993553445472</v>
      </c>
      <c r="C47" s="21">
        <f>IF(ISNUMBER(B45),IF(OR(B45&lt;=0,C45&lt;0),"n.m.",C45/B45-1),"n.a.")</f>
        <v>-0.1399576420755383</v>
      </c>
      <c r="D47" s="21" t="str">
        <f>"n.a."</f>
        <v>n.a.</v>
      </c>
      <c r="E47" s="21">
        <f>IF(ISNUMBER(C45),IF(OR(C45&lt;=0,E45&lt;0),"n.m.",E45/C45-1),"n.a.")</f>
        <v>0.40283193104863524</v>
      </c>
      <c r="F47" s="21">
        <f>IF(ISNUMBER(E45),IF(OR(E45&lt;=0,F45&lt;0),"n.m.",F45/E45-1),"n.a.")</f>
        <v>0.1983616149795202</v>
      </c>
      <c r="G47" s="31">
        <f>IF(ISNUMBER(F45),IF(OR(F45&lt;=0,G45&lt;0),"n.m.",G45/F45-1),"n.a.")</f>
        <v>-0.19312928022894904</v>
      </c>
      <c r="H47" s="22"/>
    </row>
    <row r="48">
      <c r="A48" s="1" t="s">
        <v>80</v>
      </c>
      <c r="B48" s="8">
        <f>IF(ISNUMBER(Inputs!F130),B45-Inputs!F130,"n.a.")</f>
        <v>-147</v>
      </c>
      <c r="C48" s="3">
        <f>IF(ISNUMBER(B45),C45-B45,"n.a.")</f>
        <v>-1586</v>
      </c>
      <c r="D48" s="3" t="str">
        <f>"n.a."</f>
        <v>n.a.</v>
      </c>
      <c r="E48" s="3">
        <f>IF(ISNUMBER(C45),E45-C45,"n.a.")</f>
        <v>3926</v>
      </c>
      <c r="F48" s="3">
        <f>IF(ISNUMBER(E45),F45-E45,"n.a.")</f>
        <v>2712</v>
      </c>
      <c r="G48" s="29">
        <f>IF(ISNUMBER(F45),G45-F45,"n.a.")</f>
        <v>-3164.230127271101</v>
      </c>
      <c r="H48" s="22"/>
    </row>
    <row r="49">
      <c r="A49" s="7" t="s">
        <v>81</v>
      </c>
      <c r="B49" s="21" t="s">
        <v>82</v>
      </c>
      <c r="C49" s="21" t="s">
        <v>82</v>
      </c>
      <c r="D49" s="21" t="s">
        <v>82</v>
      </c>
      <c r="E49" s="21" t="s">
        <v>82</v>
      </c>
      <c r="F49" s="21" t="s">
        <v>82</v>
      </c>
      <c r="G49" s="31" t="s">
        <v>82</v>
      </c>
      <c r="H49" s="22"/>
    </row>
    <row r="50">
      <c r="A50" s="7" t="s">
        <v>83</v>
      </c>
      <c r="B50" s="21" t="s">
        <v>82</v>
      </c>
      <c r="C50" s="21" t="s">
        <v>82</v>
      </c>
      <c r="D50" s="21" t="s">
        <v>82</v>
      </c>
      <c r="E50" s="21" t="s">
        <v>82</v>
      </c>
      <c r="F50" s="21" t="s">
        <v>82</v>
      </c>
      <c r="G50" s="31" t="s">
        <v>82</v>
      </c>
      <c r="H50" s="22"/>
    </row>
    <row r="51">
      <c r="A51" s="7" t="s">
        <v>84</v>
      </c>
      <c r="B51" s="21" t="str">
        <f>IF(AND(ISNUMBER(B46),ISNUMBER(B49),ISNUMBER(B50)),(1+B46)/((1+B49)*(1+B50))-1,"n.a.")</f>
        <v>n.a.</v>
      </c>
      <c r="C51" s="21" t="str">
        <f>IF(AND(ISNUMBER(C46),ISNUMBER(C49),ISNUMBER(C50)),(1+C46)/((1+C49)*(1+C50))-1,"n.a.")</f>
        <v>n.a.</v>
      </c>
      <c r="D51" s="21" t="str">
        <f>IF(AND(ISNUMBER(D46),ISNUMBER(D49),ISNUMBER(D50)),(1+D46)/((1+D49)*(1+D50))-1,"n.a.")</f>
        <v>n.a.</v>
      </c>
      <c r="E51" s="21" t="str">
        <f>IF(AND(ISNUMBER(E46),ISNUMBER(E49),ISNUMBER(E50)),(1+E46)/((1+E49)*(1+E50))-1,"n.a.")</f>
        <v>n.a.</v>
      </c>
      <c r="F51" s="21" t="str">
        <f>IF(AND(ISNUMBER(F46),ISNUMBER(F49),ISNUMBER(F50)),(1+F46)/((1+F49)*(1+F50))-1,"n.a.")</f>
        <v>n.a.</v>
      </c>
      <c r="G51" s="31" t="str">
        <f>IF(AND(ISNUMBER(G46),ISNUMBER(G49),ISNUMBER(G50)),(1+G46)/((1+G49)*(1+G50))-1,"n.a.")</f>
        <v>n.a.</v>
      </c>
      <c r="H51" s="22"/>
    </row>
    <row r="52">
      <c r="A52" s="1" t="s">
        <v>242</v>
      </c>
      <c r="B52" s="20">
        <v>20822</v>
      </c>
      <c r="C52" s="20">
        <v>20379</v>
      </c>
      <c r="D52" s="8">
        <f>Inputs!G131+B52+C52</f>
        <v>80373</v>
      </c>
      <c r="E52" s="20">
        <v>20637</v>
      </c>
      <c r="F52" s="20">
        <v>22047</v>
      </c>
      <c r="G52" s="51">
        <v>22500</v>
      </c>
      <c r="H52" s="22" t="s">
        <v>234</v>
      </c>
    </row>
    <row r="53">
      <c r="A53" s="7" t="s">
        <v>78</v>
      </c>
      <c r="B53" s="23">
        <f>IF(ISNUMBER(Inputs!B131),IF(OR(Inputs!B131&lt;=0,B52&lt;0),"n.m.",B52/Inputs!B131-1),"n.a.")</f>
        <v>-0.029186870570682588</v>
      </c>
      <c r="C53" s="23">
        <f>IF(ISNUMBER(Inputs!C131),IF(OR(Inputs!C131&lt;=0,C52&lt;0),"n.m.",C52/Inputs!C131-1),"n.a.")</f>
        <v>0.02129898767164473</v>
      </c>
      <c r="D53" s="23">
        <f>IF(ISNUMBER(Inputs!D131),IF(OR(Inputs!D131&lt;=0,D52&lt;0),"n.m.",D52/Inputs!D131-1),"n.a.")</f>
        <v>-0.012580316227870814</v>
      </c>
      <c r="E53" s="23">
        <f>IF(ISNUMBER(Inputs!E131),IF(OR(Inputs!E131&lt;=0,E52&lt;0),"n.m.",E52/Inputs!E131-1),"n.a.")</f>
        <v>0.0646958675127689</v>
      </c>
      <c r="F53" s="23">
        <f>IF(ISNUMBER(Inputs!F131),IF(OR(Inputs!F131&lt;=0,F52&lt;0),"n.m.",F52/Inputs!F131-1),"n.a.")</f>
        <v>0.11410379503764712</v>
      </c>
      <c r="G53" s="31">
        <f>IF(ISNUMBER(B52),IF(OR(B52&lt;=0,G52&lt;0),"n.m.",G52/B52-1),"n.a.")</f>
        <v>0.08058783978484296</v>
      </c>
      <c r="H53" s="22"/>
    </row>
    <row r="54">
      <c r="A54" s="7" t="s">
        <v>79</v>
      </c>
      <c r="B54" s="23">
        <f>IF(ISNUMBER(Inputs!F131),IF(OR(Inputs!F131&lt;=0,B52&lt;0),"n.m.",B52/Inputs!F131-1),"n.a.")</f>
        <v>0.05220071757036737</v>
      </c>
      <c r="C54" s="21">
        <f>IF(ISNUMBER(B52),IF(OR(B52&lt;=0,C52&lt;0),"n.m.",C52/B52-1),"n.a.")</f>
        <v>-0.021275573912208245</v>
      </c>
      <c r="D54" s="21" t="str">
        <f>"n.a."</f>
        <v>n.a.</v>
      </c>
      <c r="E54" s="21">
        <f>IF(ISNUMBER(C52),IF(OR(C52&lt;=0,E52&lt;0),"n.m.",E52/C52-1),"n.a.")</f>
        <v>0.012660091270425333</v>
      </c>
      <c r="F54" s="21">
        <f>IF(ISNUMBER(E52),IF(OR(E52&lt;=0,F52&lt;0),"n.m.",F52/E52-1),"n.a.")</f>
        <v>0.06832388428550651</v>
      </c>
      <c r="G54" s="31">
        <f>IF(ISNUMBER(F52),IF(OR(F52&lt;=0,G52&lt;0),"n.m.",G52/F52-1),"n.a.")</f>
        <v>0.020547013199074815</v>
      </c>
      <c r="H54" s="22"/>
    </row>
    <row r="55">
      <c r="A55" s="1" t="s">
        <v>80</v>
      </c>
      <c r="B55" s="8">
        <f>IF(ISNUMBER(Inputs!F131),B52-Inputs!F131,"n.a.")</f>
        <v>1033</v>
      </c>
      <c r="C55" s="3">
        <f>IF(ISNUMBER(B52),C52-B52,"n.a.")</f>
        <v>-443</v>
      </c>
      <c r="D55" s="3" t="str">
        <f>"n.a."</f>
        <v>n.a.</v>
      </c>
      <c r="E55" s="3">
        <f>IF(ISNUMBER(C52),E52-C52,"n.a.")</f>
        <v>258</v>
      </c>
      <c r="F55" s="3">
        <f>IF(ISNUMBER(E52),F52-E52,"n.a.")</f>
        <v>1410</v>
      </c>
      <c r="G55" s="29">
        <f>IF(ISNUMBER(F52),G52-F52,"n.a.")</f>
        <v>453</v>
      </c>
      <c r="H55" s="22"/>
    </row>
    <row r="56">
      <c r="A56" s="1" t="s">
        <v>243</v>
      </c>
      <c r="B56" s="20">
        <v>16970</v>
      </c>
      <c r="C56" s="20">
        <v>16671</v>
      </c>
      <c r="D56" s="8">
        <f>Inputs!G132+B56+C56</f>
        <v>66814</v>
      </c>
      <c r="E56" s="20">
        <v>17082</v>
      </c>
      <c r="F56" s="20">
        <v>18093</v>
      </c>
      <c r="G56" s="51">
        <v>18550</v>
      </c>
      <c r="H56" s="22" t="s">
        <v>234</v>
      </c>
    </row>
    <row r="57">
      <c r="A57" s="7" t="s">
        <v>78</v>
      </c>
      <c r="B57" s="23">
        <f>IF(ISNUMBER(Inputs!B132),IF(OR(Inputs!B132&lt;=0,B56&lt;0),"n.m.",B56/Inputs!B132-1),"n.a.")</f>
        <v>-0.11156483953719698</v>
      </c>
      <c r="C57" s="23">
        <f>IF(ISNUMBER(Inputs!C132),IF(OR(Inputs!C132&lt;=0,C56&lt;0),"n.m.",C56/Inputs!C132-1),"n.a.")</f>
        <v>-0.053268215117269535</v>
      </c>
      <c r="D57" s="23">
        <f>IF(ISNUMBER(Inputs!D132),IF(OR(Inputs!D132&lt;=0,D56&lt;0),"n.m.",D56/Inputs!D132-1),"n.a.")</f>
        <v>-0.08899524140658022</v>
      </c>
      <c r="E57" s="23">
        <f>IF(ISNUMBER(Inputs!E132),IF(OR(Inputs!E132&lt;=0,E56&lt;0),"n.m.",E56/Inputs!E132-1),"n.a.")</f>
        <v>0.0360262008733625</v>
      </c>
      <c r="F57" s="23">
        <f>IF(ISNUMBER(Inputs!F132),IF(OR(Inputs!F132&lt;=0,F56&lt;0),"n.m.",F56/Inputs!F132-1),"n.a.")</f>
        <v>0.08438717410848073</v>
      </c>
      <c r="G57" s="31">
        <f>IF(ISNUMBER(B56),IF(OR(B56&lt;=0,G56&lt;0),"n.m.",G56/B56-1),"n.a.")</f>
        <v>0.093105480259281</v>
      </c>
      <c r="H57" s="22"/>
    </row>
    <row r="58">
      <c r="A58" s="7" t="s">
        <v>79</v>
      </c>
      <c r="B58" s="23">
        <f>IF(ISNUMBER(Inputs!F132),IF(OR(Inputs!F132&lt;=0,B56&lt;0),"n.m.",B56/Inputs!F132-1),"n.a.")</f>
        <v>0.017081210668264957</v>
      </c>
      <c r="C58" s="21">
        <f>IF(ISNUMBER(B56),IF(OR(B56&lt;=0,C56&lt;0),"n.m.",C56/B56-1),"n.a.")</f>
        <v>-0.01761932822628165</v>
      </c>
      <c r="D58" s="21" t="str">
        <f>"n.a."</f>
        <v>n.a.</v>
      </c>
      <c r="E58" s="21">
        <f>IF(ISNUMBER(C56),IF(OR(C56&lt;=0,E56&lt;0),"n.m.",E56/C56-1),"n.a.")</f>
        <v>0.024653590066582742</v>
      </c>
      <c r="F58" s="21">
        <f>IF(ISNUMBER(E56),IF(OR(E56&lt;=0,F56&lt;0),"n.m.",F56/E56-1),"n.a.")</f>
        <v>0.059185107130312664</v>
      </c>
      <c r="G58" s="31">
        <f>IF(ISNUMBER(F56),IF(OR(F56&lt;=0,G56&lt;0),"n.m.",G56/F56-1),"n.a.")</f>
        <v>0.025258387221577472</v>
      </c>
      <c r="H58" s="22"/>
    </row>
    <row r="59">
      <c r="A59" s="1" t="s">
        <v>80</v>
      </c>
      <c r="B59" s="8">
        <f>IF(ISNUMBER(Inputs!F132),B56-Inputs!F132,"n.a.")</f>
        <v>285</v>
      </c>
      <c r="C59" s="3">
        <f>IF(ISNUMBER(B56),C56-B56,"n.a.")</f>
        <v>-299</v>
      </c>
      <c r="D59" s="3" t="str">
        <f>"n.a."</f>
        <v>n.a.</v>
      </c>
      <c r="E59" s="3">
        <f>IF(ISNUMBER(C56),E56-C56,"n.a.")</f>
        <v>411</v>
      </c>
      <c r="F59" s="3">
        <f>IF(ISNUMBER(E56),F56-E56,"n.a.")</f>
        <v>1011</v>
      </c>
      <c r="G59" s="29">
        <f>IF(ISNUMBER(F56),G56-F56,"n.a.")</f>
        <v>457</v>
      </c>
      <c r="H59" s="22"/>
    </row>
    <row r="60">
      <c r="A60" s="17" t="s">
        <v>244</v>
      </c>
      <c r="B60" s="26">
        <f>B52-B56</f>
        <v>3852</v>
      </c>
      <c r="C60" s="26">
        <f>C52-C56</f>
        <v>3708</v>
      </c>
      <c r="D60" s="26">
        <f>D52-D56</f>
        <v>13559</v>
      </c>
      <c r="E60" s="26">
        <f>E52-E56</f>
        <v>3555</v>
      </c>
      <c r="F60" s="26">
        <f>F52-F56</f>
        <v>3954</v>
      </c>
      <c r="G60" s="52">
        <f>G52-G56</f>
        <v>3950</v>
      </c>
      <c r="H60" s="22"/>
    </row>
    <row r="61">
      <c r="A61" s="7" t="s">
        <v>78</v>
      </c>
      <c r="B61" s="23">
        <f>IF(ISNUMBER(Inputs!B133),IF(OR(Inputs!B133&lt;=0,B60&lt;0),"n.m.",B60/Inputs!B133-1),"n.a.")</f>
        <v>0.6412441414571795</v>
      </c>
      <c r="C61" s="23">
        <f>IF(ISNUMBER(Inputs!C133),IF(OR(Inputs!C133&lt;=0,C60&lt;0),"n.m.",C60/Inputs!C133-1),"n.a.")</f>
        <v>0.5812366737739871</v>
      </c>
      <c r="D61" s="23">
        <f>IF(ISNUMBER(Inputs!D133),IF(OR(Inputs!D133&lt;=0,D60&lt;0),"n.m.",D60/Inputs!D133-1),"n.a.")</f>
        <v>0.6830933465739821</v>
      </c>
      <c r="E61" s="23">
        <f>IF(ISNUMBER(Inputs!E133),IF(OR(Inputs!E133&lt;=0,E60&lt;0),"n.m.",E60/Inputs!E133-1),"n.a.")</f>
        <v>0.22797927461139889</v>
      </c>
      <c r="F61" s="23">
        <f>IF(ISNUMBER(Inputs!F133),IF(OR(Inputs!F133&lt;=0,F60&lt;0),"n.m.",F60/Inputs!F133-1),"n.a.")</f>
        <v>0.2738402061855669</v>
      </c>
      <c r="G61" s="31">
        <f>IF(ISNUMBER(B60),IF(OR(B60&lt;=0,G60&lt;0),"n.m.",G60/B60-1),"n.a.")</f>
        <v>0.02544132917964692</v>
      </c>
      <c r="H61" s="22"/>
    </row>
    <row r="62">
      <c r="A62" s="7" t="s">
        <v>79</v>
      </c>
      <c r="B62" s="23">
        <f>IF(ISNUMBER(Inputs!F133),IF(OR(Inputs!F133&lt;=0,B60&lt;0),"n.m.",B60/Inputs!F133-1),"n.a.")</f>
        <v>0.240979381443299</v>
      </c>
      <c r="C62" s="21">
        <f>IF(ISNUMBER(B60),IF(OR(B60&lt;=0,C60&lt;0),"n.m.",C60/B60-1),"n.a.")</f>
        <v>-0.03738317757009346</v>
      </c>
      <c r="D62" s="21" t="str">
        <f>"n.a."</f>
        <v>n.a.</v>
      </c>
      <c r="E62" s="21">
        <f>IF(ISNUMBER(C60),IF(OR(C60&lt;=0,E60&lt;0),"n.m.",E60/C60-1),"n.a.")</f>
        <v>-0.04126213592233008</v>
      </c>
      <c r="F62" s="21">
        <f>IF(ISNUMBER(E60),IF(OR(E60&lt;=0,F60&lt;0),"n.m.",F60/E60-1),"n.a.")</f>
        <v>0.11223628691983123</v>
      </c>
      <c r="G62" s="31">
        <f>IF(ISNUMBER(F60),IF(OR(F60&lt;=0,G60&lt;0),"n.m.",G60/F60-1),"n.a.")</f>
        <v>-0.0010116337885685</v>
      </c>
      <c r="H62" s="22"/>
    </row>
    <row r="63">
      <c r="A63" s="1" t="s">
        <v>80</v>
      </c>
      <c r="B63" s="8">
        <f>IF(ISNUMBER(Inputs!F133),B60-Inputs!F133,"n.a.")</f>
        <v>748</v>
      </c>
      <c r="C63" s="3">
        <f>IF(ISNUMBER(B60),C60-B60,"n.a.")</f>
        <v>-144</v>
      </c>
      <c r="D63" s="3" t="str">
        <f>"n.a."</f>
        <v>n.a.</v>
      </c>
      <c r="E63" s="3">
        <f>IF(ISNUMBER(C60),E60-C60,"n.a.")</f>
        <v>-153</v>
      </c>
      <c r="F63" s="3">
        <f>IF(ISNUMBER(E60),F60-E60,"n.a.")</f>
        <v>399</v>
      </c>
      <c r="G63" s="29">
        <f>IF(ISNUMBER(F60),G60-F60,"n.a.")</f>
        <v>-4</v>
      </c>
      <c r="H63" s="22"/>
    </row>
    <row r="64">
      <c r="A64" s="7" t="s">
        <v>81</v>
      </c>
      <c r="B64" s="21" t="s">
        <v>82</v>
      </c>
      <c r="C64" s="21" t="s">
        <v>82</v>
      </c>
      <c r="D64" s="21" t="s">
        <v>82</v>
      </c>
      <c r="E64" s="21" t="s">
        <v>82</v>
      </c>
      <c r="F64" s="21" t="s">
        <v>82</v>
      </c>
      <c r="G64" s="31" t="s">
        <v>82</v>
      </c>
      <c r="H64" s="22"/>
    </row>
    <row r="65">
      <c r="A65" s="7" t="s">
        <v>83</v>
      </c>
      <c r="B65" s="21" t="s">
        <v>82</v>
      </c>
      <c r="C65" s="21" t="s">
        <v>82</v>
      </c>
      <c r="D65" s="21" t="s">
        <v>82</v>
      </c>
      <c r="E65" s="21" t="s">
        <v>82</v>
      </c>
      <c r="F65" s="21" t="s">
        <v>82</v>
      </c>
      <c r="G65" s="31" t="s">
        <v>82</v>
      </c>
      <c r="H65" s="22"/>
    </row>
    <row r="66">
      <c r="A66" s="7" t="s">
        <v>84</v>
      </c>
      <c r="B66" s="21" t="str">
        <f>IF(AND(ISNUMBER(B61),ISNUMBER(B64),ISNUMBER(B65)),(1+B61)/((1+B64)*(1+B65))-1,"n.a.")</f>
        <v>n.a.</v>
      </c>
      <c r="C66" s="21" t="str">
        <f>IF(AND(ISNUMBER(C61),ISNUMBER(C64),ISNUMBER(C65)),(1+C61)/((1+C64)*(1+C65))-1,"n.a.")</f>
        <v>n.a.</v>
      </c>
      <c r="D66" s="21" t="str">
        <f>IF(AND(ISNUMBER(D61),ISNUMBER(D64),ISNUMBER(D65)),(1+D61)/((1+D64)*(1+D65))-1,"n.a.")</f>
        <v>n.a.</v>
      </c>
      <c r="E66" s="21" t="str">
        <f>IF(AND(ISNUMBER(E61),ISNUMBER(E64),ISNUMBER(E65)),(1+E61)/((1+E64)*(1+E65))-1,"n.a.")</f>
        <v>n.a.</v>
      </c>
      <c r="F66" s="21" t="str">
        <f>IF(AND(ISNUMBER(F61),ISNUMBER(F64),ISNUMBER(F65)),(1+F61)/((1+F64)*(1+F65))-1,"n.a.")</f>
        <v>n.a.</v>
      </c>
      <c r="G66" s="31" t="str">
        <f>IF(AND(ISNUMBER(G61),ISNUMBER(G64),ISNUMBER(G65)),(1+G61)/((1+G64)*(1+G65))-1,"n.a.")</f>
        <v>n.a.</v>
      </c>
      <c r="H66" s="22"/>
    </row>
    <row r="67">
      <c r="A67" s="17" t="s">
        <v>90</v>
      </c>
      <c r="B67" s="26">
        <f>B45+B60</f>
        <v>15184</v>
      </c>
      <c r="C67" s="26">
        <f>C45+C60</f>
        <v>13454</v>
      </c>
      <c r="D67" s="26">
        <f>D45+D60</f>
        <v>58283</v>
      </c>
      <c r="E67" s="26">
        <f>E45+E60</f>
        <v>17227</v>
      </c>
      <c r="F67" s="26">
        <f>F45+F60</f>
        <v>20338</v>
      </c>
      <c r="G67" s="52">
        <f>G45+G60</f>
        <v>17169.7698727289</v>
      </c>
      <c r="H67" s="22"/>
    </row>
    <row r="68">
      <c r="A68" s="7" t="s">
        <v>78</v>
      </c>
      <c r="B68" s="23">
        <f>IF(ISNUMBER(Inputs!B134),IF(OR(Inputs!B134&lt;=0,B67&lt;0),"n.m.",B67/Inputs!B134-1),"n.a.")</f>
        <v>0.19568469958264423</v>
      </c>
      <c r="C68" s="23">
        <f>IF(ISNUMBER(Inputs!C134),IF(OR(Inputs!C134&lt;=0,C67&lt;0),"n.m.",C67/Inputs!C134-1),"n.a.")</f>
        <v>-0.029922849520513384</v>
      </c>
      <c r="D68" s="23">
        <f>IF(ISNUMBER(Inputs!D134),IF(OR(Inputs!D134&lt;=0,D67&lt;0),"n.m.",D67/Inputs!D134-1),"n.a.")</f>
        <v>0.08915757213335329</v>
      </c>
      <c r="E68" s="23">
        <f>IF(ISNUMBER(Inputs!E134),IF(OR(Inputs!E134&lt;=0,E67&lt;0),"n.m.",E67/Inputs!E134-1),"n.a.")</f>
        <v>0.1437392112601248</v>
      </c>
      <c r="F68" s="23">
        <f>IF(ISNUMBER(Inputs!F134),IF(OR(Inputs!F134&lt;=0,F67&lt;0),"n.m.",F67/Inputs!F134-1),"n.a.")</f>
        <v>0.394637591716382</v>
      </c>
      <c r="G68" s="31">
        <f>IF(ISNUMBER(B67),IF(OR(B67&lt;=0,G67&lt;0),"n.m.",G67/B67-1),"n.a.")</f>
        <v>0.13078041838309407</v>
      </c>
      <c r="H68" s="22"/>
    </row>
    <row r="69">
      <c r="A69" s="7" t="s">
        <v>79</v>
      </c>
      <c r="B69" s="23">
        <f>IF(ISNUMBER(Inputs!F134),IF(OR(Inputs!F134&lt;=0,B67&lt;0),"n.m.",B67/Inputs!F134-1),"n.a.")</f>
        <v>0.04121237056847016</v>
      </c>
      <c r="C69" s="21">
        <f>IF(ISNUMBER(B67),IF(OR(B67&lt;=0,C67&lt;0),"n.m.",C67/B67-1),"n.a.")</f>
        <v>-0.11393572181243417</v>
      </c>
      <c r="D69" s="21" t="str">
        <f>"n.a."</f>
        <v>n.a.</v>
      </c>
      <c r="E69" s="21">
        <f>IF(ISNUMBER(C67),IF(OR(C67&lt;=0,E67&lt;0),"n.m.",E67/C67-1),"n.a.")</f>
        <v>0.28043704474505726</v>
      </c>
      <c r="F69" s="21">
        <f>IF(ISNUMBER(E67),IF(OR(E67&lt;=0,F67&lt;0),"n.m.",F67/E67-1),"n.a.")</f>
        <v>0.1805886109014918</v>
      </c>
      <c r="G69" s="31">
        <f>IF(ISNUMBER(F67),IF(OR(F67&lt;=0,G67&lt;0),"n.m.",G67/F67-1),"n.a.")</f>
        <v>-0.15577884390161767</v>
      </c>
      <c r="H69" s="22"/>
    </row>
    <row r="70">
      <c r="A70" s="1" t="s">
        <v>80</v>
      </c>
      <c r="B70" s="8">
        <f>IF(ISNUMBER(Inputs!F134),B67-Inputs!F134,"n.a.")</f>
        <v>601</v>
      </c>
      <c r="C70" s="3">
        <f>IF(ISNUMBER(B67),C67-B67,"n.a.")</f>
        <v>-1730</v>
      </c>
      <c r="D70" s="3" t="str">
        <f>"n.a."</f>
        <v>n.a.</v>
      </c>
      <c r="E70" s="3">
        <f>IF(ISNUMBER(C67),E67-C67,"n.a.")</f>
        <v>3773</v>
      </c>
      <c r="F70" s="3">
        <f>IF(ISNUMBER(E67),F67-E67,"n.a.")</f>
        <v>3111</v>
      </c>
      <c r="G70" s="29">
        <f>IF(ISNUMBER(F67),G67-F67,"n.a.")</f>
        <v>-3168.230127271101</v>
      </c>
      <c r="H70" s="22"/>
    </row>
    <row r="71">
      <c r="A71" s="7" t="s">
        <v>81</v>
      </c>
      <c r="B71" s="21" t="s">
        <v>82</v>
      </c>
      <c r="C71" s="21" t="s">
        <v>82</v>
      </c>
      <c r="D71" s="21" t="s">
        <v>82</v>
      </c>
      <c r="E71" s="21" t="s">
        <v>82</v>
      </c>
      <c r="F71" s="21" t="s">
        <v>82</v>
      </c>
      <c r="G71" s="31" t="s">
        <v>82</v>
      </c>
      <c r="H71" s="22"/>
    </row>
    <row r="72">
      <c r="A72" s="7" t="s">
        <v>83</v>
      </c>
      <c r="B72" s="21" t="s">
        <v>82</v>
      </c>
      <c r="C72" s="21" t="s">
        <v>82</v>
      </c>
      <c r="D72" s="21" t="s">
        <v>82</v>
      </c>
      <c r="E72" s="21" t="s">
        <v>82</v>
      </c>
      <c r="F72" s="21" t="s">
        <v>82</v>
      </c>
      <c r="G72" s="31" t="s">
        <v>82</v>
      </c>
      <c r="H72" s="22"/>
    </row>
    <row r="73">
      <c r="A73" s="7" t="s">
        <v>84</v>
      </c>
      <c r="B73" s="21" t="str">
        <f>IF(AND(ISNUMBER(B68),ISNUMBER(B71),ISNUMBER(B72)),(1+B68)/((1+B71)*(1+B72))-1,"n.a.")</f>
        <v>n.a.</v>
      </c>
      <c r="C73" s="21" t="str">
        <f>IF(AND(ISNUMBER(C68),ISNUMBER(C71),ISNUMBER(C72)),(1+C68)/((1+C71)*(1+C72))-1,"n.a.")</f>
        <v>n.a.</v>
      </c>
      <c r="D73" s="21" t="str">
        <f>IF(AND(ISNUMBER(D68),ISNUMBER(D71),ISNUMBER(D72)),(1+D68)/((1+D71)*(1+D72))-1,"n.a.")</f>
        <v>n.a.</v>
      </c>
      <c r="E73" s="21" t="str">
        <f>IF(AND(ISNUMBER(E68),ISNUMBER(E71),ISNUMBER(E72)),(1+E68)/((1+E71)*(1+E72))-1,"n.a.")</f>
        <v>n.a.</v>
      </c>
      <c r="F73" s="21" t="str">
        <f>IF(AND(ISNUMBER(F68),ISNUMBER(F71),ISNUMBER(F72)),(1+F68)/((1+F71)*(1+F72))-1,"n.a.")</f>
        <v>n.a.</v>
      </c>
      <c r="G73" s="31" t="str">
        <f>IF(AND(ISNUMBER(G68),ISNUMBER(G71),ISNUMBER(G72)),(1+G68)/((1+G71)*(1+G72))-1,"n.a.")</f>
        <v>n.a.</v>
      </c>
      <c r="H73" s="22"/>
    </row>
    <row r="74">
      <c r="A74" s="1" t="s">
        <v>245</v>
      </c>
      <c r="B74" s="8">
        <f>B67-'Revenue summary'!B32</f>
        <v>0</v>
      </c>
      <c r="C74" s="8">
        <f>C67-'Revenue summary'!C32</f>
        <v>0</v>
      </c>
      <c r="D74" s="8">
        <f>D67-'Revenue summary'!D32</f>
        <v>0</v>
      </c>
      <c r="E74" s="8">
        <f>E67-'Revenue summary'!E32</f>
        <v>0</v>
      </c>
      <c r="F74" s="8">
        <f>F67-'Revenue summary'!F32</f>
        <v>0</v>
      </c>
      <c r="G74" s="35">
        <f>G67-'Revenue summary'!G32</f>
        <v>0</v>
      </c>
      <c r="H74" s="22" t="s">
        <v>246</v>
      </c>
    </row>
    <row r="75">
      <c r="A75" s="1"/>
      <c r="B75" s="1"/>
      <c r="C75" s="1"/>
      <c r="D75" s="1"/>
      <c r="E75" s="1"/>
      <c r="F75" s="1"/>
      <c r="G75" s="24"/>
      <c r="H75" s="22"/>
    </row>
    <row r="76">
      <c r="A76" s="1" t="s">
        <v>247</v>
      </c>
      <c r="B76" s="20">
        <v>339</v>
      </c>
      <c r="C76" s="20">
        <v>-2123</v>
      </c>
      <c r="D76" s="8">
        <f>Inputs!G135+B76+C76</f>
        <v>-1113</v>
      </c>
      <c r="E76" s="20">
        <v>315</v>
      </c>
      <c r="F76" s="20">
        <v>102</v>
      </c>
      <c r="G76" s="51">
        <v>375</v>
      </c>
      <c r="H76" s="22" t="s">
        <v>248</v>
      </c>
    </row>
    <row r="77">
      <c r="A77" s="7" t="s">
        <v>78</v>
      </c>
      <c r="B77" s="23">
        <f>IF(ISNUMBER(Inputs!B135),IF(OR(Inputs!B135&lt;=0,B76&lt;0),"n.m.",B76/Inputs!B135-1),"n.a.")</f>
        <v>-0.146095717884131</v>
      </c>
      <c r="C77" s="23" t="str">
        <f>IF(ISNUMBER(Inputs!C135),IF(OR(Inputs!C135&lt;=0,C76&lt;0),"n.m.",C76/Inputs!C135-1),"n.a.")</f>
        <v>n.m.</v>
      </c>
      <c r="D77" s="23" t="str">
        <f>IF(ISNUMBER(Inputs!D135),IF(OR(Inputs!D135&lt;=0,D76&lt;0),"n.m.",D76/Inputs!D135-1),"n.a.")</f>
        <v>n.m.</v>
      </c>
      <c r="E77" s="23">
        <f>IF(ISNUMBER(Inputs!E135),IF(OR(Inputs!E135&lt;=0,E76&lt;0),"n.m.",E76/Inputs!E135-1),"n.a.")</f>
        <v>0.09756097560975618</v>
      </c>
      <c r="F77" s="23">
        <f>IF(ISNUMBER(Inputs!F135),IF(OR(Inputs!F135&lt;=0,F76&lt;0),"n.m.",F76/Inputs!F135-1),"n.a.")</f>
        <v>-0.734375</v>
      </c>
      <c r="G77" s="31">
        <f>IF(ISNUMBER(B76),IF(OR(B76&lt;=0,G76&lt;0),"n.m.",G76/B76-1),"n.a.")</f>
        <v>0.10619469026548667</v>
      </c>
      <c r="H77" s="22"/>
    </row>
    <row r="78">
      <c r="A78" s="7" t="s">
        <v>79</v>
      </c>
      <c r="B78" s="23">
        <f>IF(ISNUMBER(Inputs!F135),IF(OR(Inputs!F135&lt;=0,B76&lt;0),"n.m.",B76/Inputs!F135-1),"n.a.")</f>
        <v>-0.1171875</v>
      </c>
      <c r="C78" s="21" t="str">
        <f>IF(ISNUMBER(B76),IF(OR(B76&lt;=0,C76&lt;0),"n.m.",C76/B76-1),"n.a.")</f>
        <v>n.m.</v>
      </c>
      <c r="D78" s="21" t="str">
        <f>"n.a."</f>
        <v>n.a.</v>
      </c>
      <c r="E78" s="21" t="str">
        <f>IF(ISNUMBER(C76),IF(OR(C76&lt;=0,E76&lt;0),"n.m.",E76/C76-1),"n.a.")</f>
        <v>n.m.</v>
      </c>
      <c r="F78" s="21">
        <f>IF(ISNUMBER(E76),IF(OR(E76&lt;=0,F76&lt;0),"n.m.",F76/E76-1),"n.a.")</f>
        <v>-0.6761904761904762</v>
      </c>
      <c r="G78" s="31">
        <f>IF(ISNUMBER(F76),IF(OR(F76&lt;=0,G76&lt;0),"n.m.",G76/F76-1),"n.a.")</f>
        <v>2.676470588235294</v>
      </c>
      <c r="H78" s="22"/>
    </row>
    <row r="79">
      <c r="A79" s="1" t="s">
        <v>80</v>
      </c>
      <c r="B79" s="8">
        <f>IF(ISNUMBER(Inputs!F135),B76-Inputs!F135,"n.a.")</f>
        <v>-45</v>
      </c>
      <c r="C79" s="3">
        <f>IF(ISNUMBER(B76),C76-B76,"n.a.")</f>
        <v>-2462</v>
      </c>
      <c r="D79" s="3" t="str">
        <f>"n.a."</f>
        <v>n.a.</v>
      </c>
      <c r="E79" s="3">
        <f>IF(ISNUMBER(C76),E76-C76,"n.a.")</f>
        <v>2438</v>
      </c>
      <c r="F79" s="3">
        <f>IF(ISNUMBER(E76),F76-E76,"n.a.")</f>
        <v>-213</v>
      </c>
      <c r="G79" s="29">
        <f>IF(ISNUMBER(F76),G76-F76,"n.a.")</f>
        <v>273</v>
      </c>
      <c r="H79" s="22"/>
    </row>
    <row r="80">
      <c r="A80" s="1"/>
      <c r="B80" s="1"/>
      <c r="C80" s="1"/>
      <c r="D80" s="1"/>
      <c r="E80" s="1"/>
      <c r="F80" s="1"/>
      <c r="G80" s="24"/>
      <c r="H80" s="22"/>
    </row>
    <row r="81">
      <c r="A81" s="17" t="s">
        <v>249</v>
      </c>
      <c r="B81" s="1"/>
      <c r="C81" s="1"/>
      <c r="D81" s="1"/>
      <c r="E81" s="1"/>
      <c r="F81" s="1"/>
      <c r="G81" s="24"/>
      <c r="H81" s="22"/>
    </row>
    <row r="82">
      <c r="A82" s="1" t="s">
        <v>250</v>
      </c>
      <c r="B82" s="20">
        <v>4680</v>
      </c>
      <c r="C82" s="20">
        <v>4665</v>
      </c>
      <c r="D82" s="8">
        <f>Inputs!G136+B82+C82</f>
        <v>18906</v>
      </c>
      <c r="E82" s="20">
        <v>5412</v>
      </c>
      <c r="F82" s="20">
        <v>6104</v>
      </c>
      <c r="G82" s="29">
        <f>G83*G67</f>
        <v>5271.119350927772</v>
      </c>
      <c r="H82" s="22" t="s">
        <v>234</v>
      </c>
    </row>
    <row r="83">
      <c r="A83" s="7" t="s">
        <v>251</v>
      </c>
      <c r="B83" s="21">
        <f>B82/B67</f>
        <v>0.3082191780821918</v>
      </c>
      <c r="C83" s="21">
        <f>C82/C67</f>
        <v>0.3467370298795897</v>
      </c>
      <c r="D83" s="21">
        <f>D82/D67</f>
        <v>0.32438275311840503</v>
      </c>
      <c r="E83" s="21">
        <f>E82/E67</f>
        <v>0.31415800777848724</v>
      </c>
      <c r="F83" s="21">
        <f>F82/F67</f>
        <v>0.3001278395122431</v>
      </c>
      <c r="G83" s="27">
        <v>0.307</v>
      </c>
      <c r="H83" s="22"/>
    </row>
    <row r="84">
      <c r="A84" s="7" t="s">
        <v>93</v>
      </c>
      <c r="B84" s="28">
        <f>IF(AND(ISNUMBER(Inputs!B136),ISNUMBER(Inputs!B134)),(B83-Inputs!B136/Inputs!B134)*10000,"n.a.")</f>
        <v>-163.7330951525684</v>
      </c>
      <c r="C84" s="28">
        <f>IF(AND(ISNUMBER(Inputs!C136),ISNUMBER(Inputs!C134)),(C83-Inputs!C136/Inputs!C134)*10000,"n.a.")</f>
        <v>757.0090615040953</v>
      </c>
      <c r="D84" s="28">
        <f>IF(AND(ISNUMBER(Inputs!D136),ISNUMBER(Inputs!D134)),(D83-Inputs!D136/Inputs!D134)*10000,"n.a.")</f>
        <v>121.91095172523758</v>
      </c>
      <c r="E84" s="28">
        <f>IF(AND(ISNUMBER(Inputs!E136),ISNUMBER(Inputs!E134)),(E83-Inputs!E136/Inputs!E134)*10000,"n.a.")</f>
        <v>-95.70580722375877</v>
      </c>
      <c r="F84" s="28">
        <f>IF(AND(ISNUMBER(Inputs!F136),ISNUMBER(Inputs!F134)),(F83-Inputs!F136/Inputs!F134)*10000,"n.a.")</f>
        <v>-211.36646533152225</v>
      </c>
      <c r="G84" s="30">
        <f>(G83-B83)*10000</f>
        <v>-12.191780821917963</v>
      </c>
      <c r="H84" s="22"/>
    </row>
    <row r="85">
      <c r="A85" s="7" t="s">
        <v>204</v>
      </c>
      <c r="B85" s="28">
        <f>IF(AND(ISNUMBER(Inputs!F136),ISNUMBER(Inputs!F134)),(B83-Inputs!F136/Inputs!F134)*10000,"n.a.")</f>
        <v>-130.45307963203524</v>
      </c>
      <c r="C85" s="25">
        <f>(C83-B83)*10000</f>
        <v>385.1785179739792</v>
      </c>
      <c r="D85" s="25" t="str">
        <f>"n.a."</f>
        <v>n.a.</v>
      </c>
      <c r="E85" s="25">
        <f>(E83-C83)*10000</f>
        <v>-325.79022101102476</v>
      </c>
      <c r="F85" s="25">
        <f>(F83-E83)*10000</f>
        <v>-140.30168266244146</v>
      </c>
      <c r="G85" s="30">
        <f>(G83-F83)*10000</f>
        <v>68.72160487756906</v>
      </c>
      <c r="H85" s="22"/>
    </row>
    <row r="86">
      <c r="A86" s="7" t="s">
        <v>78</v>
      </c>
      <c r="B86" s="23">
        <f>IF(ISNUMBER(Inputs!B136),IF(OR(Inputs!B136&lt;=0,B82&lt;0),"n.m.",B82/Inputs!B136-1),"n.a.")</f>
        <v>0.1353711790393013</v>
      </c>
      <c r="C86" s="23">
        <f>IF(ISNUMBER(Inputs!C136),IF(OR(Inputs!C136&lt;=0,C82&lt;0),"n.m.",C82/Inputs!C136-1),"n.a.")</f>
        <v>0.24102154828411804</v>
      </c>
      <c r="D86" s="23">
        <f>IF(ISNUMBER(Inputs!D136),IF(OR(Inputs!D136&lt;=0,D82&lt;0),"n.m.",D82/Inputs!D136-1),"n.a.")</f>
        <v>0.1316892134562433</v>
      </c>
      <c r="E86" s="23">
        <f>IF(ISNUMBER(Inputs!E136),IF(OR(Inputs!E136&lt;=0,E82&lt;0),"n.m.",E82/Inputs!E136-1),"n.a.")</f>
        <v>0.10992616899097629</v>
      </c>
      <c r="F86" s="23">
        <f>IF(ISNUMBER(Inputs!F136),IF(OR(Inputs!F136&lt;=0,F82&lt;0),"n.m.",F82/Inputs!F136-1),"n.a.")</f>
        <v>0.30288153681963714</v>
      </c>
      <c r="G86" s="31">
        <f>IF(ISNUMBER(B82),IF(OR(B82&lt;=0,G82&lt;0),"n.m.",G82/B82-1),"n.a.")</f>
        <v>0.12630755361704527</v>
      </c>
      <c r="H86" s="22"/>
    </row>
    <row r="87">
      <c r="A87" s="7" t="s">
        <v>79</v>
      </c>
      <c r="B87" s="23">
        <f>IF(ISNUMBER(Inputs!F136),IF(OR(Inputs!F136&lt;=0,B82&lt;0),"n.m.",B82/Inputs!F136-1),"n.a.")</f>
        <v>-0.0010672358591248265</v>
      </c>
      <c r="C87" s="21">
        <f>IF(ISNUMBER(B82),IF(OR(B82&lt;=0,C82&lt;0),"n.m.",C82/B82-1),"n.a.")</f>
        <v>-0.0032051282051281937</v>
      </c>
      <c r="D87" s="21" t="str">
        <f>"n.a."</f>
        <v>n.a.</v>
      </c>
      <c r="E87" s="21">
        <f>IF(ISNUMBER(C82),IF(OR(C82&lt;=0,E82&lt;0),"n.m.",E82/C82-1),"n.a.")</f>
        <v>0.16012861736334405</v>
      </c>
      <c r="F87" s="21">
        <f>IF(ISNUMBER(E82),IF(OR(E82&lt;=0,F82&lt;0),"n.m.",F82/E82-1),"n.a.")</f>
        <v>0.12786400591278646</v>
      </c>
      <c r="G87" s="31">
        <f>IF(ISNUMBER(F82),IF(OR(F82&lt;=0,G82&lt;0),"n.m.",G82/F82-1),"n.a.")</f>
        <v>-0.1364483370039692</v>
      </c>
      <c r="H87" s="22"/>
    </row>
    <row r="88">
      <c r="A88" s="1" t="s">
        <v>80</v>
      </c>
      <c r="B88" s="8">
        <f>IF(ISNUMBER(Inputs!F136),B82-Inputs!F136,"n.a.")</f>
        <v>-5</v>
      </c>
      <c r="C88" s="3">
        <f>IF(ISNUMBER(B82),C82-B82,"n.a.")</f>
        <v>-15</v>
      </c>
      <c r="D88" s="3" t="str">
        <f>"n.a."</f>
        <v>n.a.</v>
      </c>
      <c r="E88" s="3">
        <f>IF(ISNUMBER(C82),E82-C82,"n.a.")</f>
        <v>747</v>
      </c>
      <c r="F88" s="3">
        <f>IF(ISNUMBER(E82),F82-E82,"n.a.")</f>
        <v>692</v>
      </c>
      <c r="G88" s="29">
        <f>IF(ISNUMBER(F82),G82-F82,"n.a.")</f>
        <v>-832.8806490722282</v>
      </c>
      <c r="H88" s="22"/>
    </row>
    <row r="89">
      <c r="A89" s="1" t="s">
        <v>252</v>
      </c>
      <c r="B89" s="20">
        <v>1968</v>
      </c>
      <c r="C89" s="20">
        <v>2224</v>
      </c>
      <c r="D89" s="8">
        <f>Inputs!G137+B89+C89</f>
        <v>7997</v>
      </c>
      <c r="E89" s="20">
        <v>2515</v>
      </c>
      <c r="F89" s="20">
        <v>3052</v>
      </c>
      <c r="G89" s="51">
        <v>3000</v>
      </c>
      <c r="H89" s="22" t="s">
        <v>234</v>
      </c>
    </row>
    <row r="90">
      <c r="A90" s="7" t="s">
        <v>78</v>
      </c>
      <c r="B90" s="23">
        <f>IF(ISNUMBER(Inputs!B137),IF(OR(Inputs!B137&lt;=0,B89&lt;0),"n.m.",B89/Inputs!B137-1),"n.a.")</f>
        <v>0.15696649029982357</v>
      </c>
      <c r="C90" s="23">
        <f>IF(ISNUMBER(Inputs!C137),IF(OR(Inputs!C137&lt;=0,C89&lt;0),"n.m.",C89/Inputs!C137-1),"n.a.")</f>
        <v>0.18803418803418803</v>
      </c>
      <c r="D90" s="23">
        <f>IF(ISNUMBER(Inputs!D137),IF(OR(Inputs!D137&lt;=0,D89&lt;0),"n.m.",D89/Inputs!D137-1),"n.a.")</f>
        <v>0.1893218322427126</v>
      </c>
      <c r="E90" s="23">
        <f>IF(ISNUMBER(Inputs!E137),IF(OR(Inputs!E137&lt;=0,E89&lt;0),"n.m.",E89/Inputs!E137-1),"n.a.")</f>
        <v>0.35945945945945956</v>
      </c>
      <c r="F90" s="23">
        <f>IF(ISNUMBER(Inputs!F137),IF(OR(Inputs!F137&lt;=0,F89&lt;0),"n.m.",F89/Inputs!F137-1),"n.a.")</f>
        <v>0.5611253196930945</v>
      </c>
      <c r="G90" s="31">
        <f>IF(ISNUMBER(B89),IF(OR(B89&lt;=0,G89&lt;0),"n.m.",G89/B89-1),"n.a.")</f>
        <v>0.524390243902439</v>
      </c>
      <c r="H90" s="22"/>
    </row>
    <row r="91">
      <c r="A91" s="7" t="s">
        <v>79</v>
      </c>
      <c r="B91" s="23">
        <f>IF(ISNUMBER(Inputs!F137),IF(OR(Inputs!F137&lt;=0,B89&lt;0),"n.m.",B89/Inputs!F137-1),"n.a.")</f>
        <v>0.006649616368286537</v>
      </c>
      <c r="C91" s="21">
        <f>IF(ISNUMBER(B89),IF(OR(B89&lt;=0,C89&lt;0),"n.m.",C89/B89-1),"n.a.")</f>
        <v>0.13008130081300817</v>
      </c>
      <c r="D91" s="21" t="str">
        <f>"n.a."</f>
        <v>n.a.</v>
      </c>
      <c r="E91" s="21">
        <f>IF(ISNUMBER(C89),IF(OR(C89&lt;=0,E89&lt;0),"n.m.",E89/C89-1),"n.a.")</f>
        <v>0.1308453237410072</v>
      </c>
      <c r="F91" s="21">
        <f>IF(ISNUMBER(E89),IF(OR(E89&lt;=0,F89&lt;0),"n.m.",F89/E89-1),"n.a.")</f>
        <v>0.21351888667992047</v>
      </c>
      <c r="G91" s="31">
        <f>IF(ISNUMBER(F89),IF(OR(F89&lt;=0,G89&lt;0),"n.m.",G89/F89-1),"n.a.")</f>
        <v>-0.017038007863695914</v>
      </c>
      <c r="H91" s="22"/>
    </row>
    <row r="92">
      <c r="A92" s="1" t="s">
        <v>80</v>
      </c>
      <c r="B92" s="8">
        <f>IF(ISNUMBER(Inputs!F137),B89-Inputs!F137,"n.a.")</f>
        <v>13</v>
      </c>
      <c r="C92" s="3">
        <f>IF(ISNUMBER(B89),C89-B89,"n.a.")</f>
        <v>256</v>
      </c>
      <c r="D92" s="3" t="str">
        <f>"n.a."</f>
        <v>n.a.</v>
      </c>
      <c r="E92" s="3">
        <f>IF(ISNUMBER(C89),E89-C89,"n.a.")</f>
        <v>291</v>
      </c>
      <c r="F92" s="3">
        <f>IF(ISNUMBER(E89),F89-E89,"n.a.")</f>
        <v>537</v>
      </c>
      <c r="G92" s="29">
        <f>IF(ISNUMBER(F89),G89-F89,"n.a.")</f>
        <v>-52</v>
      </c>
      <c r="H92" s="22"/>
    </row>
    <row r="93">
      <c r="A93" s="1" t="s">
        <v>253</v>
      </c>
      <c r="B93" s="20">
        <v>171</v>
      </c>
      <c r="C93" s="20">
        <v>216</v>
      </c>
      <c r="D93" s="8">
        <f>Inputs!G138+B93+C93</f>
        <v>710</v>
      </c>
      <c r="E93" s="20">
        <v>186</v>
      </c>
      <c r="F93" s="20">
        <v>198</v>
      </c>
      <c r="G93" s="51">
        <v>205</v>
      </c>
      <c r="H93" s="22" t="s">
        <v>234</v>
      </c>
    </row>
    <row r="94">
      <c r="A94" s="7" t="s">
        <v>78</v>
      </c>
      <c r="B94" s="23">
        <f>IF(ISNUMBER(Inputs!B138),IF(OR(Inputs!B138&lt;=0,B93&lt;0),"n.m.",B93/Inputs!B138-1),"n.a.")</f>
        <v>0.07547169811320753</v>
      </c>
      <c r="C94" s="23">
        <f>IF(ISNUMBER(Inputs!C138),IF(OR(Inputs!C138&lt;=0,C93&lt;0),"n.m.",C93/Inputs!C138-1),"n.a.")</f>
        <v>0.19337016574585641</v>
      </c>
      <c r="D94" s="23">
        <f>IF(ISNUMBER(Inputs!D138),IF(OR(Inputs!D138&lt;=0,D93&lt;0),"n.m.",D93/Inputs!D138-1),"n.a.")</f>
        <v>0.09907120743034059</v>
      </c>
      <c r="E94" s="23">
        <f>IF(ISNUMBER(Inputs!E138),IF(OR(Inputs!E138&lt;=0,E93&lt;0),"n.m.",E93/Inputs!E138-1),"n.a.")</f>
        <v>0.1923076923076923</v>
      </c>
      <c r="F94" s="23">
        <f>IF(ISNUMBER(Inputs!F138),IF(OR(Inputs!F138&lt;=0,F93&lt;0),"n.m.",F93/Inputs!F138-1),"n.a.")</f>
        <v>0.18562874251497008</v>
      </c>
      <c r="G94" s="31">
        <f>IF(ISNUMBER(B93),IF(OR(B93&lt;=0,G93&lt;0),"n.m.",G93/B93-1),"n.a.")</f>
        <v>0.19883040935672525</v>
      </c>
      <c r="H94" s="22"/>
    </row>
    <row r="95">
      <c r="A95" s="7" t="s">
        <v>79</v>
      </c>
      <c r="B95" s="23">
        <f>IF(ISNUMBER(Inputs!F138),IF(OR(Inputs!F138&lt;=0,B93&lt;0),"n.m.",B93/Inputs!F138-1),"n.a.")</f>
        <v>0.0239520958083832</v>
      </c>
      <c r="C95" s="21">
        <f>IF(ISNUMBER(B93),IF(OR(B93&lt;=0,C93&lt;0),"n.m.",C93/B93-1),"n.a.")</f>
        <v>0.26315789473684204</v>
      </c>
      <c r="D95" s="21" t="str">
        <f>"n.a."</f>
        <v>n.a.</v>
      </c>
      <c r="E95" s="21">
        <f>IF(ISNUMBER(C93),IF(OR(C93&lt;=0,E93&lt;0),"n.m.",E93/C93-1),"n.a.")</f>
        <v>-0.13888888888888884</v>
      </c>
      <c r="F95" s="21">
        <f>IF(ISNUMBER(E93),IF(OR(E93&lt;=0,F93&lt;0),"n.m.",F93/E93-1),"n.a.")</f>
        <v>0.06451612903225801</v>
      </c>
      <c r="G95" s="31">
        <f>IF(ISNUMBER(F93),IF(OR(F93&lt;=0,G93&lt;0),"n.m.",G93/F93-1),"n.a.")</f>
        <v>0.03535353535353525</v>
      </c>
      <c r="H95" s="22"/>
    </row>
    <row r="96">
      <c r="A96" s="1" t="s">
        <v>80</v>
      </c>
      <c r="B96" s="8">
        <f>IF(ISNUMBER(Inputs!F138),B93-Inputs!F138,"n.a.")</f>
        <v>4</v>
      </c>
      <c r="C96" s="3">
        <f>IF(ISNUMBER(B93),C93-B93,"n.a.")</f>
        <v>45</v>
      </c>
      <c r="D96" s="3" t="str">
        <f>"n.a."</f>
        <v>n.a.</v>
      </c>
      <c r="E96" s="3">
        <f>IF(ISNUMBER(C93),E93-C93,"n.a.")</f>
        <v>-30</v>
      </c>
      <c r="F96" s="3">
        <f>IF(ISNUMBER(E93),F93-E93,"n.a.")</f>
        <v>12</v>
      </c>
      <c r="G96" s="29">
        <f>IF(ISNUMBER(F93),G93-F93,"n.a.")</f>
        <v>7</v>
      </c>
      <c r="H96" s="22"/>
    </row>
    <row r="97">
      <c r="A97" s="1" t="s">
        <v>254</v>
      </c>
      <c r="B97" s="20">
        <v>545</v>
      </c>
      <c r="C97" s="20">
        <v>589</v>
      </c>
      <c r="D97" s="8">
        <f>Inputs!G139+B97+C97</f>
        <v>2170</v>
      </c>
      <c r="E97" s="20">
        <v>583</v>
      </c>
      <c r="F97" s="20">
        <v>635</v>
      </c>
      <c r="G97" s="51">
        <v>690</v>
      </c>
      <c r="H97" s="22" t="s">
        <v>234</v>
      </c>
    </row>
    <row r="98">
      <c r="A98" s="7" t="s">
        <v>78</v>
      </c>
      <c r="B98" s="23">
        <f>IF(ISNUMBER(Inputs!B139),IF(OR(Inputs!B139&lt;=0,B97&lt;0),"n.m.",B97/Inputs!B139-1),"n.a.")</f>
        <v>0.0943775100401607</v>
      </c>
      <c r="C98" s="23">
        <f>IF(ISNUMBER(Inputs!C139),IF(OR(Inputs!C139&lt;=0,C97&lt;0),"n.m.",C97/Inputs!C139-1),"n.a.")</f>
        <v>0.12619502868068833</v>
      </c>
      <c r="D98" s="23">
        <f>IF(ISNUMBER(Inputs!D139),IF(OR(Inputs!D139&lt;=0,D97&lt;0),"n.m.",D97/Inputs!D139-1),"n.a.")</f>
        <v>0.08990457056755408</v>
      </c>
      <c r="E98" s="23">
        <f>IF(ISNUMBER(Inputs!E139),IF(OR(Inputs!E139&lt;=0,E97&lt;0),"n.m.",E97/Inputs!E139-1),"n.a.")</f>
        <v>0.15217391304347827</v>
      </c>
      <c r="F98" s="23">
        <f>IF(ISNUMBER(Inputs!F139),IF(OR(Inputs!F139&lt;=0,F97&lt;0),"n.m.",F97/Inputs!F139-1),"n.a.")</f>
        <v>0.19811320754716988</v>
      </c>
      <c r="G98" s="31">
        <f>IF(ISNUMBER(B97),IF(OR(B97&lt;=0,G97&lt;0),"n.m.",G97/B97-1),"n.a.")</f>
        <v>0.2660550458715596</v>
      </c>
      <c r="H98" s="22"/>
    </row>
    <row r="99">
      <c r="A99" s="7" t="s">
        <v>79</v>
      </c>
      <c r="B99" s="23">
        <f>IF(ISNUMBER(Inputs!F139),IF(OR(Inputs!F139&lt;=0,B97&lt;0),"n.m.",B97/Inputs!F139-1),"n.a.")</f>
        <v>0.028301886792452935</v>
      </c>
      <c r="C99" s="21">
        <f>IF(ISNUMBER(B97),IF(OR(B97&lt;=0,C97&lt;0),"n.m.",C97/B97-1),"n.a.")</f>
        <v>0.08073394495412844</v>
      </c>
      <c r="D99" s="21" t="str">
        <f>"n.a."</f>
        <v>n.a.</v>
      </c>
      <c r="E99" s="21">
        <f>IF(ISNUMBER(C97),IF(OR(C97&lt;=0,E97&lt;0),"n.m.",E97/C97-1),"n.a.")</f>
        <v>-0.01018675721561968</v>
      </c>
      <c r="F99" s="21">
        <f>IF(ISNUMBER(E97),IF(OR(E97&lt;=0,F97&lt;0),"n.m.",F97/E97-1),"n.a.")</f>
        <v>0.08919382504288165</v>
      </c>
      <c r="G99" s="31">
        <f>IF(ISNUMBER(F97),IF(OR(F97&lt;=0,G97&lt;0),"n.m.",G97/F97-1),"n.a.")</f>
        <v>0.08661417322834652</v>
      </c>
      <c r="H99" s="22"/>
    </row>
    <row r="100">
      <c r="A100" s="1" t="s">
        <v>80</v>
      </c>
      <c r="B100" s="8">
        <f>IF(ISNUMBER(Inputs!F139),B97-Inputs!F139,"n.a.")</f>
        <v>15</v>
      </c>
      <c r="C100" s="3">
        <f>IF(ISNUMBER(B97),C97-B97,"n.a.")</f>
        <v>44</v>
      </c>
      <c r="D100" s="3" t="str">
        <f>"n.a."</f>
        <v>n.a.</v>
      </c>
      <c r="E100" s="3">
        <f>IF(ISNUMBER(C97),E97-C97,"n.a.")</f>
        <v>-6</v>
      </c>
      <c r="F100" s="3">
        <f>IF(ISNUMBER(E97),F97-E97,"n.a.")</f>
        <v>52</v>
      </c>
      <c r="G100" s="29">
        <f>IF(ISNUMBER(F97),G97-F97,"n.a.")</f>
        <v>55</v>
      </c>
      <c r="H100" s="22"/>
    </row>
    <row r="101">
      <c r="A101" s="1" t="s">
        <v>255</v>
      </c>
      <c r="B101" s="20">
        <v>531</v>
      </c>
      <c r="C101" s="20">
        <v>527</v>
      </c>
      <c r="D101" s="8">
        <f>Inputs!G140+B101+C101</f>
        <v>2182</v>
      </c>
      <c r="E101" s="20">
        <v>495</v>
      </c>
      <c r="F101" s="20">
        <v>509</v>
      </c>
      <c r="G101" s="51">
        <v>515</v>
      </c>
      <c r="H101" s="22" t="s">
        <v>234</v>
      </c>
    </row>
    <row r="102">
      <c r="A102" s="7" t="s">
        <v>78</v>
      </c>
      <c r="B102" s="23">
        <f>IF(ISNUMBER(Inputs!B140),IF(OR(Inputs!B140&lt;=0,B101&lt;0),"n.m.",B101/Inputs!B140-1),"n.a.")</f>
        <v>-0.14492753623188404</v>
      </c>
      <c r="C102" s="23">
        <f>IF(ISNUMBER(Inputs!C140),IF(OR(Inputs!C140&lt;=0,C101&lt;0),"n.m.",C101/Inputs!C140-1),"n.a.")</f>
        <v>0.05823293172690769</v>
      </c>
      <c r="D102" s="23">
        <f>IF(ISNUMBER(Inputs!D140),IF(OR(Inputs!D140&lt;=0,D101&lt;0),"n.m.",D101/Inputs!D140-1),"n.a.")</f>
        <v>-0.08779264214046822</v>
      </c>
      <c r="E102" s="23">
        <f>IF(ISNUMBER(Inputs!E140),IF(OR(Inputs!E140&lt;=0,E101&lt;0),"n.m.",E101/Inputs!E140-1),"n.a.")</f>
        <v>-0.021739130434782594</v>
      </c>
      <c r="F102" s="23">
        <f>IF(ISNUMBER(Inputs!F140),IF(OR(Inputs!F140&lt;=0,F101&lt;0),"n.m.",F101/Inputs!F140-1),"n.a.")</f>
        <v>-0.1763754045307443</v>
      </c>
      <c r="G102" s="31">
        <f>IF(ISNUMBER(B101),IF(OR(B101&lt;=0,G101&lt;0),"n.m.",G101/B101-1),"n.a.")</f>
        <v>-0.030131826741996215</v>
      </c>
      <c r="H102" s="22"/>
    </row>
    <row r="103">
      <c r="A103" s="7" t="s">
        <v>79</v>
      </c>
      <c r="B103" s="23">
        <f>IF(ISNUMBER(Inputs!F140),IF(OR(Inputs!F140&lt;=0,B101&lt;0),"n.m.",B101/Inputs!F140-1),"n.a.")</f>
        <v>-0.14077669902912626</v>
      </c>
      <c r="C103" s="21">
        <f>IF(ISNUMBER(B101),IF(OR(B101&lt;=0,C101&lt;0),"n.m.",C101/B101-1),"n.a.")</f>
        <v>-0.007532956685499026</v>
      </c>
      <c r="D103" s="21" t="str">
        <f>"n.a."</f>
        <v>n.a.</v>
      </c>
      <c r="E103" s="21">
        <f>IF(ISNUMBER(C101),IF(OR(C101&lt;=0,E101&lt;0),"n.m.",E101/C101-1),"n.a.")</f>
        <v>-0.06072106261859578</v>
      </c>
      <c r="F103" s="21">
        <f>IF(ISNUMBER(E101),IF(OR(E101&lt;=0,F101&lt;0),"n.m.",F101/E101-1),"n.a.")</f>
        <v>0.028282828282828243</v>
      </c>
      <c r="G103" s="31">
        <f>IF(ISNUMBER(F101),IF(OR(F101&lt;=0,G101&lt;0),"n.m.",G101/F101-1),"n.a.")</f>
        <v>0.011787819253438192</v>
      </c>
      <c r="H103" s="22"/>
    </row>
    <row r="104">
      <c r="A104" s="1" t="s">
        <v>80</v>
      </c>
      <c r="B104" s="8">
        <f>IF(ISNUMBER(Inputs!F140),B101-Inputs!F140,"n.a.")</f>
        <v>-87</v>
      </c>
      <c r="C104" s="3">
        <f>IF(ISNUMBER(B101),C101-B101,"n.a.")</f>
        <v>-4</v>
      </c>
      <c r="D104" s="3" t="str">
        <f>"n.a."</f>
        <v>n.a.</v>
      </c>
      <c r="E104" s="3">
        <f>IF(ISNUMBER(C101),E101-C101,"n.a.")</f>
        <v>-32</v>
      </c>
      <c r="F104" s="3">
        <f>IF(ISNUMBER(E101),F101-E101,"n.a.")</f>
        <v>14</v>
      </c>
      <c r="G104" s="29">
        <f>IF(ISNUMBER(F101),G101-F101,"n.a.")</f>
        <v>6</v>
      </c>
      <c r="H104" s="22"/>
    </row>
    <row r="105">
      <c r="A105" s="1" t="s">
        <v>256</v>
      </c>
      <c r="B105" s="20">
        <v>242</v>
      </c>
      <c r="C105" s="20">
        <v>249</v>
      </c>
      <c r="D105" s="8">
        <f>Inputs!G141+B105+C105</f>
        <v>958</v>
      </c>
      <c r="E105" s="20">
        <v>254</v>
      </c>
      <c r="F105" s="20">
        <v>244</v>
      </c>
      <c r="G105" s="51">
        <v>250</v>
      </c>
      <c r="H105" s="22" t="s">
        <v>234</v>
      </c>
    </row>
    <row r="106">
      <c r="A106" s="7" t="s">
        <v>78</v>
      </c>
      <c r="B106" s="23">
        <f>IF(ISNUMBER(Inputs!B141),IF(OR(Inputs!B141&lt;=0,B105&lt;0),"n.m.",B105/Inputs!B141-1),"n.a.")</f>
        <v>0</v>
      </c>
      <c r="C106" s="23">
        <f>IF(ISNUMBER(Inputs!C141),IF(OR(Inputs!C141&lt;=0,C105&lt;0),"n.m.",C105/Inputs!C141-1),"n.a.")</f>
        <v>0.03750000000000009</v>
      </c>
      <c r="D106" s="23">
        <f>IF(ISNUMBER(Inputs!D141),IF(OR(Inputs!D141&lt;=0,D105&lt;0),"n.m.",D105/Inputs!D141-1),"n.a.")</f>
        <v>-0.01541623843782114</v>
      </c>
      <c r="E106" s="23">
        <f>IF(ISNUMBER(Inputs!E141),IF(OR(Inputs!E141&lt;=0,E105&lt;0),"n.m.",E105/Inputs!E141-1),"n.a.")</f>
        <v>0.09012875536480691</v>
      </c>
      <c r="F106" s="23">
        <f>IF(ISNUMBER(Inputs!F141),IF(OR(Inputs!F141&lt;=0,F105&lt;0),"n.m.",F105/Inputs!F141-1),"n.a.")</f>
        <v>0.042735042735042805</v>
      </c>
      <c r="G106" s="31">
        <f>IF(ISNUMBER(B105),IF(OR(B105&lt;=0,G105&lt;0),"n.m.",G105/B105-1),"n.a.")</f>
        <v>0.03305785123966931</v>
      </c>
      <c r="H106" s="22"/>
    </row>
    <row r="107">
      <c r="A107" s="7" t="s">
        <v>79</v>
      </c>
      <c r="B107" s="23">
        <f>IF(ISNUMBER(Inputs!F141),IF(OR(Inputs!F141&lt;=0,B105&lt;0),"n.m.",B105/Inputs!F141-1),"n.a.")</f>
        <v>0.03418803418803429</v>
      </c>
      <c r="C107" s="21">
        <f>IF(ISNUMBER(B105),IF(OR(B105&lt;=0,C105&lt;0),"n.m.",C105/B105-1),"n.a.")</f>
        <v>0.02892561983471076</v>
      </c>
      <c r="D107" s="21" t="str">
        <f>"n.a."</f>
        <v>n.a.</v>
      </c>
      <c r="E107" s="21">
        <f>IF(ISNUMBER(C105),IF(OR(C105&lt;=0,E105&lt;0),"n.m.",E105/C105-1),"n.a.")</f>
        <v>0.02008032128514059</v>
      </c>
      <c r="F107" s="21">
        <f>IF(ISNUMBER(E105),IF(OR(E105&lt;=0,F105&lt;0),"n.m.",F105/E105-1),"n.a.")</f>
        <v>-0.03937007874015752</v>
      </c>
      <c r="G107" s="31">
        <f>IF(ISNUMBER(F105),IF(OR(F105&lt;=0,G105&lt;0),"n.m.",G105/F105-1),"n.a.")</f>
        <v>0.024590163934426146</v>
      </c>
      <c r="H107" s="22"/>
    </row>
    <row r="108">
      <c r="A108" s="1" t="s">
        <v>80</v>
      </c>
      <c r="B108" s="8">
        <f>IF(ISNUMBER(Inputs!F141),B105-Inputs!F141,"n.a.")</f>
        <v>8</v>
      </c>
      <c r="C108" s="3">
        <f>IF(ISNUMBER(B105),C105-B105,"n.a.")</f>
        <v>7</v>
      </c>
      <c r="D108" s="3" t="str">
        <f>"n.a."</f>
        <v>n.a.</v>
      </c>
      <c r="E108" s="3">
        <f>IF(ISNUMBER(C105),E105-C105,"n.a.")</f>
        <v>5</v>
      </c>
      <c r="F108" s="3">
        <f>IF(ISNUMBER(E105),F105-E105,"n.a.")</f>
        <v>-10</v>
      </c>
      <c r="G108" s="29">
        <f>IF(ISNUMBER(F105),G105-F105,"n.a.")</f>
        <v>6</v>
      </c>
      <c r="H108" s="22"/>
    </row>
    <row r="109">
      <c r="A109" s="1" t="s">
        <v>257</v>
      </c>
      <c r="B109" s="20">
        <v>432</v>
      </c>
      <c r="C109" s="20">
        <v>474</v>
      </c>
      <c r="D109" s="8">
        <f>Inputs!G142+B109+C109</f>
        <v>1770</v>
      </c>
      <c r="E109" s="20">
        <v>379</v>
      </c>
      <c r="F109" s="20">
        <v>372</v>
      </c>
      <c r="G109" s="51">
        <v>405</v>
      </c>
      <c r="H109" s="22" t="s">
        <v>234</v>
      </c>
    </row>
    <row r="110">
      <c r="A110" s="7" t="s">
        <v>78</v>
      </c>
      <c r="B110" s="23">
        <f>IF(ISNUMBER(Inputs!B142),IF(OR(Inputs!B142&lt;=0,B109&lt;0),"n.m.",B109/Inputs!B142-1),"n.a.")</f>
        <v>0.08000000000000007</v>
      </c>
      <c r="C110" s="23">
        <f>IF(ISNUMBER(Inputs!C142),IF(OR(Inputs!C142&lt;=0,C109&lt;0),"n.m.",C109/Inputs!C142-1),"n.a.")</f>
        <v>-0.002105263157894721</v>
      </c>
      <c r="D110" s="23">
        <f>IF(ISNUMBER(Inputs!D142),IF(OR(Inputs!D142&lt;=0,D109&lt;0),"n.m.",D109/Inputs!D142-1),"n.a.")</f>
        <v>0.0714285714285714</v>
      </c>
      <c r="E110" s="23">
        <f>IF(ISNUMBER(Inputs!E142),IF(OR(Inputs!E142&lt;=0,E109&lt;0),"n.m.",E109/Inputs!E142-1),"n.a.")</f>
        <v>-0.10613207547169812</v>
      </c>
      <c r="F110" s="23">
        <f>IF(ISNUMBER(Inputs!F142),IF(OR(Inputs!F142&lt;=0,F109&lt;0),"n.m.",F109/Inputs!F142-1),"n.a.")</f>
        <v>-0.15454545454545454</v>
      </c>
      <c r="G110" s="31">
        <f>IF(ISNUMBER(B109),IF(OR(B109&lt;=0,G109&lt;0),"n.m.",G109/B109-1),"n.a.")</f>
        <v>-0.0625</v>
      </c>
      <c r="H110" s="22"/>
    </row>
    <row r="111">
      <c r="A111" s="7" t="s">
        <v>79</v>
      </c>
      <c r="B111" s="23">
        <f>IF(ISNUMBER(Inputs!F142),IF(OR(Inputs!F142&lt;=0,B109&lt;0),"n.m.",B109/Inputs!F142-1),"n.a.")</f>
        <v>-0.018181818181818188</v>
      </c>
      <c r="C111" s="21">
        <f>IF(ISNUMBER(B109),IF(OR(B109&lt;=0,C109&lt;0),"n.m.",C109/B109-1),"n.a.")</f>
        <v>0.09722222222222232</v>
      </c>
      <c r="D111" s="21" t="str">
        <f>"n.a."</f>
        <v>n.a.</v>
      </c>
      <c r="E111" s="21">
        <f>IF(ISNUMBER(C109),IF(OR(C109&lt;=0,E109&lt;0),"n.m.",E109/C109-1),"n.a.")</f>
        <v>-0.20042194092827004</v>
      </c>
      <c r="F111" s="21">
        <f>IF(ISNUMBER(E109),IF(OR(E109&lt;=0,F109&lt;0),"n.m.",F109/E109-1),"n.a.")</f>
        <v>-0.01846965699208447</v>
      </c>
      <c r="G111" s="31">
        <f>IF(ISNUMBER(F109),IF(OR(F109&lt;=0,G109&lt;0),"n.m.",G109/F109-1),"n.a.")</f>
        <v>0.08870967741935476</v>
      </c>
      <c r="H111" s="22"/>
    </row>
    <row r="112">
      <c r="A112" s="1" t="s">
        <v>80</v>
      </c>
      <c r="B112" s="8">
        <f>IF(ISNUMBER(Inputs!F142),B109-Inputs!F142,"n.a.")</f>
        <v>-8</v>
      </c>
      <c r="C112" s="3">
        <f>IF(ISNUMBER(B109),C109-B109,"n.a.")</f>
        <v>42</v>
      </c>
      <c r="D112" s="3" t="str">
        <f>"n.a."</f>
        <v>n.a.</v>
      </c>
      <c r="E112" s="3">
        <f>IF(ISNUMBER(C109),E109-C109,"n.a.")</f>
        <v>-95</v>
      </c>
      <c r="F112" s="3">
        <f>IF(ISNUMBER(E109),F109-E109,"n.a.")</f>
        <v>-7</v>
      </c>
      <c r="G112" s="29">
        <f>IF(ISNUMBER(F109),G109-F109,"n.a.")</f>
        <v>33</v>
      </c>
      <c r="H112" s="22"/>
    </row>
    <row r="113">
      <c r="A113" s="1" t="s">
        <v>258</v>
      </c>
      <c r="B113" s="20">
        <v>884</v>
      </c>
      <c r="C113" s="20">
        <v>778</v>
      </c>
      <c r="D113" s="8">
        <f>Inputs!G143+B113+C113</f>
        <v>2851</v>
      </c>
      <c r="E113" s="20">
        <v>602</v>
      </c>
      <c r="F113" s="20">
        <v>559</v>
      </c>
      <c r="G113" s="51">
        <v>1079</v>
      </c>
      <c r="H113" s="22" t="s">
        <v>234</v>
      </c>
    </row>
    <row r="114">
      <c r="A114" s="7" t="s">
        <v>78</v>
      </c>
      <c r="B114" s="23">
        <f>IF(ISNUMBER(Inputs!B143),IF(OR(Inputs!B143&lt;=0,B113&lt;0),"n.m.",B113/Inputs!B143-1),"n.a.")</f>
        <v>0.5454545454545454</v>
      </c>
      <c r="C114" s="23">
        <f>IF(ISNUMBER(Inputs!C143),IF(OR(Inputs!C143&lt;=0,C113&lt;0),"n.m.",C113/Inputs!C143-1),"n.a.")</f>
        <v>0.09116409537166903</v>
      </c>
      <c r="D114" s="23">
        <f>IF(ISNUMBER(Inputs!D143),IF(OR(Inputs!D143&lt;=0,D113&lt;0),"n.m.",D113/Inputs!D143-1),"n.a.")</f>
        <v>0.062616474096161</v>
      </c>
      <c r="E114" s="23">
        <f>IF(ISNUMBER(Inputs!E143),IF(OR(Inputs!E143&lt;=0,E113&lt;0),"n.m.",E113/Inputs!E143-1),"n.a.")</f>
        <v>0.0433275563258233</v>
      </c>
      <c r="F114" s="23">
        <f>IF(ISNUMBER(Inputs!F143),IF(OR(Inputs!F143&lt;=0,F113&lt;0),"n.m.",F113/Inputs!F143-1),"n.a.")</f>
        <v>-0.08660130718954251</v>
      </c>
      <c r="G114" s="31">
        <f>IF(ISNUMBER(B113),IF(OR(B113&lt;=0,G113&lt;0),"n.m.",G113/B113-1),"n.a.")</f>
        <v>0.22058823529411775</v>
      </c>
      <c r="H114" s="22"/>
    </row>
    <row r="115">
      <c r="A115" s="7" t="s">
        <v>79</v>
      </c>
      <c r="B115" s="23">
        <f>IF(ISNUMBER(Inputs!F143),IF(OR(Inputs!F143&lt;=0,B113&lt;0),"n.m.",B113/Inputs!F143-1),"n.a.")</f>
        <v>0.4444444444444444</v>
      </c>
      <c r="C115" s="21">
        <f>IF(ISNUMBER(B113),IF(OR(B113&lt;=0,C113&lt;0),"n.m.",C113/B113-1),"n.a.")</f>
        <v>-0.11990950226244346</v>
      </c>
      <c r="D115" s="21" t="str">
        <f>"n.a."</f>
        <v>n.a.</v>
      </c>
      <c r="E115" s="21">
        <f>IF(ISNUMBER(C113),IF(OR(C113&lt;=0,E113&lt;0),"n.m.",E113/C113-1),"n.a.")</f>
        <v>-0.22622107969151672</v>
      </c>
      <c r="F115" s="21">
        <f>IF(ISNUMBER(E113),IF(OR(E113&lt;=0,F113&lt;0),"n.m.",F113/E113-1),"n.a.")</f>
        <v>-0.0714285714285714</v>
      </c>
      <c r="G115" s="31">
        <f>IF(ISNUMBER(F113),IF(OR(F113&lt;=0,G113&lt;0),"n.m.",G113/F113-1),"n.a.")</f>
        <v>0.930232558139535</v>
      </c>
      <c r="H115" s="22"/>
    </row>
    <row r="116">
      <c r="A116" s="1" t="s">
        <v>80</v>
      </c>
      <c r="B116" s="8">
        <f>IF(ISNUMBER(Inputs!F143),B113-Inputs!F143,"n.a.")</f>
        <v>272</v>
      </c>
      <c r="C116" s="3">
        <f>IF(ISNUMBER(B113),C113-B113,"n.a.")</f>
        <v>-106</v>
      </c>
      <c r="D116" s="3" t="str">
        <f>"n.a."</f>
        <v>n.a.</v>
      </c>
      <c r="E116" s="3">
        <f>IF(ISNUMBER(C113),E113-C113,"n.a.")</f>
        <v>-176</v>
      </c>
      <c r="F116" s="3">
        <f>IF(ISNUMBER(E113),F113-E113,"n.a.")</f>
        <v>-43</v>
      </c>
      <c r="G116" s="29">
        <f>IF(ISNUMBER(F113),G113-F113,"n.a.")</f>
        <v>520</v>
      </c>
      <c r="H116" s="22"/>
    </row>
    <row r="117">
      <c r="A117" s="17" t="s">
        <v>259</v>
      </c>
      <c r="B117" s="26">
        <f>B89+B93+B97+B101+B105+B109+B113</f>
        <v>4773</v>
      </c>
      <c r="C117" s="26">
        <f>C89+C93+C97+C101+C105+C109+C113</f>
        <v>5057</v>
      </c>
      <c r="D117" s="26">
        <f>D89+D93+D97+D101+D105+D109+D113</f>
        <v>18638</v>
      </c>
      <c r="E117" s="26">
        <f>E89+E93+E97+E101+E105+E109+E113</f>
        <v>5014</v>
      </c>
      <c r="F117" s="26">
        <f>F89+F93+F97+F101+F105+F109+F113</f>
        <v>5569</v>
      </c>
      <c r="G117" s="52">
        <f>G89+G93+G97+G101+G105+G109+G113</f>
        <v>6144</v>
      </c>
      <c r="H117" s="22"/>
    </row>
    <row r="118">
      <c r="A118" s="7" t="s">
        <v>78</v>
      </c>
      <c r="B118" s="23">
        <f>IF(ISNUMBER(Inputs!B144),IF(OR(Inputs!B144&lt;=0,B117&lt;0),"n.m.",B117/Inputs!B144-1),"n.a.")</f>
        <v>0.13832578106367754</v>
      </c>
      <c r="C118" s="23">
        <f>IF(ISNUMBER(Inputs!C144),IF(OR(Inputs!C144&lt;=0,C117&lt;0),"n.m.",C117/Inputs!C144-1),"n.a.")</f>
        <v>0.12327854286983553</v>
      </c>
      <c r="D118" s="23">
        <f>IF(ISNUMBER(Inputs!D144),IF(OR(Inputs!D144&lt;=0,D117&lt;0),"n.m.",D117/Inputs!D144-1),"n.a.")</f>
        <v>0.09243303440595518</v>
      </c>
      <c r="E118" s="23">
        <f>IF(ISNUMBER(Inputs!E144),IF(OR(Inputs!E144&lt;=0,E117&lt;0),"n.m.",E117/Inputs!E144-1),"n.a.")</f>
        <v>0.1792097836312323</v>
      </c>
      <c r="F118" s="23">
        <f>IF(ISNUMBER(Inputs!F144),IF(OR(Inputs!F144&lt;=0,F117&lt;0),"n.m.",F117/Inputs!F144-1),"n.a.")</f>
        <v>0.22234416154521508</v>
      </c>
      <c r="G118" s="31">
        <f>IF(ISNUMBER(B117),IF(OR(B117&lt;=0,G117&lt;0),"n.m.",G117/B117-1),"n.a.")</f>
        <v>0.28724072910119425</v>
      </c>
      <c r="H118" s="22"/>
    </row>
    <row r="119">
      <c r="A119" s="7" t="s">
        <v>79</v>
      </c>
      <c r="B119" s="23">
        <f>IF(ISNUMBER(Inputs!F144),IF(OR(Inputs!F144&lt;=0,B117&lt;0),"n.m.",B117/Inputs!F144-1),"n.a.")</f>
        <v>0.047629499561018473</v>
      </c>
      <c r="C119" s="21">
        <f>IF(ISNUMBER(B117),IF(OR(B117&lt;=0,C117&lt;0),"n.m.",C117/B117-1),"n.a.")</f>
        <v>0.05950136182694332</v>
      </c>
      <c r="D119" s="21" t="str">
        <f>"n.a."</f>
        <v>n.a.</v>
      </c>
      <c r="E119" s="21">
        <f>IF(ISNUMBER(C117),IF(OR(C117&lt;=0,E117&lt;0),"n.m.",E117/C117-1),"n.a.")</f>
        <v>-0.00850306505833498</v>
      </c>
      <c r="F119" s="21">
        <f>IF(ISNUMBER(E117),IF(OR(E117&lt;=0,F117&lt;0),"n.m.",F117/E117-1),"n.a.")</f>
        <v>0.11069006781013169</v>
      </c>
      <c r="G119" s="31">
        <f>IF(ISNUMBER(F117),IF(OR(F117&lt;=0,G117&lt;0),"n.m.",G117/F117-1),"n.a.")</f>
        <v>0.10325013467408861</v>
      </c>
      <c r="H119" s="22"/>
    </row>
    <row r="120">
      <c r="A120" s="1" t="s">
        <v>80</v>
      </c>
      <c r="B120" s="8">
        <f>IF(ISNUMBER(Inputs!F144),B117-Inputs!F144,"n.a.")</f>
        <v>217</v>
      </c>
      <c r="C120" s="3">
        <f>IF(ISNUMBER(B117),C117-B117,"n.a.")</f>
        <v>284</v>
      </c>
      <c r="D120" s="3" t="str">
        <f>"n.a."</f>
        <v>n.a.</v>
      </c>
      <c r="E120" s="3">
        <f>IF(ISNUMBER(C117),E117-C117,"n.a.")</f>
        <v>-43</v>
      </c>
      <c r="F120" s="3">
        <f>IF(ISNUMBER(E117),F117-E117,"n.a.")</f>
        <v>555</v>
      </c>
      <c r="G120" s="29">
        <f>IF(ISNUMBER(F117),G117-F117,"n.a.")</f>
        <v>575</v>
      </c>
      <c r="H120" s="22"/>
    </row>
    <row r="121">
      <c r="A121" s="1" t="s">
        <v>260</v>
      </c>
      <c r="B121" s="3"/>
      <c r="C121" s="3"/>
      <c r="D121" s="3"/>
      <c r="E121" s="3"/>
      <c r="F121" s="3"/>
      <c r="G121" s="35">
        <f>Guidance!E16</f>
        <v>500</v>
      </c>
      <c r="H121" s="22" t="s">
        <v>261</v>
      </c>
    </row>
    <row r="122">
      <c r="A122" s="1" t="s">
        <v>262</v>
      </c>
      <c r="B122" s="41"/>
      <c r="C122" s="41"/>
      <c r="D122" s="41"/>
      <c r="E122" s="41"/>
      <c r="F122" s="41"/>
      <c r="G122" s="70" t="b">
        <f>G120&gt;G121</f>
        <v>1</v>
      </c>
      <c r="H122" s="22"/>
    </row>
    <row r="123">
      <c r="A123" s="7" t="s">
        <v>263</v>
      </c>
      <c r="B123" s="21">
        <f>B117/B67</f>
        <v>0.3143440463645943</v>
      </c>
      <c r="C123" s="21">
        <f>C117/C67</f>
        <v>0.3758733462167385</v>
      </c>
      <c r="D123" s="21">
        <f>D117/D67</f>
        <v>0.3197844997683716</v>
      </c>
      <c r="E123" s="21">
        <f>E117/E67</f>
        <v>0.2910547396528705</v>
      </c>
      <c r="F123" s="21">
        <f>F117/F67</f>
        <v>0.27382240141606845</v>
      </c>
      <c r="G123" s="31">
        <f>G117/G67</f>
        <v>0.3578382264609523</v>
      </c>
      <c r="H123" s="22"/>
    </row>
    <row r="124">
      <c r="A124" s="7" t="s">
        <v>93</v>
      </c>
      <c r="B124" s="28">
        <f>IF(AND(ISNUMBER(Inputs!B144),ISNUMBER(Inputs!B134)),(B123-Inputs!B144/Inputs!B134)*10000,"n.a.")</f>
        <v>-158.39432649501327</v>
      </c>
      <c r="C124" s="28">
        <f>IF(AND(ISNUMBER(Inputs!C144),ISNUMBER(Inputs!C134)),(C123-Inputs!C144/Inputs!C134)*10000,"n.a.")</f>
        <v>512.645063580609</v>
      </c>
      <c r="D124" s="28">
        <f>IF(AND(ISNUMBER(Inputs!D144),ISNUMBER(Inputs!D134)),(D123-Inputs!D144/Inputs!D134)*10000,"n.a.")</f>
        <v>9.588158096333622</v>
      </c>
      <c r="E124" s="28">
        <f>IF(AND(ISNUMBER(Inputs!E144),ISNUMBER(Inputs!E134)),(E123-Inputs!E144/Inputs!E134)*10000,"n.a.")</f>
        <v>87.54912272708471</v>
      </c>
      <c r="F124" s="28">
        <f>IF(AND(ISNUMBER(Inputs!F144),ISNUMBER(Inputs!F134)),(F123-Inputs!F144/Inputs!F134)*10000,"n.a.")</f>
        <v>-385.9616815123595</v>
      </c>
      <c r="G124" s="30">
        <f>(G123-B123)*10000</f>
        <v>434.94180096358025</v>
      </c>
      <c r="H124" s="22"/>
    </row>
    <row r="125">
      <c r="A125" s="7" t="s">
        <v>204</v>
      </c>
      <c r="B125" s="28">
        <f>IF(AND(ISNUMBER(Inputs!F144),ISNUMBER(Inputs!F134)),(B123-Inputs!F144/Inputs!F134)*10000,"n.a.")</f>
        <v>19.254767972898822</v>
      </c>
      <c r="C125" s="25">
        <f>(C123-B123)*10000</f>
        <v>615.2929985214423</v>
      </c>
      <c r="D125" s="25" t="str">
        <f>"n.a."</f>
        <v>n.a.</v>
      </c>
      <c r="E125" s="25">
        <f>(E123-C123)*10000</f>
        <v>-848.1860656386802</v>
      </c>
      <c r="F125" s="25">
        <f>(F123-E123)*10000</f>
        <v>-172.32338236802036</v>
      </c>
      <c r="G125" s="30">
        <f>(G123-F123)*10000</f>
        <v>840.1582504488387</v>
      </c>
      <c r="H125" s="22"/>
    </row>
    <row r="126">
      <c r="A126" s="17" t="s">
        <v>264</v>
      </c>
      <c r="B126" s="26">
        <f>B82+B117</f>
        <v>9453</v>
      </c>
      <c r="C126" s="26">
        <f>C82+C117</f>
        <v>9722</v>
      </c>
      <c r="D126" s="26">
        <f>D82+D117</f>
        <v>37544</v>
      </c>
      <c r="E126" s="26">
        <f>E82+E117</f>
        <v>10426</v>
      </c>
      <c r="F126" s="26">
        <f>F82+F117</f>
        <v>11673</v>
      </c>
      <c r="G126" s="52">
        <f>G82+G117</f>
        <v>11415.119350927773</v>
      </c>
      <c r="H126" s="22"/>
    </row>
    <row r="127">
      <c r="A127" s="7" t="s">
        <v>78</v>
      </c>
      <c r="B127" s="23">
        <f>IF(ISNUMBER(Inputs!B145),IF(OR(Inputs!B145&lt;=0,B126&lt;0),"n.m.",B126/Inputs!B145-1),"n.a.")</f>
        <v>0.1368610944076969</v>
      </c>
      <c r="C127" s="23">
        <f>IF(ISNUMBER(Inputs!C145),IF(OR(Inputs!C145&lt;=0,C126&lt;0),"n.m.",C126/Inputs!C145-1),"n.a.")</f>
        <v>0.1768551022878586</v>
      </c>
      <c r="D127" s="23">
        <f>IF(ISNUMBER(Inputs!D145),IF(OR(Inputs!D145&lt;=0,D126&lt;0),"n.m.",D126/Inputs!D145-1),"n.a.")</f>
        <v>0.11185476944946249</v>
      </c>
      <c r="E127" s="23">
        <f>IF(ISNUMBER(Inputs!E145),IF(OR(Inputs!E145&lt;=0,E126&lt;0),"n.m.",E126/Inputs!E145-1),"n.a.")</f>
        <v>0.14219982471516213</v>
      </c>
      <c r="F127" s="23">
        <f>IF(ISNUMBER(Inputs!F145),IF(OR(Inputs!F145&lt;=0,F126&lt;0),"n.m.",F126/Inputs!F145-1),"n.a.")</f>
        <v>0.2631749810626556</v>
      </c>
      <c r="G127" s="31">
        <f>IF(ISNUMBER(B126),IF(OR(B126&lt;=0,G126&lt;0),"n.m.",G126/B126-1),"n.a.")</f>
        <v>0.20756578344734722</v>
      </c>
      <c r="H127" s="22"/>
    </row>
    <row r="128">
      <c r="A128" s="7" t="s">
        <v>79</v>
      </c>
      <c r="B128" s="23">
        <f>IF(ISNUMBER(Inputs!F145),IF(OR(Inputs!F145&lt;=0,B126&lt;0),"n.m.",B126/Inputs!F145-1),"n.a.")</f>
        <v>0.022941240125527562</v>
      </c>
      <c r="C128" s="21">
        <f>IF(ISNUMBER(B126),IF(OR(B126&lt;=0,C126&lt;0),"n.m.",C126/B126-1),"n.a.")</f>
        <v>0.02845657463239193</v>
      </c>
      <c r="D128" s="21" t="str">
        <f>"n.a."</f>
        <v>n.a.</v>
      </c>
      <c r="E128" s="21">
        <f>IF(ISNUMBER(C126),IF(OR(C126&lt;=0,E126&lt;0),"n.m.",E126/C126-1),"n.a.")</f>
        <v>0.072413083727628</v>
      </c>
      <c r="F128" s="21">
        <f>IF(ISNUMBER(E126),IF(OR(E126&lt;=0,F126&lt;0),"n.m.",F126/E126-1),"n.a.")</f>
        <v>0.11960483406867439</v>
      </c>
      <c r="G128" s="31">
        <f>IF(ISNUMBER(F126),IF(OR(F126&lt;=0,G126&lt;0),"n.m.",G126/F126-1),"n.a.")</f>
        <v>-0.022092062800670553</v>
      </c>
      <c r="H128" s="22"/>
    </row>
    <row r="129">
      <c r="A129" s="1" t="s">
        <v>80</v>
      </c>
      <c r="B129" s="8">
        <f>IF(ISNUMBER(Inputs!F145),B126-Inputs!F145,"n.a.")</f>
        <v>212</v>
      </c>
      <c r="C129" s="3">
        <f>IF(ISNUMBER(B126),C126-B126,"n.a.")</f>
        <v>269</v>
      </c>
      <c r="D129" s="3" t="str">
        <f>"n.a."</f>
        <v>n.a.</v>
      </c>
      <c r="E129" s="3">
        <f>IF(ISNUMBER(C126),E126-C126,"n.a.")</f>
        <v>704</v>
      </c>
      <c r="F129" s="3">
        <f>IF(ISNUMBER(E126),F126-E126,"n.a.")</f>
        <v>1247</v>
      </c>
      <c r="G129" s="29">
        <f>IF(ISNUMBER(F126),G126-F126,"n.a.")</f>
        <v>-257.88064907222724</v>
      </c>
      <c r="H129" s="22"/>
    </row>
    <row r="130">
      <c r="A130" s="7" t="s">
        <v>265</v>
      </c>
      <c r="B130" s="21">
        <f>B126/B67</f>
        <v>0.6225632244467861</v>
      </c>
      <c r="C130" s="21">
        <f>C126/C67</f>
        <v>0.7226103760963283</v>
      </c>
      <c r="D130" s="21">
        <f>D126/D67</f>
        <v>0.6441672528867766</v>
      </c>
      <c r="E130" s="21">
        <f>E126/E67</f>
        <v>0.6052127474313578</v>
      </c>
      <c r="F130" s="21">
        <f>F126/F67</f>
        <v>0.5739502409283115</v>
      </c>
      <c r="G130" s="31">
        <f>G126/G67</f>
        <v>0.6648382264609524</v>
      </c>
      <c r="H130" s="22"/>
    </row>
    <row r="131">
      <c r="A131" s="7" t="s">
        <v>93</v>
      </c>
      <c r="B131" s="28">
        <f>IF(AND(ISNUMBER(Inputs!B145),ISNUMBER(Inputs!B134)),(B130-Inputs!B145/Inputs!B134)*10000,"n.a.")</f>
        <v>-322.1274216475811</v>
      </c>
      <c r="C131" s="28">
        <f>IF(AND(ISNUMBER(Inputs!C145),ISNUMBER(Inputs!C134)),(C130-Inputs!C145/Inputs!C134)*10000,"n.a.")</f>
        <v>1269.654125084705</v>
      </c>
      <c r="D131" s="28">
        <f>IF(AND(ISNUMBER(Inputs!D145),ISNUMBER(Inputs!D134)),(D130-Inputs!D145/Inputs!D134)*10000,"n.a.")</f>
        <v>131.4991098215701</v>
      </c>
      <c r="E131" s="28">
        <f>IF(AND(ISNUMBER(Inputs!E145),ISNUMBER(Inputs!E134)),(E130-Inputs!E145/Inputs!E134)*10000,"n.a.")</f>
        <v>-8.15668449667295</v>
      </c>
      <c r="F131" s="28">
        <f>IF(AND(ISNUMBER(Inputs!F145),ISNUMBER(Inputs!F134)),(F130-Inputs!F145/Inputs!F134)*10000,"n.a.")</f>
        <v>-597.3281468438818</v>
      </c>
      <c r="G131" s="30">
        <f>(G130-B130)*10000</f>
        <v>422.7500201416623</v>
      </c>
      <c r="H131" s="22"/>
    </row>
    <row r="132">
      <c r="A132" s="7" t="s">
        <v>204</v>
      </c>
      <c r="B132" s="28">
        <f>IF(AND(ISNUMBER(Inputs!F145),ISNUMBER(Inputs!F134)),(B130-Inputs!F145/Inputs!F134)*10000,"n.a.")</f>
        <v>-111.1983116591353</v>
      </c>
      <c r="C132" s="25">
        <f>(C130-B130)*10000</f>
        <v>1000.4715164954214</v>
      </c>
      <c r="D132" s="25" t="str">
        <f>"n.a."</f>
        <v>n.a.</v>
      </c>
      <c r="E132" s="25">
        <f>(E130-C130)*10000</f>
        <v>-1173.976286649705</v>
      </c>
      <c r="F132" s="25">
        <f>(F130-E130)*10000</f>
        <v>-312.62506503046296</v>
      </c>
      <c r="G132" s="30">
        <f>(G130-F130)*10000</f>
        <v>908.8798553264088</v>
      </c>
      <c r="H132" s="22"/>
    </row>
    <row r="133">
      <c r="A133" s="1"/>
      <c r="B133" s="1"/>
      <c r="C133" s="1"/>
      <c r="D133" s="1"/>
      <c r="E133" s="1"/>
      <c r="F133" s="1"/>
      <c r="G133" s="24"/>
      <c r="H133" s="22"/>
    </row>
    <row r="134">
      <c r="A134" s="17" t="s">
        <v>266</v>
      </c>
      <c r="B134" s="26">
        <f>B67-B76-B126</f>
        <v>5392</v>
      </c>
      <c r="C134" s="26">
        <f>C67-C76-C126</f>
        <v>5855</v>
      </c>
      <c r="D134" s="26">
        <f>D67-D76-D126</f>
        <v>21852</v>
      </c>
      <c r="E134" s="26">
        <f>E67-E76-E126</f>
        <v>6486</v>
      </c>
      <c r="F134" s="26">
        <f>F67-F76-F126</f>
        <v>8563</v>
      </c>
      <c r="G134" s="52">
        <f>G67-G76-G126</f>
        <v>5379.650521801126</v>
      </c>
      <c r="H134" s="22"/>
    </row>
    <row r="135">
      <c r="A135" s="7" t="s">
        <v>78</v>
      </c>
      <c r="B135" s="23">
        <f>IF(ISNUMBER(Inputs!B146),IF(OR(Inputs!B146&lt;=0,B134&lt;0),"n.m.",B134/Inputs!B146-1),"n.a.")</f>
        <v>0.3523952846751943</v>
      </c>
      <c r="C135" s="23">
        <f>IF(ISNUMBER(Inputs!C146),IF(OR(Inputs!C146&lt;=0,C134&lt;0),"n.m.",C134/Inputs!C146-1),"n.a.")</f>
        <v>0.11375309111660648</v>
      </c>
      <c r="D135" s="23">
        <f>IF(ISNUMBER(Inputs!D146),IF(OR(Inputs!D146&lt;=0,D134&lt;0),"n.m.",D134/Inputs!D146-1),"n.a.")</f>
        <v>0.18780235908028486</v>
      </c>
      <c r="E135" s="23">
        <f>IF(ISNUMBER(Inputs!E146),IF(OR(Inputs!E146&lt;=0,E134&lt;0),"n.m.",E134/Inputs!E146-1),"n.a.")</f>
        <v>0.14857446431733656</v>
      </c>
      <c r="F135" s="23">
        <f>IF(ISNUMBER(Inputs!F146),IF(OR(Inputs!F146&lt;=0,F134&lt;0),"n.m.",F134/Inputs!F146-1),"n.a.")</f>
        <v>0.727107704719645</v>
      </c>
      <c r="G135" s="31">
        <f>IF(ISNUMBER(B134),IF(OR(B134&lt;=0,G134&lt;0),"n.m.",G134/B134-1),"n.a.")</f>
        <v>-0.0022903334938564335</v>
      </c>
      <c r="H135" s="22"/>
    </row>
    <row r="136">
      <c r="A136" s="7" t="s">
        <v>79</v>
      </c>
      <c r="B136" s="23">
        <f>IF(ISNUMBER(Inputs!F146),IF(OR(Inputs!F146&lt;=0,B134&lt;0),"n.m.",B134/Inputs!F146-1),"n.a.")</f>
        <v>0.08753529649052028</v>
      </c>
      <c r="C136" s="21">
        <f>IF(ISNUMBER(B134),IF(OR(B134&lt;=0,C134&lt;0),"n.m.",C134/B134-1),"n.a.")</f>
        <v>0.08586795252225521</v>
      </c>
      <c r="D136" s="21" t="str">
        <f>"n.a."</f>
        <v>n.a.</v>
      </c>
      <c r="E136" s="21">
        <f>IF(ISNUMBER(C134),IF(OR(C134&lt;=0,E134&lt;0),"n.m.",E134/C134-1),"n.a.")</f>
        <v>0.10777113578138353</v>
      </c>
      <c r="F136" s="21">
        <f>IF(ISNUMBER(E134),IF(OR(E134&lt;=0,F134&lt;0),"n.m.",F134/E134-1),"n.a.")</f>
        <v>0.32022818378045015</v>
      </c>
      <c r="G136" s="31">
        <f>IF(ISNUMBER(F134),IF(OR(F134&lt;=0,G134&lt;0),"n.m.",G134/F134-1),"n.a.")</f>
        <v>-0.3717563328505049</v>
      </c>
      <c r="H136" s="22"/>
    </row>
    <row r="137">
      <c r="A137" s="1" t="s">
        <v>80</v>
      </c>
      <c r="B137" s="8">
        <f>IF(ISNUMBER(Inputs!F146),B134-Inputs!F146,"n.a.")</f>
        <v>434</v>
      </c>
      <c r="C137" s="3">
        <f>IF(ISNUMBER(B134),C134-B134,"n.a.")</f>
        <v>463</v>
      </c>
      <c r="D137" s="3" t="str">
        <f>"n.a."</f>
        <v>n.a.</v>
      </c>
      <c r="E137" s="3">
        <f>IF(ISNUMBER(C134),E134-C134,"n.a.")</f>
        <v>631</v>
      </c>
      <c r="F137" s="3">
        <f>IF(ISNUMBER(E134),F134-E134,"n.a.")</f>
        <v>2077</v>
      </c>
      <c r="G137" s="29">
        <f>IF(ISNUMBER(F134),G134-F134,"n.a.")</f>
        <v>-3183.349478198874</v>
      </c>
      <c r="H137" s="22"/>
    </row>
    <row r="138">
      <c r="A138" s="7" t="s">
        <v>267</v>
      </c>
      <c r="B138" s="21">
        <f>B134/B67</f>
        <v>0.35511064278187565</v>
      </c>
      <c r="C138" s="21">
        <f>C134/C67</f>
        <v>0.43518656161736285</v>
      </c>
      <c r="D138" s="21">
        <f>D134/D67</f>
        <v>0.37492922464526535</v>
      </c>
      <c r="E138" s="21">
        <f>E134/E67</f>
        <v>0.376502002670227</v>
      </c>
      <c r="F138" s="21">
        <f>F134/F67</f>
        <v>0.42103451666830566</v>
      </c>
      <c r="G138" s="31">
        <f>G134/G67</f>
        <v>0.31332106147478056</v>
      </c>
      <c r="H138" s="22"/>
    </row>
    <row r="139">
      <c r="A139" s="7" t="s">
        <v>93</v>
      </c>
      <c r="B139" s="28">
        <f>IF(AND(ISNUMBER(Inputs!B146),ISNUMBER(Inputs!B134)),(B138-Inputs!B146/Inputs!B134)*10000,"n.a.")</f>
        <v>411.489135118544</v>
      </c>
      <c r="C139" s="28">
        <f>IF(AND(ISNUMBER(Inputs!C146),ISNUMBER(Inputs!C134)),(C138-Inputs!C146/Inputs!C134)*10000,"n.a.")</f>
        <v>561.3976660690789</v>
      </c>
      <c r="D139" s="28">
        <f>IF(AND(ISNUMBER(Inputs!D146),ISNUMBER(Inputs!D134)),(D138-Inputs!D146/Inputs!D134)*10000,"n.a.")</f>
        <v>311.3717800152188</v>
      </c>
      <c r="E139" s="28">
        <f>IF(AND(ISNUMBER(Inputs!E146),ISNUMBER(Inputs!E134)),(E138-Inputs!E146/Inputs!E134)*10000,"n.a.")</f>
        <v>15.849929769591874</v>
      </c>
      <c r="F139" s="28">
        <f>IF(AND(ISNUMBER(Inputs!F146),ISNUMBER(Inputs!F134)),(F138-Inputs!F146/Inputs!F134)*10000,"n.a.")</f>
        <v>810.4960272741557</v>
      </c>
      <c r="G139" s="30">
        <f>(G138-B138)*10000</f>
        <v>-417.8958130709509</v>
      </c>
      <c r="H139" s="22"/>
    </row>
    <row r="140">
      <c r="A140" s="7" t="s">
        <v>204</v>
      </c>
      <c r="B140" s="28">
        <f>IF(AND(ISNUMBER(Inputs!F146),ISNUMBER(Inputs!F134)),(B138-Inputs!F146/Inputs!F134)*10000,"n.a.")</f>
        <v>151.25728840985565</v>
      </c>
      <c r="C140" s="25">
        <f>(C138-B138)*10000</f>
        <v>800.759188354872</v>
      </c>
      <c r="D140" s="25" t="str">
        <f>"n.a."</f>
        <v>n.a.</v>
      </c>
      <c r="E140" s="25">
        <f>(E138-C138)*10000</f>
        <v>-586.8455894713587</v>
      </c>
      <c r="F140" s="25">
        <f>(F138-E138)*10000</f>
        <v>445.32513998078673</v>
      </c>
      <c r="G140" s="30">
        <f>(G138-F138)*10000</f>
        <v>-1077.134551935251</v>
      </c>
      <c r="H140" s="22"/>
    </row>
    <row r="141">
      <c r="A141" s="1" t="s">
        <v>268</v>
      </c>
      <c r="B141" s="20">
        <v>1294</v>
      </c>
      <c r="C141" s="20">
        <v>1238</v>
      </c>
      <c r="D141" s="8">
        <f>Inputs!G147+B141+C141</f>
        <v>4676</v>
      </c>
      <c r="E141" s="20">
        <v>856</v>
      </c>
      <c r="F141" s="20">
        <v>1935</v>
      </c>
      <c r="G141" s="29">
        <f>G134*G142</f>
        <v>1183.5231147962477</v>
      </c>
      <c r="H141" s="22" t="s">
        <v>234</v>
      </c>
    </row>
    <row r="142">
      <c r="A142" s="7" t="s">
        <v>269</v>
      </c>
      <c r="B142" s="21">
        <f>B141/B134</f>
        <v>0.23998516320474778</v>
      </c>
      <c r="C142" s="21">
        <f>C141/C134</f>
        <v>0.21144321093082835</v>
      </c>
      <c r="D142" s="21">
        <f>D141/D134</f>
        <v>0.21398498993227164</v>
      </c>
      <c r="E142" s="21">
        <f>E141/E134</f>
        <v>0.13197656490903484</v>
      </c>
      <c r="F142" s="21">
        <f>F141/F134</f>
        <v>0.2259722060025692</v>
      </c>
      <c r="G142" s="27">
        <v>0.22</v>
      </c>
      <c r="H142" s="22"/>
    </row>
    <row r="143">
      <c r="A143" s="7" t="s">
        <v>93</v>
      </c>
      <c r="B143" s="28">
        <f>IF(AND(ISNUMBER(Inputs!B147),ISNUMBER(Inputs!B146)),(B142-Inputs!B147/Inputs!B146)*10000,"n.a.")</f>
        <v>-100.77540582560995</v>
      </c>
      <c r="C143" s="28">
        <f>IF(AND(ISNUMBER(Inputs!C147),ISNUMBER(Inputs!C146)),(C142-Inputs!C147/Inputs!C146)*10000,"n.a.")</f>
        <v>-65.51843282601361</v>
      </c>
      <c r="D143" s="28">
        <f>IF(AND(ISNUMBER(Inputs!D147),ISNUMBER(Inputs!D146)),(D142-Inputs!D147/Inputs!D146)*10000,"n.a.")</f>
        <v>-100.18923749306879</v>
      </c>
      <c r="E143" s="28">
        <f>IF(AND(ISNUMBER(Inputs!E147),ISNUMBER(Inputs!E146)),(E142-Inputs!E147/Inputs!E146)*10000,"n.a.")</f>
        <v>-289.9386186624406</v>
      </c>
      <c r="F143" s="28">
        <f>IF(AND(ISNUMBER(Inputs!F147),ISNUMBER(Inputs!F146)),(F142-Inputs!F147/Inputs!F146)*10000,"n.a.")</f>
        <v>-231.20169955478386</v>
      </c>
      <c r="G143" s="30">
        <f>(G142-B142)*10000</f>
        <v>-199.85163204747775</v>
      </c>
      <c r="H143" s="22"/>
    </row>
    <row r="144">
      <c r="A144" s="7" t="s">
        <v>204</v>
      </c>
      <c r="B144" s="28">
        <f>IF(AND(ISNUMBER(Inputs!F147),ISNUMBER(Inputs!F146)),(B142-Inputs!F147/Inputs!F146)*10000,"n.a.")</f>
        <v>-91.07212753299815</v>
      </c>
      <c r="C144" s="25">
        <f>(C142-B142)*10000</f>
        <v>-285.41952273919424</v>
      </c>
      <c r="D144" s="25" t="str">
        <f>"n.a."</f>
        <v>n.a.</v>
      </c>
      <c r="E144" s="25">
        <f>(E142-C142)*10000</f>
        <v>-794.6664602179351</v>
      </c>
      <c r="F144" s="25">
        <f>(F142-E142)*10000</f>
        <v>939.9564109353437</v>
      </c>
      <c r="G144" s="30">
        <f>(G142-F142)*10000</f>
        <v>-59.72206002569202</v>
      </c>
      <c r="H144" s="22"/>
    </row>
    <row r="145">
      <c r="A145" s="17" t="s">
        <v>270</v>
      </c>
      <c r="B145" s="26">
        <f>B134-B141</f>
        <v>4098</v>
      </c>
      <c r="C145" s="26">
        <f>C134-C141</f>
        <v>4617</v>
      </c>
      <c r="D145" s="26">
        <f>D134-D141</f>
        <v>17176</v>
      </c>
      <c r="E145" s="26">
        <f>E134-E141</f>
        <v>5630</v>
      </c>
      <c r="F145" s="26">
        <f>F134-F141</f>
        <v>6628</v>
      </c>
      <c r="G145" s="52">
        <f>G134-G141</f>
        <v>4196.1274070048785</v>
      </c>
      <c r="H145" s="22"/>
    </row>
    <row r="146">
      <c r="A146" s="7" t="s">
        <v>78</v>
      </c>
      <c r="B146" s="23">
        <f>IF(ISNUMBER(Inputs!B148),IF(OR(Inputs!B148&lt;=0,B145&lt;0),"n.m.",B145/Inputs!B148-1),"n.a.")</f>
        <v>0.37056856187290976</v>
      </c>
      <c r="C146" s="23">
        <f>IF(ISNUMBER(Inputs!C148),IF(OR(Inputs!C148&lt;=0,C145&lt;0),"n.m.",C145/Inputs!C148-1),"n.a.")</f>
        <v>0.12308440768669415</v>
      </c>
      <c r="D146" s="23">
        <f>IF(ISNUMBER(Inputs!D148),IF(OR(Inputs!D148&lt;=0,D145&lt;0),"n.m.",D145/Inputs!D148-1),"n.a.")</f>
        <v>0.20313813393107316</v>
      </c>
      <c r="E146" s="23">
        <f>IF(ISNUMBER(Inputs!E148),IF(OR(Inputs!E148&lt;=0,E145&lt;0),"n.m.",E145/Inputs!E148-1),"n.a.")</f>
        <v>0.18826509075559317</v>
      </c>
      <c r="F146" s="23">
        <f>IF(ISNUMBER(Inputs!F148),IF(OR(Inputs!F148&lt;=0,F145&lt;0),"n.m.",F145/Inputs!F148-1),"n.a.")</f>
        <v>0.7802847166263767</v>
      </c>
      <c r="G146" s="31">
        <f>IF(ISNUMBER(B145),IF(OR(B145&lt;=0,G145&lt;0),"n.m.",G145/B145-1),"n.a.")</f>
        <v>0.023945194486305166</v>
      </c>
      <c r="H146" s="22"/>
    </row>
    <row r="147">
      <c r="A147" s="7" t="s">
        <v>79</v>
      </c>
      <c r="B147" s="23">
        <f>IF(ISNUMBER(Inputs!F148),IF(OR(Inputs!F148&lt;=0,B145&lt;0),"n.m.",B145/Inputs!F148-1),"n.a.")</f>
        <v>0.10072522159548747</v>
      </c>
      <c r="C147" s="21">
        <f>IF(ISNUMBER(B145),IF(OR(B145&lt;=0,C145&lt;0),"n.m.",C145/B145-1),"n.a.")</f>
        <v>0.1266471449487554</v>
      </c>
      <c r="D147" s="21" t="str">
        <f>"n.a."</f>
        <v>n.a.</v>
      </c>
      <c r="E147" s="21">
        <f>IF(ISNUMBER(C145),IF(OR(C145&lt;=0,E145&lt;0),"n.m.",E145/C145-1),"n.a.")</f>
        <v>0.21940654104396784</v>
      </c>
      <c r="F147" s="21">
        <f>IF(ISNUMBER(E145),IF(OR(E145&lt;=0,F145&lt;0),"n.m.",F145/E145-1),"n.a.")</f>
        <v>0.17726465364120791</v>
      </c>
      <c r="G147" s="31">
        <f>IF(ISNUMBER(F145),IF(OR(F145&lt;=0,G145&lt;0),"n.m.",G145/F145-1),"n.a.")</f>
        <v>-0.3669089609226194</v>
      </c>
      <c r="H147" s="22"/>
    </row>
    <row r="148">
      <c r="A148" s="1" t="s">
        <v>80</v>
      </c>
      <c r="B148" s="8">
        <f>IF(ISNUMBER(Inputs!F148),B145-Inputs!F148,"n.a.")</f>
        <v>375</v>
      </c>
      <c r="C148" s="3">
        <f>IF(ISNUMBER(B145),C145-B145,"n.a.")</f>
        <v>519</v>
      </c>
      <c r="D148" s="3" t="str">
        <f>"n.a."</f>
        <v>n.a.</v>
      </c>
      <c r="E148" s="3">
        <f>IF(ISNUMBER(C145),E145-C145,"n.a.")</f>
        <v>1013</v>
      </c>
      <c r="F148" s="3">
        <f>IF(ISNUMBER(E145),F145-E145,"n.a.")</f>
        <v>998</v>
      </c>
      <c r="G148" s="29">
        <f>IF(ISNUMBER(F145),G145-F145,"n.a.")</f>
        <v>-2431.8725929951215</v>
      </c>
      <c r="H148" s="22"/>
    </row>
    <row r="149">
      <c r="A149" s="7" t="s">
        <v>271</v>
      </c>
      <c r="B149" s="21">
        <f>B145/B67</f>
        <v>0.26988935721812435</v>
      </c>
      <c r="C149" s="21">
        <f>C145/C67</f>
        <v>0.3431693176750409</v>
      </c>
      <c r="D149" s="21">
        <f>D145/D67</f>
        <v>0.2946999982842338</v>
      </c>
      <c r="E149" s="21">
        <f>E145/E67</f>
        <v>0.32681256167643813</v>
      </c>
      <c r="F149" s="21">
        <f>F145/F67</f>
        <v>0.32589241813354314</v>
      </c>
      <c r="G149" s="31">
        <f>G145/G67</f>
        <v>0.24439042795032884</v>
      </c>
      <c r="H149" s="22"/>
    </row>
    <row r="150">
      <c r="A150" s="7" t="s">
        <v>93</v>
      </c>
      <c r="B150" s="28">
        <f>IF(AND(ISNUMBER(Inputs!B148),ISNUMBER(Inputs!B134)),(B149-Inputs!B148/Inputs!B134)*10000,"n.a.")</f>
        <v>344.3774685510365</v>
      </c>
      <c r="C150" s="28">
        <f>IF(AND(ISNUMBER(Inputs!C148),ISNUMBER(Inputs!C134)),(C149-Inputs!C148/Inputs!C134)*10000,"n.a.")</f>
        <v>467.52849292316824</v>
      </c>
      <c r="D150" s="28">
        <f>IF(AND(ISNUMBER(Inputs!D148),ISNUMBER(Inputs!D134)),(D149-Inputs!D148/Inputs!D134)*10000,"n.a.")</f>
        <v>279.18715581288666</v>
      </c>
      <c r="E150" s="28">
        <f>IF(AND(ISNUMBER(Inputs!E148),ISNUMBER(Inputs!E134)),(E149-Inputs!E148/Inputs!E134)*10000,"n.a.")</f>
        <v>122.46103038807021</v>
      </c>
      <c r="F150" s="28">
        <f>IF(AND(ISNUMBER(Inputs!F148),ISNUMBER(Inputs!F134)),(F149-Inputs!F148/Inputs!F134)*10000,"n.a.")</f>
        <v>705.951541960817</v>
      </c>
      <c r="G150" s="30">
        <f>(G149-B149)*10000</f>
        <v>-254.98929267795512</v>
      </c>
      <c r="H150" s="22"/>
    </row>
    <row r="151">
      <c r="A151" s="7" t="s">
        <v>204</v>
      </c>
      <c r="B151" s="28">
        <f>IF(AND(ISNUMBER(Inputs!F148),ISNUMBER(Inputs!F134)),(B149-Inputs!F148/Inputs!F134)*10000,"n.a.")</f>
        <v>145.9209328066291</v>
      </c>
      <c r="C151" s="25">
        <f>(C149-B149)*10000</f>
        <v>732.7996045691654</v>
      </c>
      <c r="D151" s="25" t="str">
        <f>"n.a."</f>
        <v>n.a.</v>
      </c>
      <c r="E151" s="25">
        <f>(E149-C149)*10000</f>
        <v>-163.56755998602756</v>
      </c>
      <c r="F151" s="25">
        <f>(F149-E149)*10000</f>
        <v>-9.20143542894991</v>
      </c>
      <c r="G151" s="30">
        <f>(G149-F149)*10000</f>
        <v>-815.019901832143</v>
      </c>
      <c r="H151" s="22"/>
    </row>
    <row r="152">
      <c r="A152" s="1" t="s">
        <v>272</v>
      </c>
      <c r="B152" s="20">
        <v>238</v>
      </c>
      <c r="C152" s="20">
        <v>233</v>
      </c>
      <c r="D152" s="8">
        <f>Inputs!G149+B152+C152</f>
        <v>876</v>
      </c>
      <c r="E152" s="20">
        <v>227</v>
      </c>
      <c r="F152" s="20">
        <v>229</v>
      </c>
      <c r="G152" s="51">
        <v>220</v>
      </c>
      <c r="H152" s="22" t="s">
        <v>234</v>
      </c>
    </row>
    <row r="153">
      <c r="A153" s="7" t="s">
        <v>78</v>
      </c>
      <c r="B153" s="23">
        <f>IF(ISNUMBER(Inputs!B149),IF(OR(Inputs!B149&lt;=0,B152&lt;0),"n.m.",B152/Inputs!B149-1),"n.a.")</f>
        <v>0.1333333333333333</v>
      </c>
      <c r="C153" s="23">
        <f>IF(ISNUMBER(Inputs!C149),IF(OR(Inputs!C149&lt;=0,C152&lt;0),"n.m.",C152/Inputs!C149-1),"n.a.")</f>
        <v>0.2393617021276595</v>
      </c>
      <c r="D153" s="23">
        <f>IF(ISNUMBER(Inputs!D149),IF(OR(Inputs!D149&lt;=0,D152&lt;0),"n.m.",D152/Inputs!D149-1),"n.a.")</f>
        <v>0.16644474034620504</v>
      </c>
      <c r="E153" s="23">
        <f>IF(ISNUMBER(Inputs!E149),IF(OR(Inputs!E149&lt;=0,E152&lt;0),"n.m.",E152/Inputs!E149-1),"n.a.")</f>
        <v>0.46451612903225814</v>
      </c>
      <c r="F153" s="23">
        <f>IF(ISNUMBER(Inputs!F149),IF(OR(Inputs!F149&lt;=0,F152&lt;0),"n.m.",F152/Inputs!F149-1),"n.a.")</f>
        <v>-0.08399999999999996</v>
      </c>
      <c r="G153" s="31">
        <f>IF(ISNUMBER(B152),IF(OR(B152&lt;=0,G152&lt;0),"n.m.",G152/B152-1),"n.a.")</f>
        <v>-0.07563025210084029</v>
      </c>
      <c r="H153" s="22"/>
    </row>
    <row r="154">
      <c r="A154" s="7" t="s">
        <v>79</v>
      </c>
      <c r="B154" s="23">
        <f>IF(ISNUMBER(Inputs!F149),IF(OR(Inputs!F149&lt;=0,B152&lt;0),"n.m.",B152/Inputs!F149-1),"n.a.")</f>
        <v>-0.04800000000000004</v>
      </c>
      <c r="C154" s="21">
        <f>IF(ISNUMBER(B152),IF(OR(B152&lt;=0,C152&lt;0),"n.m.",C152/B152-1),"n.a.")</f>
        <v>-0.021008403361344574</v>
      </c>
      <c r="D154" s="21" t="str">
        <f>"n.a."</f>
        <v>n.a.</v>
      </c>
      <c r="E154" s="21">
        <f>IF(ISNUMBER(C152),IF(OR(C152&lt;=0,E152&lt;0),"n.m.",E152/C152-1),"n.a.")</f>
        <v>-0.025751072961373356</v>
      </c>
      <c r="F154" s="21">
        <f>IF(ISNUMBER(E152),IF(OR(E152&lt;=0,F152&lt;0),"n.m.",F152/E152-1),"n.a.")</f>
        <v>0.008810572687224738</v>
      </c>
      <c r="G154" s="31">
        <f>IF(ISNUMBER(F152),IF(OR(F152&lt;=0,G152&lt;0),"n.m.",G152/F152-1),"n.a.")</f>
        <v>-0.0393013100436681</v>
      </c>
      <c r="H154" s="22"/>
    </row>
    <row r="155">
      <c r="A155" s="1" t="s">
        <v>80</v>
      </c>
      <c r="B155" s="8">
        <f>IF(ISNUMBER(Inputs!F149),B152-Inputs!F149,"n.a.")</f>
        <v>-12</v>
      </c>
      <c r="C155" s="3">
        <f>IF(ISNUMBER(B152),C152-B152,"n.a.")</f>
        <v>-5</v>
      </c>
      <c r="D155" s="3" t="str">
        <f>"n.a."</f>
        <v>n.a.</v>
      </c>
      <c r="E155" s="3">
        <f>IF(ISNUMBER(C152),E152-C152,"n.a.")</f>
        <v>-6</v>
      </c>
      <c r="F155" s="3">
        <f>IF(ISNUMBER(E152),F152-E152,"n.a.")</f>
        <v>2</v>
      </c>
      <c r="G155" s="29">
        <f>IF(ISNUMBER(F152),G152-F152,"n.a.")</f>
        <v>-9</v>
      </c>
      <c r="H155" s="22"/>
    </row>
    <row r="156">
      <c r="A156" s="17" t="s">
        <v>273</v>
      </c>
      <c r="B156" s="26">
        <f>B145-B152</f>
        <v>3860</v>
      </c>
      <c r="C156" s="26">
        <f>C145-C152</f>
        <v>4384</v>
      </c>
      <c r="D156" s="26">
        <f>D145-D152</f>
        <v>16300</v>
      </c>
      <c r="E156" s="26">
        <f>E145-E152</f>
        <v>5403</v>
      </c>
      <c r="F156" s="26">
        <f>F145-F152</f>
        <v>6399</v>
      </c>
      <c r="G156" s="52">
        <f>G145-G152</f>
        <v>3976.1274070048785</v>
      </c>
      <c r="H156" s="22" t="s">
        <v>274</v>
      </c>
    </row>
    <row r="157">
      <c r="A157" s="7" t="s">
        <v>78</v>
      </c>
      <c r="B157" s="23">
        <f>IF(ISNUMBER(Inputs!B150),IF(OR(Inputs!B150&lt;=0,B156&lt;0),"n.m.",B156/Inputs!B150-1),"n.a.")</f>
        <v>0.38848920863309355</v>
      </c>
      <c r="C157" s="23">
        <f>IF(ISNUMBER(Inputs!C150),IF(OR(Inputs!C150&lt;=0,C156&lt;0),"n.m.",C156/Inputs!C150-1),"n.a.")</f>
        <v>0.11751210808055057</v>
      </c>
      <c r="D157" s="23">
        <f>IF(ISNUMBER(Inputs!D150),IF(OR(Inputs!D150&lt;=0,D156&lt;0),"n.m.",D156/Inputs!D150-1),"n.a.")</f>
        <v>0.20517560073937147</v>
      </c>
      <c r="E157" s="23">
        <f>IF(ISNUMBER(Inputs!E150),IF(OR(Inputs!E150&lt;=0,E156&lt;0),"n.m.",E156/Inputs!E150-1),"n.a.")</f>
        <v>0.17892210342570358</v>
      </c>
      <c r="F157" s="23">
        <f>IF(ISNUMBER(Inputs!F150),IF(OR(Inputs!F150&lt;=0,F156&lt;0),"n.m.",F156/Inputs!F150-1),"n.a.")</f>
        <v>0.8424992801612439</v>
      </c>
      <c r="G157" s="31">
        <f>IF(ISNUMBER(B156),IF(OR(B156&lt;=0,G156&lt;0),"n.m.",G156/B156-1),"n.a.")</f>
        <v>0.030084820467585205</v>
      </c>
      <c r="H157" s="22"/>
    </row>
    <row r="158">
      <c r="A158" s="7" t="s">
        <v>79</v>
      </c>
      <c r="B158" s="23">
        <f>IF(ISNUMBER(Inputs!F150),IF(OR(Inputs!F150&lt;=0,B156&lt;0),"n.m.",B156/Inputs!F150-1),"n.a.")</f>
        <v>0.11143103944716382</v>
      </c>
      <c r="C158" s="21">
        <f>IF(ISNUMBER(B156),IF(OR(B156&lt;=0,C156&lt;0),"n.m.",C156/B156-1),"n.a.")</f>
        <v>0.13575129533678765</v>
      </c>
      <c r="D158" s="21" t="str">
        <f>"n.a."</f>
        <v>n.a.</v>
      </c>
      <c r="E158" s="21">
        <f>IF(ISNUMBER(C156),IF(OR(C156&lt;=0,E156&lt;0),"n.m.",E156/C156-1),"n.a.")</f>
        <v>0.23243613138686126</v>
      </c>
      <c r="F158" s="21">
        <f>IF(ISNUMBER(E156),IF(OR(E156&lt;=0,F156&lt;0),"n.m.",F156/E156-1),"n.a.")</f>
        <v>0.18434203220433099</v>
      </c>
      <c r="G158" s="31">
        <f>IF(ISNUMBER(F156),IF(OR(F156&lt;=0,G156&lt;0),"n.m.",G156/F156-1),"n.a.")</f>
        <v>-0.37863300406237244</v>
      </c>
      <c r="H158" s="22"/>
    </row>
    <row r="159">
      <c r="A159" s="1" t="s">
        <v>80</v>
      </c>
      <c r="B159" s="8">
        <f>IF(ISNUMBER(Inputs!F150),B156-Inputs!F150,"n.a.")</f>
        <v>387</v>
      </c>
      <c r="C159" s="3">
        <f>IF(ISNUMBER(B156),C156-B156,"n.a.")</f>
        <v>524</v>
      </c>
      <c r="D159" s="3" t="str">
        <f>"n.a."</f>
        <v>n.a.</v>
      </c>
      <c r="E159" s="3">
        <f>IF(ISNUMBER(C156),E156-C156,"n.a.")</f>
        <v>1019</v>
      </c>
      <c r="F159" s="3">
        <f>IF(ISNUMBER(E156),F156-E156,"n.a.")</f>
        <v>996</v>
      </c>
      <c r="G159" s="29">
        <f>IF(ISNUMBER(F156),G156-F156,"n.a.")</f>
        <v>-2422.8725929951215</v>
      </c>
      <c r="H159" s="22"/>
    </row>
    <row r="160">
      <c r="A160" s="1"/>
      <c r="B160" s="1"/>
      <c r="C160" s="1"/>
      <c r="D160" s="1"/>
      <c r="E160" s="1"/>
      <c r="F160" s="1"/>
      <c r="G160" s="24"/>
      <c r="H160" s="22"/>
    </row>
    <row r="161">
      <c r="A161" s="17" t="s">
        <v>275</v>
      </c>
      <c r="B161" s="1"/>
      <c r="C161" s="1"/>
      <c r="D161" s="1"/>
      <c r="E161" s="1"/>
      <c r="F161" s="1"/>
      <c r="G161" s="24"/>
      <c r="H161" s="22"/>
    </row>
    <row r="162">
      <c r="A162" s="1" t="s">
        <v>276</v>
      </c>
      <c r="B162" s="8">
        <f>'Share Count'!B33</f>
        <v>309.6</v>
      </c>
      <c r="C162" s="8">
        <f>'Share Count'!C33</f>
        <v>307.3</v>
      </c>
      <c r="D162" s="8">
        <f>'Share Count'!D33</f>
        <v>312.7</v>
      </c>
      <c r="E162" s="8">
        <f>'Share Count'!E33</f>
        <v>303.8</v>
      </c>
      <c r="F162" s="8">
        <f>'Share Count'!F33</f>
        <v>300.1</v>
      </c>
      <c r="G162" s="35">
        <f>'Share Count'!G33</f>
        <v>296.99368932038834</v>
      </c>
      <c r="H162" s="22" t="s">
        <v>277</v>
      </c>
    </row>
    <row r="163">
      <c r="A163" s="1" t="s">
        <v>278</v>
      </c>
      <c r="B163" s="8">
        <f>'Share Count'!B41</f>
        <v>315</v>
      </c>
      <c r="C163" s="8">
        <f>'Share Count'!C41</f>
        <v>312.9</v>
      </c>
      <c r="D163" s="8">
        <f>'Share Count'!D41</f>
        <v>317.6</v>
      </c>
      <c r="E163" s="8">
        <f>'Share Count'!E41</f>
        <v>308</v>
      </c>
      <c r="F163" s="8">
        <f>'Share Count'!F41</f>
        <v>304.9</v>
      </c>
      <c r="G163" s="35">
        <f>'Share Count'!G41</f>
        <v>301.79368932038835</v>
      </c>
      <c r="H163" s="22" t="s">
        <v>277</v>
      </c>
    </row>
    <row r="164">
      <c r="A164" s="1" t="s">
        <v>279</v>
      </c>
      <c r="B164" s="38">
        <f>B156/B162</f>
        <v>12.467700258397931</v>
      </c>
      <c r="C164" s="38">
        <f>C156/C162</f>
        <v>14.266189391474128</v>
      </c>
      <c r="D164" s="38">
        <f>D156/D162</f>
        <v>52.126638951071314</v>
      </c>
      <c r="E164" s="38">
        <f>E156/E162</f>
        <v>17.784726793943385</v>
      </c>
      <c r="F164" s="38">
        <f>F156/F162</f>
        <v>21.322892369210262</v>
      </c>
      <c r="G164" s="68">
        <f>G156/G162</f>
        <v>13.387918834583537</v>
      </c>
      <c r="H164" s="22"/>
    </row>
    <row r="165">
      <c r="A165" s="1" t="s">
        <v>280</v>
      </c>
      <c r="B165" s="38">
        <f>B156/B163</f>
        <v>12.253968253968255</v>
      </c>
      <c r="C165" s="38">
        <f>C156/C163</f>
        <v>14.010866091403004</v>
      </c>
      <c r="D165" s="38">
        <f>D156/D163</f>
        <v>51.32241813602015</v>
      </c>
      <c r="E165" s="38">
        <f>E156/E163</f>
        <v>17.542207792207794</v>
      </c>
      <c r="F165" s="38">
        <f>F156/F163</f>
        <v>20.98720892095769</v>
      </c>
      <c r="G165" s="68">
        <f>G156/G163</f>
        <v>13.174985255519266</v>
      </c>
      <c r="H165" s="22"/>
    </row>
    <row r="166" ht="25.5">
      <c r="A166" s="105" t="s">
        <v>281</v>
      </c>
      <c r="B166" s="32">
        <v>12.42</v>
      </c>
      <c r="C166" s="32">
        <v>14.21</v>
      </c>
      <c r="D166" s="32">
        <v>51.95</v>
      </c>
      <c r="E166" s="32">
        <v>17.74</v>
      </c>
      <c r="F166" s="32">
        <v>21.27</v>
      </c>
      <c r="G166" s="68">
        <f>G164</f>
        <v>13.387918834583537</v>
      </c>
      <c r="H166" s="22" t="s">
        <v>282</v>
      </c>
    </row>
    <row r="167" ht="25.5">
      <c r="A167" s="96" t="s">
        <v>283</v>
      </c>
      <c r="B167" s="71">
        <v>12.25</v>
      </c>
      <c r="C167" s="71">
        <v>14.01</v>
      </c>
      <c r="D167" s="71">
        <v>51.32</v>
      </c>
      <c r="E167" s="71">
        <v>17.55</v>
      </c>
      <c r="F167" s="71">
        <v>20.98</v>
      </c>
      <c r="G167" s="72">
        <f>G165</f>
        <v>13.174985255519266</v>
      </c>
      <c r="H167" s="22" t="s">
        <v>234</v>
      </c>
    </row>
    <row r="168">
      <c r="A168" s="7" t="s">
        <v>78</v>
      </c>
      <c r="B168" s="23">
        <f>IF(ISNUMBER(Inputs!B153),IF(OR(Inputs!B153&lt;=0,B167&lt;0),"n.m.",B167/Inputs!B153-1),"n.a.")</f>
        <v>0.45833333333333326</v>
      </c>
      <c r="C168" s="23">
        <f>IF(ISNUMBER(Inputs!C153),IF(OR(Inputs!C153&lt;=0,C167&lt;0),"n.m.",C167/Inputs!C153-1),"n.a.")</f>
        <v>0.1723849372384938</v>
      </c>
      <c r="D168" s="23">
        <f>IF(ISNUMBER(Inputs!D153),IF(OR(Inputs!D153&lt;=0,D167&lt;0),"n.m.",D167/Inputs!D153-1),"n.a.")</f>
        <v>0.26591021213616184</v>
      </c>
      <c r="E168" s="23">
        <f>IF(ISNUMBER(Inputs!E153),IF(OR(Inputs!E153&lt;=0,E167&lt;0),"n.m.",E167/Inputs!E153-1),"n.a.")</f>
        <v>0.2429178470254958</v>
      </c>
      <c r="F168" s="23">
        <f>IF(ISNUMBER(Inputs!F153),IF(OR(Inputs!F153&lt;=0,F167&lt;0),"n.m.",F167/Inputs!F153-1),"n.a.")</f>
        <v>0.9230064161319891</v>
      </c>
      <c r="G168" s="31">
        <f>IF(ISNUMBER(B167),IF(OR(B167&lt;=0,G167&lt;0),"n.m.",G167/B167-1),"n.a.")</f>
        <v>0.07550900045055231</v>
      </c>
      <c r="H168" s="22"/>
    </row>
    <row r="169">
      <c r="A169" s="7" t="s">
        <v>79</v>
      </c>
      <c r="B169" s="23">
        <f>IF(ISNUMBER(Inputs!F153),IF(OR(Inputs!F153&lt;=0,B167&lt;0),"n.m.",B167/Inputs!F153-1),"n.a.")</f>
        <v>0.12282309807516034</v>
      </c>
      <c r="C169" s="21">
        <f>IF(ISNUMBER(B167),IF(OR(B167&lt;=0,C167&lt;0),"n.m.",C167/B167-1),"n.a.")</f>
        <v>0.14367346938775505</v>
      </c>
      <c r="D169" s="21" t="str">
        <f>"n.a."</f>
        <v>n.a.</v>
      </c>
      <c r="E169" s="21">
        <f>IF(ISNUMBER(C167),IF(OR(C167&lt;=0,E167&lt;0),"n.m.",E167/C167-1),"n.a.")</f>
        <v>0.25267665952890805</v>
      </c>
      <c r="F169" s="21">
        <f>IF(ISNUMBER(E167),IF(OR(E167&lt;=0,F167&lt;0),"n.m.",F167/E167-1),"n.a.")</f>
        <v>0.19544159544159534</v>
      </c>
      <c r="G169" s="31">
        <f>IF(ISNUMBER(F167),IF(OR(F167&lt;=0,G167&lt;0),"n.m.",G167/F167-1),"n.a.")</f>
        <v>-0.37202167514207507</v>
      </c>
      <c r="H169" s="22"/>
    </row>
    <row r="170">
      <c r="A170" s="1" t="s">
        <v>80</v>
      </c>
      <c r="B170" s="8">
        <f>IF(ISNUMBER(Inputs!F153),B167-Inputs!F153,"n.a.")</f>
        <v>1.3399999999999999</v>
      </c>
      <c r="C170" s="3">
        <f>IF(ISNUMBER(B167),C167-B167,"n.a.")</f>
        <v>1.7599999999999998</v>
      </c>
      <c r="D170" s="3" t="str">
        <f>"n.a."</f>
        <v>n.a.</v>
      </c>
      <c r="E170" s="3">
        <f>IF(ISNUMBER(C167),E167-C167,"n.a.")</f>
        <v>3.540000000000001</v>
      </c>
      <c r="F170" s="3">
        <f>IF(ISNUMBER(E167),F167-E167,"n.a.")</f>
        <v>3.4299999999999997</v>
      </c>
      <c r="G170" s="29">
        <f>IF(ISNUMBER(F167),G167-F167,"n.a.")</f>
        <v>-7.805014744480735</v>
      </c>
      <c r="H170" s="22"/>
    </row>
    <row r="171">
      <c r="A171" s="1" t="s">
        <v>284</v>
      </c>
      <c r="B171" s="41" t="b">
        <f>ABS(B167-B165)&lt;=0.02</f>
        <v>1</v>
      </c>
      <c r="C171" s="41" t="b">
        <f>ABS(C167-C165)&lt;=0.02</f>
        <v>1</v>
      </c>
      <c r="D171" s="41" t="b">
        <f>ABS(D167-D165)&lt;=0.02</f>
        <v>1</v>
      </c>
      <c r="E171" s="41" t="b">
        <f>ABS(E167-E165)&lt;=0.02</f>
        <v>1</v>
      </c>
      <c r="F171" s="41" t="b">
        <f>ABS(F167-F165)&lt;=0.02</f>
        <v>1</v>
      </c>
      <c r="G171" s="70" t="b">
        <f>ABS(G167-G165)&lt;=0.02</f>
        <v>1</v>
      </c>
      <c r="H171" s="22" t="s">
        <v>285</v>
      </c>
    </row>
    <row r="172">
      <c r="A172" s="1"/>
      <c r="B172" s="1"/>
      <c r="C172" s="1"/>
      <c r="D172" s="1"/>
      <c r="E172" s="1"/>
      <c r="F172" s="1"/>
      <c r="G172" s="24"/>
      <c r="H172" s="22"/>
    </row>
    <row r="173">
      <c r="A173" s="17" t="s">
        <v>286</v>
      </c>
      <c r="B173" s="1"/>
      <c r="C173" s="1"/>
      <c r="D173" s="1"/>
      <c r="E173" s="1"/>
      <c r="F173" s="1"/>
      <c r="G173" s="24"/>
      <c r="H173" s="22"/>
    </row>
    <row r="174">
      <c r="A174" s="1" t="s">
        <v>287</v>
      </c>
      <c r="B174" s="3">
        <f>B156</f>
        <v>3860</v>
      </c>
      <c r="C174" s="3">
        <f>C156</f>
        <v>4384</v>
      </c>
      <c r="D174" s="3">
        <f>D156</f>
        <v>16300</v>
      </c>
      <c r="E174" s="3">
        <f>E156</f>
        <v>5403</v>
      </c>
      <c r="F174" s="3">
        <f>F156</f>
        <v>6399</v>
      </c>
      <c r="G174" s="29">
        <f>G156</f>
        <v>3976.1274070048785</v>
      </c>
      <c r="H174" s="22"/>
    </row>
    <row r="175">
      <c r="A175" s="1" t="s">
        <v>288</v>
      </c>
      <c r="B175" s="20">
        <v>0</v>
      </c>
      <c r="C175" s="20">
        <v>0</v>
      </c>
      <c r="D175" s="20">
        <v>0</v>
      </c>
      <c r="E175" s="20">
        <v>0</v>
      </c>
      <c r="F175" s="20">
        <v>0</v>
      </c>
      <c r="G175" s="51">
        <v>0</v>
      </c>
      <c r="H175" s="22" t="s">
        <v>289</v>
      </c>
    </row>
    <row r="176">
      <c r="A176" s="1" t="s">
        <v>290</v>
      </c>
      <c r="B176" s="20">
        <v>0</v>
      </c>
      <c r="C176" s="20">
        <v>0</v>
      </c>
      <c r="D176" s="20">
        <v>0</v>
      </c>
      <c r="E176" s="20">
        <v>0</v>
      </c>
      <c r="F176" s="20">
        <v>0</v>
      </c>
      <c r="G176" s="51">
        <v>0</v>
      </c>
      <c r="H176" s="22" t="s">
        <v>291</v>
      </c>
    </row>
    <row r="177">
      <c r="A177" s="1" t="s">
        <v>292</v>
      </c>
      <c r="B177" s="20">
        <v>0</v>
      </c>
      <c r="C177" s="20">
        <v>0</v>
      </c>
      <c r="D177" s="20">
        <v>0</v>
      </c>
      <c r="E177" s="20">
        <v>0</v>
      </c>
      <c r="F177" s="20">
        <v>0</v>
      </c>
      <c r="G177" s="51">
        <v>0</v>
      </c>
      <c r="H177" s="22" t="s">
        <v>293</v>
      </c>
    </row>
    <row r="178">
      <c r="A178" s="17" t="s">
        <v>294</v>
      </c>
      <c r="B178" s="26">
        <f>B174+B175+B176+B177</f>
        <v>3860</v>
      </c>
      <c r="C178" s="26">
        <f>C174+C175+C176+C177</f>
        <v>4384</v>
      </c>
      <c r="D178" s="26">
        <f>D174+D175+D176+D177</f>
        <v>16300</v>
      </c>
      <c r="E178" s="26">
        <f>E174+E175+E176+E177</f>
        <v>5403</v>
      </c>
      <c r="F178" s="26">
        <f>F174+F175+F176+F177</f>
        <v>6399</v>
      </c>
      <c r="G178" s="52">
        <f>G174+G175+G176+G177</f>
        <v>3976.1274070048785</v>
      </c>
      <c r="H178" s="22"/>
    </row>
    <row r="179">
      <c r="A179" s="17" t="s">
        <v>295</v>
      </c>
      <c r="B179" s="37">
        <f>B167+(B175+B176+B177)/B163</f>
        <v>12.25</v>
      </c>
      <c r="C179" s="37">
        <f>C167+(C175+C176+C177)/C163</f>
        <v>14.01</v>
      </c>
      <c r="D179" s="37">
        <f>D167+(D175+D176+D177)/D163</f>
        <v>51.32</v>
      </c>
      <c r="E179" s="37">
        <f>E167+(E175+E176+E177)/E163</f>
        <v>17.55</v>
      </c>
      <c r="F179" s="37">
        <f>F167+(F175+F176+F177)/F163</f>
        <v>20.98</v>
      </c>
      <c r="G179" s="69">
        <f>G167+(G175+G176+G177)/G163</f>
        <v>13.174985255519266</v>
      </c>
      <c r="H179" s="22" t="s">
        <v>296</v>
      </c>
    </row>
    <row r="180">
      <c r="A180" s="1" t="s">
        <v>297</v>
      </c>
      <c r="B180" s="44">
        <f>Inputs!D96</f>
        <v>12.25</v>
      </c>
      <c r="C180" s="44">
        <f>Inputs!D97</f>
        <v>14.01</v>
      </c>
      <c r="D180" s="38"/>
      <c r="E180" s="44">
        <f>Inputs!D98</f>
        <v>17.55</v>
      </c>
      <c r="F180" s="44">
        <f>Inputs!D99</f>
        <v>20.98</v>
      </c>
      <c r="G180" s="68"/>
      <c r="H180" s="22"/>
    </row>
    <row r="181">
      <c r="A181" s="1" t="s">
        <v>298</v>
      </c>
      <c r="B181" s="38">
        <f>B179-B180</f>
        <v>0</v>
      </c>
      <c r="C181" s="38">
        <f>C179-C180</f>
        <v>0</v>
      </c>
      <c r="D181" s="38"/>
      <c r="E181" s="38">
        <f>E179-E180</f>
        <v>0</v>
      </c>
      <c r="F181" s="38">
        <f>F179-F180</f>
        <v>0</v>
      </c>
      <c r="G181" s="68"/>
      <c r="H181" s="22"/>
    </row>
    <row r="182">
      <c r="A182" s="1" t="s">
        <v>299</v>
      </c>
      <c r="B182" s="44">
        <f>Inputs!C96</f>
        <v>10.63</v>
      </c>
      <c r="C182" s="44">
        <f>Inputs!C97</f>
        <v>11.76</v>
      </c>
      <c r="D182" s="38"/>
      <c r="E182" s="44">
        <f>Inputs!C98</f>
        <v>16.24</v>
      </c>
      <c r="F182" s="44">
        <f>Inputs!C99</f>
        <v>14.5</v>
      </c>
      <c r="G182" s="67">
        <f>Inputs!B22</f>
        <v>13.18</v>
      </c>
      <c r="H182" s="22"/>
    </row>
    <row r="183">
      <c r="A183" s="1" t="s">
        <v>300</v>
      </c>
      <c r="B183" s="38">
        <f>B179-B182</f>
        <v>1.6199999999999992</v>
      </c>
      <c r="C183" s="38">
        <f>C179-C182</f>
        <v>2.25</v>
      </c>
      <c r="D183" s="38"/>
      <c r="E183" s="38">
        <f>E179-E182</f>
        <v>1.3100000000000023</v>
      </c>
      <c r="F183" s="38">
        <f>F179-F182</f>
        <v>6.48</v>
      </c>
      <c r="G183" s="68">
        <f>G179-G182</f>
        <v>-0.005014744480734024</v>
      </c>
      <c r="H183" s="22"/>
    </row>
    <row r="184">
      <c r="A184" s="1"/>
      <c r="B184" s="1"/>
      <c r="C184" s="1"/>
      <c r="D184" s="1"/>
      <c r="E184" s="1"/>
      <c r="F184" s="1"/>
      <c r="G184" s="24"/>
      <c r="H184" s="22"/>
    </row>
    <row r="185">
      <c r="A185" s="17" t="s">
        <v>301</v>
      </c>
      <c r="B185" s="1"/>
      <c r="C185" s="1"/>
      <c r="D185" s="1"/>
      <c r="E185" s="1"/>
      <c r="F185" s="1"/>
      <c r="G185" s="24"/>
      <c r="H185" s="22"/>
    </row>
    <row r="186">
      <c r="A186" s="7" t="s">
        <v>302</v>
      </c>
      <c r="B186" s="21" t="s">
        <v>82</v>
      </c>
      <c r="C186" s="21" t="s">
        <v>82</v>
      </c>
      <c r="D186" s="21" t="s">
        <v>82</v>
      </c>
      <c r="E186" s="21" t="s">
        <v>82</v>
      </c>
      <c r="F186" s="21" t="s">
        <v>82</v>
      </c>
      <c r="G186" s="31" t="s">
        <v>82</v>
      </c>
      <c r="H186" s="22" t="s">
        <v>303</v>
      </c>
    </row>
    <row r="187">
      <c r="A187" s="92" t="s">
        <v>304</v>
      </c>
      <c r="B187" s="89" t="s">
        <v>305</v>
      </c>
      <c r="C187" s="89" t="s">
        <v>305</v>
      </c>
      <c r="D187" s="89" t="s">
        <v>305</v>
      </c>
      <c r="E187" s="89" t="s">
        <v>305</v>
      </c>
      <c r="F187" s="89" t="s">
        <v>305</v>
      </c>
      <c r="G187" s="94" t="s">
        <v>305</v>
      </c>
      <c r="H187" s="93" t="s">
        <v>306</v>
      </c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70"/>
  <sheetViews>
    <sheetView showGridLines="0" workbookViewId="0"/>
  </sheetViews>
  <sheetFormatPr defaultColWidth="8.42578125" defaultRowHeight="15"/>
  <cols>
    <col min="1" max="1" width="32" customWidth="1"/>
    <col min="2" max="7" width="12" customWidth="1"/>
    <col min="8" max="8" width="40" customWidth="1"/>
  </cols>
  <sheetData>
    <row r="1">
      <c r="A1" s="15" t="s">
        <v>0</v>
      </c>
      <c r="B1" s="1"/>
      <c r="C1" s="1"/>
      <c r="D1" s="1"/>
      <c r="E1" s="1"/>
      <c r="F1" s="1"/>
      <c r="G1" s="1"/>
      <c r="H1" s="1"/>
    </row>
    <row r="2">
      <c r="A2" s="17" t="s">
        <v>307</v>
      </c>
      <c r="B2" s="1"/>
      <c r="C2" s="1"/>
      <c r="D2" s="1"/>
      <c r="E2" s="1"/>
      <c r="F2" s="1"/>
      <c r="G2" s="1"/>
      <c r="H2" s="1"/>
    </row>
    <row r="3">
      <c r="A3" s="7" t="s">
        <v>2</v>
      </c>
      <c r="B3" s="1"/>
      <c r="C3" s="1"/>
      <c r="D3" s="1"/>
      <c r="E3" s="1"/>
      <c r="F3" s="1"/>
      <c r="G3" s="1"/>
      <c r="H3" s="1"/>
    </row>
    <row r="4">
      <c r="A4" s="1"/>
      <c r="B4" s="1"/>
      <c r="C4" s="1"/>
      <c r="D4" s="1"/>
      <c r="E4" s="1"/>
      <c r="F4" s="1"/>
      <c r="G4" s="1"/>
      <c r="H4" s="1"/>
    </row>
    <row r="5">
      <c r="A5" s="16" t="s">
        <v>65</v>
      </c>
      <c r="B5" s="2" t="s">
        <v>66</v>
      </c>
      <c r="C5" s="2" t="s">
        <v>67</v>
      </c>
      <c r="D5" s="2" t="s">
        <v>68</v>
      </c>
      <c r="E5" s="2" t="s">
        <v>69</v>
      </c>
      <c r="F5" s="2" t="s">
        <v>70</v>
      </c>
      <c r="G5" s="59" t="s">
        <v>71</v>
      </c>
      <c r="H5" s="16" t="s">
        <v>72</v>
      </c>
    </row>
    <row r="6">
      <c r="A6" s="11" t="s">
        <v>73</v>
      </c>
      <c r="B6" s="5">
        <f>DATE(2025,9,30)</f>
        <v>45930</v>
      </c>
      <c r="C6" s="5">
        <f>DATE(2025,12,31)</f>
        <v>46022</v>
      </c>
      <c r="D6" s="5">
        <f>DATE(2025,12,31)</f>
        <v>46022</v>
      </c>
      <c r="E6" s="5">
        <f>DATE(2026,3,31)</f>
        <v>46112</v>
      </c>
      <c r="F6" s="5">
        <f>DATE(2026,6,30)</f>
        <v>46203</v>
      </c>
      <c r="G6" s="43">
        <f>DATE(2026,9,30)</f>
        <v>46295</v>
      </c>
      <c r="H6" s="11"/>
    </row>
    <row r="7">
      <c r="A7" s="4" t="s">
        <v>74</v>
      </c>
      <c r="B7" s="12">
        <f>B6-DATE(2025,6,30)</f>
        <v>92</v>
      </c>
      <c r="C7" s="12">
        <f>C6-B6</f>
        <v>92</v>
      </c>
      <c r="D7" s="12">
        <f>D6-DATE(2024,12,31)</f>
        <v>365</v>
      </c>
      <c r="E7" s="12">
        <f>E6-C6</f>
        <v>90</v>
      </c>
      <c r="F7" s="12">
        <f>F6-E6</f>
        <v>91</v>
      </c>
      <c r="G7" s="55">
        <f>G6-F6</f>
        <v>92</v>
      </c>
      <c r="H7" s="4"/>
    </row>
    <row r="8">
      <c r="A8" s="1"/>
      <c r="B8" s="1"/>
      <c r="C8" s="1"/>
      <c r="D8" s="1"/>
      <c r="E8" s="1"/>
      <c r="F8" s="1"/>
      <c r="G8" s="1"/>
      <c r="H8" s="1"/>
    </row>
    <row r="9">
      <c r="A9" s="17" t="s">
        <v>308</v>
      </c>
      <c r="B9" s="1"/>
      <c r="C9" s="1"/>
      <c r="D9" s="1"/>
      <c r="E9" s="1"/>
      <c r="F9" s="1"/>
      <c r="G9" s="24"/>
      <c r="H9" s="22"/>
    </row>
    <row r="10">
      <c r="A10" s="1" t="s">
        <v>309</v>
      </c>
      <c r="B10" s="20">
        <v>169577</v>
      </c>
      <c r="C10" s="20">
        <v>164259</v>
      </c>
      <c r="D10" s="3">
        <f>C10</f>
        <v>164259</v>
      </c>
      <c r="E10" s="20">
        <v>179530</v>
      </c>
      <c r="F10" s="20">
        <v>187266</v>
      </c>
      <c r="G10" s="35">
        <f>'Cash Flow Statement'!G57</f>
        <v>187097.15896040294</v>
      </c>
      <c r="H10" s="22" t="s">
        <v>310</v>
      </c>
    </row>
    <row r="11">
      <c r="A11" s="1" t="s">
        <v>311</v>
      </c>
      <c r="B11" s="20">
        <v>129786</v>
      </c>
      <c r="C11" s="20">
        <v>126007</v>
      </c>
      <c r="D11" s="3">
        <f>C11</f>
        <v>126007</v>
      </c>
      <c r="E11" s="20">
        <v>152875</v>
      </c>
      <c r="F11" s="20">
        <v>121224</v>
      </c>
      <c r="G11" s="29">
        <f>F11</f>
        <v>121224</v>
      </c>
      <c r="H11" s="22" t="s">
        <v>310</v>
      </c>
    </row>
    <row r="12">
      <c r="A12" s="1" t="s">
        <v>312</v>
      </c>
      <c r="B12" s="20">
        <v>217708</v>
      </c>
      <c r="C12" s="20">
        <v>208208</v>
      </c>
      <c r="D12" s="3">
        <f>C12</f>
        <v>208208</v>
      </c>
      <c r="E12" s="20">
        <v>233083</v>
      </c>
      <c r="F12" s="20">
        <v>244599</v>
      </c>
      <c r="G12" s="29">
        <f>F12</f>
        <v>244599</v>
      </c>
      <c r="H12" s="22" t="s">
        <v>310</v>
      </c>
    </row>
    <row r="13">
      <c r="A13" s="1" t="s">
        <v>313</v>
      </c>
      <c r="B13" s="20">
        <v>176598</v>
      </c>
      <c r="C13" s="20">
        <v>185842</v>
      </c>
      <c r="D13" s="3">
        <f>C13</f>
        <v>185842</v>
      </c>
      <c r="E13" s="20">
        <v>209484</v>
      </c>
      <c r="F13" s="20">
        <v>230286</v>
      </c>
      <c r="G13" s="29">
        <f>F13</f>
        <v>230286</v>
      </c>
      <c r="H13" s="22" t="s">
        <v>310</v>
      </c>
    </row>
    <row r="14">
      <c r="A14" s="1" t="s">
        <v>314</v>
      </c>
      <c r="B14" s="20">
        <v>652585</v>
      </c>
      <c r="C14" s="20">
        <v>656796</v>
      </c>
      <c r="D14" s="3">
        <f>C14</f>
        <v>656796</v>
      </c>
      <c r="E14" s="20">
        <v>758018</v>
      </c>
      <c r="F14" s="20">
        <v>789083</v>
      </c>
      <c r="G14" s="29">
        <f>F14</f>
        <v>789083</v>
      </c>
      <c r="H14" s="22" t="s">
        <v>310</v>
      </c>
    </row>
    <row r="15">
      <c r="A15" s="1" t="s">
        <v>315</v>
      </c>
      <c r="B15" s="20">
        <v>103962</v>
      </c>
      <c r="C15" s="20">
        <v>99244</v>
      </c>
      <c r="D15" s="3">
        <f>C15</f>
        <v>99244</v>
      </c>
      <c r="E15" s="20">
        <v>137014</v>
      </c>
      <c r="F15" s="20">
        <v>155636</v>
      </c>
      <c r="G15" s="29">
        <f>F15</f>
        <v>155636</v>
      </c>
      <c r="H15" s="22" t="s">
        <v>310</v>
      </c>
    </row>
    <row r="16">
      <c r="A16" s="1" t="s">
        <v>316</v>
      </c>
      <c r="B16" s="20">
        <v>73632</v>
      </c>
      <c r="C16" s="20">
        <v>69193</v>
      </c>
      <c r="D16" s="3">
        <f>C16</f>
        <v>69193</v>
      </c>
      <c r="E16" s="20">
        <v>74889</v>
      </c>
      <c r="F16" s="20">
        <v>74658</v>
      </c>
      <c r="G16" s="29">
        <f>F16</f>
        <v>74658</v>
      </c>
      <c r="H16" s="22" t="s">
        <v>310</v>
      </c>
    </row>
    <row r="17">
      <c r="A17" s="1" t="s">
        <v>317</v>
      </c>
      <c r="B17" s="20">
        <v>26163</v>
      </c>
      <c r="C17" s="20">
        <v>25825</v>
      </c>
      <c r="D17" s="3">
        <f>C17</f>
        <v>25825</v>
      </c>
      <c r="E17" s="20">
        <v>25731</v>
      </c>
      <c r="F17" s="20">
        <v>25331</v>
      </c>
      <c r="G17" s="29">
        <f>F17</f>
        <v>25331</v>
      </c>
      <c r="H17" s="22" t="s">
        <v>310</v>
      </c>
    </row>
    <row r="18">
      <c r="A18" s="1" t="s">
        <v>318</v>
      </c>
      <c r="B18" s="20">
        <v>222379</v>
      </c>
      <c r="C18" s="20">
        <v>237734</v>
      </c>
      <c r="D18" s="3">
        <f>C18</f>
        <v>237734</v>
      </c>
      <c r="E18" s="20">
        <v>252849</v>
      </c>
      <c r="F18" s="20">
        <v>260888</v>
      </c>
      <c r="G18" s="35">
        <f>F18-'Income Statement'!G76</f>
        <v>260513</v>
      </c>
      <c r="H18" s="22" t="s">
        <v>310</v>
      </c>
    </row>
    <row r="19">
      <c r="A19" s="1" t="s">
        <v>319</v>
      </c>
      <c r="B19" s="20">
        <v>35592</v>
      </c>
      <c r="C19" s="20">
        <v>36212</v>
      </c>
      <c r="D19" s="3">
        <f>C19</f>
        <v>36212</v>
      </c>
      <c r="E19" s="20">
        <v>36707</v>
      </c>
      <c r="F19" s="20">
        <v>38740</v>
      </c>
      <c r="G19" s="35">
        <f>F19+'Cash Flow Statement'!G60-'Income Statement'!G101</f>
        <v>38775</v>
      </c>
      <c r="H19" s="22" t="s">
        <v>310</v>
      </c>
    </row>
    <row r="20">
      <c r="A20" s="17" t="s">
        <v>320</v>
      </c>
      <c r="B20" s="26">
        <f>B10+B11+B12+B13+B14+B15+B16+B17+B18+B19</f>
        <v>1807982</v>
      </c>
      <c r="C20" s="26">
        <f>C10+C11+C12+C13+C14+C15+C16+C17+C18+C19</f>
        <v>1809320</v>
      </c>
      <c r="D20" s="26">
        <f>D10+D11+D12+D13+D14+D15+D16+D17+D18+D19</f>
        <v>1809320</v>
      </c>
      <c r="E20" s="26">
        <f>E10+E11+E12+E13+E14+E15+E16+E17+E18+E19</f>
        <v>2060180</v>
      </c>
      <c r="F20" s="26">
        <f>F10+F11+F12+F13+F14+F15+F16+F17+F18+F19</f>
        <v>2127711</v>
      </c>
      <c r="G20" s="52">
        <f>G10+G11+G12+G13+G14+G15+G16+G17+G18+G19</f>
        <v>2127202.158960403</v>
      </c>
      <c r="H20" s="22"/>
    </row>
    <row r="21">
      <c r="A21" s="7" t="s">
        <v>78</v>
      </c>
      <c r="B21" s="21" t="str">
        <f>"n.a."</f>
        <v>n.a.</v>
      </c>
      <c r="C21" s="21" t="str">
        <f>"n.a."</f>
        <v>n.a.</v>
      </c>
      <c r="D21" s="21" t="str">
        <f>"n.a."</f>
        <v>n.a.</v>
      </c>
      <c r="E21" s="21" t="str">
        <f>"n.a."</f>
        <v>n.a.</v>
      </c>
      <c r="F21" s="21" t="str">
        <f>"n.a."</f>
        <v>n.a.</v>
      </c>
      <c r="G21" s="31">
        <f>IF(ISNUMBER(B20),IF(OR(B20&lt;=0,G20&lt;0),"n.m.",G20/B20-1),"n.a.")</f>
        <v>0.17656158023719426</v>
      </c>
      <c r="H21" s="22"/>
    </row>
    <row r="22">
      <c r="A22" s="7" t="s">
        <v>79</v>
      </c>
      <c r="B22" s="21" t="str">
        <f>"n.a."</f>
        <v>n.a.</v>
      </c>
      <c r="C22" s="21">
        <f>IF(ISNUMBER(B20),IF(OR(B20&lt;=0,C20&lt;0),"n.m.",C20/B20-1),"n.a.")</f>
        <v>0.0007400516155580128</v>
      </c>
      <c r="D22" s="21" t="str">
        <f>"n.a."</f>
        <v>n.a.</v>
      </c>
      <c r="E22" s="21">
        <f>IF(ISNUMBER(C20),IF(OR(C20&lt;=0,E20&lt;0),"n.m.",E20/C20-1),"n.a.")</f>
        <v>0.1386487741250857</v>
      </c>
      <c r="F22" s="21">
        <f>IF(ISNUMBER(E20),IF(OR(E20&lt;=0,F20&lt;0),"n.m.",F20/E20-1),"n.a.")</f>
        <v>0.03277917463522595</v>
      </c>
      <c r="G22" s="31">
        <f>IF(ISNUMBER(F20),IF(OR(F20&lt;=0,G20&lt;0),"n.m.",G20/F20-1),"n.a.")</f>
        <v>-0.0002391495083670092</v>
      </c>
      <c r="H22" s="22"/>
    </row>
    <row r="23">
      <c r="A23" s="1" t="s">
        <v>80</v>
      </c>
      <c r="B23" s="3" t="str">
        <f>"n.a."</f>
        <v>n.a.</v>
      </c>
      <c r="C23" s="3">
        <f>IF(ISNUMBER(B20),C20-B20,"n.a.")</f>
        <v>1338</v>
      </c>
      <c r="D23" s="3" t="str">
        <f>"n.a."</f>
        <v>n.a.</v>
      </c>
      <c r="E23" s="3">
        <f>IF(ISNUMBER(C20),E20-C20,"n.a.")</f>
        <v>250860</v>
      </c>
      <c r="F23" s="3">
        <f>IF(ISNUMBER(E20),F20-E20,"n.a.")</f>
        <v>67531</v>
      </c>
      <c r="G23" s="29">
        <f>IF(ISNUMBER(F20),G20-F20,"n.a.")</f>
        <v>-508.8410395970568</v>
      </c>
      <c r="H23" s="22"/>
    </row>
    <row r="24">
      <c r="A24" s="17" t="s">
        <v>321</v>
      </c>
      <c r="B24" s="1"/>
      <c r="C24" s="1"/>
      <c r="D24" s="1"/>
      <c r="E24" s="1"/>
      <c r="F24" s="1"/>
      <c r="G24" s="24"/>
      <c r="H24" s="22"/>
    </row>
    <row r="25">
      <c r="A25" s="1" t="s">
        <v>322</v>
      </c>
      <c r="B25" s="20">
        <v>490249</v>
      </c>
      <c r="C25" s="20">
        <v>501422</v>
      </c>
      <c r="D25" s="3">
        <f>C25</f>
        <v>501422</v>
      </c>
      <c r="E25" s="20">
        <v>561263</v>
      </c>
      <c r="F25" s="20">
        <v>557955</v>
      </c>
      <c r="G25" s="29">
        <f>F25</f>
        <v>557955</v>
      </c>
      <c r="H25" s="22" t="s">
        <v>310</v>
      </c>
    </row>
    <row r="26">
      <c r="A26" s="1" t="s">
        <v>323</v>
      </c>
      <c r="B26" s="20">
        <v>217797</v>
      </c>
      <c r="C26" s="20">
        <v>223384</v>
      </c>
      <c r="D26" s="3">
        <f>C26</f>
        <v>223384</v>
      </c>
      <c r="E26" s="20">
        <v>259452</v>
      </c>
      <c r="F26" s="20">
        <v>266855</v>
      </c>
      <c r="G26" s="29">
        <f>F26</f>
        <v>266855</v>
      </c>
      <c r="H26" s="22" t="s">
        <v>310</v>
      </c>
    </row>
    <row r="27">
      <c r="A27" s="1" t="s">
        <v>324</v>
      </c>
      <c r="B27" s="20">
        <v>57609</v>
      </c>
      <c r="C27" s="20">
        <v>53644</v>
      </c>
      <c r="D27" s="3">
        <f>C27</f>
        <v>53644</v>
      </c>
      <c r="E27" s="20">
        <v>55278</v>
      </c>
      <c r="F27" s="20">
        <v>55638</v>
      </c>
      <c r="G27" s="29">
        <f>F27</f>
        <v>55638</v>
      </c>
      <c r="H27" s="22" t="s">
        <v>310</v>
      </c>
    </row>
    <row r="28">
      <c r="A28" s="1" t="s">
        <v>325</v>
      </c>
      <c r="B28" s="20">
        <v>24784</v>
      </c>
      <c r="C28" s="20">
        <v>28021</v>
      </c>
      <c r="D28" s="3">
        <f>C28</f>
        <v>28021</v>
      </c>
      <c r="E28" s="20">
        <v>36336</v>
      </c>
      <c r="F28" s="20">
        <v>35081</v>
      </c>
      <c r="G28" s="29">
        <f>F28</f>
        <v>35081</v>
      </c>
      <c r="H28" s="22" t="s">
        <v>310</v>
      </c>
    </row>
    <row r="29">
      <c r="A29" s="1" t="s">
        <v>326</v>
      </c>
      <c r="B29" s="20">
        <v>256835</v>
      </c>
      <c r="C29" s="20">
        <v>231865</v>
      </c>
      <c r="D29" s="3">
        <f>C29</f>
        <v>231865</v>
      </c>
      <c r="E29" s="20">
        <v>293039</v>
      </c>
      <c r="F29" s="20">
        <v>300057</v>
      </c>
      <c r="G29" s="29">
        <f>F29</f>
        <v>300057</v>
      </c>
      <c r="H29" s="22" t="s">
        <v>310</v>
      </c>
    </row>
    <row r="30">
      <c r="A30" s="1" t="s">
        <v>327</v>
      </c>
      <c r="B30" s="20">
        <v>261830</v>
      </c>
      <c r="C30" s="20">
        <v>262552</v>
      </c>
      <c r="D30" s="3">
        <f>C30</f>
        <v>262552</v>
      </c>
      <c r="E30" s="20">
        <v>312220</v>
      </c>
      <c r="F30" s="20">
        <v>323783</v>
      </c>
      <c r="G30" s="29">
        <f>F30</f>
        <v>323783</v>
      </c>
      <c r="H30" s="22" t="s">
        <v>310</v>
      </c>
    </row>
    <row r="31">
      <c r="A31" s="1" t="s">
        <v>328</v>
      </c>
      <c r="B31" s="20">
        <v>72385</v>
      </c>
      <c r="C31" s="20">
        <v>70459</v>
      </c>
      <c r="D31" s="3">
        <f>C31</f>
        <v>70459</v>
      </c>
      <c r="E31" s="20">
        <v>80878</v>
      </c>
      <c r="F31" s="20">
        <v>89911</v>
      </c>
      <c r="G31" s="29">
        <f>F31</f>
        <v>89911</v>
      </c>
      <c r="H31" s="22" t="s">
        <v>310</v>
      </c>
    </row>
    <row r="32">
      <c r="A32" s="1" t="s">
        <v>329</v>
      </c>
      <c r="B32" s="20">
        <v>276914</v>
      </c>
      <c r="C32" s="20">
        <v>285500</v>
      </c>
      <c r="D32" s="3">
        <f>C32</f>
        <v>285500</v>
      </c>
      <c r="E32" s="20">
        <v>315426</v>
      </c>
      <c r="F32" s="20">
        <v>347963</v>
      </c>
      <c r="G32" s="29">
        <f>F32</f>
        <v>347963</v>
      </c>
      <c r="H32" s="22" t="s">
        <v>310</v>
      </c>
    </row>
    <row r="33">
      <c r="A33" s="1" t="s">
        <v>330</v>
      </c>
      <c r="B33" s="20">
        <v>25177</v>
      </c>
      <c r="C33" s="20">
        <v>27501</v>
      </c>
      <c r="D33" s="3">
        <f>C33</f>
        <v>27501</v>
      </c>
      <c r="E33" s="20">
        <v>23506</v>
      </c>
      <c r="F33" s="20">
        <v>27726</v>
      </c>
      <c r="G33" s="29">
        <f>F33</f>
        <v>27726</v>
      </c>
      <c r="H33" s="22" t="s">
        <v>310</v>
      </c>
    </row>
    <row r="34">
      <c r="A34" s="17" t="s">
        <v>331</v>
      </c>
      <c r="B34" s="26">
        <f>B25+B26+B27+B28+B29+B30+B31+B32+B33</f>
        <v>1683580</v>
      </c>
      <c r="C34" s="26">
        <f>C25+C26+C27+C28+C29+C30+C31+C32+C33</f>
        <v>1684348</v>
      </c>
      <c r="D34" s="26">
        <f>D25+D26+D27+D28+D29+D30+D31+D32+D33</f>
        <v>1684348</v>
      </c>
      <c r="E34" s="26">
        <f>E25+E26+E27+E28+E29+E30+E31+E32+E33</f>
        <v>1937398</v>
      </c>
      <c r="F34" s="26">
        <f>F25+F26+F27+F28+F29+F30+F31+F32+F33</f>
        <v>2004969</v>
      </c>
      <c r="G34" s="52">
        <f>G25+G26+G27+G28+G29+G30+G31+G32+G33</f>
        <v>2004969</v>
      </c>
      <c r="H34" s="22"/>
    </row>
    <row r="35">
      <c r="A35" s="17" t="s">
        <v>332</v>
      </c>
      <c r="B35" s="1"/>
      <c r="C35" s="1"/>
      <c r="D35" s="1"/>
      <c r="E35" s="1"/>
      <c r="F35" s="1"/>
      <c r="G35" s="24"/>
      <c r="H35" s="22"/>
    </row>
    <row r="36">
      <c r="A36" s="1" t="s">
        <v>333</v>
      </c>
      <c r="B36" s="20">
        <v>15153</v>
      </c>
      <c r="C36" s="20">
        <v>15153</v>
      </c>
      <c r="D36" s="3">
        <f>C36</f>
        <v>15153</v>
      </c>
      <c r="E36" s="20">
        <v>13703</v>
      </c>
      <c r="F36" s="20">
        <v>13028</v>
      </c>
      <c r="G36" s="29">
        <f>F36</f>
        <v>13028</v>
      </c>
      <c r="H36" s="22" t="s">
        <v>310</v>
      </c>
    </row>
    <row r="37">
      <c r="A37" s="1" t="s">
        <v>334</v>
      </c>
      <c r="B37" s="20">
        <v>9</v>
      </c>
      <c r="C37" s="20">
        <v>9</v>
      </c>
      <c r="D37" s="3">
        <f>C37</f>
        <v>9</v>
      </c>
      <c r="E37" s="20">
        <v>9</v>
      </c>
      <c r="F37" s="20">
        <v>9</v>
      </c>
      <c r="G37" s="29">
        <f>F37</f>
        <v>9</v>
      </c>
      <c r="H37" s="22" t="s">
        <v>310</v>
      </c>
    </row>
    <row r="38">
      <c r="A38" s="1" t="s">
        <v>335</v>
      </c>
      <c r="B38" s="20">
        <v>5555</v>
      </c>
      <c r="C38" s="20">
        <v>5795</v>
      </c>
      <c r="D38" s="3">
        <f>C38</f>
        <v>5795</v>
      </c>
      <c r="E38" s="20">
        <v>5798</v>
      </c>
      <c r="F38" s="20">
        <v>6038</v>
      </c>
      <c r="G38" s="29">
        <f>F38</f>
        <v>6038</v>
      </c>
      <c r="H38" s="22" t="s">
        <v>336</v>
      </c>
    </row>
    <row r="39">
      <c r="A39" s="1" t="s">
        <v>337</v>
      </c>
      <c r="B39" s="20">
        <v>61907</v>
      </c>
      <c r="C39" s="20">
        <v>61906</v>
      </c>
      <c r="D39" s="3">
        <f>C39</f>
        <v>61906</v>
      </c>
      <c r="E39" s="20">
        <v>61786</v>
      </c>
      <c r="F39" s="20">
        <v>62122</v>
      </c>
      <c r="G39" s="29">
        <f>F39</f>
        <v>62122</v>
      </c>
      <c r="H39" s="22" t="s">
        <v>310</v>
      </c>
    </row>
    <row r="40">
      <c r="A40" s="1" t="s">
        <v>338</v>
      </c>
      <c r="B40" s="20">
        <v>162143</v>
      </c>
      <c r="C40" s="20">
        <v>165288</v>
      </c>
      <c r="D40" s="3">
        <f>C40</f>
        <v>165288</v>
      </c>
      <c r="E40" s="20">
        <v>169316</v>
      </c>
      <c r="F40" s="20">
        <v>174352</v>
      </c>
      <c r="G40" s="35">
        <f>F40+'Income Statement'!G145-'Share Count'!G52-'Income Statement'!G152</f>
        <v>176843.15896040294</v>
      </c>
      <c r="H40" s="22" t="s">
        <v>310</v>
      </c>
    </row>
    <row r="41">
      <c r="A41" s="1" t="s">
        <v>339</v>
      </c>
      <c r="B41" s="20">
        <v>-2476</v>
      </c>
      <c r="C41" s="20">
        <v>-2260</v>
      </c>
      <c r="D41" s="3">
        <f>C41</f>
        <v>-2260</v>
      </c>
      <c r="E41" s="20">
        <v>-1912</v>
      </c>
      <c r="F41" s="20">
        <v>-2856</v>
      </c>
      <c r="G41" s="29">
        <f>F41</f>
        <v>-2856</v>
      </c>
      <c r="H41" s="22" t="s">
        <v>310</v>
      </c>
    </row>
    <row r="42">
      <c r="A42" s="1" t="s">
        <v>340</v>
      </c>
      <c r="B42" s="20">
        <v>-117889</v>
      </c>
      <c r="C42" s="20">
        <v>-120919</v>
      </c>
      <c r="D42" s="3">
        <f>C42</f>
        <v>-120919</v>
      </c>
      <c r="E42" s="20">
        <v>-125918</v>
      </c>
      <c r="F42" s="20">
        <v>-129951</v>
      </c>
      <c r="G42" s="35">
        <f>F42-'Share Count'!G11</f>
        <v>-132951</v>
      </c>
      <c r="H42" s="22" t="s">
        <v>310</v>
      </c>
    </row>
    <row r="43">
      <c r="A43" s="17" t="s">
        <v>341</v>
      </c>
      <c r="B43" s="26">
        <f>B36+B37+B38+B39+B40+B41+B42</f>
        <v>124402</v>
      </c>
      <c r="C43" s="26">
        <f>C36+C37+C38+C39+C40+C41+C42</f>
        <v>124972</v>
      </c>
      <c r="D43" s="26">
        <f>D36+D37+D38+D39+D40+D41+D42</f>
        <v>124972</v>
      </c>
      <c r="E43" s="26">
        <f>E36+E37+E38+E39+E40+E41+E42</f>
        <v>122782</v>
      </c>
      <c r="F43" s="26">
        <f>F36+F37+F38+F39+F40+F41+F42</f>
        <v>122742</v>
      </c>
      <c r="G43" s="52">
        <f>G36+G37+G38+G39+G40+G41+G42</f>
        <v>122233.15896040294</v>
      </c>
      <c r="H43" s="22"/>
    </row>
    <row r="44">
      <c r="A44" s="17" t="s">
        <v>342</v>
      </c>
      <c r="B44" s="26">
        <f>B34+B43</f>
        <v>1807982</v>
      </c>
      <c r="C44" s="26">
        <f>C34+C43</f>
        <v>1809320</v>
      </c>
      <c r="D44" s="26">
        <f>D34+D43</f>
        <v>1809320</v>
      </c>
      <c r="E44" s="26">
        <f>E34+E43</f>
        <v>2060180</v>
      </c>
      <c r="F44" s="26">
        <f>F34+F43</f>
        <v>2127711</v>
      </c>
      <c r="G44" s="52">
        <f>G34+G43</f>
        <v>2127202.158960403</v>
      </c>
      <c r="H44" s="22"/>
    </row>
    <row r="45">
      <c r="A45" s="1" t="s">
        <v>343</v>
      </c>
      <c r="B45" s="3">
        <f>B20-B34-B43</f>
        <v>0</v>
      </c>
      <c r="C45" s="3">
        <f>C20-C34-C43</f>
        <v>0</v>
      </c>
      <c r="D45" s="3">
        <f>D20-D34-D43</f>
        <v>0</v>
      </c>
      <c r="E45" s="3">
        <f>E20-E34-E43</f>
        <v>0</v>
      </c>
      <c r="F45" s="3">
        <f>F20-F34-F43</f>
        <v>0</v>
      </c>
      <c r="G45" s="29">
        <f>G20-G34-G43</f>
        <v>0</v>
      </c>
      <c r="H45" s="22"/>
    </row>
    <row r="46">
      <c r="A46" s="1"/>
      <c r="B46" s="1"/>
      <c r="C46" s="1"/>
      <c r="D46" s="1"/>
      <c r="E46" s="1"/>
      <c r="F46" s="1"/>
      <c r="G46" s="24"/>
      <c r="H46" s="22"/>
    </row>
    <row r="47">
      <c r="A47" s="17" t="s">
        <v>344</v>
      </c>
      <c r="B47" s="1"/>
      <c r="C47" s="1"/>
      <c r="D47" s="1"/>
      <c r="E47" s="1"/>
      <c r="F47" s="1"/>
      <c r="G47" s="24"/>
      <c r="H47" s="22"/>
    </row>
    <row r="48">
      <c r="A48" s="1" t="s">
        <v>345</v>
      </c>
      <c r="B48" s="3" t="str">
        <f>"n.a."</f>
        <v>n.a.</v>
      </c>
      <c r="C48" s="3">
        <f>(B18+C18)/2</f>
        <v>230056.5</v>
      </c>
      <c r="D48" s="3" t="str">
        <f>"n.a."</f>
        <v>n.a.</v>
      </c>
      <c r="E48" s="3">
        <f>(C18+E18)/2</f>
        <v>245291.5</v>
      </c>
      <c r="F48" s="3">
        <f>(E18+F18)/2</f>
        <v>256868.5</v>
      </c>
      <c r="G48" s="29">
        <f>(F18+G18)/2</f>
        <v>260700.5</v>
      </c>
      <c r="H48" s="22" t="s">
        <v>346</v>
      </c>
    </row>
    <row r="49">
      <c r="A49" s="7" t="s">
        <v>78</v>
      </c>
      <c r="B49" s="21" t="str">
        <f>"n.a."</f>
        <v>n.a.</v>
      </c>
      <c r="C49" s="21" t="str">
        <f>"n.a."</f>
        <v>n.a.</v>
      </c>
      <c r="D49" s="21" t="str">
        <f>"n.a."</f>
        <v>n.a.</v>
      </c>
      <c r="E49" s="21" t="str">
        <f>"n.a."</f>
        <v>n.a.</v>
      </c>
      <c r="F49" s="21" t="str">
        <f>"n.a."</f>
        <v>n.a.</v>
      </c>
      <c r="G49" s="31" t="str">
        <f>IF(ISNUMBER(B48),IF(OR(B48&lt;=0,G48&lt;0),"n.m.",G48/B48-1),"n.a.")</f>
        <v>n.a.</v>
      </c>
      <c r="H49" s="22"/>
    </row>
    <row r="50">
      <c r="A50" s="7" t="s">
        <v>79</v>
      </c>
      <c r="B50" s="21" t="str">
        <f>"n.a."</f>
        <v>n.a.</v>
      </c>
      <c r="C50" s="21" t="str">
        <f>IF(ISNUMBER(B48),IF(OR(B48&lt;=0,C48&lt;0),"n.m.",C48/B48-1),"n.a.")</f>
        <v>n.a.</v>
      </c>
      <c r="D50" s="21" t="str">
        <f>"n.a."</f>
        <v>n.a.</v>
      </c>
      <c r="E50" s="21">
        <f>IF(ISNUMBER(C48),IF(OR(C48&lt;=0,E48&lt;0),"n.m.",E48/C48-1),"n.a.")</f>
        <v>0.0662228626446113</v>
      </c>
      <c r="F50" s="21">
        <f>IF(ISNUMBER(E48),IF(OR(E48&lt;=0,F48&lt;0),"n.m.",F48/E48-1),"n.a.")</f>
        <v>0.047196906537731564</v>
      </c>
      <c r="G50" s="31">
        <f>IF(ISNUMBER(F48),IF(OR(F48&lt;=0,G48&lt;0),"n.m.",G48/F48-1),"n.a.")</f>
        <v>0.014918139047800816</v>
      </c>
      <c r="H50" s="22"/>
    </row>
    <row r="51">
      <c r="A51" s="1" t="s">
        <v>80</v>
      </c>
      <c r="B51" s="3" t="str">
        <f>"n.a."</f>
        <v>n.a.</v>
      </c>
      <c r="C51" s="3" t="str">
        <f>IF(ISNUMBER(B48),C48-B48,"n.a.")</f>
        <v>n.a.</v>
      </c>
      <c r="D51" s="3" t="str">
        <f>"n.a."</f>
        <v>n.a.</v>
      </c>
      <c r="E51" s="3">
        <f>IF(ISNUMBER(C48),E48-C48,"n.a.")</f>
        <v>15235</v>
      </c>
      <c r="F51" s="3">
        <f>IF(ISNUMBER(E48),F48-E48,"n.a.")</f>
        <v>11577</v>
      </c>
      <c r="G51" s="29">
        <f>IF(ISNUMBER(F48),G48-F48,"n.a.")</f>
        <v>3832</v>
      </c>
      <c r="H51" s="22"/>
    </row>
    <row r="52">
      <c r="A52" s="1" t="s">
        <v>347</v>
      </c>
      <c r="B52" s="3" t="str">
        <f>"n.a."</f>
        <v>n.a.</v>
      </c>
      <c r="C52" s="3">
        <f>(B25+C25)/2</f>
        <v>495835.5</v>
      </c>
      <c r="D52" s="3" t="str">
        <f>"n.a."</f>
        <v>n.a.</v>
      </c>
      <c r="E52" s="3">
        <f>(C25+E25)/2</f>
        <v>531342.5</v>
      </c>
      <c r="F52" s="3">
        <f>(E25+F25)/2</f>
        <v>559609</v>
      </c>
      <c r="G52" s="29">
        <f>(F25+G25)/2</f>
        <v>557955</v>
      </c>
      <c r="H52" s="22" t="s">
        <v>348</v>
      </c>
    </row>
    <row r="53">
      <c r="A53" s="7" t="s">
        <v>78</v>
      </c>
      <c r="B53" s="21" t="str">
        <f>"n.a."</f>
        <v>n.a.</v>
      </c>
      <c r="C53" s="21" t="str">
        <f>"n.a."</f>
        <v>n.a.</v>
      </c>
      <c r="D53" s="21" t="str">
        <f>"n.a."</f>
        <v>n.a.</v>
      </c>
      <c r="E53" s="21" t="str">
        <f>"n.a."</f>
        <v>n.a.</v>
      </c>
      <c r="F53" s="21" t="str">
        <f>"n.a."</f>
        <v>n.a.</v>
      </c>
      <c r="G53" s="31" t="str">
        <f>IF(ISNUMBER(B52),IF(OR(B52&lt;=0,G52&lt;0),"n.m.",G52/B52-1),"n.a.")</f>
        <v>n.a.</v>
      </c>
      <c r="H53" s="22"/>
    </row>
    <row r="54">
      <c r="A54" s="7" t="s">
        <v>79</v>
      </c>
      <c r="B54" s="21" t="str">
        <f>"n.a."</f>
        <v>n.a.</v>
      </c>
      <c r="C54" s="21" t="str">
        <f>IF(ISNUMBER(B52),IF(OR(B52&lt;=0,C52&lt;0),"n.m.",C52/B52-1),"n.a.")</f>
        <v>n.a.</v>
      </c>
      <c r="D54" s="21" t="str">
        <f>"n.a."</f>
        <v>n.a.</v>
      </c>
      <c r="E54" s="21">
        <f>IF(ISNUMBER(C52),IF(OR(C52&lt;=0,E52&lt;0),"n.m.",E52/C52-1),"n.a.")</f>
        <v>0.07161044338293654</v>
      </c>
      <c r="F54" s="21">
        <f>IF(ISNUMBER(E52),IF(OR(E52&lt;=0,F52&lt;0),"n.m.",F52/E52-1),"n.a.")</f>
        <v>0.05319826665474725</v>
      </c>
      <c r="G54" s="31">
        <f>IF(ISNUMBER(F52),IF(OR(F52&lt;=0,G52&lt;0),"n.m.",G52/F52-1),"n.a.")</f>
        <v>-0.002955635095218234</v>
      </c>
      <c r="H54" s="22"/>
    </row>
    <row r="55">
      <c r="A55" s="1" t="s">
        <v>80</v>
      </c>
      <c r="B55" s="3" t="str">
        <f>"n.a."</f>
        <v>n.a.</v>
      </c>
      <c r="C55" s="3" t="str">
        <f>IF(ISNUMBER(B52),C52-B52,"n.a.")</f>
        <v>n.a.</v>
      </c>
      <c r="D55" s="3" t="str">
        <f>"n.a."</f>
        <v>n.a.</v>
      </c>
      <c r="E55" s="3">
        <f>IF(ISNUMBER(C52),E52-C52,"n.a.")</f>
        <v>35507</v>
      </c>
      <c r="F55" s="3">
        <f>IF(ISNUMBER(E52),F52-E52,"n.a.")</f>
        <v>28266.5</v>
      </c>
      <c r="G55" s="29">
        <f>IF(ISNUMBER(F52),G52-F52,"n.a.")</f>
        <v>-1654</v>
      </c>
      <c r="H55" s="22"/>
    </row>
    <row r="56">
      <c r="A56" s="7" t="s">
        <v>349</v>
      </c>
      <c r="B56" s="21">
        <f>B18/B25</f>
        <v>0.45360418889176723</v>
      </c>
      <c r="C56" s="21">
        <f>C18/C25</f>
        <v>0.4741196038466601</v>
      </c>
      <c r="D56" s="21">
        <f>D18/D25</f>
        <v>0.4741196038466601</v>
      </c>
      <c r="E56" s="21">
        <f>E18/E25</f>
        <v>0.45050003296137464</v>
      </c>
      <c r="F56" s="21">
        <f>F18/F25</f>
        <v>0.46757892661594574</v>
      </c>
      <c r="G56" s="31">
        <f>G18/G25</f>
        <v>0.46690682940380496</v>
      </c>
      <c r="H56" s="22"/>
    </row>
    <row r="57">
      <c r="A57" s="7" t="s">
        <v>204</v>
      </c>
      <c r="B57" s="25" t="str">
        <f>"n.a."</f>
        <v>n.a.</v>
      </c>
      <c r="C57" s="25">
        <f>(C56-B56)*10000</f>
        <v>205.15414954892842</v>
      </c>
      <c r="D57" s="25" t="str">
        <f>"n.a."</f>
        <v>n.a.</v>
      </c>
      <c r="E57" s="25">
        <f>(E56-C56)*10000</f>
        <v>-236.19570885285435</v>
      </c>
      <c r="F57" s="25">
        <f>(F56-E56)*10000</f>
        <v>170.78893654571104</v>
      </c>
      <c r="G57" s="30">
        <f>(G56-F56)*10000</f>
        <v>-6.7209721214078755</v>
      </c>
      <c r="H57" s="22"/>
    </row>
    <row r="58">
      <c r="A58" s="7" t="s">
        <v>93</v>
      </c>
      <c r="B58" s="25" t="str">
        <f>"n.a."</f>
        <v>n.a.</v>
      </c>
      <c r="C58" s="25" t="str">
        <f>"n.a."</f>
        <v>n.a.</v>
      </c>
      <c r="D58" s="25" t="str">
        <f>"n.a."</f>
        <v>n.a.</v>
      </c>
      <c r="E58" s="25" t="str">
        <f>"n.a."</f>
        <v>n.a.</v>
      </c>
      <c r="F58" s="25" t="str">
        <f>"n.a."</f>
        <v>n.a.</v>
      </c>
      <c r="G58" s="30">
        <f>(G56-B56)*10000</f>
        <v>133.02640512037723</v>
      </c>
      <c r="H58" s="22"/>
    </row>
    <row r="59">
      <c r="A59" s="1" t="s">
        <v>350</v>
      </c>
      <c r="B59" s="3">
        <f>B43-B36</f>
        <v>109249</v>
      </c>
      <c r="C59" s="3">
        <f>C43-C36</f>
        <v>109819</v>
      </c>
      <c r="D59" s="3">
        <f>D43-D36</f>
        <v>109819</v>
      </c>
      <c r="E59" s="3">
        <f>E43-E36</f>
        <v>109079</v>
      </c>
      <c r="F59" s="3">
        <f>F43-F36</f>
        <v>109714</v>
      </c>
      <c r="G59" s="29">
        <f>G43-G36</f>
        <v>109205.15896040294</v>
      </c>
      <c r="H59" s="22"/>
    </row>
    <row r="60">
      <c r="A60" s="7" t="s">
        <v>78</v>
      </c>
      <c r="B60" s="21" t="str">
        <f>"n.a."</f>
        <v>n.a.</v>
      </c>
      <c r="C60" s="21" t="str">
        <f>"n.a."</f>
        <v>n.a.</v>
      </c>
      <c r="D60" s="21" t="str">
        <f>"n.a."</f>
        <v>n.a.</v>
      </c>
      <c r="E60" s="21" t="str">
        <f>"n.a."</f>
        <v>n.a.</v>
      </c>
      <c r="F60" s="21" t="str">
        <f>"n.a."</f>
        <v>n.a.</v>
      </c>
      <c r="G60" s="31">
        <f>IF(ISNUMBER(B59),IF(OR(B59&lt;=0,G59&lt;0),"n.m.",G59/B59-1),"n.a.")</f>
        <v>-0.00040129465347105153</v>
      </c>
      <c r="H60" s="22"/>
    </row>
    <row r="61">
      <c r="A61" s="7" t="s">
        <v>79</v>
      </c>
      <c r="B61" s="21" t="str">
        <f>"n.a."</f>
        <v>n.a.</v>
      </c>
      <c r="C61" s="21">
        <f>IF(ISNUMBER(B59),IF(OR(B59&lt;=0,C59&lt;0),"n.m.",C59/B59-1),"n.a.")</f>
        <v>0.00521743906122718</v>
      </c>
      <c r="D61" s="21" t="str">
        <f>"n.a."</f>
        <v>n.a.</v>
      </c>
      <c r="E61" s="21">
        <f>IF(ISNUMBER(C59),IF(OR(C59&lt;=0,E59&lt;0),"n.m.",E59/C59-1),"n.a.")</f>
        <v>-0.006738360393010345</v>
      </c>
      <c r="F61" s="21">
        <f>IF(ISNUMBER(E59),IF(OR(E59&lt;=0,F59&lt;0),"n.m.",F59/E59-1),"n.a.")</f>
        <v>0.005821468843682176</v>
      </c>
      <c r="G61" s="31">
        <f>IF(ISNUMBER(F59),IF(OR(F59&lt;=0,G59&lt;0),"n.m.",G59/F59-1),"n.a.")</f>
        <v>-0.004637886136655833</v>
      </c>
      <c r="H61" s="22"/>
    </row>
    <row r="62">
      <c r="A62" s="1" t="s">
        <v>80</v>
      </c>
      <c r="B62" s="3" t="str">
        <f>"n.a."</f>
        <v>n.a.</v>
      </c>
      <c r="C62" s="3">
        <f>IF(ISNUMBER(B59),C59-B59,"n.a.")</f>
        <v>570</v>
      </c>
      <c r="D62" s="3" t="str">
        <f>"n.a."</f>
        <v>n.a.</v>
      </c>
      <c r="E62" s="3">
        <f>IF(ISNUMBER(C59),E59-C59,"n.a.")</f>
        <v>-740</v>
      </c>
      <c r="F62" s="3">
        <f>IF(ISNUMBER(E59),F59-E59,"n.a.")</f>
        <v>635</v>
      </c>
      <c r="G62" s="29">
        <f>IF(ISNUMBER(F59),G59-F59,"n.a.")</f>
        <v>-508.8410395970568</v>
      </c>
      <c r="H62" s="22"/>
    </row>
    <row r="63">
      <c r="A63" s="1" t="s">
        <v>351</v>
      </c>
      <c r="B63" s="44">
        <f>B59/'Share Count'!B27</f>
        <v>353.78562176165804</v>
      </c>
      <c r="C63" s="44">
        <f>C59/'Share Count'!C27</f>
        <v>357.60013025073266</v>
      </c>
      <c r="D63" s="44">
        <f>D59/'Share Count'!D27</f>
        <v>357.60013025073266</v>
      </c>
      <c r="E63" s="44">
        <f>E59/'Share Count'!E27</f>
        <v>361.1887417218543</v>
      </c>
      <c r="F63" s="44">
        <f>F59/'Share Count'!F27</f>
        <v>367.6742627345845</v>
      </c>
      <c r="G63" s="67">
        <f>G59/'Share Count'!G27</f>
        <v>369.45135973859857</v>
      </c>
      <c r="H63" s="22"/>
    </row>
    <row r="64">
      <c r="A64" s="7" t="s">
        <v>78</v>
      </c>
      <c r="B64" s="21" t="str">
        <f>"n.a."</f>
        <v>n.a.</v>
      </c>
      <c r="C64" s="21" t="str">
        <f>"n.a."</f>
        <v>n.a.</v>
      </c>
      <c r="D64" s="21" t="str">
        <f>"n.a."</f>
        <v>n.a.</v>
      </c>
      <c r="E64" s="21" t="str">
        <f>"n.a."</f>
        <v>n.a.</v>
      </c>
      <c r="F64" s="21" t="str">
        <f>"n.a."</f>
        <v>n.a.</v>
      </c>
      <c r="G64" s="31">
        <f>IF(ISNUMBER(B63),IF(OR(B63&lt;=0,G63&lt;0),"n.m.",G63/B63-1),"n.a.")</f>
        <v>0.044280312746837414</v>
      </c>
      <c r="H64" s="22"/>
    </row>
    <row r="65">
      <c r="A65" s="7" t="s">
        <v>79</v>
      </c>
      <c r="B65" s="21" t="str">
        <f>"n.a."</f>
        <v>n.a.</v>
      </c>
      <c r="C65" s="21">
        <f>IF(ISNUMBER(B63),IF(OR(B63&lt;=0,C63&lt;0),"n.m.",C63/B63-1),"n.a.")</f>
        <v>0.010781977147857225</v>
      </c>
      <c r="D65" s="21" t="str">
        <f>"n.a."</f>
        <v>n.a.</v>
      </c>
      <c r="E65" s="21">
        <f>IF(ISNUMBER(C63),IF(OR(C63&lt;=0,E63&lt;0),"n.m.",E63/C63-1),"n.a.")</f>
        <v>0.010035263322206944</v>
      </c>
      <c r="F65" s="21">
        <f>IF(ISNUMBER(E63),IF(OR(E63&lt;=0,F63&lt;0),"n.m.",F63/E63-1),"n.a.")</f>
        <v>0.017956044205067245</v>
      </c>
      <c r="G65" s="31">
        <f>IF(ISNUMBER(F63),IF(OR(F63&lt;=0,G63&lt;0),"n.m.",G63/F63-1),"n.a.")</f>
        <v>0.004833346209214939</v>
      </c>
      <c r="H65" s="22"/>
    </row>
    <row r="66">
      <c r="A66" s="1" t="s">
        <v>80</v>
      </c>
      <c r="B66" s="3" t="str">
        <f>"n.a."</f>
        <v>n.a.</v>
      </c>
      <c r="C66" s="3">
        <f>IF(ISNUMBER(B63),C63-B63,"n.a.")</f>
        <v>3.814508489074626</v>
      </c>
      <c r="D66" s="3" t="str">
        <f>"n.a."</f>
        <v>n.a.</v>
      </c>
      <c r="E66" s="3">
        <f>IF(ISNUMBER(C63),E63-C63,"n.a.")</f>
        <v>3.5886114711216237</v>
      </c>
      <c r="F66" s="3">
        <f>IF(ISNUMBER(E63),F63-E63,"n.a.")</f>
        <v>6.485521012730203</v>
      </c>
      <c r="G66" s="29">
        <f>IF(ISNUMBER(F63),G63-F63,"n.a.")</f>
        <v>1.777097004014081</v>
      </c>
      <c r="H66" s="22"/>
    </row>
    <row r="67">
      <c r="A67" s="1" t="s">
        <v>352</v>
      </c>
      <c r="B67" s="32">
        <v>353.79</v>
      </c>
      <c r="C67" s="32">
        <v>357.6</v>
      </c>
      <c r="D67" s="32">
        <v>357.6</v>
      </c>
      <c r="E67" s="32">
        <v>361.19</v>
      </c>
      <c r="F67" s="32">
        <v>367.67</v>
      </c>
      <c r="G67" s="68"/>
      <c r="H67" s="22" t="s">
        <v>234</v>
      </c>
    </row>
    <row r="68">
      <c r="A68" s="7" t="s">
        <v>353</v>
      </c>
      <c r="B68" s="21" t="str">
        <f>"n.a."</f>
        <v>n.a.</v>
      </c>
      <c r="C68" s="23">
        <f>'Income Statement'!C156*365/C$7/((B59+C59)/2)</f>
        <v>0.15879127465682683</v>
      </c>
      <c r="D68" s="21" t="str">
        <f>"n.a."</f>
        <v>n.a.</v>
      </c>
      <c r="E68" s="23">
        <f>'Income Statement'!E156*365/E$7/((C59+E59)/2)</f>
        <v>0.20020435697600406</v>
      </c>
      <c r="F68" s="23">
        <f>'Income Statement'!F156*365/F$7/((E59+F59)/2)</f>
        <v>0.23461736601553687</v>
      </c>
      <c r="G68" s="49">
        <f>'Income Statement'!G156*365/G$7/((F59+G59)/2)</f>
        <v>0.14411578570319197</v>
      </c>
      <c r="H68" s="22" t="s">
        <v>354</v>
      </c>
    </row>
    <row r="69">
      <c r="A69" s="7" t="s">
        <v>93</v>
      </c>
      <c r="B69" s="25" t="str">
        <f>"n.a."</f>
        <v>n.a.</v>
      </c>
      <c r="C69" s="25" t="str">
        <f>"n.a."</f>
        <v>n.a.</v>
      </c>
      <c r="D69" s="25" t="str">
        <f>"n.a."</f>
        <v>n.a.</v>
      </c>
      <c r="E69" s="25" t="str">
        <f>"n.a."</f>
        <v>n.a.</v>
      </c>
      <c r="F69" s="25" t="str">
        <f>"n.a."</f>
        <v>n.a.</v>
      </c>
      <c r="G69" s="30" t="str">
        <f>IF(AND(ISNUMBER(G68),ISNUMBER(B68)),(G68-B68)*10000,"n.a.")</f>
        <v>n.a.</v>
      </c>
      <c r="H69" s="22"/>
    </row>
    <row r="70">
      <c r="A70" s="7" t="s">
        <v>204</v>
      </c>
      <c r="B70" s="25" t="str">
        <f>"n.a."</f>
        <v>n.a.</v>
      </c>
      <c r="C70" s="25" t="str">
        <f>"n.a."</f>
        <v>n.a.</v>
      </c>
      <c r="D70" s="25" t="str">
        <f>"n.a."</f>
        <v>n.a.</v>
      </c>
      <c r="E70" s="25">
        <f>(E68-C68)*10000</f>
        <v>414.1308231917723</v>
      </c>
      <c r="F70" s="25">
        <f>(F68-E68)*10000</f>
        <v>344.1300903953282</v>
      </c>
      <c r="G70" s="30">
        <f>(G68-F68)*10000</f>
        <v>-905.015803123449</v>
      </c>
      <c r="H70" s="22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H66"/>
  <sheetViews>
    <sheetView showGridLines="0" workbookViewId="0"/>
  </sheetViews>
  <sheetFormatPr defaultColWidth="8.42578125" defaultRowHeight="15"/>
  <cols>
    <col min="1" max="1" width="32" customWidth="1"/>
    <col min="2" max="7" width="12" customWidth="1"/>
    <col min="8" max="8" width="40" customWidth="1"/>
  </cols>
  <sheetData>
    <row r="1">
      <c r="A1" s="15" t="s">
        <v>0</v>
      </c>
      <c r="B1" s="1"/>
      <c r="C1" s="1"/>
      <c r="D1" s="1"/>
      <c r="E1" s="1"/>
      <c r="F1" s="1"/>
      <c r="G1" s="1"/>
      <c r="H1" s="1"/>
    </row>
    <row r="2">
      <c r="A2" s="17" t="s">
        <v>355</v>
      </c>
      <c r="B2" s="1"/>
      <c r="C2" s="1"/>
      <c r="D2" s="1"/>
      <c r="E2" s="1"/>
      <c r="F2" s="1"/>
      <c r="G2" s="1"/>
      <c r="H2" s="1"/>
    </row>
    <row r="3">
      <c r="A3" s="7" t="s">
        <v>2</v>
      </c>
      <c r="B3" s="1"/>
      <c r="C3" s="1"/>
      <c r="D3" s="1"/>
      <c r="E3" s="1"/>
      <c r="F3" s="1"/>
      <c r="G3" s="1"/>
      <c r="H3" s="1"/>
    </row>
    <row r="4">
      <c r="A4" s="1"/>
      <c r="B4" s="1"/>
      <c r="C4" s="1"/>
      <c r="D4" s="1"/>
      <c r="E4" s="1"/>
      <c r="F4" s="1"/>
      <c r="G4" s="1"/>
      <c r="H4" s="1"/>
    </row>
    <row r="5">
      <c r="A5" s="16" t="s">
        <v>65</v>
      </c>
      <c r="B5" s="2" t="s">
        <v>66</v>
      </c>
      <c r="C5" s="2" t="s">
        <v>67</v>
      </c>
      <c r="D5" s="2" t="s">
        <v>68</v>
      </c>
      <c r="E5" s="2" t="s">
        <v>69</v>
      </c>
      <c r="F5" s="2" t="s">
        <v>70</v>
      </c>
      <c r="G5" s="59" t="s">
        <v>71</v>
      </c>
      <c r="H5" s="16" t="s">
        <v>72</v>
      </c>
    </row>
    <row r="6">
      <c r="A6" s="11" t="s">
        <v>73</v>
      </c>
      <c r="B6" s="5">
        <f>DATE(2025,9,30)</f>
        <v>45930</v>
      </c>
      <c r="C6" s="5">
        <f>DATE(2025,12,31)</f>
        <v>46022</v>
      </c>
      <c r="D6" s="5">
        <f>DATE(2025,12,31)</f>
        <v>46022</v>
      </c>
      <c r="E6" s="5">
        <f>DATE(2026,3,31)</f>
        <v>46112</v>
      </c>
      <c r="F6" s="5">
        <f>DATE(2026,6,30)</f>
        <v>46203</v>
      </c>
      <c r="G6" s="43">
        <f>DATE(2026,9,30)</f>
        <v>46295</v>
      </c>
      <c r="H6" s="11"/>
    </row>
    <row r="7">
      <c r="A7" s="4" t="s">
        <v>74</v>
      </c>
      <c r="B7" s="12">
        <f>B6-DATE(2025,6,30)</f>
        <v>92</v>
      </c>
      <c r="C7" s="12">
        <f>C6-B6</f>
        <v>92</v>
      </c>
      <c r="D7" s="12">
        <f>D6-DATE(2024,12,31)</f>
        <v>365</v>
      </c>
      <c r="E7" s="12">
        <f>E6-C6</f>
        <v>90</v>
      </c>
      <c r="F7" s="12">
        <f>F6-E6</f>
        <v>91</v>
      </c>
      <c r="G7" s="55">
        <f>G6-F6</f>
        <v>92</v>
      </c>
      <c r="H7" s="4"/>
    </row>
    <row r="8">
      <c r="A8" s="1"/>
      <c r="B8" s="1"/>
      <c r="C8" s="1"/>
      <c r="D8" s="1"/>
      <c r="E8" s="1"/>
      <c r="F8" s="1"/>
      <c r="G8" s="1"/>
      <c r="H8" s="1"/>
    </row>
    <row r="9">
      <c r="A9" s="17" t="s">
        <v>356</v>
      </c>
      <c r="B9" s="1"/>
      <c r="C9" s="1"/>
      <c r="D9" s="1"/>
      <c r="E9" s="1"/>
      <c r="F9" s="1"/>
      <c r="G9" s="24"/>
      <c r="H9" s="22"/>
    </row>
    <row r="10">
      <c r="A10" s="1" t="s">
        <v>357</v>
      </c>
      <c r="B10" s="8">
        <f>Inputs!C175-Inputs!B175</f>
        <v>4098</v>
      </c>
      <c r="C10" s="8">
        <f>Inputs!D175-Inputs!C175</f>
        <v>4617</v>
      </c>
      <c r="D10" s="8">
        <f>Inputs!D175</f>
        <v>17176</v>
      </c>
      <c r="E10" s="8">
        <f>Inputs!E175</f>
        <v>5630</v>
      </c>
      <c r="F10" s="8">
        <f>Inputs!F175-Inputs!E175</f>
        <v>6628</v>
      </c>
      <c r="G10" s="35">
        <f>'Income Statement'!G145</f>
        <v>4196.1274070048785</v>
      </c>
      <c r="H10" s="22" t="s">
        <v>358</v>
      </c>
    </row>
    <row r="11">
      <c r="A11" s="1" t="s">
        <v>255</v>
      </c>
      <c r="B11" s="8">
        <f>Inputs!C176-Inputs!B176</f>
        <v>531</v>
      </c>
      <c r="C11" s="8">
        <f>Inputs!D176-Inputs!C176</f>
        <v>527</v>
      </c>
      <c r="D11" s="8">
        <f>Inputs!D176</f>
        <v>2182</v>
      </c>
      <c r="E11" s="8">
        <f>Inputs!E176</f>
        <v>495</v>
      </c>
      <c r="F11" s="8">
        <f>Inputs!F176-Inputs!E176</f>
        <v>509</v>
      </c>
      <c r="G11" s="35">
        <f>'Income Statement'!G101</f>
        <v>515</v>
      </c>
      <c r="H11" s="22"/>
    </row>
    <row r="12">
      <c r="A12" s="1" t="s">
        <v>359</v>
      </c>
      <c r="B12" s="8">
        <f>Inputs!C177-Inputs!B177</f>
        <v>49</v>
      </c>
      <c r="C12" s="8">
        <f>Inputs!D177-Inputs!C177</f>
        <v>357</v>
      </c>
      <c r="D12" s="8">
        <f>Inputs!D177</f>
        <v>204</v>
      </c>
      <c r="E12" s="8">
        <f>Inputs!E177</f>
        <v>-47</v>
      </c>
      <c r="F12" s="8">
        <f>Inputs!F177-Inputs!E177</f>
        <v>-441</v>
      </c>
      <c r="G12" s="51">
        <v>0</v>
      </c>
      <c r="H12" s="22" t="s">
        <v>360</v>
      </c>
    </row>
    <row r="13">
      <c r="A13" s="1" t="s">
        <v>361</v>
      </c>
      <c r="B13" s="8">
        <f>Inputs!C178-Inputs!B178</f>
        <v>237</v>
      </c>
      <c r="C13" s="8">
        <f>Inputs!D178-Inputs!C178</f>
        <v>258</v>
      </c>
      <c r="D13" s="8">
        <f>Inputs!D178</f>
        <v>3445</v>
      </c>
      <c r="E13" s="8">
        <f>Inputs!E178</f>
        <v>2530</v>
      </c>
      <c r="F13" s="8">
        <f>Inputs!F178-Inputs!E178</f>
        <v>439</v>
      </c>
      <c r="G13" s="51">
        <v>0</v>
      </c>
      <c r="H13" s="22" t="s">
        <v>362</v>
      </c>
    </row>
    <row r="14">
      <c r="A14" s="1" t="s">
        <v>363</v>
      </c>
      <c r="B14" s="8">
        <f>Inputs!C179-Inputs!B179</f>
        <v>339</v>
      </c>
      <c r="C14" s="8">
        <f>Inputs!D179-Inputs!C179</f>
        <v>-2123</v>
      </c>
      <c r="D14" s="8">
        <f>Inputs!D179</f>
        <v>-1113</v>
      </c>
      <c r="E14" s="8">
        <f>Inputs!E179</f>
        <v>315</v>
      </c>
      <c r="F14" s="8">
        <f>Inputs!F179-Inputs!E179</f>
        <v>102</v>
      </c>
      <c r="G14" s="35">
        <f>'Income Statement'!G76</f>
        <v>375</v>
      </c>
      <c r="H14" s="22"/>
    </row>
    <row r="15">
      <c r="A15" s="1" t="s">
        <v>364</v>
      </c>
      <c r="B15" s="8">
        <f>Inputs!C180-Inputs!B180</f>
        <v>1132</v>
      </c>
      <c r="C15" s="8">
        <f>Inputs!D180-Inputs!C180</f>
        <v>-32630</v>
      </c>
      <c r="D15" s="8">
        <f>Inputs!D180</f>
        <v>-43206</v>
      </c>
      <c r="E15" s="8">
        <f>Inputs!E180</f>
        <v>36161</v>
      </c>
      <c r="F15" s="8">
        <f>Inputs!F180-Inputs!E180</f>
        <v>-12250</v>
      </c>
      <c r="G15" s="51">
        <v>0</v>
      </c>
      <c r="H15" s="22" t="s">
        <v>360</v>
      </c>
    </row>
    <row r="16">
      <c r="A16" s="1" t="s">
        <v>365</v>
      </c>
      <c r="B16" s="8">
        <f>Inputs!C181-Inputs!B181</f>
        <v>6252</v>
      </c>
      <c r="C16" s="8">
        <f>Inputs!D181-Inputs!C181</f>
        <v>14930</v>
      </c>
      <c r="D16" s="8">
        <f>Inputs!D181</f>
        <v>-12891</v>
      </c>
      <c r="E16" s="8">
        <f>Inputs!E181</f>
        <v>-14041</v>
      </c>
      <c r="F16" s="8">
        <f>Inputs!F181-Inputs!E181</f>
        <v>27738</v>
      </c>
      <c r="G16" s="51">
        <v>0</v>
      </c>
      <c r="H16" s="22" t="s">
        <v>360</v>
      </c>
    </row>
    <row r="17">
      <c r="A17" s="1" t="s">
        <v>314</v>
      </c>
      <c r="B17" s="8">
        <f>Inputs!C182-Inputs!B182</f>
        <v>-19263</v>
      </c>
      <c r="C17" s="8">
        <f>Inputs!D182-Inputs!C182</f>
        <v>-2978</v>
      </c>
      <c r="D17" s="8">
        <f>Inputs!D182</f>
        <v>-69866</v>
      </c>
      <c r="E17" s="8">
        <f>Inputs!E182</f>
        <v>-104035</v>
      </c>
      <c r="F17" s="8">
        <f>Inputs!F182-Inputs!E182</f>
        <v>-28542</v>
      </c>
      <c r="G17" s="51">
        <v>0</v>
      </c>
      <c r="H17" s="22" t="s">
        <v>360</v>
      </c>
    </row>
    <row r="18">
      <c r="A18" s="1" t="s">
        <v>327</v>
      </c>
      <c r="B18" s="8">
        <f>Inputs!C183-Inputs!B183</f>
        <v>8335</v>
      </c>
      <c r="C18" s="8">
        <f>Inputs!D183-Inputs!C183</f>
        <v>-569</v>
      </c>
      <c r="D18" s="8">
        <f>Inputs!D183</f>
        <v>57560</v>
      </c>
      <c r="E18" s="8">
        <f>Inputs!E183</f>
        <v>48637</v>
      </c>
      <c r="F18" s="8">
        <f>Inputs!F183-Inputs!E183</f>
        <v>7723</v>
      </c>
      <c r="G18" s="51">
        <v>0</v>
      </c>
      <c r="H18" s="22" t="s">
        <v>360</v>
      </c>
    </row>
    <row r="19">
      <c r="A19" s="1" t="s">
        <v>366</v>
      </c>
      <c r="B19" s="8">
        <f>Inputs!C184-Inputs!B184</f>
        <v>632</v>
      </c>
      <c r="C19" s="8">
        <f>Inputs!D184-Inputs!C184</f>
        <v>125</v>
      </c>
      <c r="D19" s="8">
        <f>Inputs!D184</f>
        <v>-504</v>
      </c>
      <c r="E19" s="8">
        <f>Inputs!E184</f>
        <v>-2008</v>
      </c>
      <c r="F19" s="8">
        <f>Inputs!F184-Inputs!E184</f>
        <v>-336</v>
      </c>
      <c r="G19" s="51">
        <v>0</v>
      </c>
      <c r="H19" s="22" t="s">
        <v>360</v>
      </c>
    </row>
    <row r="20">
      <c r="A20" s="1" t="s">
        <v>367</v>
      </c>
      <c r="B20" s="8">
        <f>Inputs!C185-Inputs!B185</f>
        <v>338</v>
      </c>
      <c r="C20" s="8">
        <f>Inputs!D185-Inputs!C185</f>
        <v>1210</v>
      </c>
      <c r="D20" s="8">
        <f>Inputs!D185</f>
        <v>1859</v>
      </c>
      <c r="E20" s="8">
        <f>Inputs!E185</f>
        <v>-5505</v>
      </c>
      <c r="F20" s="8">
        <f>Inputs!F185-Inputs!E185</f>
        <v>4535</v>
      </c>
      <c r="G20" s="51">
        <v>0</v>
      </c>
      <c r="H20" s="22" t="s">
        <v>360</v>
      </c>
    </row>
    <row r="21">
      <c r="A21" s="17" t="s">
        <v>368</v>
      </c>
      <c r="B21" s="26">
        <f>B10+B11+B12+B13+B14+B15+B16+B17+B18+B19+B20</f>
        <v>2680</v>
      </c>
      <c r="C21" s="26">
        <f>C10+C11+C12+C13+C14+C15+C16+C17+C18+C19+C20</f>
        <v>-16276</v>
      </c>
      <c r="D21" s="26">
        <f>D10+D11+D12+D13+D14+D15+D16+D17+D18+D19+D20</f>
        <v>-45154</v>
      </c>
      <c r="E21" s="26">
        <f>E10+E11+E12+E13+E14+E15+E16+E17+E18+E19+E20</f>
        <v>-31868</v>
      </c>
      <c r="F21" s="26">
        <f>F10+F11+F12+F13+F14+F15+F16+F17+F18+F19+F20</f>
        <v>6105</v>
      </c>
      <c r="G21" s="52">
        <f>G10+G11+G12+G13+G14+G15+G16+G17+G18+G19+G20</f>
        <v>5086.1274070048785</v>
      </c>
      <c r="H21" s="22" t="s">
        <v>369</v>
      </c>
    </row>
    <row r="22">
      <c r="A22" s="7" t="s">
        <v>78</v>
      </c>
      <c r="B22" s="21" t="str">
        <f>"n.a."</f>
        <v>n.a.</v>
      </c>
      <c r="C22" s="21" t="str">
        <f>"n.a."</f>
        <v>n.a.</v>
      </c>
      <c r="D22" s="21" t="str">
        <f>"n.a."</f>
        <v>n.a.</v>
      </c>
      <c r="E22" s="21" t="str">
        <f>"n.a."</f>
        <v>n.a.</v>
      </c>
      <c r="F22" s="21" t="str">
        <f>"n.a."</f>
        <v>n.a.</v>
      </c>
      <c r="G22" s="31">
        <f>IF(ISNUMBER(B21),IF(OR(B21&lt;=0,G21&lt;0),"n.m.",G21/B21-1),"n.a.")</f>
        <v>0.8978087339570442</v>
      </c>
      <c r="H22" s="22"/>
    </row>
    <row r="23">
      <c r="A23" s="7" t="s">
        <v>79</v>
      </c>
      <c r="B23" s="21" t="str">
        <f>"n.a."</f>
        <v>n.a.</v>
      </c>
      <c r="C23" s="21" t="str">
        <f>IF(ISNUMBER(B21),IF(OR(B21&lt;=0,C21&lt;0),"n.m.",C21/B21-1),"n.a.")</f>
        <v>n.m.</v>
      </c>
      <c r="D23" s="21" t="str">
        <f>"n.a."</f>
        <v>n.a.</v>
      </c>
      <c r="E23" s="21" t="str">
        <f>IF(ISNUMBER(C21),IF(OR(C21&lt;=0,E21&lt;0),"n.m.",E21/C21-1),"n.a.")</f>
        <v>n.m.</v>
      </c>
      <c r="F23" s="21" t="str">
        <f>IF(ISNUMBER(E21),IF(OR(E21&lt;=0,F21&lt;0),"n.m.",F21/E21-1),"n.a.")</f>
        <v>n.m.</v>
      </c>
      <c r="G23" s="31">
        <f>IF(ISNUMBER(F21),IF(OR(F21&lt;=0,G21&lt;0),"n.m.",G21/F21-1),"n.a.")</f>
        <v>-0.1668914976240985</v>
      </c>
      <c r="H23" s="22"/>
    </row>
    <row r="24">
      <c r="A24" s="1" t="s">
        <v>80</v>
      </c>
      <c r="B24" s="3" t="str">
        <f>"n.a."</f>
        <v>n.a.</v>
      </c>
      <c r="C24" s="3">
        <f>IF(ISNUMBER(B21),C21-B21,"n.a.")</f>
        <v>-18956</v>
      </c>
      <c r="D24" s="3" t="str">
        <f>"n.a."</f>
        <v>n.a.</v>
      </c>
      <c r="E24" s="3">
        <f>IF(ISNUMBER(C21),E21-C21,"n.a.")</f>
        <v>-15592</v>
      </c>
      <c r="F24" s="3">
        <f>IF(ISNUMBER(E21),F21-E21,"n.a.")</f>
        <v>37973</v>
      </c>
      <c r="G24" s="29">
        <f>IF(ISNUMBER(F21),G21-F21,"n.a.")</f>
        <v>-1018.8725929951215</v>
      </c>
      <c r="H24" s="22"/>
    </row>
    <row r="25">
      <c r="A25" s="17" t="s">
        <v>370</v>
      </c>
      <c r="B25" s="1"/>
      <c r="C25" s="1"/>
      <c r="D25" s="1"/>
      <c r="E25" s="1"/>
      <c r="F25" s="1"/>
      <c r="G25" s="24"/>
      <c r="H25" s="22"/>
    </row>
    <row r="26">
      <c r="A26" s="1" t="s">
        <v>371</v>
      </c>
      <c r="B26" s="8">
        <f>Inputs!C187-Inputs!B187</f>
        <v>-558</v>
      </c>
      <c r="C26" s="8">
        <f>Inputs!D187-Inputs!C187</f>
        <v>-531</v>
      </c>
      <c r="D26" s="8">
        <f>Inputs!D187</f>
        <v>-2064</v>
      </c>
      <c r="E26" s="8">
        <f>Inputs!E187</f>
        <v>-565</v>
      </c>
      <c r="F26" s="8">
        <f>Inputs!F187-Inputs!E187</f>
        <v>-502</v>
      </c>
      <c r="G26" s="51">
        <v>-550</v>
      </c>
      <c r="H26" s="22"/>
    </row>
    <row r="27">
      <c r="A27" s="1" t="s">
        <v>372</v>
      </c>
      <c r="B27" s="8">
        <f>Inputs!C188-Inputs!B188</f>
        <v>112</v>
      </c>
      <c r="C27" s="8">
        <f>Inputs!D188-Inputs!C188</f>
        <v>299</v>
      </c>
      <c r="D27" s="8">
        <f>Inputs!D188</f>
        <v>803</v>
      </c>
      <c r="E27" s="8">
        <f>Inputs!E188</f>
        <v>63</v>
      </c>
      <c r="F27" s="8">
        <f>Inputs!F188-Inputs!E188</f>
        <v>146</v>
      </c>
      <c r="G27" s="51">
        <v>0</v>
      </c>
      <c r="H27" s="22" t="s">
        <v>360</v>
      </c>
    </row>
    <row r="28">
      <c r="A28" s="1" t="s">
        <v>373</v>
      </c>
      <c r="B28" s="8">
        <f>Inputs!C189-Inputs!B189</f>
        <v>1536</v>
      </c>
      <c r="C28" s="8">
        <f>Inputs!D189-Inputs!C189</f>
        <v>0</v>
      </c>
      <c r="D28" s="8">
        <f>Inputs!D189</f>
        <v>1536</v>
      </c>
      <c r="E28" s="8">
        <f>Inputs!E189</f>
        <v>-359</v>
      </c>
      <c r="F28" s="8">
        <f>Inputs!F189-Inputs!E189</f>
        <v>-1424</v>
      </c>
      <c r="G28" s="51">
        <v>0</v>
      </c>
      <c r="H28" s="22" t="s">
        <v>360</v>
      </c>
    </row>
    <row r="29">
      <c r="A29" s="1" t="s">
        <v>374</v>
      </c>
      <c r="B29" s="8">
        <f>Inputs!C190-Inputs!B190</f>
        <v>-8748</v>
      </c>
      <c r="C29" s="8">
        <f>Inputs!D190-Inputs!C190</f>
        <v>-15580</v>
      </c>
      <c r="D29" s="8">
        <f>Inputs!D190</f>
        <v>-77429</v>
      </c>
      <c r="E29" s="8">
        <f>Inputs!E190</f>
        <v>-62327</v>
      </c>
      <c r="F29" s="8">
        <f>Inputs!F190-Inputs!E190</f>
        <v>-21848</v>
      </c>
      <c r="G29" s="51">
        <v>0</v>
      </c>
      <c r="H29" s="22" t="s">
        <v>360</v>
      </c>
    </row>
    <row r="30">
      <c r="A30" s="1" t="s">
        <v>375</v>
      </c>
      <c r="B30" s="8">
        <f>Inputs!C191-Inputs!B191</f>
        <v>8926</v>
      </c>
      <c r="C30" s="8">
        <f>Inputs!D191-Inputs!C191</f>
        <v>20311</v>
      </c>
      <c r="D30" s="8">
        <f>Inputs!D191</f>
        <v>61325</v>
      </c>
      <c r="E30" s="8">
        <f>Inputs!E191</f>
        <v>24194</v>
      </c>
      <c r="F30" s="8">
        <f>Inputs!F191-Inputs!E191</f>
        <v>1793</v>
      </c>
      <c r="G30" s="51">
        <v>0</v>
      </c>
      <c r="H30" s="22" t="s">
        <v>360</v>
      </c>
    </row>
    <row r="31">
      <c r="A31" s="1" t="s">
        <v>376</v>
      </c>
      <c r="B31" s="8">
        <f>Inputs!C192-Inputs!B192</f>
        <v>0</v>
      </c>
      <c r="C31" s="8">
        <f>Inputs!D192-Inputs!C192</f>
        <v>42</v>
      </c>
      <c r="D31" s="8">
        <f>Inputs!D192</f>
        <v>43</v>
      </c>
      <c r="E31" s="8">
        <f>Inputs!E192</f>
        <v>90</v>
      </c>
      <c r="F31" s="8">
        <f>Inputs!F192-Inputs!E192</f>
        <v>119</v>
      </c>
      <c r="G31" s="51">
        <v>0</v>
      </c>
      <c r="H31" s="22" t="s">
        <v>360</v>
      </c>
    </row>
    <row r="32">
      <c r="A32" s="1" t="s">
        <v>377</v>
      </c>
      <c r="B32" s="8">
        <f>Inputs!C193-Inputs!B193</f>
        <v>-4206</v>
      </c>
      <c r="C32" s="8">
        <f>Inputs!D193-Inputs!C193</f>
        <v>-1254</v>
      </c>
      <c r="D32" s="8">
        <f>Inputs!D193</f>
        <v>-11279</v>
      </c>
      <c r="E32" s="8">
        <f>Inputs!E193</f>
        <v>-9289</v>
      </c>
      <c r="F32" s="8">
        <f>Inputs!F193-Inputs!E193</f>
        <v>-4347</v>
      </c>
      <c r="G32" s="51">
        <v>0</v>
      </c>
      <c r="H32" s="22" t="s">
        <v>360</v>
      </c>
    </row>
    <row r="33">
      <c r="A33" s="1" t="s">
        <v>378</v>
      </c>
      <c r="B33" s="8">
        <f>Inputs!C194-Inputs!B194</f>
        <v>4514</v>
      </c>
      <c r="C33" s="8">
        <f>Inputs!D194-Inputs!C194</f>
        <v>4735</v>
      </c>
      <c r="D33" s="8">
        <f>Inputs!D194</f>
        <v>21687</v>
      </c>
      <c r="E33" s="8">
        <f>Inputs!E194</f>
        <v>4613</v>
      </c>
      <c r="F33" s="8">
        <f>Inputs!F194-Inputs!E194</f>
        <v>4021</v>
      </c>
      <c r="G33" s="51">
        <v>0</v>
      </c>
      <c r="H33" s="22" t="s">
        <v>360</v>
      </c>
    </row>
    <row r="34">
      <c r="A34" s="1" t="s">
        <v>379</v>
      </c>
      <c r="B34" s="8">
        <f>Inputs!C195-Inputs!B195</f>
        <v>-1946</v>
      </c>
      <c r="C34" s="8">
        <f>Inputs!D195-Inputs!C195</f>
        <v>-3027</v>
      </c>
      <c r="D34" s="8">
        <f>Inputs!D195</f>
        <v>-9392</v>
      </c>
      <c r="E34" s="8">
        <f>Inputs!E195</f>
        <v>-2605</v>
      </c>
      <c r="F34" s="8">
        <f>Inputs!F195-Inputs!E195</f>
        <v>-2584</v>
      </c>
      <c r="G34" s="51">
        <v>0</v>
      </c>
      <c r="H34" s="22" t="s">
        <v>360</v>
      </c>
    </row>
    <row r="35">
      <c r="A35" s="1" t="s">
        <v>380</v>
      </c>
      <c r="B35" s="8">
        <f>Inputs!C196-Inputs!B196</f>
        <v>2115</v>
      </c>
      <c r="C35" s="8">
        <f>Inputs!D196-Inputs!C196</f>
        <v>3311</v>
      </c>
      <c r="D35" s="8">
        <f>Inputs!D196</f>
        <v>9892</v>
      </c>
      <c r="E35" s="8">
        <f>Inputs!E196</f>
        <v>2885</v>
      </c>
      <c r="F35" s="8">
        <f>Inputs!F196-Inputs!E196</f>
        <v>3341</v>
      </c>
      <c r="G35" s="51">
        <v>0</v>
      </c>
      <c r="H35" s="22" t="s">
        <v>360</v>
      </c>
    </row>
    <row r="36">
      <c r="A36" s="1" t="s">
        <v>381</v>
      </c>
      <c r="B36" s="8">
        <f>Inputs!C197-Inputs!B197</f>
        <v>-6858</v>
      </c>
      <c r="C36" s="8">
        <f>Inputs!D197-Inputs!C197</f>
        <v>-13339</v>
      </c>
      <c r="D36" s="8">
        <f>Inputs!D197</f>
        <v>-39349</v>
      </c>
      <c r="E36" s="8">
        <f>Inputs!E197</f>
        <v>-13007</v>
      </c>
      <c r="F36" s="8">
        <f>Inputs!F197-Inputs!E197</f>
        <v>-7287</v>
      </c>
      <c r="G36" s="51">
        <v>0</v>
      </c>
      <c r="H36" s="22" t="s">
        <v>360</v>
      </c>
    </row>
    <row r="37">
      <c r="A37" s="17" t="s">
        <v>382</v>
      </c>
      <c r="B37" s="26">
        <f>B26+B27+B28+B29+B30+B31+B32+B33+B34+B35+B36</f>
        <v>-5113</v>
      </c>
      <c r="C37" s="26">
        <f>C26+C27+C28+C29+C30+C31+C32+C33+C34+C35+C36</f>
        <v>-5033</v>
      </c>
      <c r="D37" s="26">
        <f>D26+D27+D28+D29+D30+D31+D32+D33+D34+D35+D36</f>
        <v>-44227</v>
      </c>
      <c r="E37" s="26">
        <f>E26+E27+E28+E29+E30+E31+E32+E33+E34+E35+E36</f>
        <v>-56307</v>
      </c>
      <c r="F37" s="26">
        <f>F26+F27+F28+F29+F30+F31+F32+F33+F34+F35+F36</f>
        <v>-28572</v>
      </c>
      <c r="G37" s="52">
        <f>G26+G27+G28+G29+G30+G31+G32+G33+G34+G35+G36</f>
        <v>-550</v>
      </c>
      <c r="H37" s="22"/>
    </row>
    <row r="38">
      <c r="A38" s="17" t="s">
        <v>383</v>
      </c>
      <c r="B38" s="1"/>
      <c r="C38" s="1"/>
      <c r="D38" s="1"/>
      <c r="E38" s="1"/>
      <c r="F38" s="1"/>
      <c r="G38" s="24"/>
      <c r="H38" s="22"/>
    </row>
    <row r="39">
      <c r="A39" s="1" t="s">
        <v>384</v>
      </c>
      <c r="B39" s="8">
        <f>Inputs!C199-Inputs!B199</f>
        <v>-684</v>
      </c>
      <c r="C39" s="8">
        <f>Inputs!D199-Inputs!C199</f>
        <v>-255</v>
      </c>
      <c r="D39" s="8">
        <f>Inputs!D199</f>
        <v>2988</v>
      </c>
      <c r="E39" s="8">
        <f>Inputs!E199</f>
        <v>7232</v>
      </c>
      <c r="F39" s="8">
        <f>Inputs!F199-Inputs!E199</f>
        <v>4845</v>
      </c>
      <c r="G39" s="51">
        <v>0</v>
      </c>
      <c r="H39" s="22" t="s">
        <v>360</v>
      </c>
    </row>
    <row r="40">
      <c r="A40" s="1" t="s">
        <v>385</v>
      </c>
      <c r="B40" s="8">
        <f>Inputs!C200-Inputs!B200</f>
        <v>1654</v>
      </c>
      <c r="C40" s="8">
        <f>Inputs!D200-Inputs!C200</f>
        <v>1495</v>
      </c>
      <c r="D40" s="8">
        <f>Inputs!D200</f>
        <v>-3877</v>
      </c>
      <c r="E40" s="8">
        <f>Inputs!E200</f>
        <v>7234</v>
      </c>
      <c r="F40" s="8">
        <f>Inputs!F200-Inputs!E200</f>
        <v>3618</v>
      </c>
      <c r="G40" s="51">
        <v>0</v>
      </c>
      <c r="H40" s="22" t="s">
        <v>360</v>
      </c>
    </row>
    <row r="41">
      <c r="A41" s="1" t="s">
        <v>386</v>
      </c>
      <c r="B41" s="8">
        <f>Inputs!C201-Inputs!B201</f>
        <v>2551</v>
      </c>
      <c r="C41" s="8">
        <f>Inputs!D201-Inputs!C201</f>
        <v>2753</v>
      </c>
      <c r="D41" s="8">
        <f>Inputs!D201</f>
        <v>6510</v>
      </c>
      <c r="E41" s="8">
        <f>Inputs!E201</f>
        <v>651</v>
      </c>
      <c r="F41" s="8">
        <f>Inputs!F201-Inputs!E201</f>
        <v>4476</v>
      </c>
      <c r="G41" s="51">
        <v>0</v>
      </c>
      <c r="H41" s="22" t="s">
        <v>360</v>
      </c>
    </row>
    <row r="42">
      <c r="A42" s="1" t="s">
        <v>387</v>
      </c>
      <c r="B42" s="8">
        <f>Inputs!C202-Inputs!B202</f>
        <v>-1338</v>
      </c>
      <c r="C42" s="8">
        <f>Inputs!D202-Inputs!C202</f>
        <v>-718</v>
      </c>
      <c r="D42" s="8">
        <f>Inputs!D202</f>
        <v>-3331</v>
      </c>
      <c r="E42" s="8">
        <f>Inputs!E202</f>
        <v>-73</v>
      </c>
      <c r="F42" s="8">
        <f>Inputs!F202-Inputs!E202</f>
        <v>-3231</v>
      </c>
      <c r="G42" s="51">
        <v>0</v>
      </c>
      <c r="H42" s="22" t="s">
        <v>360</v>
      </c>
    </row>
    <row r="43">
      <c r="A43" s="1" t="s">
        <v>388</v>
      </c>
      <c r="B43" s="8">
        <f>Inputs!C203-Inputs!B203</f>
        <v>10293</v>
      </c>
      <c r="C43" s="8">
        <f>Inputs!D203-Inputs!C203</f>
        <v>26836</v>
      </c>
      <c r="D43" s="8">
        <f>Inputs!D203</f>
        <v>88196</v>
      </c>
      <c r="E43" s="8">
        <f>Inputs!E203</f>
        <v>58244</v>
      </c>
      <c r="F43" s="8">
        <f>Inputs!F203-Inputs!E203</f>
        <v>50245</v>
      </c>
      <c r="G43" s="51">
        <v>0</v>
      </c>
      <c r="H43" s="22" t="s">
        <v>360</v>
      </c>
    </row>
    <row r="44">
      <c r="A44" s="1" t="s">
        <v>389</v>
      </c>
      <c r="B44" s="8">
        <f>Inputs!C204-Inputs!B204</f>
        <v>-14030</v>
      </c>
      <c r="C44" s="8">
        <f>Inputs!D204-Inputs!C204</f>
        <v>-21275</v>
      </c>
      <c r="D44" s="8">
        <f>Inputs!D204</f>
        <v>-71502</v>
      </c>
      <c r="E44" s="8">
        <f>Inputs!E204</f>
        <v>-20402</v>
      </c>
      <c r="F44" s="8">
        <f>Inputs!F204-Inputs!E204</f>
        <v>-20407</v>
      </c>
      <c r="G44" s="51">
        <v>0</v>
      </c>
      <c r="H44" s="22" t="s">
        <v>360</v>
      </c>
    </row>
    <row r="45">
      <c r="A45" s="1" t="s">
        <v>390</v>
      </c>
      <c r="B45" s="8">
        <f>Inputs!C205-Inputs!B205</f>
        <v>243</v>
      </c>
      <c r="C45" s="8">
        <f>Inputs!D205-Inputs!C205</f>
        <v>1436</v>
      </c>
      <c r="D45" s="8">
        <f>Inputs!D205</f>
        <v>2313</v>
      </c>
      <c r="E45" s="8">
        <f>Inputs!E205</f>
        <v>1239</v>
      </c>
      <c r="F45" s="8">
        <f>Inputs!F205-Inputs!E205</f>
        <v>1245</v>
      </c>
      <c r="G45" s="51">
        <v>0</v>
      </c>
      <c r="H45" s="22" t="s">
        <v>360</v>
      </c>
    </row>
    <row r="46">
      <c r="A46" s="1" t="s">
        <v>391</v>
      </c>
      <c r="B46" s="8">
        <f>Inputs!C206-Inputs!B206</f>
        <v>24588</v>
      </c>
      <c r="C46" s="8">
        <f>Inputs!D206-Inputs!C206</f>
        <v>10951</v>
      </c>
      <c r="D46" s="8">
        <f>Inputs!D206</f>
        <v>62783</v>
      </c>
      <c r="E46" s="8">
        <f>Inputs!E206</f>
        <v>60819</v>
      </c>
      <c r="F46" s="8">
        <f>Inputs!F206-Inputs!E206</f>
        <v>-3239</v>
      </c>
      <c r="G46" s="51">
        <v>0</v>
      </c>
      <c r="H46" s="22" t="s">
        <v>360</v>
      </c>
    </row>
    <row r="47">
      <c r="A47" s="1" t="s">
        <v>392</v>
      </c>
      <c r="B47" s="8">
        <f>Inputs!C207-Inputs!B207</f>
        <v>0</v>
      </c>
      <c r="C47" s="8">
        <f>Inputs!D207-Inputs!C207</f>
        <v>0</v>
      </c>
      <c r="D47" s="8">
        <f>Inputs!D207</f>
        <v>0</v>
      </c>
      <c r="E47" s="8">
        <f>Inputs!E207</f>
        <v>-1450</v>
      </c>
      <c r="F47" s="8">
        <f>Inputs!F207-Inputs!E207</f>
        <v>-675</v>
      </c>
      <c r="G47" s="51">
        <v>0</v>
      </c>
      <c r="H47" s="22" t="s">
        <v>360</v>
      </c>
    </row>
    <row r="48">
      <c r="A48" s="1" t="s">
        <v>393</v>
      </c>
      <c r="B48" s="8">
        <f>Inputs!C208-Inputs!B208</f>
        <v>-2000</v>
      </c>
      <c r="C48" s="8">
        <f>Inputs!D208-Inputs!C208</f>
        <v>-3000</v>
      </c>
      <c r="D48" s="8">
        <f>Inputs!D208</f>
        <v>-12360</v>
      </c>
      <c r="E48" s="8">
        <f>Inputs!E208</f>
        <v>-5000</v>
      </c>
      <c r="F48" s="8">
        <f>Inputs!F208-Inputs!E208</f>
        <v>-4000</v>
      </c>
      <c r="G48" s="35">
        <f>-'Share Count'!G11</f>
        <v>-3000</v>
      </c>
      <c r="H48" s="22"/>
    </row>
    <row r="49">
      <c r="A49" s="1" t="s">
        <v>394</v>
      </c>
      <c r="B49" s="8">
        <f>Inputs!C209-Inputs!B209</f>
        <v>-10</v>
      </c>
      <c r="C49" s="8">
        <f>Inputs!D209-Inputs!C209</f>
        <v>0</v>
      </c>
      <c r="D49" s="8">
        <f>Inputs!D209</f>
        <v>-2156</v>
      </c>
      <c r="E49" s="8">
        <f>Inputs!E209</f>
        <v>-2605</v>
      </c>
      <c r="F49" s="8">
        <f>Inputs!F209-Inputs!E209</f>
        <v>-259</v>
      </c>
      <c r="G49" s="51">
        <v>0</v>
      </c>
      <c r="H49" s="22" t="s">
        <v>360</v>
      </c>
    </row>
    <row r="50">
      <c r="A50" s="1" t="s">
        <v>395</v>
      </c>
      <c r="B50" s="8">
        <f>Inputs!C210-Inputs!B210</f>
        <v>-1476</v>
      </c>
      <c r="C50" s="8">
        <f>Inputs!D210-Inputs!C210</f>
        <v>-1463</v>
      </c>
      <c r="D50" s="8">
        <f>Inputs!D210</f>
        <v>-5277</v>
      </c>
      <c r="E50" s="8">
        <f>Inputs!E210</f>
        <v>-1588</v>
      </c>
      <c r="F50" s="8">
        <f>Inputs!F210-Inputs!E210</f>
        <v>-1603</v>
      </c>
      <c r="G50" s="35">
        <f>-('Share Count'!G52+'Income Statement'!G152)</f>
        <v>-1704.9684466019417</v>
      </c>
      <c r="H50" s="22"/>
    </row>
    <row r="51">
      <c r="A51" s="1" t="s">
        <v>396</v>
      </c>
      <c r="B51" s="8">
        <f>Inputs!C211-Inputs!B211</f>
        <v>0</v>
      </c>
      <c r="C51" s="8">
        <f>Inputs!D211-Inputs!C211</f>
        <v>0</v>
      </c>
      <c r="D51" s="8">
        <f>Inputs!D211</f>
        <v>1895</v>
      </c>
      <c r="E51" s="8">
        <f>Inputs!E211</f>
        <v>0</v>
      </c>
      <c r="F51" s="8">
        <f>Inputs!F211-Inputs!E211</f>
        <v>0</v>
      </c>
      <c r="G51" s="51">
        <v>0</v>
      </c>
      <c r="H51" s="22" t="s">
        <v>360</v>
      </c>
    </row>
    <row r="52">
      <c r="A52" s="1" t="s">
        <v>397</v>
      </c>
      <c r="B52" s="8">
        <f>Inputs!C212-Inputs!B212</f>
        <v>-10</v>
      </c>
      <c r="C52" s="8">
        <f>Inputs!D212-Inputs!C212</f>
        <v>-5</v>
      </c>
      <c r="D52" s="8">
        <f>Inputs!D212</f>
        <v>-82</v>
      </c>
      <c r="E52" s="8">
        <f>Inputs!E212</f>
        <v>-7</v>
      </c>
      <c r="F52" s="8">
        <f>Inputs!F212-Inputs!E212</f>
        <v>-99</v>
      </c>
      <c r="G52" s="51">
        <v>0</v>
      </c>
      <c r="H52" s="22" t="s">
        <v>360</v>
      </c>
    </row>
    <row r="53">
      <c r="A53" s="17" t="s">
        <v>398</v>
      </c>
      <c r="B53" s="26">
        <f>B39+B40+B41+B42+B43+B44+B45+B46+B47+B48+B49+B50+B51+B52</f>
        <v>19781</v>
      </c>
      <c r="C53" s="26">
        <f>C39+C40+C41+C42+C43+C44+C45+C46+C47+C48+C49+C50+C51+C52</f>
        <v>16755</v>
      </c>
      <c r="D53" s="26">
        <f>D39+D40+D41+D42+D43+D44+D45+D46+D47+D48+D49+D50+D51+D52</f>
        <v>66100</v>
      </c>
      <c r="E53" s="26">
        <f>E39+E40+E41+E42+E43+E44+E45+E46+E47+E48+E49+E50+E51+E52</f>
        <v>104294</v>
      </c>
      <c r="F53" s="26">
        <f>F39+F40+F41+F42+F43+F44+F45+F46+F47+F48+F49+F50+F51+F52</f>
        <v>30916</v>
      </c>
      <c r="G53" s="52">
        <f>G39+G40+G41+G42+G43+G44+G45+G46+G47+G48+G49+G50+G51+G52</f>
        <v>-4704.968446601942</v>
      </c>
      <c r="H53" s="22"/>
    </row>
    <row r="54">
      <c r="A54" s="1" t="s">
        <v>399</v>
      </c>
      <c r="B54" s="8">
        <f>Inputs!C214-Inputs!B214</f>
        <v>-738</v>
      </c>
      <c r="C54" s="8">
        <f>Inputs!D214-Inputs!C214</f>
        <v>-764</v>
      </c>
      <c r="D54" s="8">
        <f>Inputs!D214</f>
        <v>5448</v>
      </c>
      <c r="E54" s="8">
        <f>Inputs!E214</f>
        <v>-848</v>
      </c>
      <c r="F54" s="8">
        <f>Inputs!F214-Inputs!E214</f>
        <v>-713</v>
      </c>
      <c r="G54" s="51">
        <v>0</v>
      </c>
      <c r="H54" s="22" t="s">
        <v>360</v>
      </c>
    </row>
    <row r="55">
      <c r="A55" s="17" t="s">
        <v>400</v>
      </c>
      <c r="B55" s="26">
        <f>B21+B37+B53+B54</f>
        <v>16610</v>
      </c>
      <c r="C55" s="26">
        <f>C21+C37+C53+C54</f>
        <v>-5318</v>
      </c>
      <c r="D55" s="26">
        <f>D21+D37+D53+D54</f>
        <v>-17833</v>
      </c>
      <c r="E55" s="26">
        <f>E21+E37+E53+E54</f>
        <v>15271</v>
      </c>
      <c r="F55" s="26">
        <f>F21+F37+F53+F54</f>
        <v>7736</v>
      </c>
      <c r="G55" s="52">
        <f>G21+G37+G53+G54</f>
        <v>-168.84103959706317</v>
      </c>
      <c r="H55" s="22"/>
    </row>
    <row r="56">
      <c r="A56" s="1" t="s">
        <v>401</v>
      </c>
      <c r="B56" s="8">
        <f>Inputs!B217</f>
        <v>152967</v>
      </c>
      <c r="C56" s="3">
        <f>B57</f>
        <v>169577</v>
      </c>
      <c r="D56" s="8">
        <f>Inputs!D216</f>
        <v>182092</v>
      </c>
      <c r="E56" s="3">
        <f>C57</f>
        <v>164259</v>
      </c>
      <c r="F56" s="3">
        <f>E57</f>
        <v>179530</v>
      </c>
      <c r="G56" s="29">
        <f>F57</f>
        <v>187266</v>
      </c>
      <c r="H56" s="22"/>
    </row>
    <row r="57">
      <c r="A57" s="17" t="s">
        <v>402</v>
      </c>
      <c r="B57" s="26">
        <f>B56+B55</f>
        <v>169577</v>
      </c>
      <c r="C57" s="26">
        <f>C56+C55</f>
        <v>164259</v>
      </c>
      <c r="D57" s="26">
        <f>D56+D55</f>
        <v>164259</v>
      </c>
      <c r="E57" s="26">
        <f>E56+E55</f>
        <v>179530</v>
      </c>
      <c r="F57" s="26">
        <f>F56+F55</f>
        <v>187266</v>
      </c>
      <c r="G57" s="52">
        <f>G56+G55</f>
        <v>187097.15896040294</v>
      </c>
      <c r="H57" s="22"/>
    </row>
    <row r="58">
      <c r="A58" s="1"/>
      <c r="B58" s="1"/>
      <c r="C58" s="1"/>
      <c r="D58" s="1"/>
      <c r="E58" s="1"/>
      <c r="F58" s="1"/>
      <c r="G58" s="24"/>
      <c r="H58" s="22"/>
    </row>
    <row r="59">
      <c r="A59" s="17" t="s">
        <v>403</v>
      </c>
      <c r="B59" s="1"/>
      <c r="C59" s="1"/>
      <c r="D59" s="1"/>
      <c r="E59" s="1"/>
      <c r="F59" s="1"/>
      <c r="G59" s="24"/>
      <c r="H59" s="22"/>
    </row>
    <row r="60">
      <c r="A60" s="1" t="s">
        <v>404</v>
      </c>
      <c r="B60" s="3">
        <f>-B26</f>
        <v>558</v>
      </c>
      <c r="C60" s="3">
        <f>-C26</f>
        <v>531</v>
      </c>
      <c r="D60" s="3">
        <f>-D26</f>
        <v>2064</v>
      </c>
      <c r="E60" s="3">
        <f>-E26</f>
        <v>565</v>
      </c>
      <c r="F60" s="3">
        <f>-F26</f>
        <v>502</v>
      </c>
      <c r="G60" s="29">
        <f>-G26</f>
        <v>550</v>
      </c>
      <c r="H60" s="22"/>
    </row>
    <row r="61">
      <c r="A61" s="7" t="s">
        <v>78</v>
      </c>
      <c r="B61" s="21" t="str">
        <f>"n.a."</f>
        <v>n.a.</v>
      </c>
      <c r="C61" s="21" t="str">
        <f>"n.a."</f>
        <v>n.a.</v>
      </c>
      <c r="D61" s="21" t="str">
        <f>"n.a."</f>
        <v>n.a.</v>
      </c>
      <c r="E61" s="21" t="str">
        <f>"n.a."</f>
        <v>n.a.</v>
      </c>
      <c r="F61" s="21" t="str">
        <f>"n.a."</f>
        <v>n.a.</v>
      </c>
      <c r="G61" s="31">
        <f>IF(ISNUMBER(B60),IF(OR(B60&lt;=0,G60&lt;0),"n.m.",G60/B60-1),"n.a.")</f>
        <v>-0.014336917562724039</v>
      </c>
      <c r="H61" s="22"/>
    </row>
    <row r="62">
      <c r="A62" s="7" t="s">
        <v>79</v>
      </c>
      <c r="B62" s="21" t="str">
        <f>"n.a."</f>
        <v>n.a.</v>
      </c>
      <c r="C62" s="21">
        <f>IF(ISNUMBER(B60),IF(OR(B60&lt;=0,C60&lt;0),"n.m.",C60/B60-1),"n.a.")</f>
        <v>-0.048387096774193505</v>
      </c>
      <c r="D62" s="21" t="str">
        <f>"n.a."</f>
        <v>n.a.</v>
      </c>
      <c r="E62" s="21">
        <f>IF(ISNUMBER(C60),IF(OR(C60&lt;=0,E60&lt;0),"n.m.",E60/C60-1),"n.a.")</f>
        <v>0.064030131826742</v>
      </c>
      <c r="F62" s="21">
        <f>IF(ISNUMBER(E60),IF(OR(E60&lt;=0,F60&lt;0),"n.m.",F60/E60-1),"n.a.")</f>
        <v>-0.1115044247787611</v>
      </c>
      <c r="G62" s="31">
        <f>IF(ISNUMBER(F60),IF(OR(F60&lt;=0,G60&lt;0),"n.m.",G60/F60-1),"n.a.")</f>
        <v>0.095617529880478</v>
      </c>
      <c r="H62" s="22"/>
    </row>
    <row r="63">
      <c r="A63" s="1" t="s">
        <v>80</v>
      </c>
      <c r="B63" s="3" t="str">
        <f>"n.a."</f>
        <v>n.a.</v>
      </c>
      <c r="C63" s="3">
        <f>IF(ISNUMBER(B60),C60-B60,"n.a.")</f>
        <v>-27</v>
      </c>
      <c r="D63" s="3" t="str">
        <f>"n.a."</f>
        <v>n.a.</v>
      </c>
      <c r="E63" s="3">
        <f>IF(ISNUMBER(C60),E60-C60,"n.a.")</f>
        <v>34</v>
      </c>
      <c r="F63" s="3">
        <f>IF(ISNUMBER(E60),F60-E60,"n.a.")</f>
        <v>-63</v>
      </c>
      <c r="G63" s="29">
        <f>IF(ISNUMBER(F60),G60-F60,"n.a.")</f>
        <v>48</v>
      </c>
      <c r="H63" s="22"/>
    </row>
    <row r="64">
      <c r="A64" s="1" t="s">
        <v>405</v>
      </c>
      <c r="B64" s="3">
        <f>B21-B60</f>
        <v>2122</v>
      </c>
      <c r="C64" s="3">
        <f>C21-C60</f>
        <v>-16807</v>
      </c>
      <c r="D64" s="3">
        <f>D21-D60</f>
        <v>-47218</v>
      </c>
      <c r="E64" s="3">
        <f>E21-E60</f>
        <v>-32433</v>
      </c>
      <c r="F64" s="3">
        <f>F21-F60</f>
        <v>5603</v>
      </c>
      <c r="G64" s="29">
        <f>G21-G60</f>
        <v>4536.1274070048785</v>
      </c>
      <c r="H64" s="22" t="s">
        <v>406</v>
      </c>
    </row>
    <row r="65">
      <c r="A65" s="1" t="s">
        <v>407</v>
      </c>
      <c r="B65" s="8">
        <f>B57-'Balance Sheet'!B10</f>
        <v>0</v>
      </c>
      <c r="C65" s="8">
        <f>C57-'Balance Sheet'!C10</f>
        <v>0</v>
      </c>
      <c r="D65" s="8">
        <f>D57-'Balance Sheet'!D10</f>
        <v>0</v>
      </c>
      <c r="E65" s="8">
        <f>E57-'Balance Sheet'!E10</f>
        <v>0</v>
      </c>
      <c r="F65" s="8">
        <f>F57-'Balance Sheet'!F10</f>
        <v>0</v>
      </c>
      <c r="G65" s="35">
        <f>G57-'Balance Sheet'!G10</f>
        <v>0</v>
      </c>
      <c r="H65" s="22" t="s">
        <v>408</v>
      </c>
    </row>
    <row r="66">
      <c r="A66" s="1" t="s">
        <v>409</v>
      </c>
      <c r="B66" s="8">
        <f>Inputs!C218-Inputs!B218</f>
        <v>0</v>
      </c>
      <c r="C66" s="8">
        <f>Inputs!D218-Inputs!C218</f>
        <v>0</v>
      </c>
      <c r="D66" s="8">
        <f>Inputs!D218</f>
        <v>0</v>
      </c>
      <c r="E66" s="8">
        <f>Inputs!E218</f>
        <v>0</v>
      </c>
      <c r="F66" s="8">
        <f>Inputs!F218-Inputs!E218</f>
        <v>0</v>
      </c>
      <c r="G66" s="29"/>
      <c r="H66" s="22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H44"/>
  <sheetViews>
    <sheetView showGridLines="0" workbookViewId="0"/>
  </sheetViews>
  <sheetFormatPr defaultColWidth="8.42578125" defaultRowHeight="15"/>
  <cols>
    <col min="1" max="1" width="32" customWidth="1"/>
    <col min="2" max="7" width="12" customWidth="1"/>
    <col min="8" max="8" width="40" customWidth="1"/>
  </cols>
  <sheetData>
    <row r="1">
      <c r="A1" s="15" t="s">
        <v>0</v>
      </c>
      <c r="B1" s="1"/>
      <c r="C1" s="1"/>
      <c r="D1" s="1"/>
      <c r="E1" s="1"/>
      <c r="F1" s="1"/>
      <c r="G1" s="1"/>
      <c r="H1" s="1"/>
    </row>
    <row r="2">
      <c r="A2" s="17" t="s">
        <v>410</v>
      </c>
      <c r="B2" s="1"/>
      <c r="C2" s="1"/>
      <c r="D2" s="1"/>
      <c r="E2" s="1"/>
      <c r="F2" s="1"/>
      <c r="G2" s="1"/>
      <c r="H2" s="1"/>
    </row>
    <row r="3">
      <c r="A3" s="7" t="s">
        <v>2</v>
      </c>
      <c r="B3" s="1"/>
      <c r="C3" s="1"/>
      <c r="D3" s="1"/>
      <c r="E3" s="1"/>
      <c r="F3" s="1"/>
      <c r="G3" s="1"/>
      <c r="H3" s="1"/>
    </row>
    <row r="4">
      <c r="A4" s="1"/>
      <c r="B4" s="1"/>
      <c r="C4" s="1"/>
      <c r="D4" s="1"/>
      <c r="E4" s="1"/>
      <c r="F4" s="1"/>
      <c r="G4" s="1"/>
      <c r="H4" s="1"/>
    </row>
    <row r="5">
      <c r="A5" s="16" t="s">
        <v>65</v>
      </c>
      <c r="B5" s="2" t="s">
        <v>66</v>
      </c>
      <c r="C5" s="2" t="s">
        <v>67</v>
      </c>
      <c r="D5" s="2" t="s">
        <v>68</v>
      </c>
      <c r="E5" s="2" t="s">
        <v>69</v>
      </c>
      <c r="F5" s="2" t="s">
        <v>70</v>
      </c>
      <c r="G5" s="59" t="s">
        <v>71</v>
      </c>
      <c r="H5" s="16" t="s">
        <v>72</v>
      </c>
    </row>
    <row r="6">
      <c r="A6" s="11" t="s">
        <v>73</v>
      </c>
      <c r="B6" s="5">
        <f>DATE(2025,9,30)</f>
        <v>45930</v>
      </c>
      <c r="C6" s="5">
        <f>DATE(2025,12,31)</f>
        <v>46022</v>
      </c>
      <c r="D6" s="5">
        <f>DATE(2025,12,31)</f>
        <v>46022</v>
      </c>
      <c r="E6" s="5">
        <f>DATE(2026,3,31)</f>
        <v>46112</v>
      </c>
      <c r="F6" s="5">
        <f>DATE(2026,6,30)</f>
        <v>46203</v>
      </c>
      <c r="G6" s="43">
        <f>DATE(2026,9,30)</f>
        <v>46295</v>
      </c>
      <c r="H6" s="11"/>
    </row>
    <row r="7">
      <c r="A7" s="4" t="s">
        <v>74</v>
      </c>
      <c r="B7" s="12">
        <f>B6-DATE(2025,6,30)</f>
        <v>92</v>
      </c>
      <c r="C7" s="12">
        <f>C6-B6</f>
        <v>92</v>
      </c>
      <c r="D7" s="12">
        <f>D6-DATE(2024,12,31)</f>
        <v>365</v>
      </c>
      <c r="E7" s="12">
        <f>E6-C6</f>
        <v>90</v>
      </c>
      <c r="F7" s="12">
        <f>F6-E6</f>
        <v>91</v>
      </c>
      <c r="G7" s="55">
        <f>G6-F6</f>
        <v>92</v>
      </c>
      <c r="H7" s="4"/>
    </row>
    <row r="8">
      <c r="A8" s="1"/>
      <c r="B8" s="1"/>
      <c r="C8" s="1"/>
      <c r="D8" s="1"/>
      <c r="E8" s="1"/>
      <c r="F8" s="1"/>
      <c r="G8" s="1"/>
      <c r="H8" s="1"/>
    </row>
    <row r="9">
      <c r="A9" s="17" t="s">
        <v>411</v>
      </c>
      <c r="B9" s="1"/>
      <c r="C9" s="1"/>
      <c r="D9" s="1"/>
      <c r="E9" s="1"/>
      <c r="F9" s="1"/>
      <c r="G9" s="24"/>
      <c r="H9" s="22"/>
    </row>
    <row r="10">
      <c r="A10" s="1" t="s">
        <v>412</v>
      </c>
      <c r="B10" s="20">
        <v>10020</v>
      </c>
      <c r="C10" s="20">
        <v>7680</v>
      </c>
      <c r="D10" s="8">
        <f>Inputs!G122+B10+C10</f>
        <v>36548</v>
      </c>
      <c r="E10" s="20">
        <v>10416</v>
      </c>
      <c r="F10" s="20">
        <v>12222</v>
      </c>
      <c r="G10" s="35">
        <f>G17*'Revenue summary'!G32</f>
        <v>10473.559622364628</v>
      </c>
      <c r="H10" s="22" t="s">
        <v>234</v>
      </c>
    </row>
    <row r="11">
      <c r="A11" s="7" t="s">
        <v>78</v>
      </c>
      <c r="B11" s="23">
        <f>IF(ISNUMBER(Inputs!B122),IF(OR(Inputs!B122&lt;=0,B10&lt;0),"n.m.",B10/Inputs!B122-1),"n.a.")</f>
        <v>0.24549409571162206</v>
      </c>
      <c r="C11" s="23">
        <f>IF(ISNUMBER(Inputs!C122),IF(OR(Inputs!C122&lt;=0,C10&lt;0),"n.m.",C10/Inputs!C122-1),"n.a.")</f>
        <v>-0.15576563702319446</v>
      </c>
      <c r="D11" s="23">
        <f>IF(ISNUMBER(Inputs!D122),IF(OR(Inputs!D122&lt;=0,D10&lt;0),"n.m.",D10/Inputs!D122-1),"n.a.")</f>
        <v>0.06096144914073376</v>
      </c>
      <c r="E11" s="23">
        <f>IF(ISNUMBER(Inputs!E122),IF(OR(Inputs!E122&lt;=0,E10&lt;0),"n.m.",E10/Inputs!E122-1),"n.a.")</f>
        <v>0.055747009933103664</v>
      </c>
      <c r="F11" s="23">
        <f>IF(ISNUMBER(Inputs!F122),IF(OR(Inputs!F122&lt;=0,F10&lt;0),"n.m.",F10/Inputs!F122-1),"n.a.")</f>
        <v>0.36072144288577146</v>
      </c>
      <c r="G11" s="31">
        <f>IF(ISNUMBER(B10),IF(OR(B10&lt;=0,G10&lt;0),"n.m.",G10/B10-1),"n.a.")</f>
        <v>0.045265431373715304</v>
      </c>
      <c r="H11" s="22"/>
    </row>
    <row r="12">
      <c r="A12" s="7" t="s">
        <v>79</v>
      </c>
      <c r="B12" s="23">
        <f>IF(ISNUMBER(Inputs!F122),IF(OR(Inputs!F122&lt;=0,B10&lt;0),"n.m.",B10/Inputs!F122-1),"n.a.")</f>
        <v>0.11556446225784911</v>
      </c>
      <c r="C12" s="21">
        <f>IF(ISNUMBER(B10),IF(OR(B10&lt;=0,C10&lt;0),"n.m.",C10/B10-1),"n.a.")</f>
        <v>-0.23353293413173648</v>
      </c>
      <c r="D12" s="21" t="str">
        <f>"n.a."</f>
        <v>n.a.</v>
      </c>
      <c r="E12" s="21">
        <f>IF(ISNUMBER(C10),IF(OR(C10&lt;=0,E10&lt;0),"n.m.",E10/C10-1),"n.a.")</f>
        <v>0.35624999999999996</v>
      </c>
      <c r="F12" s="21">
        <f>IF(ISNUMBER(E10),IF(OR(E10&lt;=0,F10&lt;0),"n.m.",F10/E10-1),"n.a.")</f>
        <v>0.1733870967741935</v>
      </c>
      <c r="G12" s="31">
        <f>IF(ISNUMBER(F10),IF(OR(F10&lt;=0,G10&lt;0),"n.m.",G10/F10-1),"n.a.")</f>
        <v>-0.14305681374859858</v>
      </c>
      <c r="H12" s="22"/>
    </row>
    <row r="13">
      <c r="A13" s="1" t="s">
        <v>80</v>
      </c>
      <c r="B13" s="8">
        <f>IF(ISNUMBER(Inputs!F122),B10-Inputs!F122,"n.a.")</f>
        <v>1038</v>
      </c>
      <c r="C13" s="3">
        <f>IF(ISNUMBER(B10),C10-B10,"n.a.")</f>
        <v>-2340</v>
      </c>
      <c r="D13" s="3" t="str">
        <f>"n.a."</f>
        <v>n.a.</v>
      </c>
      <c r="E13" s="3">
        <f>IF(ISNUMBER(C10),E10-C10,"n.a.")</f>
        <v>2736</v>
      </c>
      <c r="F13" s="3">
        <f>IF(ISNUMBER(E10),F10-E10,"n.a.")</f>
        <v>1806</v>
      </c>
      <c r="G13" s="29">
        <f>IF(ISNUMBER(F10),G10-F10,"n.a.")</f>
        <v>-1748.440377635372</v>
      </c>
      <c r="H13" s="22"/>
    </row>
    <row r="14">
      <c r="A14" s="7" t="s">
        <v>81</v>
      </c>
      <c r="B14" s="21" t="s">
        <v>82</v>
      </c>
      <c r="C14" s="21" t="s">
        <v>82</v>
      </c>
      <c r="D14" s="21" t="s">
        <v>82</v>
      </c>
      <c r="E14" s="21" t="s">
        <v>82</v>
      </c>
      <c r="F14" s="21" t="s">
        <v>82</v>
      </c>
      <c r="G14" s="31" t="s">
        <v>82</v>
      </c>
      <c r="H14" s="22"/>
    </row>
    <row r="15">
      <c r="A15" s="7" t="s">
        <v>83</v>
      </c>
      <c r="B15" s="21" t="s">
        <v>82</v>
      </c>
      <c r="C15" s="21" t="s">
        <v>82</v>
      </c>
      <c r="D15" s="21" t="s">
        <v>82</v>
      </c>
      <c r="E15" s="21" t="s">
        <v>82</v>
      </c>
      <c r="F15" s="21" t="s">
        <v>82</v>
      </c>
      <c r="G15" s="31" t="s">
        <v>82</v>
      </c>
      <c r="H15" s="22"/>
    </row>
    <row r="16">
      <c r="A16" s="7" t="s">
        <v>84</v>
      </c>
      <c r="B16" s="21" t="str">
        <f>IF(AND(ISNUMBER(B11),ISNUMBER(B14),ISNUMBER(B15)),(1+B11)/((1+B14)*(1+B15))-1,"n.a.")</f>
        <v>n.a.</v>
      </c>
      <c r="C16" s="21" t="str">
        <f>IF(AND(ISNUMBER(C11),ISNUMBER(C14),ISNUMBER(C15)),(1+C11)/((1+C14)*(1+C15))-1,"n.a.")</f>
        <v>n.a.</v>
      </c>
      <c r="D16" s="21" t="str">
        <f>IF(AND(ISNUMBER(D11),ISNUMBER(D14),ISNUMBER(D15)),(1+D11)/((1+D14)*(1+D15))-1,"n.a.")</f>
        <v>n.a.</v>
      </c>
      <c r="E16" s="21" t="str">
        <f>IF(AND(ISNUMBER(E11),ISNUMBER(E14),ISNUMBER(E15)),(1+E11)/((1+E14)*(1+E15))-1,"n.a.")</f>
        <v>n.a.</v>
      </c>
      <c r="F16" s="21" t="str">
        <f>IF(AND(ISNUMBER(F11),ISNUMBER(F14),ISNUMBER(F15)),(1+F11)/((1+F14)*(1+F15))-1,"n.a.")</f>
        <v>n.a.</v>
      </c>
      <c r="G16" s="31" t="str">
        <f>IF(AND(ISNUMBER(G11),ISNUMBER(G14),ISNUMBER(G15)),(1+G11)/((1+G14)*(1+G15))-1,"n.a.")</f>
        <v>n.a.</v>
      </c>
      <c r="H16" s="22"/>
    </row>
    <row r="17">
      <c r="A17" s="7" t="s">
        <v>413</v>
      </c>
      <c r="B17" s="23">
        <f>B10/'Revenue summary'!B32</f>
        <v>0.6599051633298209</v>
      </c>
      <c r="C17" s="23">
        <f>C10/'Revenue summary'!C32</f>
        <v>0.5708339527278133</v>
      </c>
      <c r="D17" s="23">
        <f>D10/'Revenue summary'!D32</f>
        <v>0.6270782217799359</v>
      </c>
      <c r="E17" s="23">
        <f>E10/'Revenue summary'!E32</f>
        <v>0.6046322633075986</v>
      </c>
      <c r="F17" s="23">
        <f>F10/'Revenue summary'!F32</f>
        <v>0.600944045628872</v>
      </c>
      <c r="G17" s="27">
        <v>0.61</v>
      </c>
      <c r="H17" s="22"/>
    </row>
    <row r="18">
      <c r="A18" s="7" t="s">
        <v>187</v>
      </c>
      <c r="B18" s="28">
        <f>IF(AND(ISNUMBER(Inputs!B122),ISNUMBER(Inputs!B121)),(B17-Inputs!B122/Inputs!B121)*10000,"n.a.")</f>
        <v>263.9071337313137</v>
      </c>
      <c r="C18" s="28">
        <f>IF(AND(ISNUMBER(Inputs!C122),ISNUMBER(Inputs!C121)),(C17-Inputs!C122/Inputs!C121)*10000,"n.a.")</f>
        <v>-850.8932941221115</v>
      </c>
      <c r="D18" s="28">
        <f>IF(AND(ISNUMBER(Inputs!D122),ISNUMBER(Inputs!D121)),(D17-Inputs!D122/Inputs!D121)*10000,"n.a.")</f>
        <v>-166.65237631037334</v>
      </c>
      <c r="E18" s="28">
        <f>IF(AND(ISNUMBER(Inputs!E122),ISNUMBER(Inputs!E121)),(E17-Inputs!E122/Inputs!E121)*10000,"n.a.")</f>
        <v>-503.93629668101903</v>
      </c>
      <c r="F18" s="28">
        <f>IF(AND(ISNUMBER(Inputs!F122),ISNUMBER(Inputs!F121)),(F17-Inputs!F122/Inputs!F121)*10000,"n.a.")</f>
        <v>-149.786040316916</v>
      </c>
      <c r="G18" s="30">
        <f>(G17-B17)*10000</f>
        <v>-499.0516332982087</v>
      </c>
      <c r="H18" s="22"/>
    </row>
    <row r="19">
      <c r="A19" s="7" t="s">
        <v>186</v>
      </c>
      <c r="B19" s="28">
        <f>IF(AND(ISNUMBER(Inputs!F122),ISNUMBER(Inputs!F121)),(B17-Inputs!F122/Inputs!F121)*10000,"n.a.")</f>
        <v>439.8251366925721</v>
      </c>
      <c r="C19" s="25">
        <f>(C17-B17)*10000</f>
        <v>-890.7121060200751</v>
      </c>
      <c r="D19" s="25" t="str">
        <f>"n.a."</f>
        <v>n.a.</v>
      </c>
      <c r="E19" s="25">
        <f>(E17-C17)*10000</f>
        <v>337.9831057978522</v>
      </c>
      <c r="F19" s="25">
        <f>(F17-E17)*10000</f>
        <v>-36.88217678726513</v>
      </c>
      <c r="G19" s="30">
        <f>(G17-F17)*10000</f>
        <v>90.55954371127939</v>
      </c>
      <c r="H19" s="22"/>
    </row>
    <row r="20">
      <c r="A20" s="1"/>
      <c r="B20" s="1"/>
      <c r="C20" s="1"/>
      <c r="D20" s="1"/>
      <c r="E20" s="1"/>
      <c r="F20" s="1"/>
      <c r="G20" s="24"/>
      <c r="H20" s="22"/>
    </row>
    <row r="21">
      <c r="A21" s="1" t="s">
        <v>414</v>
      </c>
      <c r="B21" s="20">
        <v>3163</v>
      </c>
      <c r="C21" s="20">
        <v>3690</v>
      </c>
      <c r="D21" s="8">
        <f>Inputs!G123+B21+C21</f>
        <v>14155</v>
      </c>
      <c r="E21" s="20">
        <v>3767</v>
      </c>
      <c r="F21" s="20">
        <v>4502</v>
      </c>
      <c r="G21" s="35">
        <f>G28*'Revenue summary'!G32</f>
        <v>3777.3493720003576</v>
      </c>
      <c r="H21" s="22" t="s">
        <v>234</v>
      </c>
    </row>
    <row r="22">
      <c r="A22" s="7" t="s">
        <v>78</v>
      </c>
      <c r="B22" s="23">
        <f>IF(ISNUMBER(Inputs!B123),IF(OR(Inputs!B123&lt;=0,B21&lt;0),"n.m.",B21/Inputs!B123-1),"n.a.")</f>
        <v>0.02828348504551359</v>
      </c>
      <c r="C22" s="23">
        <f>IF(ISNUMBER(Inputs!C123),IF(OR(Inputs!C123&lt;=0,C21&lt;0),"n.m.",C21/Inputs!C123-1),"n.a.")</f>
        <v>0.33068878470970064</v>
      </c>
      <c r="D22" s="23">
        <f>IF(ISNUMBER(Inputs!D123),IF(OR(Inputs!D123&lt;=0,D21&lt;0),"n.m.",D21/Inputs!D123-1),"n.a.")</f>
        <v>0.15551020408163274</v>
      </c>
      <c r="E22" s="23">
        <f>IF(ISNUMBER(Inputs!E123),IF(OR(Inputs!E123&lt;=0,E21&lt;0),"n.m.",E21/Inputs!E123-1),"n.a.")</f>
        <v>0.0790604411343454</v>
      </c>
      <c r="F22" s="23">
        <f>IF(ISNUMBER(Inputs!F123),IF(OR(Inputs!F123&lt;=0,F21&lt;0),"n.m.",F21/Inputs!F123-1),"n.a.")</f>
        <v>0.18131723956966672</v>
      </c>
      <c r="G22" s="31">
        <f>IF(ISNUMBER(B21),IF(OR(B21&lt;=0,G21&lt;0),"n.m.",G21/B21-1),"n.a.")</f>
        <v>0.19422996269375825</v>
      </c>
      <c r="H22" s="22"/>
    </row>
    <row r="23">
      <c r="A23" s="7" t="s">
        <v>79</v>
      </c>
      <c r="B23" s="23">
        <f>IF(ISNUMBER(Inputs!F123),IF(OR(Inputs!F123&lt;=0,B21&lt;0),"n.m.",B21/Inputs!F123-1),"n.a.")</f>
        <v>-0.1700341117816846</v>
      </c>
      <c r="C23" s="21">
        <f>IF(ISNUMBER(B21),IF(OR(B21&lt;=0,C21&lt;0),"n.m.",C21/B21-1),"n.a.")</f>
        <v>0.16661397407524503</v>
      </c>
      <c r="D23" s="21" t="str">
        <f>"n.a."</f>
        <v>n.a.</v>
      </c>
      <c r="E23" s="21">
        <f>IF(ISNUMBER(C21),IF(OR(C21&lt;=0,E21&lt;0),"n.m.",E21/C21-1),"n.a.")</f>
        <v>0.02086720867208669</v>
      </c>
      <c r="F23" s="21">
        <f>IF(ISNUMBER(E21),IF(OR(E21&lt;=0,F21&lt;0),"n.m.",F21/E21-1),"n.a.")</f>
        <v>0.19511547650650396</v>
      </c>
      <c r="G23" s="31">
        <f>IF(ISNUMBER(F21),IF(OR(F21&lt;=0,G21&lt;0),"n.m.",G21/F21-1),"n.a.")</f>
        <v>-0.1609619342513644</v>
      </c>
      <c r="H23" s="22"/>
    </row>
    <row r="24">
      <c r="A24" s="1" t="s">
        <v>80</v>
      </c>
      <c r="B24" s="8">
        <f>IF(ISNUMBER(Inputs!F123),B21-Inputs!F123,"n.a.")</f>
        <v>-648</v>
      </c>
      <c r="C24" s="3">
        <f>IF(ISNUMBER(B21),C21-B21,"n.a.")</f>
        <v>527</v>
      </c>
      <c r="D24" s="3" t="str">
        <f>"n.a."</f>
        <v>n.a.</v>
      </c>
      <c r="E24" s="3">
        <f>IF(ISNUMBER(C21),E21-C21,"n.a.")</f>
        <v>77</v>
      </c>
      <c r="F24" s="3">
        <f>IF(ISNUMBER(E21),F21-E21,"n.a.")</f>
        <v>735</v>
      </c>
      <c r="G24" s="29">
        <f>IF(ISNUMBER(F21),G21-F21,"n.a.")</f>
        <v>-724.6506279996424</v>
      </c>
      <c r="H24" s="22"/>
    </row>
    <row r="25">
      <c r="A25" s="7" t="s">
        <v>81</v>
      </c>
      <c r="B25" s="21" t="s">
        <v>82</v>
      </c>
      <c r="C25" s="21" t="s">
        <v>82</v>
      </c>
      <c r="D25" s="21" t="s">
        <v>82</v>
      </c>
      <c r="E25" s="21" t="s">
        <v>82</v>
      </c>
      <c r="F25" s="21" t="s">
        <v>82</v>
      </c>
      <c r="G25" s="31" t="s">
        <v>82</v>
      </c>
      <c r="H25" s="22"/>
    </row>
    <row r="26">
      <c r="A26" s="7" t="s">
        <v>83</v>
      </c>
      <c r="B26" s="21" t="s">
        <v>82</v>
      </c>
      <c r="C26" s="21" t="s">
        <v>82</v>
      </c>
      <c r="D26" s="21" t="s">
        <v>82</v>
      </c>
      <c r="E26" s="21" t="s">
        <v>82</v>
      </c>
      <c r="F26" s="21" t="s">
        <v>82</v>
      </c>
      <c r="G26" s="31" t="s">
        <v>82</v>
      </c>
      <c r="H26" s="22"/>
    </row>
    <row r="27">
      <c r="A27" s="7" t="s">
        <v>84</v>
      </c>
      <c r="B27" s="21" t="str">
        <f>IF(AND(ISNUMBER(B22),ISNUMBER(B25),ISNUMBER(B26)),(1+B22)/((1+B25)*(1+B26))-1,"n.a.")</f>
        <v>n.a.</v>
      </c>
      <c r="C27" s="21" t="str">
        <f>IF(AND(ISNUMBER(C22),ISNUMBER(C25),ISNUMBER(C26)),(1+C22)/((1+C25)*(1+C26))-1,"n.a.")</f>
        <v>n.a.</v>
      </c>
      <c r="D27" s="21" t="str">
        <f>IF(AND(ISNUMBER(D22),ISNUMBER(D25),ISNUMBER(D26)),(1+D22)/((1+D25)*(1+D26))-1,"n.a.")</f>
        <v>n.a.</v>
      </c>
      <c r="E27" s="21" t="str">
        <f>IF(AND(ISNUMBER(E22),ISNUMBER(E25),ISNUMBER(E26)),(1+E22)/((1+E25)*(1+E26))-1,"n.a.")</f>
        <v>n.a.</v>
      </c>
      <c r="F27" s="21" t="str">
        <f>IF(AND(ISNUMBER(F22),ISNUMBER(F25),ISNUMBER(F26)),(1+F22)/((1+F25)*(1+F26))-1,"n.a.")</f>
        <v>n.a.</v>
      </c>
      <c r="G27" s="31" t="str">
        <f>IF(AND(ISNUMBER(G22),ISNUMBER(G25),ISNUMBER(G26)),(1+G22)/((1+G25)*(1+G26))-1,"n.a.")</f>
        <v>n.a.</v>
      </c>
      <c r="H27" s="22"/>
    </row>
    <row r="28">
      <c r="A28" s="7" t="s">
        <v>413</v>
      </c>
      <c r="B28" s="23">
        <f>B21/'Revenue summary'!B32</f>
        <v>0.2083113804004215</v>
      </c>
      <c r="C28" s="23">
        <f>C21/'Revenue summary'!C32</f>
        <v>0.2742678757246915</v>
      </c>
      <c r="D28" s="23">
        <f>D21/'Revenue summary'!D32</f>
        <v>0.2428667021258343</v>
      </c>
      <c r="E28" s="23">
        <f>E21/'Revenue summary'!E32</f>
        <v>0.21866836942009635</v>
      </c>
      <c r="F28" s="23">
        <f>F21/'Revenue summary'!F32</f>
        <v>0.2213590323532304</v>
      </c>
      <c r="G28" s="27">
        <v>0.22</v>
      </c>
      <c r="H28" s="22"/>
    </row>
    <row r="29">
      <c r="A29" s="7" t="s">
        <v>187</v>
      </c>
      <c r="B29" s="28">
        <f>IF(AND(ISNUMBER(Inputs!B123),ISNUMBER(Inputs!B121)),(B28-Inputs!B123/Inputs!B121)*10000,"n.a.")</f>
        <v>-339.1241674896034</v>
      </c>
      <c r="C29" s="28">
        <f>IF(AND(ISNUMBER(Inputs!C123),ISNUMBER(Inputs!C121)),(C28-Inputs!C123/Inputs!C121)*10000,"n.a.")</f>
        <v>743.2555832617685</v>
      </c>
      <c r="D29" s="28">
        <f>IF(AND(ISNUMBER(Inputs!D123),ISNUMBER(Inputs!D121)),(D28-Inputs!D123/Inputs!D121)*10000,"n.a.")</f>
        <v>139.46086189221967</v>
      </c>
      <c r="E29" s="28">
        <f>IF(AND(ISNUMBER(Inputs!E123),ISNUMBER(Inputs!E121)),(E28-Inputs!E123/Inputs!E121)*10000,"n.a.")</f>
        <v>-131.06959221518306</v>
      </c>
      <c r="F29" s="28">
        <f>IF(AND(ISNUMBER(Inputs!F123),ISNUMBER(Inputs!F121)),(F28-Inputs!F123/Inputs!F121)*10000,"n.a.")</f>
        <v>-399.7265522820004</v>
      </c>
      <c r="G29" s="30">
        <f>(G28-B28)*10000</f>
        <v>116.88619599578509</v>
      </c>
      <c r="H29" s="22"/>
    </row>
    <row r="30">
      <c r="A30" s="7" t="s">
        <v>186</v>
      </c>
      <c r="B30" s="28">
        <f>IF(AND(ISNUMBER(Inputs!F123),ISNUMBER(Inputs!F121)),(B28-Inputs!F123/Inputs!F121)*10000,"n.a.")</f>
        <v>-530.2030718100895</v>
      </c>
      <c r="C30" s="25">
        <f>(C28-B28)*10000</f>
        <v>659.5649532427003</v>
      </c>
      <c r="D30" s="25" t="str">
        <f>"n.a."</f>
        <v>n.a.</v>
      </c>
      <c r="E30" s="25">
        <f>(E28-C28)*10000</f>
        <v>-555.9950630459517</v>
      </c>
      <c r="F30" s="25">
        <f>(F28-E28)*10000</f>
        <v>26.906629331340525</v>
      </c>
      <c r="G30" s="30">
        <f>(G28-F28)*10000</f>
        <v>-13.590323532303994</v>
      </c>
      <c r="H30" s="22"/>
    </row>
    <row r="31">
      <c r="A31" s="1"/>
      <c r="B31" s="1"/>
      <c r="C31" s="1"/>
      <c r="D31" s="1"/>
      <c r="E31" s="1"/>
      <c r="F31" s="1"/>
      <c r="G31" s="24"/>
      <c r="H31" s="22"/>
    </row>
    <row r="32">
      <c r="A32" s="1" t="s">
        <v>415</v>
      </c>
      <c r="B32" s="20">
        <v>2001</v>
      </c>
      <c r="C32" s="20">
        <v>2084</v>
      </c>
      <c r="D32" s="8">
        <f>Inputs!G124+B32+C32</f>
        <v>7580</v>
      </c>
      <c r="E32" s="20">
        <v>3044</v>
      </c>
      <c r="F32" s="20">
        <v>3614</v>
      </c>
      <c r="G32" s="35">
        <f>'Revenue summary'!G32-G10-G21</f>
        <v>2918.8608783639133</v>
      </c>
      <c r="H32" s="22" t="s">
        <v>416</v>
      </c>
    </row>
    <row r="33">
      <c r="A33" s="7" t="s">
        <v>78</v>
      </c>
      <c r="B33" s="23">
        <f>IF(ISNUMBER(Inputs!B124),IF(OR(Inputs!B124&lt;=0,B32&lt;0),"n.m.",B32/Inputs!B124-1),"n.a.")</f>
        <v>0.26806083650190105</v>
      </c>
      <c r="C33" s="23">
        <f>IF(ISNUMBER(Inputs!C124),IF(OR(Inputs!C124&lt;=0,C32&lt;0),"n.m.",C32/Inputs!C124-1),"n.a.")</f>
        <v>0.04252126063031514</v>
      </c>
      <c r="D33" s="23">
        <f>IF(ISNUMBER(Inputs!D124),IF(OR(Inputs!D124&lt;=0,D32&lt;0),"n.m.",D32/Inputs!D124-1),"n.a.")</f>
        <v>0.11241561491047847</v>
      </c>
      <c r="E33" s="23">
        <f>IF(ISNUMBER(Inputs!E124),IF(OR(Inputs!E124&lt;=0,E32&lt;0),"n.m.",E32/Inputs!E124-1),"n.a.")</f>
        <v>0.7853372434017596</v>
      </c>
      <c r="F33" s="23">
        <f>IF(ISNUMBER(Inputs!F124),IF(OR(Inputs!F124&lt;=0,F32&lt;0),"n.m.",F32/Inputs!F124-1),"n.a.")</f>
        <v>1.018994413407821</v>
      </c>
      <c r="G33" s="31">
        <f>IF(ISNUMBER(B32),IF(OR(B32&lt;=0,G32&lt;0),"n.m.",G32/B32-1),"n.a.")</f>
        <v>0.4587010886376379</v>
      </c>
      <c r="H33" s="22"/>
    </row>
    <row r="34">
      <c r="A34" s="7" t="s">
        <v>79</v>
      </c>
      <c r="B34" s="23">
        <f>IF(ISNUMBER(Inputs!F124),IF(OR(Inputs!F124&lt;=0,B32&lt;0),"n.m.",B32/Inputs!F124-1),"n.a.")</f>
        <v>0.11787709497206711</v>
      </c>
      <c r="C34" s="21">
        <f>IF(ISNUMBER(B32),IF(OR(B32&lt;=0,C32&lt;0),"n.m.",C32/B32-1),"n.a.")</f>
        <v>0.041479260369815085</v>
      </c>
      <c r="D34" s="21" t="str">
        <f>"n.a."</f>
        <v>n.a.</v>
      </c>
      <c r="E34" s="21">
        <f>IF(ISNUMBER(C32),IF(OR(C32&lt;=0,E32&lt;0),"n.m.",E32/C32-1),"n.a.")</f>
        <v>0.46065259117082524</v>
      </c>
      <c r="F34" s="21">
        <f>IF(ISNUMBER(E32),IF(OR(E32&lt;=0,F32&lt;0),"n.m.",F32/E32-1),"n.a.")</f>
        <v>0.1872536136662286</v>
      </c>
      <c r="G34" s="31">
        <f>IF(ISNUMBER(F32),IF(OR(F32&lt;=0,G32&lt;0),"n.m.",G32/F32-1),"n.a.")</f>
        <v>-0.19234618750306764</v>
      </c>
      <c r="H34" s="22"/>
    </row>
    <row r="35">
      <c r="A35" s="1" t="s">
        <v>80</v>
      </c>
      <c r="B35" s="8">
        <f>IF(ISNUMBER(Inputs!F124),B32-Inputs!F124,"n.a.")</f>
        <v>211</v>
      </c>
      <c r="C35" s="3">
        <f>IF(ISNUMBER(B32),C32-B32,"n.a.")</f>
        <v>83</v>
      </c>
      <c r="D35" s="3" t="str">
        <f>"n.a."</f>
        <v>n.a.</v>
      </c>
      <c r="E35" s="3">
        <f>IF(ISNUMBER(C32),E32-C32,"n.a.")</f>
        <v>960</v>
      </c>
      <c r="F35" s="3">
        <f>IF(ISNUMBER(E32),F32-E32,"n.a.")</f>
        <v>570</v>
      </c>
      <c r="G35" s="29">
        <f>IF(ISNUMBER(F32),G32-F32,"n.a.")</f>
        <v>-695.1391216360867</v>
      </c>
      <c r="H35" s="22"/>
    </row>
    <row r="36">
      <c r="A36" s="7" t="s">
        <v>81</v>
      </c>
      <c r="B36" s="21" t="s">
        <v>82</v>
      </c>
      <c r="C36" s="21" t="s">
        <v>82</v>
      </c>
      <c r="D36" s="21" t="s">
        <v>82</v>
      </c>
      <c r="E36" s="21" t="s">
        <v>82</v>
      </c>
      <c r="F36" s="21" t="s">
        <v>82</v>
      </c>
      <c r="G36" s="31" t="s">
        <v>82</v>
      </c>
      <c r="H36" s="22"/>
    </row>
    <row r="37">
      <c r="A37" s="7" t="s">
        <v>83</v>
      </c>
      <c r="B37" s="21" t="s">
        <v>82</v>
      </c>
      <c r="C37" s="21" t="s">
        <v>82</v>
      </c>
      <c r="D37" s="21" t="s">
        <v>82</v>
      </c>
      <c r="E37" s="21" t="s">
        <v>82</v>
      </c>
      <c r="F37" s="21" t="s">
        <v>82</v>
      </c>
      <c r="G37" s="31" t="s">
        <v>82</v>
      </c>
      <c r="H37" s="22"/>
    </row>
    <row r="38">
      <c r="A38" s="7" t="s">
        <v>84</v>
      </c>
      <c r="B38" s="21" t="str">
        <f>IF(AND(ISNUMBER(B33),ISNUMBER(B36),ISNUMBER(B37)),(1+B33)/((1+B36)*(1+B37))-1,"n.a.")</f>
        <v>n.a.</v>
      </c>
      <c r="C38" s="21" t="str">
        <f>IF(AND(ISNUMBER(C33),ISNUMBER(C36),ISNUMBER(C37)),(1+C33)/((1+C36)*(1+C37))-1,"n.a.")</f>
        <v>n.a.</v>
      </c>
      <c r="D38" s="21" t="str">
        <f>IF(AND(ISNUMBER(D33),ISNUMBER(D36),ISNUMBER(D37)),(1+D33)/((1+D36)*(1+D37))-1,"n.a.")</f>
        <v>n.a.</v>
      </c>
      <c r="E38" s="21" t="str">
        <f>IF(AND(ISNUMBER(E33),ISNUMBER(E36),ISNUMBER(E37)),(1+E33)/((1+E36)*(1+E37))-1,"n.a.")</f>
        <v>n.a.</v>
      </c>
      <c r="F38" s="21" t="str">
        <f>IF(AND(ISNUMBER(F33),ISNUMBER(F36),ISNUMBER(F37)),(1+F33)/((1+F36)*(1+F37))-1,"n.a.")</f>
        <v>n.a.</v>
      </c>
      <c r="G38" s="31" t="str">
        <f>IF(AND(ISNUMBER(G33),ISNUMBER(G36),ISNUMBER(G37)),(1+G33)/((1+G36)*(1+G37))-1,"n.a.")</f>
        <v>n.a.</v>
      </c>
      <c r="H38" s="22"/>
    </row>
    <row r="39">
      <c r="A39" s="7" t="s">
        <v>413</v>
      </c>
      <c r="B39" s="23">
        <f>B32/'Revenue summary'!B32</f>
        <v>0.13178345626975763</v>
      </c>
      <c r="C39" s="23">
        <f>C32/'Revenue summary'!C32</f>
        <v>0.15489817154749516</v>
      </c>
      <c r="D39" s="23">
        <f>D32/'Revenue summary'!D32</f>
        <v>0.13005507609422987</v>
      </c>
      <c r="E39" s="23">
        <f>E32/'Revenue summary'!E32</f>
        <v>0.1766993672723051</v>
      </c>
      <c r="F39" s="23">
        <f>F32/'Revenue summary'!F32</f>
        <v>0.17769692201789752</v>
      </c>
      <c r="G39" s="49">
        <f>G32/'Revenue summary'!G32</f>
        <v>0.17000000000000004</v>
      </c>
      <c r="H39" s="22"/>
    </row>
    <row r="40">
      <c r="A40" s="7" t="s">
        <v>187</v>
      </c>
      <c r="B40" s="28">
        <f>IF(AND(ISNUMBER(Inputs!B124),ISNUMBER(Inputs!B121)),(B39-Inputs!B124/Inputs!B121)*10000,"n.a.")</f>
        <v>75.2170337582897</v>
      </c>
      <c r="C40" s="28">
        <f>IF(AND(ISNUMBER(Inputs!C124),ISNUMBER(Inputs!C121)),(C39-Inputs!C124/Inputs!C121)*10000,"n.a.")</f>
        <v>107.63771086034352</v>
      </c>
      <c r="D40" s="28">
        <f>IF(AND(ISNUMBER(Inputs!D124),ISNUMBER(Inputs!D121)),(D39-Inputs!D124/Inputs!D121)*10000,"n.a.")</f>
        <v>27.191514418154483</v>
      </c>
      <c r="E40" s="28">
        <f>IF(AND(ISNUMBER(Inputs!E124),ISNUMBER(Inputs!E121)),(E39-Inputs!E124/Inputs!E121)*10000,"n.a.")</f>
        <v>635.0058888962019</v>
      </c>
      <c r="F40" s="28">
        <f>IF(AND(ISNUMBER(Inputs!F124),ISNUMBER(Inputs!F121)),(F39-Inputs!F124/Inputs!F121)*10000,"n.a.")</f>
        <v>549.5125925989163</v>
      </c>
      <c r="G40" s="30">
        <f>(G39-B39)*10000</f>
        <v>382.16543730242415</v>
      </c>
      <c r="H40" s="22"/>
    </row>
    <row r="41">
      <c r="A41" s="7" t="s">
        <v>186</v>
      </c>
      <c r="B41" s="28">
        <f>IF(AND(ISNUMBER(Inputs!F124),ISNUMBER(Inputs!F121)),(B39-Inputs!F124/Inputs!F121)*10000,"n.a.")</f>
        <v>90.37793511751727</v>
      </c>
      <c r="C41" s="25">
        <f>(C39-B39)*10000</f>
        <v>231.14715277737534</v>
      </c>
      <c r="D41" s="25" t="str">
        <f>"n.a."</f>
        <v>n.a.</v>
      </c>
      <c r="E41" s="25">
        <f>(E39-C39)*10000</f>
        <v>218.0119572480993</v>
      </c>
      <c r="F41" s="25">
        <f>(F39-E39)*10000</f>
        <v>9.975547455924328</v>
      </c>
      <c r="G41" s="30">
        <f>(G39-F39)*10000</f>
        <v>-76.96922017897484</v>
      </c>
      <c r="H41" s="22"/>
    </row>
    <row r="42">
      <c r="A42" s="1"/>
      <c r="B42" s="1"/>
      <c r="C42" s="1"/>
      <c r="D42" s="1"/>
      <c r="E42" s="1"/>
      <c r="F42" s="1"/>
      <c r="G42" s="24"/>
      <c r="H42" s="22"/>
    </row>
    <row r="43">
      <c r="A43" s="17" t="s">
        <v>90</v>
      </c>
      <c r="B43" s="26">
        <f>B10+B21+B32</f>
        <v>15184</v>
      </c>
      <c r="C43" s="26">
        <f>C10+C21+C32</f>
        <v>13454</v>
      </c>
      <c r="D43" s="26">
        <f>D10+D21+D32</f>
        <v>58283</v>
      </c>
      <c r="E43" s="26">
        <f>E10+E21+E32</f>
        <v>17227</v>
      </c>
      <c r="F43" s="26">
        <f>F10+F21+F32</f>
        <v>20338</v>
      </c>
      <c r="G43" s="52">
        <f>G10+G21+G32</f>
        <v>17169.7698727289</v>
      </c>
      <c r="H43" s="22"/>
    </row>
    <row r="44">
      <c r="A44" s="1" t="s">
        <v>417</v>
      </c>
      <c r="B44" s="8">
        <f>B43-'Revenue summary'!B32</f>
        <v>0</v>
      </c>
      <c r="C44" s="8">
        <f>C43-'Revenue summary'!C32</f>
        <v>0</v>
      </c>
      <c r="D44" s="8">
        <f>D43-'Revenue summary'!D32</f>
        <v>0</v>
      </c>
      <c r="E44" s="8">
        <f>E43-'Revenue summary'!E32</f>
        <v>0</v>
      </c>
      <c r="F44" s="8">
        <f>F43-'Revenue summary'!F32</f>
        <v>0</v>
      </c>
      <c r="G44" s="35">
        <f>G43-'Revenue summary'!G32</f>
        <v>0</v>
      </c>
      <c r="H44" s="22" t="s">
        <v>418</v>
      </c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H56"/>
  <sheetViews>
    <sheetView showGridLines="0" workbookViewId="0"/>
  </sheetViews>
  <sheetFormatPr defaultColWidth="8.42578125" defaultRowHeight="15"/>
  <cols>
    <col min="1" max="1" width="32" customWidth="1"/>
    <col min="2" max="7" width="12" customWidth="1"/>
    <col min="8" max="8" width="40" customWidth="1"/>
  </cols>
  <sheetData>
    <row r="1">
      <c r="A1" s="15" t="s">
        <v>0</v>
      </c>
      <c r="B1" s="1"/>
      <c r="C1" s="1"/>
      <c r="D1" s="1"/>
      <c r="E1" s="1"/>
      <c r="F1" s="1"/>
      <c r="G1" s="1"/>
      <c r="H1" s="1"/>
    </row>
    <row r="2">
      <c r="A2" s="17" t="s">
        <v>419</v>
      </c>
      <c r="B2" s="1"/>
      <c r="C2" s="1"/>
      <c r="D2" s="1"/>
      <c r="E2" s="1"/>
      <c r="F2" s="1"/>
      <c r="G2" s="1"/>
      <c r="H2" s="1"/>
    </row>
    <row r="3">
      <c r="A3" s="7" t="s">
        <v>2</v>
      </c>
      <c r="B3" s="1"/>
      <c r="C3" s="1"/>
      <c r="D3" s="1"/>
      <c r="E3" s="1"/>
      <c r="F3" s="1"/>
      <c r="G3" s="1"/>
      <c r="H3" s="1"/>
    </row>
    <row r="4">
      <c r="A4" s="1"/>
      <c r="B4" s="1"/>
      <c r="C4" s="1"/>
      <c r="D4" s="1"/>
      <c r="E4" s="1"/>
      <c r="F4" s="1"/>
      <c r="G4" s="1"/>
      <c r="H4" s="1"/>
    </row>
    <row r="5">
      <c r="A5" s="16" t="s">
        <v>65</v>
      </c>
      <c r="B5" s="2" t="s">
        <v>66</v>
      </c>
      <c r="C5" s="2" t="s">
        <v>67</v>
      </c>
      <c r="D5" s="2" t="s">
        <v>68</v>
      </c>
      <c r="E5" s="2" t="s">
        <v>69</v>
      </c>
      <c r="F5" s="2" t="s">
        <v>70</v>
      </c>
      <c r="G5" s="59" t="s">
        <v>71</v>
      </c>
      <c r="H5" s="16" t="s">
        <v>72</v>
      </c>
    </row>
    <row r="6">
      <c r="A6" s="11" t="s">
        <v>73</v>
      </c>
      <c r="B6" s="5">
        <f>DATE(2025,9,30)</f>
        <v>45930</v>
      </c>
      <c r="C6" s="5">
        <f>DATE(2025,12,31)</f>
        <v>46022</v>
      </c>
      <c r="D6" s="5">
        <f>DATE(2025,12,31)</f>
        <v>46022</v>
      </c>
      <c r="E6" s="5">
        <f>DATE(2026,3,31)</f>
        <v>46112</v>
      </c>
      <c r="F6" s="5">
        <f>DATE(2026,6,30)</f>
        <v>46203</v>
      </c>
      <c r="G6" s="43">
        <f>DATE(2026,9,30)</f>
        <v>46295</v>
      </c>
      <c r="H6" s="11"/>
    </row>
    <row r="7">
      <c r="A7" s="4" t="s">
        <v>74</v>
      </c>
      <c r="B7" s="12">
        <f>B6-DATE(2025,6,30)</f>
        <v>92</v>
      </c>
      <c r="C7" s="12">
        <f>C6-B6</f>
        <v>92</v>
      </c>
      <c r="D7" s="12">
        <f>D6-DATE(2024,12,31)</f>
        <v>365</v>
      </c>
      <c r="E7" s="12">
        <f>E6-C6</f>
        <v>90</v>
      </c>
      <c r="F7" s="12">
        <f>F6-E6</f>
        <v>91</v>
      </c>
      <c r="G7" s="55">
        <f>G6-F6</f>
        <v>92</v>
      </c>
      <c r="H7" s="4"/>
    </row>
    <row r="8">
      <c r="A8" s="1"/>
      <c r="B8" s="1"/>
      <c r="C8" s="1"/>
      <c r="D8" s="1"/>
      <c r="E8" s="1"/>
      <c r="F8" s="1"/>
      <c r="G8" s="1"/>
      <c r="H8" s="1"/>
    </row>
    <row r="9">
      <c r="A9" s="17" t="s">
        <v>420</v>
      </c>
      <c r="B9" s="1"/>
      <c r="C9" s="1"/>
      <c r="D9" s="1"/>
      <c r="E9" s="1"/>
      <c r="F9" s="1"/>
      <c r="G9" s="24"/>
      <c r="H9" s="22"/>
    </row>
    <row r="10">
      <c r="A10" s="1" t="s">
        <v>421</v>
      </c>
      <c r="B10" s="8">
        <f>Inputs!F157</f>
        <v>311.5</v>
      </c>
      <c r="C10" s="3">
        <f>B27</f>
        <v>308.8</v>
      </c>
      <c r="D10" s="8">
        <f>Inputs!D157</f>
        <v>322.9</v>
      </c>
      <c r="E10" s="3">
        <f>C27</f>
        <v>307.1</v>
      </c>
      <c r="F10" s="3">
        <f>E27</f>
        <v>302</v>
      </c>
      <c r="G10" s="29">
        <f>F27</f>
        <v>298.4</v>
      </c>
      <c r="H10" s="22"/>
    </row>
    <row r="11">
      <c r="A11" s="1" t="s">
        <v>422</v>
      </c>
      <c r="B11" s="20">
        <v>2000</v>
      </c>
      <c r="C11" s="20">
        <v>3000</v>
      </c>
      <c r="D11" s="8">
        <f>Inputs!G151+B11+C11</f>
        <v>12360</v>
      </c>
      <c r="E11" s="20">
        <v>5000</v>
      </c>
      <c r="F11" s="20">
        <v>4000</v>
      </c>
      <c r="G11" s="51">
        <v>3000</v>
      </c>
      <c r="H11" s="22" t="s">
        <v>423</v>
      </c>
    </row>
    <row r="12">
      <c r="A12" s="7" t="s">
        <v>78</v>
      </c>
      <c r="B12" s="23" t="str">
        <f>IF(ISNUMBER(Inputs!B151),IF(OR(Inputs!B151&lt;=0,B11&lt;0),"n.m.",B11/Inputs!B151-1),"n.a.")</f>
        <v>n.a.</v>
      </c>
      <c r="C12" s="23" t="str">
        <f>IF(ISNUMBER(Inputs!C151),IF(OR(Inputs!C151&lt;=0,C11&lt;0),"n.m.",C11/Inputs!C151-1),"n.a.")</f>
        <v>n.a.</v>
      </c>
      <c r="D12" s="23" t="str">
        <f>IF(ISNUMBER(Inputs!D151),IF(OR(Inputs!D151&lt;=0,D11&lt;0),"n.m.",D11/Inputs!D151-1),"n.a.")</f>
        <v>n.a.</v>
      </c>
      <c r="E12" s="23">
        <f>IF(ISNUMBER(Inputs!E151),IF(OR(Inputs!E151&lt;=0,E11&lt;0),"n.m.",E11/Inputs!E151-1),"n.a.")</f>
        <v>0.14678899082568808</v>
      </c>
      <c r="F12" s="23">
        <f>IF(ISNUMBER(Inputs!F151),IF(OR(Inputs!F151&lt;=0,F11&lt;0),"n.m.",F11/Inputs!F151-1),"n.a.")</f>
        <v>0.33333333333333326</v>
      </c>
      <c r="G12" s="31">
        <f>IF(ISNUMBER(B11),IF(OR(B11&lt;=0,G11&lt;0),"n.m.",G11/B11-1),"n.a.")</f>
        <v>0.5</v>
      </c>
      <c r="H12" s="22"/>
    </row>
    <row r="13">
      <c r="A13" s="7" t="s">
        <v>79</v>
      </c>
      <c r="B13" s="23">
        <f>IF(ISNUMBER(Inputs!F151),IF(OR(Inputs!F151&lt;=0,B11&lt;0),"n.m.",B11/Inputs!F151-1),"n.a.")</f>
        <v>-0.33333333333333337</v>
      </c>
      <c r="C13" s="21">
        <f>IF(ISNUMBER(B11),IF(OR(B11&lt;=0,C11&lt;0),"n.m.",C11/B11-1),"n.a.")</f>
        <v>0.5</v>
      </c>
      <c r="D13" s="21" t="str">
        <f>"n.a."</f>
        <v>n.a.</v>
      </c>
      <c r="E13" s="21">
        <f>IF(ISNUMBER(C11),IF(OR(C11&lt;=0,E11&lt;0),"n.m.",E11/C11-1),"n.a.")</f>
        <v>0.6666666666666667</v>
      </c>
      <c r="F13" s="21">
        <f>IF(ISNUMBER(E11),IF(OR(E11&lt;=0,F11&lt;0),"n.m.",F11/E11-1),"n.a.")</f>
        <v>-0.19999999999999996</v>
      </c>
      <c r="G13" s="31">
        <f>IF(ISNUMBER(F11),IF(OR(F11&lt;=0,G11&lt;0),"n.m.",G11/F11-1),"n.a.")</f>
        <v>-0.25</v>
      </c>
      <c r="H13" s="22"/>
    </row>
    <row r="14">
      <c r="A14" s="1" t="s">
        <v>80</v>
      </c>
      <c r="B14" s="8">
        <f>IF(ISNUMBER(Inputs!F151),B11-Inputs!F151,"n.a.")</f>
        <v>-1000</v>
      </c>
      <c r="C14" s="3">
        <f>IF(ISNUMBER(B11),C11-B11,"n.a.")</f>
        <v>1000</v>
      </c>
      <c r="D14" s="3" t="str">
        <f>"n.a."</f>
        <v>n.a.</v>
      </c>
      <c r="E14" s="3">
        <f>IF(ISNUMBER(C11),E11-C11,"n.a.")</f>
        <v>2000</v>
      </c>
      <c r="F14" s="3">
        <f>IF(ISNUMBER(E11),F11-E11,"n.a.")</f>
        <v>-1000</v>
      </c>
      <c r="G14" s="29">
        <f>IF(ISNUMBER(F11),G11-F11,"n.a.")</f>
        <v>-1000</v>
      </c>
      <c r="H14" s="22"/>
    </row>
    <row r="15">
      <c r="A15" s="1" t="s">
        <v>424</v>
      </c>
      <c r="B15" s="33">
        <v>718.6</v>
      </c>
      <c r="C15" s="33">
        <v>822.33</v>
      </c>
      <c r="D15" s="33">
        <v>654.45</v>
      </c>
      <c r="E15" s="33">
        <v>923.49</v>
      </c>
      <c r="F15" s="33">
        <v>984.57</v>
      </c>
      <c r="G15" s="64">
        <v>1030</v>
      </c>
      <c r="H15" s="22" t="s">
        <v>425</v>
      </c>
    </row>
    <row r="16">
      <c r="A16" s="7" t="s">
        <v>78</v>
      </c>
      <c r="B16" s="21" t="str">
        <f>"n.a."</f>
        <v>n.a.</v>
      </c>
      <c r="C16" s="21" t="str">
        <f>"n.a."</f>
        <v>n.a.</v>
      </c>
      <c r="D16" s="21" t="str">
        <f>"n.a."</f>
        <v>n.a.</v>
      </c>
      <c r="E16" s="21" t="str">
        <f>"n.a."</f>
        <v>n.a.</v>
      </c>
      <c r="F16" s="21" t="str">
        <f>"n.a."</f>
        <v>n.a.</v>
      </c>
      <c r="G16" s="31">
        <f>IF(ISNUMBER(B15),IF(OR(B15&lt;=0,G15&lt;0),"n.m.",G15/B15-1),"n.a.")</f>
        <v>0.4333426106317839</v>
      </c>
      <c r="H16" s="22"/>
    </row>
    <row r="17">
      <c r="A17" s="7" t="s">
        <v>79</v>
      </c>
      <c r="B17" s="21" t="str">
        <f>"n.a."</f>
        <v>n.a.</v>
      </c>
      <c r="C17" s="21">
        <f>IF(ISNUMBER(B15),IF(OR(B15&lt;=0,C15&lt;0),"n.m.",C15/B15-1),"n.a.")</f>
        <v>0.14435012524352908</v>
      </c>
      <c r="D17" s="21" t="str">
        <f>"n.a."</f>
        <v>n.a.</v>
      </c>
      <c r="E17" s="21">
        <f>IF(ISNUMBER(C15),IF(OR(C15&lt;=0,E15&lt;0),"n.m.",E15/C15-1),"n.a.")</f>
        <v>0.12301630732187796</v>
      </c>
      <c r="F17" s="21">
        <f>IF(ISNUMBER(E15),IF(OR(E15&lt;=0,F15&lt;0),"n.m.",F15/E15-1),"n.a.")</f>
        <v>0.06614040217002892</v>
      </c>
      <c r="G17" s="31">
        <f>IF(ISNUMBER(F15),IF(OR(F15&lt;=0,G15&lt;0),"n.m.",G15/F15-1),"n.a.")</f>
        <v>0.04614197060645764</v>
      </c>
      <c r="H17" s="22"/>
    </row>
    <row r="18">
      <c r="A18" s="1" t="s">
        <v>80</v>
      </c>
      <c r="B18" s="3" t="str">
        <f>"n.a."</f>
        <v>n.a.</v>
      </c>
      <c r="C18" s="3">
        <f>IF(ISNUMBER(B15),C15-B15,"n.a.")</f>
        <v>103.73000000000002</v>
      </c>
      <c r="D18" s="3" t="str">
        <f>"n.a."</f>
        <v>n.a.</v>
      </c>
      <c r="E18" s="3">
        <f>IF(ISNUMBER(C15),E15-C15,"n.a.")</f>
        <v>101.15999999999997</v>
      </c>
      <c r="F18" s="3">
        <f>IF(ISNUMBER(E15),F15-E15,"n.a.")</f>
        <v>61.08000000000004</v>
      </c>
      <c r="G18" s="29">
        <f>IF(ISNUMBER(F15),G15-F15,"n.a.")</f>
        <v>45.42999999999995</v>
      </c>
      <c r="H18" s="22"/>
    </row>
    <row r="19">
      <c r="A19" s="1" t="s">
        <v>426</v>
      </c>
      <c r="B19" s="3">
        <f>B11/B15</f>
        <v>2.7831895352073475</v>
      </c>
      <c r="C19" s="3">
        <f>C11/C15</f>
        <v>3.6481704425230745</v>
      </c>
      <c r="D19" s="3">
        <f>D11/D15</f>
        <v>18.886087554435022</v>
      </c>
      <c r="E19" s="3">
        <f>E11/E15</f>
        <v>5.414243792569492</v>
      </c>
      <c r="F19" s="3">
        <f>F11/F15</f>
        <v>4.062687264491098</v>
      </c>
      <c r="G19" s="29">
        <f>G11/G15</f>
        <v>2.912621359223301</v>
      </c>
      <c r="H19" s="22"/>
    </row>
    <row r="20">
      <c r="A20" s="7" t="s">
        <v>78</v>
      </c>
      <c r="B20" s="21" t="str">
        <f>"n.a."</f>
        <v>n.a.</v>
      </c>
      <c r="C20" s="21" t="str">
        <f>"n.a."</f>
        <v>n.a.</v>
      </c>
      <c r="D20" s="21" t="str">
        <f>"n.a."</f>
        <v>n.a.</v>
      </c>
      <c r="E20" s="21" t="str">
        <f>"n.a."</f>
        <v>n.a.</v>
      </c>
      <c r="F20" s="21" t="str">
        <f>"n.a."</f>
        <v>n.a.</v>
      </c>
      <c r="G20" s="31">
        <f>IF(ISNUMBER(B19),IF(OR(B19&lt;=0,G19&lt;0),"n.m.",G19/B19-1),"n.a.")</f>
        <v>0.04650485436893215</v>
      </c>
      <c r="H20" s="22"/>
    </row>
    <row r="21">
      <c r="A21" s="7" t="s">
        <v>79</v>
      </c>
      <c r="B21" s="21" t="str">
        <f>"n.a."</f>
        <v>n.a.</v>
      </c>
      <c r="C21" s="21">
        <f>IF(ISNUMBER(B19),IF(OR(B19&lt;=0,C19&lt;0),"n.m.",C19/B19-1),"n.a.")</f>
        <v>0.31078763999854075</v>
      </c>
      <c r="D21" s="21" t="str">
        <f>"n.a."</f>
        <v>n.a.</v>
      </c>
      <c r="E21" s="21">
        <f>IF(ISNUMBER(C19),IF(OR(C19&lt;=0,E19&lt;0),"n.m.",E19/C19-1),"n.a.")</f>
        <v>0.48409836598122347</v>
      </c>
      <c r="F21" s="21">
        <f>IF(ISNUMBER(E19),IF(OR(E19&lt;=0,F19&lt;0),"n.m.",F19/E19-1),"n.a.")</f>
        <v>-0.24962978762302324</v>
      </c>
      <c r="G21" s="31">
        <f>IF(ISNUMBER(F19),IF(OR(F19&lt;=0,G19&lt;0),"n.m.",G19/F19-1),"n.a.")</f>
        <v>-0.2830800970873787</v>
      </c>
      <c r="H21" s="22"/>
    </row>
    <row r="22">
      <c r="A22" s="1" t="s">
        <v>427</v>
      </c>
      <c r="B22" s="3" t="str">
        <f>"n.a."</f>
        <v>n.a.</v>
      </c>
      <c r="C22" s="3">
        <f>IF(ISNUMBER(B19),C19-B19,"n.a.")</f>
        <v>0.8649809073157271</v>
      </c>
      <c r="D22" s="3" t="str">
        <f>"n.a."</f>
        <v>n.a.</v>
      </c>
      <c r="E22" s="3">
        <f>IF(ISNUMBER(C19),E19-C19,"n.a.")</f>
        <v>1.7660733500464172</v>
      </c>
      <c r="F22" s="3">
        <f>IF(ISNUMBER(E19),F19-E19,"n.a.")</f>
        <v>-1.3515565280783939</v>
      </c>
      <c r="G22" s="29">
        <f>IF(ISNUMBER(F19),G19-F19,"n.a.")</f>
        <v>-1.1500659052677968</v>
      </c>
      <c r="H22" s="22"/>
    </row>
    <row r="23">
      <c r="A23" s="1" t="s">
        <v>428</v>
      </c>
      <c r="B23" s="3">
        <f>B27-B10+B19</f>
        <v>0.08318953520735883</v>
      </c>
      <c r="C23" s="3">
        <f>C27-C10+C19</f>
        <v>1.948170442523086</v>
      </c>
      <c r="D23" s="3">
        <f>D27-D10+D19</f>
        <v>3.0860875544350677</v>
      </c>
      <c r="E23" s="3">
        <f>E27-E10+E19</f>
        <v>0.314243792569469</v>
      </c>
      <c r="F23" s="3">
        <f>F27-F10+F19</f>
        <v>0.4626872644910751</v>
      </c>
      <c r="G23" s="51">
        <v>0.1</v>
      </c>
      <c r="H23" s="22"/>
    </row>
    <row r="24">
      <c r="A24" s="7" t="s">
        <v>78</v>
      </c>
      <c r="B24" s="21" t="str">
        <f>"n.a."</f>
        <v>n.a.</v>
      </c>
      <c r="C24" s="21" t="str">
        <f>"n.a."</f>
        <v>n.a.</v>
      </c>
      <c r="D24" s="21" t="str">
        <f>"n.a."</f>
        <v>n.a.</v>
      </c>
      <c r="E24" s="21" t="str">
        <f>"n.a."</f>
        <v>n.a.</v>
      </c>
      <c r="F24" s="21" t="str">
        <f>"n.a."</f>
        <v>n.a.</v>
      </c>
      <c r="G24" s="31">
        <f>IF(ISNUMBER(B23),IF(OR(B23&lt;=0,G23&lt;0),"n.m.",G23/B23-1),"n.a.")</f>
        <v>0.2020742723317217</v>
      </c>
      <c r="H24" s="22"/>
    </row>
    <row r="25">
      <c r="A25" s="7" t="s">
        <v>79</v>
      </c>
      <c r="B25" s="21" t="str">
        <f>"n.a."</f>
        <v>n.a.</v>
      </c>
      <c r="C25" s="21">
        <f>IF(ISNUMBER(B23),IF(OR(B23&lt;=0,C23&lt;0),"n.m.",C23/B23-1),"n.a.")</f>
        <v>22.418455670741064</v>
      </c>
      <c r="D25" s="21" t="str">
        <f>"n.a."</f>
        <v>n.a.</v>
      </c>
      <c r="E25" s="21">
        <f>IF(ISNUMBER(C23),IF(OR(C23&lt;=0,E23&lt;0),"n.m.",E23/C23-1),"n.a.")</f>
        <v>-0.8386979980239869</v>
      </c>
      <c r="F25" s="21">
        <f>IF(ISNUMBER(E23),IF(OR(E23&lt;=0,F23&lt;0),"n.m.",F23/E23-1),"n.a.")</f>
        <v>0.4723831478351004</v>
      </c>
      <c r="G25" s="31">
        <f>IF(ISNUMBER(F23),IF(OR(F23&lt;=0,G23&lt;0),"n.m.",G23/F23-1),"n.a.")</f>
        <v>-0.7838712934751008</v>
      </c>
      <c r="H25" s="22"/>
    </row>
    <row r="26">
      <c r="A26" s="1" t="s">
        <v>427</v>
      </c>
      <c r="B26" s="3" t="str">
        <f>"n.a."</f>
        <v>n.a.</v>
      </c>
      <c r="C26" s="3">
        <f>IF(ISNUMBER(B23),C23-B23,"n.a.")</f>
        <v>1.864980907315727</v>
      </c>
      <c r="D26" s="3" t="str">
        <f>"n.a."</f>
        <v>n.a.</v>
      </c>
      <c r="E26" s="3">
        <f>IF(ISNUMBER(C23),E23-C23,"n.a.")</f>
        <v>-1.633926649953617</v>
      </c>
      <c r="F26" s="3">
        <f>IF(ISNUMBER(E23),F23-E23,"n.a.")</f>
        <v>0.14844347192160612</v>
      </c>
      <c r="G26" s="29">
        <f>IF(ISNUMBER(F23),G23-F23,"n.a.")</f>
        <v>-0.36268726449107513</v>
      </c>
      <c r="H26" s="22"/>
    </row>
    <row r="27">
      <c r="A27" s="17" t="s">
        <v>429</v>
      </c>
      <c r="B27" s="36">
        <v>308.8</v>
      </c>
      <c r="C27" s="36">
        <v>307.1</v>
      </c>
      <c r="D27" s="26">
        <f>C27</f>
        <v>307.1</v>
      </c>
      <c r="E27" s="36">
        <v>302</v>
      </c>
      <c r="F27" s="36">
        <v>298.4</v>
      </c>
      <c r="G27" s="52">
        <f>G10-G19+G23</f>
        <v>295.5873786407767</v>
      </c>
      <c r="H27" s="22" t="s">
        <v>430</v>
      </c>
    </row>
    <row r="28">
      <c r="A28" s="7" t="s">
        <v>78</v>
      </c>
      <c r="B28" s="23">
        <f>IF(ISNUMBER(Inputs!B157),IF(OR(Inputs!B157&lt;=0,B27&lt;0),"n.m.",B27/Inputs!B157-1),"n.a.")</f>
        <v>-0.0475015422578654</v>
      </c>
      <c r="C28" s="23">
        <f>IF(ISNUMBER(Inputs!C157),IF(OR(Inputs!C157&lt;=0,C27&lt;0),"n.m.",C27/Inputs!C157-1),"n.a.")</f>
        <v>-0.048931557757819655</v>
      </c>
      <c r="D28" s="23">
        <f>IF(ISNUMBER(Inputs!D157),IF(OR(Inputs!D157&lt;=0,D27&lt;0),"n.m.",D27/Inputs!D157-1),"n.a.")</f>
        <v>-0.048931557757819655</v>
      </c>
      <c r="E28" s="23" t="str">
        <f>IF(ISNUMBER(Inputs!E157),IF(OR(Inputs!E157&lt;=0,E27&lt;0),"n.m.",E27/Inputs!E157-1),"n.a.")</f>
        <v>n.a.</v>
      </c>
      <c r="F28" s="23">
        <f>IF(ISNUMBER(Inputs!F157),IF(OR(Inputs!F157&lt;=0,F27&lt;0),"n.m.",F27/Inputs!F157-1),"n.a.")</f>
        <v>-0.04205457463884432</v>
      </c>
      <c r="G28" s="31">
        <f>IF(ISNUMBER(B27),IF(OR(B27&lt;=0,G27&lt;0),"n.m.",G27/B27-1),"n.a.")</f>
        <v>-0.042786986266914795</v>
      </c>
      <c r="H28" s="22"/>
    </row>
    <row r="29">
      <c r="A29" s="7" t="s">
        <v>79</v>
      </c>
      <c r="B29" s="23">
        <f>IF(ISNUMBER(Inputs!F157),IF(OR(Inputs!F157&lt;=0,B27&lt;0),"n.m.",B27/Inputs!F157-1),"n.a.")</f>
        <v>-0.008667736757624334</v>
      </c>
      <c r="C29" s="21">
        <f>IF(ISNUMBER(B27),IF(OR(B27&lt;=0,C27&lt;0),"n.m.",C27/B27-1),"n.a.")</f>
        <v>-0.005505181347150168</v>
      </c>
      <c r="D29" s="21" t="str">
        <f>"n.a."</f>
        <v>n.a.</v>
      </c>
      <c r="E29" s="21">
        <f>IF(ISNUMBER(C27),IF(OR(C27&lt;=0,E27&lt;0),"n.m.",E27/C27-1),"n.a.")</f>
        <v>-0.0166069684141974</v>
      </c>
      <c r="F29" s="21">
        <f>IF(ISNUMBER(E27),IF(OR(E27&lt;=0,F27&lt;0),"n.m.",F27/E27-1),"n.a.")</f>
        <v>-0.01192052980132463</v>
      </c>
      <c r="G29" s="31">
        <f>IF(ISNUMBER(F27),IF(OR(F27&lt;=0,G27&lt;0),"n.m.",G27/F27-1),"n.a.")</f>
        <v>-0.009425674796324612</v>
      </c>
      <c r="H29" s="22"/>
    </row>
    <row r="30">
      <c r="A30" s="1" t="s">
        <v>427</v>
      </c>
      <c r="B30" s="8">
        <f>IF(ISNUMBER(Inputs!F157),B27-Inputs!F157,"n.a.")</f>
        <v>-2.6999999999999886</v>
      </c>
      <c r="C30" s="3">
        <f>IF(ISNUMBER(B27),C27-B27,"n.a.")</f>
        <v>-1.6999999999999886</v>
      </c>
      <c r="D30" s="3" t="str">
        <f>"n.a."</f>
        <v>n.a.</v>
      </c>
      <c r="E30" s="3">
        <f>IF(ISNUMBER(C27),E27-C27,"n.a.")</f>
        <v>-5.100000000000023</v>
      </c>
      <c r="F30" s="3">
        <f>IF(ISNUMBER(E27),F27-E27,"n.a.")</f>
        <v>-3.6000000000000227</v>
      </c>
      <c r="G30" s="29">
        <f>IF(ISNUMBER(F27),G27-F27,"n.a.")</f>
        <v>-2.8126213592232716</v>
      </c>
      <c r="H30" s="22"/>
    </row>
    <row r="31">
      <c r="A31" s="1"/>
      <c r="B31" s="1"/>
      <c r="C31" s="1"/>
      <c r="D31" s="1"/>
      <c r="E31" s="1"/>
      <c r="F31" s="1"/>
      <c r="G31" s="24"/>
      <c r="H31" s="22"/>
    </row>
    <row r="32">
      <c r="A32" s="17" t="s">
        <v>431</v>
      </c>
      <c r="B32" s="1"/>
      <c r="C32" s="1"/>
      <c r="D32" s="1"/>
      <c r="E32" s="1"/>
      <c r="F32" s="1"/>
      <c r="G32" s="24"/>
      <c r="H32" s="22"/>
    </row>
    <row r="33">
      <c r="A33" s="1" t="s">
        <v>432</v>
      </c>
      <c r="B33" s="20">
        <v>309.6</v>
      </c>
      <c r="C33" s="20">
        <v>307.3</v>
      </c>
      <c r="D33" s="20">
        <v>312.7</v>
      </c>
      <c r="E33" s="20">
        <v>303.8</v>
      </c>
      <c r="F33" s="20">
        <v>300.1</v>
      </c>
      <c r="G33" s="29">
        <f>(G10+G27)/2</f>
        <v>296.99368932038834</v>
      </c>
      <c r="H33" s="22" t="s">
        <v>433</v>
      </c>
    </row>
    <row r="34">
      <c r="A34" s="7" t="s">
        <v>78</v>
      </c>
      <c r="B34" s="23">
        <f>IF(ISNUMBER(Inputs!B155),IF(OR(Inputs!B155&lt;=0,B33&lt;0),"n.m.",B33/Inputs!B155-1),"n.a.")</f>
        <v>-0.046798029556650245</v>
      </c>
      <c r="C34" s="23">
        <f>IF(ISNUMBER(Inputs!C155),IF(OR(Inputs!C155&lt;=0,C33&lt;0),"n.m.",C33/Inputs!C155-1),"n.a.")</f>
        <v>-0.046836228287841064</v>
      </c>
      <c r="D34" s="23">
        <f>IF(ISNUMBER(Inputs!D155),IF(OR(Inputs!D155&lt;=0,D33&lt;0),"n.m.",D33/Inputs!D155-1),"n.a.")</f>
        <v>-0.04693690947881757</v>
      </c>
      <c r="E34" s="23" t="str">
        <f>IF(ISNUMBER(Inputs!E155),IF(OR(Inputs!E155&lt;=0,E33&lt;0),"n.m.",E33/Inputs!E155-1),"n.a.")</f>
        <v>n.a.</v>
      </c>
      <c r="F34" s="23">
        <f>IF(ISNUMBER(Inputs!F155),IF(OR(Inputs!F155&lt;=0,F33&lt;0),"n.m.",F33/Inputs!F155-1),"n.a.")</f>
        <v>-0.043353522473700834</v>
      </c>
      <c r="G34" s="31">
        <f>IF(ISNUMBER(B33),IF(OR(B33&lt;=0,G33&lt;0),"n.m.",G33/B33-1),"n.a.")</f>
        <v>-0.04071805775068371</v>
      </c>
      <c r="H34" s="22"/>
    </row>
    <row r="35">
      <c r="A35" s="7" t="s">
        <v>79</v>
      </c>
      <c r="B35" s="23">
        <f>IF(ISNUMBER(Inputs!F155),IF(OR(Inputs!F155&lt;=0,B33&lt;0),"n.m.",B33/Inputs!F155-1),"n.a.")</f>
        <v>-0.013069811922218566</v>
      </c>
      <c r="C35" s="21">
        <f>IF(ISNUMBER(B33),IF(OR(B33&lt;=0,C33&lt;0),"n.m.",C33/B33-1),"n.a.")</f>
        <v>-0.007428940568475539</v>
      </c>
      <c r="D35" s="21" t="str">
        <f>"n.a."</f>
        <v>n.a.</v>
      </c>
      <c r="E35" s="21">
        <f>IF(ISNUMBER(C33),IF(OR(C33&lt;=0,E33&lt;0),"n.m.",E33/C33-1),"n.a.")</f>
        <v>-0.011389521640091105</v>
      </c>
      <c r="F35" s="21">
        <f>IF(ISNUMBER(E33),IF(OR(E33&lt;=0,F33&lt;0),"n.m.",F33/E33-1),"n.a.")</f>
        <v>-0.012179065174456882</v>
      </c>
      <c r="G35" s="31">
        <f>IF(ISNUMBER(F33),IF(OR(F33&lt;=0,G33&lt;0),"n.m.",G33/F33-1),"n.a.")</f>
        <v>-0.010350918625830374</v>
      </c>
      <c r="H35" s="22"/>
    </row>
    <row r="36">
      <c r="A36" s="1" t="s">
        <v>427</v>
      </c>
      <c r="B36" s="8">
        <f>IF(ISNUMBER(Inputs!F155),B33-Inputs!F155,"n.a.")</f>
        <v>-4.099999999999966</v>
      </c>
      <c r="C36" s="3">
        <f>IF(ISNUMBER(B33),C33-B33,"n.a.")</f>
        <v>-2.3000000000000114</v>
      </c>
      <c r="D36" s="3" t="str">
        <f>"n.a."</f>
        <v>n.a.</v>
      </c>
      <c r="E36" s="3">
        <f>IF(ISNUMBER(C33),E33-C33,"n.a.")</f>
        <v>-3.5</v>
      </c>
      <c r="F36" s="3">
        <f>IF(ISNUMBER(E33),F33-E33,"n.a.")</f>
        <v>-3.6999999999999886</v>
      </c>
      <c r="G36" s="29">
        <f>IF(ISNUMBER(F33),G33-F33,"n.a.")</f>
        <v>-3.1063106796116813</v>
      </c>
      <c r="H36" s="22"/>
    </row>
    <row r="37">
      <c r="A37" s="1" t="s">
        <v>434</v>
      </c>
      <c r="B37" s="3">
        <f>B41-B33</f>
        <v>5.399999999999977</v>
      </c>
      <c r="C37" s="3">
        <f>C41-C33</f>
        <v>5.599999999999966</v>
      </c>
      <c r="D37" s="3">
        <f>D41-D33</f>
        <v>4.900000000000034</v>
      </c>
      <c r="E37" s="3">
        <f>E41-E33</f>
        <v>4.199999999999989</v>
      </c>
      <c r="F37" s="3">
        <f>F41-F33</f>
        <v>4.7999999999999545</v>
      </c>
      <c r="G37" s="51">
        <v>4.8</v>
      </c>
      <c r="H37" s="22"/>
    </row>
    <row r="38">
      <c r="A38" s="7" t="s">
        <v>78</v>
      </c>
      <c r="B38" s="21" t="str">
        <f>"n.a."</f>
        <v>n.a.</v>
      </c>
      <c r="C38" s="21" t="str">
        <f>"n.a."</f>
        <v>n.a.</v>
      </c>
      <c r="D38" s="21" t="str">
        <f>"n.a."</f>
        <v>n.a.</v>
      </c>
      <c r="E38" s="21" t="str">
        <f>"n.a."</f>
        <v>n.a.</v>
      </c>
      <c r="F38" s="21" t="str">
        <f>"n.a."</f>
        <v>n.a.</v>
      </c>
      <c r="G38" s="31">
        <f>IF(ISNUMBER(B37),IF(OR(B37&lt;=0,G37&lt;0),"n.m.",G37/B37-1),"n.a.")</f>
        <v>-0.11111111111110739</v>
      </c>
      <c r="H38" s="22"/>
    </row>
    <row r="39">
      <c r="A39" s="7" t="s">
        <v>79</v>
      </c>
      <c r="B39" s="21" t="str">
        <f>"n.a."</f>
        <v>n.a.</v>
      </c>
      <c r="C39" s="21">
        <f>IF(ISNUMBER(B37),IF(OR(B37&lt;=0,C37&lt;0),"n.m.",C37/B37-1),"n.a.")</f>
        <v>0.03703703703703498</v>
      </c>
      <c r="D39" s="21" t="str">
        <f>"n.a."</f>
        <v>n.a.</v>
      </c>
      <c r="E39" s="21">
        <f>IF(ISNUMBER(C37),IF(OR(C37&lt;=0,E37&lt;0),"n.m.",E37/C37-1),"n.a.")</f>
        <v>-0.24999999999999745</v>
      </c>
      <c r="F39" s="21">
        <f>IF(ISNUMBER(E37),IF(OR(E37&lt;=0,F37&lt;0),"n.m.",F37/E37-1),"n.a.")</f>
        <v>0.14285714285713502</v>
      </c>
      <c r="G39" s="31">
        <f>IF(ISNUMBER(F37),IF(OR(F37&lt;=0,G37&lt;0),"n.m.",G37/F37-1),"n.a.")</f>
        <v>0</v>
      </c>
      <c r="H39" s="22"/>
    </row>
    <row r="40">
      <c r="A40" s="1" t="s">
        <v>427</v>
      </c>
      <c r="B40" s="3" t="str">
        <f>"n.a."</f>
        <v>n.a.</v>
      </c>
      <c r="C40" s="3">
        <f>IF(ISNUMBER(B37),C37-B37,"n.a.")</f>
        <v>0.19999999999998863</v>
      </c>
      <c r="D40" s="3" t="str">
        <f>"n.a."</f>
        <v>n.a.</v>
      </c>
      <c r="E40" s="3">
        <f>IF(ISNUMBER(C37),E37-C37,"n.a.")</f>
        <v>-1.3999999999999773</v>
      </c>
      <c r="F40" s="3">
        <f>IF(ISNUMBER(E37),F37-E37,"n.a.")</f>
        <v>0.5999999999999659</v>
      </c>
      <c r="G40" s="29">
        <f>IF(ISNUMBER(F37),G37-F37,"n.a.")</f>
        <v>0</v>
      </c>
      <c r="H40" s="22"/>
    </row>
    <row r="41">
      <c r="A41" s="17" t="s">
        <v>435</v>
      </c>
      <c r="B41" s="36">
        <v>315</v>
      </c>
      <c r="C41" s="36">
        <v>312.9</v>
      </c>
      <c r="D41" s="36">
        <v>317.6</v>
      </c>
      <c r="E41" s="36">
        <v>308</v>
      </c>
      <c r="F41" s="36">
        <v>304.9</v>
      </c>
      <c r="G41" s="52">
        <f>G33+G37</f>
        <v>301.79368932038835</v>
      </c>
      <c r="H41" s="22" t="s">
        <v>234</v>
      </c>
    </row>
    <row r="42">
      <c r="A42" s="7" t="s">
        <v>78</v>
      </c>
      <c r="B42" s="23">
        <f>IF(ISNUMBER(Inputs!B156),IF(OR(Inputs!B156&lt;=0,B41&lt;0),"n.m.",B41/Inputs!B156-1),"n.a.")</f>
        <v>-0.04776299879081014</v>
      </c>
      <c r="C42" s="23">
        <f>IF(ISNUMBER(Inputs!C156),IF(OR(Inputs!C156&lt;=0,C41&lt;0),"n.m.",C41/Inputs!C156-1),"n.a.")</f>
        <v>-0.047198538367844045</v>
      </c>
      <c r="D42" s="23">
        <f>IF(ISNUMBER(Inputs!D156),IF(OR(Inputs!D156&lt;=0,D41&lt;0),"n.m.",D41/Inputs!D156-1),"n.a.")</f>
        <v>-0.04796163069544368</v>
      </c>
      <c r="E42" s="23" t="str">
        <f>IF(ISNUMBER(Inputs!E156),IF(OR(Inputs!E156&lt;=0,E41&lt;0),"n.m.",E41/Inputs!E156-1),"n.a.")</f>
        <v>n.a.</v>
      </c>
      <c r="F42" s="23">
        <f>IF(ISNUMBER(Inputs!F156),IF(OR(Inputs!F156&lt;=0,F41&lt;0),"n.m.",F41/Inputs!F156-1),"n.a.")</f>
        <v>-0.04209864907320149</v>
      </c>
      <c r="G42" s="31">
        <f>IF(ISNUMBER(B41),IF(OR(B41&lt;=0,G41&lt;0),"n.m.",G41/B41-1),"n.a.")</f>
        <v>-0.04192479580829089</v>
      </c>
      <c r="H42" s="22"/>
    </row>
    <row r="43">
      <c r="A43" s="7" t="s">
        <v>79</v>
      </c>
      <c r="B43" s="23">
        <f>IF(ISNUMBER(Inputs!F156),IF(OR(Inputs!F156&lt;=0,B41&lt;0),"n.m.",B41/Inputs!F156-1),"n.a.")</f>
        <v>-0.010367577756833168</v>
      </c>
      <c r="C43" s="21">
        <f>IF(ISNUMBER(B41),IF(OR(B41&lt;=0,C41&lt;0),"n.m.",C41/B41-1),"n.a.")</f>
        <v>-0.00666666666666671</v>
      </c>
      <c r="D43" s="21" t="str">
        <f>"n.a."</f>
        <v>n.a.</v>
      </c>
      <c r="E43" s="21">
        <f>IF(ISNUMBER(C41),IF(OR(C41&lt;=0,E41&lt;0),"n.m.",E41/C41-1),"n.a.")</f>
        <v>-0.015659955257270597</v>
      </c>
      <c r="F43" s="21">
        <f>IF(ISNUMBER(E41),IF(OR(E41&lt;=0,F41&lt;0),"n.m.",F41/E41-1),"n.a.")</f>
        <v>-0.01006493506493511</v>
      </c>
      <c r="G43" s="31">
        <f>IF(ISNUMBER(F41),IF(OR(F41&lt;=0,G41&lt;0),"n.m.",G41/F41-1),"n.a.")</f>
        <v>-0.010187965495610407</v>
      </c>
      <c r="H43" s="22"/>
    </row>
    <row r="44">
      <c r="A44" s="1" t="s">
        <v>427</v>
      </c>
      <c r="B44" s="8">
        <f>IF(ISNUMBER(Inputs!F156),B41-Inputs!F156,"n.a.")</f>
        <v>-3.3000000000000114</v>
      </c>
      <c r="C44" s="3">
        <f>IF(ISNUMBER(B41),C41-B41,"n.a.")</f>
        <v>-2.1000000000000227</v>
      </c>
      <c r="D44" s="3" t="str">
        <f>"n.a."</f>
        <v>n.a.</v>
      </c>
      <c r="E44" s="3">
        <f>IF(ISNUMBER(C41),E41-C41,"n.a.")</f>
        <v>-4.899999999999977</v>
      </c>
      <c r="F44" s="3">
        <f>IF(ISNUMBER(E41),F41-E41,"n.a.")</f>
        <v>-3.1000000000000227</v>
      </c>
      <c r="G44" s="29">
        <f>IF(ISNUMBER(F41),G41-F41,"n.a.")</f>
        <v>-3.1063106796116244</v>
      </c>
      <c r="H44" s="22"/>
    </row>
    <row r="45">
      <c r="A45" s="17" t="s">
        <v>436</v>
      </c>
      <c r="B45" s="39"/>
      <c r="C45" s="39"/>
      <c r="D45" s="39"/>
      <c r="E45" s="39"/>
      <c r="F45" s="39"/>
      <c r="G45" s="50">
        <f>G41</f>
        <v>301.79368932038835</v>
      </c>
      <c r="H45" s="22"/>
    </row>
    <row r="46">
      <c r="A46" s="1"/>
      <c r="B46" s="1"/>
      <c r="C46" s="1"/>
      <c r="D46" s="1"/>
      <c r="E46" s="1"/>
      <c r="F46" s="1"/>
      <c r="G46" s="24"/>
      <c r="H46" s="22"/>
    </row>
    <row r="47">
      <c r="A47" s="17" t="s">
        <v>437</v>
      </c>
      <c r="B47" s="1"/>
      <c r="C47" s="1"/>
      <c r="D47" s="1"/>
      <c r="E47" s="1"/>
      <c r="F47" s="1"/>
      <c r="G47" s="24"/>
      <c r="H47" s="22"/>
    </row>
    <row r="48">
      <c r="A48" s="1" t="s">
        <v>438</v>
      </c>
      <c r="B48" s="32">
        <v>4</v>
      </c>
      <c r="C48" s="32">
        <v>4</v>
      </c>
      <c r="D48" s="38" t="s">
        <v>82</v>
      </c>
      <c r="E48" s="32">
        <v>4.5</v>
      </c>
      <c r="F48" s="32">
        <v>4.5</v>
      </c>
      <c r="G48" s="63">
        <v>5</v>
      </c>
      <c r="H48" s="22" t="s">
        <v>439</v>
      </c>
    </row>
    <row r="49">
      <c r="A49" s="7" t="s">
        <v>78</v>
      </c>
      <c r="B49" s="21" t="str">
        <f>"n.a."</f>
        <v>n.a.</v>
      </c>
      <c r="C49" s="21" t="str">
        <f>"n.a."</f>
        <v>n.a.</v>
      </c>
      <c r="D49" s="21" t="str">
        <f>"n.a."</f>
        <v>n.a.</v>
      </c>
      <c r="E49" s="21" t="str">
        <f>"n.a."</f>
        <v>n.a.</v>
      </c>
      <c r="F49" s="21" t="str">
        <f>"n.a."</f>
        <v>n.a.</v>
      </c>
      <c r="G49" s="31">
        <f>IF(ISNUMBER(B48),IF(OR(B48&lt;=0,G48&lt;0),"n.m.",G48/B48-1),"n.a.")</f>
        <v>0.25</v>
      </c>
      <c r="H49" s="22"/>
    </row>
    <row r="50">
      <c r="A50" s="7" t="s">
        <v>79</v>
      </c>
      <c r="B50" s="21" t="str">
        <f>"n.a."</f>
        <v>n.a.</v>
      </c>
      <c r="C50" s="21">
        <f>IF(ISNUMBER(B48),IF(OR(B48&lt;=0,C48&lt;0),"n.m.",C48/B48-1),"n.a.")</f>
        <v>0</v>
      </c>
      <c r="D50" s="21" t="str">
        <f>"n.a."</f>
        <v>n.a.</v>
      </c>
      <c r="E50" s="21">
        <f>IF(ISNUMBER(C48),IF(OR(C48&lt;=0,E48&lt;0),"n.m.",E48/C48-1),"n.a.")</f>
        <v>0.125</v>
      </c>
      <c r="F50" s="21">
        <f>IF(ISNUMBER(E48),IF(OR(E48&lt;=0,F48&lt;0),"n.m.",F48/E48-1),"n.a.")</f>
        <v>0</v>
      </c>
      <c r="G50" s="31">
        <f>IF(ISNUMBER(F48),IF(OR(F48&lt;=0,G48&lt;0),"n.m.",G48/F48-1),"n.a.")</f>
        <v>0.11111111111111116</v>
      </c>
      <c r="H50" s="22"/>
    </row>
    <row r="51">
      <c r="A51" s="1" t="s">
        <v>80</v>
      </c>
      <c r="B51" s="3" t="str">
        <f>"n.a."</f>
        <v>n.a.</v>
      </c>
      <c r="C51" s="3">
        <f>IF(ISNUMBER(B48),C48-B48,"n.a.")</f>
        <v>0</v>
      </c>
      <c r="D51" s="3" t="str">
        <f>"n.a."</f>
        <v>n.a.</v>
      </c>
      <c r="E51" s="3">
        <f>IF(ISNUMBER(C48),E48-C48,"n.a.")</f>
        <v>0.5</v>
      </c>
      <c r="F51" s="3">
        <f>IF(ISNUMBER(E48),F48-E48,"n.a.")</f>
        <v>0</v>
      </c>
      <c r="G51" s="29">
        <f>IF(ISNUMBER(F48),G48-F48,"n.a.")</f>
        <v>0.5</v>
      </c>
      <c r="H51" s="22"/>
    </row>
    <row r="52">
      <c r="A52" s="1" t="s">
        <v>440</v>
      </c>
      <c r="B52" s="20">
        <v>1250</v>
      </c>
      <c r="C52" s="20">
        <v>1240</v>
      </c>
      <c r="D52" s="8">
        <f>Inputs!G152+B52+C52</f>
        <v>4423</v>
      </c>
      <c r="E52" s="20">
        <v>1375</v>
      </c>
      <c r="F52" s="20">
        <v>1363</v>
      </c>
      <c r="G52" s="29">
        <f>G48*G33</f>
        <v>1484.9684466019417</v>
      </c>
      <c r="H52" s="22" t="s">
        <v>441</v>
      </c>
    </row>
    <row r="53">
      <c r="A53" s="7" t="s">
        <v>78</v>
      </c>
      <c r="B53" s="23" t="str">
        <f>IF(ISNUMBER(Inputs!B152),IF(OR(Inputs!B152&lt;=0,B52&lt;0),"n.m.",B52/Inputs!B152-1),"n.a.")</f>
        <v>n.a.</v>
      </c>
      <c r="C53" s="23" t="str">
        <f>IF(ISNUMBER(Inputs!C152),IF(OR(Inputs!C152&lt;=0,C52&lt;0),"n.m.",C52/Inputs!C152-1),"n.a.")</f>
        <v>n.a.</v>
      </c>
      <c r="D53" s="23" t="str">
        <f>IF(ISNUMBER(Inputs!D152),IF(OR(Inputs!D152&lt;=0,D52&lt;0),"n.m.",D52/Inputs!D152-1),"n.a.")</f>
        <v>n.a.</v>
      </c>
      <c r="E53" s="23">
        <f>IF(ISNUMBER(Inputs!E152),IF(OR(Inputs!E152&lt;=0,E52&lt;0),"n.m.",E52/Inputs!E152-1),"n.a.")</f>
        <v>0.408811475409836</v>
      </c>
      <c r="F53" s="23">
        <f>IF(ISNUMBER(Inputs!F152),IF(OR(Inputs!F152&lt;=0,F52&lt;0),"n.m.",F52/Inputs!F152-1),"n.a.")</f>
        <v>0.4242424242424243</v>
      </c>
      <c r="G53" s="31">
        <f>IF(ISNUMBER(B52),IF(OR(B52&lt;=0,G52&lt;0),"n.m.",G52/B52-1),"n.a.")</f>
        <v>0.18797475728155333</v>
      </c>
      <c r="H53" s="22"/>
    </row>
    <row r="54">
      <c r="A54" s="7" t="s">
        <v>79</v>
      </c>
      <c r="B54" s="23">
        <f>IF(ISNUMBER(Inputs!F152),IF(OR(Inputs!F152&lt;=0,B52&lt;0),"n.m.",B52/Inputs!F152-1),"n.a.")</f>
        <v>0.3061650992685476</v>
      </c>
      <c r="C54" s="21">
        <f>IF(ISNUMBER(B52),IF(OR(B52&lt;=0,C52&lt;0),"n.m.",C52/B52-1),"n.a.")</f>
        <v>-0.008000000000000007</v>
      </c>
      <c r="D54" s="21" t="str">
        <f>"n.a."</f>
        <v>n.a.</v>
      </c>
      <c r="E54" s="21">
        <f>IF(ISNUMBER(C52),IF(OR(C52&lt;=0,E52&lt;0),"n.m.",E52/C52-1),"n.a.")</f>
        <v>0.1088709677419355</v>
      </c>
      <c r="F54" s="21">
        <f>IF(ISNUMBER(E52),IF(OR(E52&lt;=0,F52&lt;0),"n.m.",F52/E52-1),"n.a.")</f>
        <v>-0.008727272727272695</v>
      </c>
      <c r="G54" s="31">
        <f>IF(ISNUMBER(F52),IF(OR(F52&lt;=0,G52&lt;0),"n.m.",G52/F52-1),"n.a.")</f>
        <v>0.08948528730883476</v>
      </c>
      <c r="H54" s="22"/>
    </row>
    <row r="55">
      <c r="A55" s="1" t="s">
        <v>80</v>
      </c>
      <c r="B55" s="8">
        <f>IF(ISNUMBER(Inputs!F152),B52-Inputs!F152,"n.a.")</f>
        <v>293</v>
      </c>
      <c r="C55" s="3">
        <f>IF(ISNUMBER(B52),C52-B52,"n.a.")</f>
        <v>-10</v>
      </c>
      <c r="D55" s="3" t="str">
        <f>"n.a."</f>
        <v>n.a.</v>
      </c>
      <c r="E55" s="3">
        <f>IF(ISNUMBER(C52),E52-C52,"n.a.")</f>
        <v>135</v>
      </c>
      <c r="F55" s="3">
        <f>IF(ISNUMBER(E52),F52-E52,"n.a.")</f>
        <v>-12</v>
      </c>
      <c r="G55" s="29">
        <f>IF(ISNUMBER(F52),G52-F52,"n.a.")</f>
        <v>121.96844660194165</v>
      </c>
      <c r="H55" s="22"/>
    </row>
    <row r="56">
      <c r="A56" s="17" t="s">
        <v>442</v>
      </c>
      <c r="B56" s="26">
        <f>B11+B52</f>
        <v>3250</v>
      </c>
      <c r="C56" s="26">
        <f>C11+C52</f>
        <v>4240</v>
      </c>
      <c r="D56" s="26">
        <f>D11+D52</f>
        <v>16783</v>
      </c>
      <c r="E56" s="26">
        <f>E11+E52</f>
        <v>6375</v>
      </c>
      <c r="F56" s="26">
        <f>F11+F52</f>
        <v>5363</v>
      </c>
      <c r="G56" s="52">
        <f>G11+G52</f>
        <v>4484.968446601942</v>
      </c>
      <c r="H56" s="22"/>
    </row>
  </sheetData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3"/>
  <sheetViews>
    <sheetView showGridLines="0" workbookViewId="0"/>
  </sheetViews>
  <sheetFormatPr defaultColWidth="8.42578125" defaultRowHeight="15"/>
  <cols>
    <col min="1" max="1" width="32" customWidth="1"/>
    <col min="2" max="3" width="12" customWidth="1"/>
    <col min="4" max="4" width="44" customWidth="1"/>
    <col min="5" max="7" width="12" customWidth="1"/>
    <col min="8" max="8" width="16" customWidth="1"/>
    <col min="9" max="9" width="14" customWidth="1"/>
    <col min="10" max="10" width="10" customWidth="1"/>
  </cols>
  <sheetData>
    <row r="1">
      <c r="A1" s="15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17" t="s">
        <v>443</v>
      </c>
      <c r="B2" s="1"/>
      <c r="C2" s="1"/>
      <c r="D2" s="1"/>
      <c r="E2" s="1"/>
      <c r="F2" s="1"/>
      <c r="G2" s="1"/>
      <c r="H2" s="1"/>
      <c r="I2" s="1"/>
      <c r="J2" s="1"/>
    </row>
    <row r="3">
      <c r="A3" s="7" t="s">
        <v>2</v>
      </c>
      <c r="B3" s="1"/>
      <c r="C3" s="1"/>
      <c r="D3" s="1"/>
      <c r="E3" s="1"/>
      <c r="F3" s="1"/>
      <c r="G3" s="1"/>
      <c r="H3" s="1"/>
      <c r="I3" s="1"/>
      <c r="J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</row>
    <row r="5">
      <c r="A5" s="76"/>
      <c r="B5" s="76"/>
      <c r="C5" s="76"/>
      <c r="D5" s="76"/>
      <c r="E5" s="76"/>
      <c r="F5" s="76"/>
      <c r="G5" s="76"/>
      <c r="H5" s="76"/>
      <c r="I5" s="77"/>
      <c r="J5" s="77"/>
    </row>
    <row r="6">
      <c r="A6" s="76"/>
      <c r="B6" s="76"/>
      <c r="C6" s="76"/>
      <c r="D6" s="76"/>
      <c r="E6" s="76"/>
      <c r="F6" s="76"/>
      <c r="G6" s="76"/>
      <c r="H6" s="77"/>
      <c r="I6" s="77"/>
      <c r="J6" s="77"/>
    </row>
    <row r="7">
      <c r="A7" s="76"/>
      <c r="B7" s="76"/>
      <c r="C7" s="76"/>
      <c r="D7" s="76"/>
      <c r="E7" s="76"/>
      <c r="F7" s="76"/>
      <c r="G7" s="76"/>
      <c r="H7" s="77"/>
      <c r="I7" s="77"/>
      <c r="J7" s="77"/>
    </row>
    <row r="8">
      <c r="A8" s="1"/>
      <c r="B8" s="1"/>
      <c r="C8" s="1"/>
      <c r="D8" s="1"/>
      <c r="E8" s="1"/>
      <c r="F8" s="1"/>
      <c r="G8" s="1"/>
      <c r="H8" s="1"/>
      <c r="I8" s="1"/>
      <c r="J8" s="1"/>
    </row>
    <row r="9">
      <c r="A9" s="17" t="s">
        <v>444</v>
      </c>
      <c r="B9" s="1"/>
      <c r="C9" s="1"/>
      <c r="D9" s="1"/>
      <c r="E9" s="1"/>
      <c r="F9" s="1"/>
      <c r="G9" s="1"/>
      <c r="H9" s="1"/>
      <c r="I9" s="1"/>
      <c r="J9" s="1"/>
    </row>
    <row r="10">
      <c r="A10" s="17" t="s">
        <v>445</v>
      </c>
      <c r="B10" s="14" t="s">
        <v>446</v>
      </c>
      <c r="C10" s="14" t="s">
        <v>65</v>
      </c>
      <c r="D10" s="14" t="s">
        <v>447</v>
      </c>
      <c r="E10" s="6" t="s">
        <v>448</v>
      </c>
      <c r="F10" s="6" t="s">
        <v>449</v>
      </c>
      <c r="G10" s="6" t="s">
        <v>450</v>
      </c>
      <c r="H10" s="14" t="s">
        <v>451</v>
      </c>
      <c r="I10" s="14" t="s">
        <v>452</v>
      </c>
      <c r="J10" s="14" t="s">
        <v>453</v>
      </c>
    </row>
    <row r="11">
      <c r="A11" s="103" t="s">
        <v>454</v>
      </c>
      <c r="B11" s="97" t="s">
        <v>455</v>
      </c>
      <c r="C11" s="97" t="s">
        <v>456</v>
      </c>
      <c r="D11" s="97" t="s">
        <v>457</v>
      </c>
      <c r="E11" s="102">
        <v>0.2</v>
      </c>
      <c r="F11" s="102">
        <v>0.2</v>
      </c>
      <c r="G11" s="99">
        <f>AVERAGE(E11:F11)</f>
        <v>0.2</v>
      </c>
      <c r="H11" s="97" t="s">
        <v>458</v>
      </c>
      <c r="I11" s="97" t="s">
        <v>459</v>
      </c>
      <c r="J11" s="97" t="s">
        <v>460</v>
      </c>
    </row>
    <row r="12">
      <c r="A12" s="103" t="s">
        <v>461</v>
      </c>
      <c r="B12" s="97" t="s">
        <v>462</v>
      </c>
      <c r="C12" s="97" t="s">
        <v>456</v>
      </c>
      <c r="D12" s="97" t="s">
        <v>457</v>
      </c>
      <c r="E12" s="102">
        <v>0.2</v>
      </c>
      <c r="F12" s="102">
        <v>0.2</v>
      </c>
      <c r="G12" s="99">
        <f>AVERAGE(E12:F12)</f>
        <v>0.2</v>
      </c>
      <c r="H12" s="97" t="s">
        <v>458</v>
      </c>
      <c r="I12" s="97" t="s">
        <v>459</v>
      </c>
      <c r="J12" s="97" t="s">
        <v>463</v>
      </c>
    </row>
    <row r="13">
      <c r="A13" s="1" t="s">
        <v>464</v>
      </c>
      <c r="B13" s="10" t="s">
        <v>462</v>
      </c>
      <c r="C13" s="10" t="s">
        <v>465</v>
      </c>
      <c r="D13" s="10" t="s">
        <v>466</v>
      </c>
      <c r="E13" s="8">
        <f>'Revenue summary'!F24</f>
        <v>221</v>
      </c>
      <c r="F13" s="8">
        <f>'Revenue summary'!F24</f>
        <v>221</v>
      </c>
      <c r="G13" s="3">
        <f>AVERAGE(E13:F13)</f>
        <v>221</v>
      </c>
      <c r="H13" s="10" t="s">
        <v>467</v>
      </c>
      <c r="I13" s="10" t="s">
        <v>467</v>
      </c>
      <c r="J13" s="10" t="s">
        <v>463</v>
      </c>
    </row>
    <row r="14">
      <c r="A14" s="1" t="s">
        <v>468</v>
      </c>
      <c r="B14" s="10" t="s">
        <v>462</v>
      </c>
      <c r="C14" s="10" t="s">
        <v>456</v>
      </c>
      <c r="D14" s="10" t="s">
        <v>469</v>
      </c>
      <c r="E14" s="20">
        <v>125</v>
      </c>
      <c r="F14" s="3"/>
      <c r="G14" s="3" t="s">
        <v>305</v>
      </c>
      <c r="H14" s="10" t="s">
        <v>470</v>
      </c>
      <c r="I14" s="10" t="s">
        <v>459</v>
      </c>
      <c r="J14" s="10" t="s">
        <v>463</v>
      </c>
    </row>
    <row r="15">
      <c r="A15" s="1" t="s">
        <v>471</v>
      </c>
      <c r="B15" s="10" t="s">
        <v>462</v>
      </c>
      <c r="C15" s="10" t="s">
        <v>472</v>
      </c>
      <c r="D15" s="10" t="s">
        <v>473</v>
      </c>
      <c r="E15" s="3"/>
      <c r="F15" s="3"/>
      <c r="G15" s="3" t="s">
        <v>305</v>
      </c>
      <c r="H15" s="10" t="s">
        <v>467</v>
      </c>
      <c r="I15" s="10" t="s">
        <v>467</v>
      </c>
      <c r="J15" s="10" t="s">
        <v>463</v>
      </c>
    </row>
    <row r="16">
      <c r="A16" s="1" t="s">
        <v>474</v>
      </c>
      <c r="B16" s="10" t="s">
        <v>475</v>
      </c>
      <c r="C16" s="10" t="s">
        <v>476</v>
      </c>
      <c r="D16" s="10" t="s">
        <v>477</v>
      </c>
      <c r="E16" s="20">
        <v>500</v>
      </c>
      <c r="F16" s="3"/>
      <c r="G16" s="3" t="s">
        <v>305</v>
      </c>
      <c r="H16" s="10" t="s">
        <v>467</v>
      </c>
      <c r="I16" s="10" t="s">
        <v>467</v>
      </c>
      <c r="J16" s="10" t="s">
        <v>478</v>
      </c>
    </row>
    <row r="17">
      <c r="A17" s="1" t="s">
        <v>479</v>
      </c>
      <c r="B17" s="10" t="s">
        <v>475</v>
      </c>
      <c r="C17" s="10" t="s">
        <v>476</v>
      </c>
      <c r="D17" s="10" t="s">
        <v>480</v>
      </c>
      <c r="E17" s="3"/>
      <c r="F17" s="3"/>
      <c r="G17" s="3" t="s">
        <v>305</v>
      </c>
      <c r="H17" s="10" t="s">
        <v>467</v>
      </c>
      <c r="I17" s="10" t="s">
        <v>467</v>
      </c>
      <c r="J17" s="10" t="s">
        <v>481</v>
      </c>
    </row>
    <row r="18">
      <c r="A18" s="1" t="s">
        <v>482</v>
      </c>
      <c r="B18" s="10" t="s">
        <v>475</v>
      </c>
      <c r="C18" s="10" t="s">
        <v>476</v>
      </c>
      <c r="D18" s="10" t="s">
        <v>483</v>
      </c>
      <c r="E18" s="8">
        <f>'Income Statement'!B76</f>
        <v>339</v>
      </c>
      <c r="F18" s="3"/>
      <c r="G18" s="3" t="s">
        <v>305</v>
      </c>
      <c r="H18" s="10" t="s">
        <v>467</v>
      </c>
      <c r="I18" s="10" t="s">
        <v>467</v>
      </c>
      <c r="J18" s="10" t="s">
        <v>484</v>
      </c>
    </row>
    <row r="19">
      <c r="A19" s="1" t="s">
        <v>485</v>
      </c>
      <c r="B19" s="10" t="s">
        <v>475</v>
      </c>
      <c r="C19" s="10" t="s">
        <v>476</v>
      </c>
      <c r="D19" s="10" t="s">
        <v>486</v>
      </c>
      <c r="E19" s="3"/>
      <c r="F19" s="3"/>
      <c r="G19" s="3" t="s">
        <v>305</v>
      </c>
      <c r="H19" s="10" t="s">
        <v>467</v>
      </c>
      <c r="I19" s="10" t="s">
        <v>467</v>
      </c>
      <c r="J19" s="10" t="s">
        <v>481</v>
      </c>
    </row>
    <row r="20">
      <c r="A20" s="1" t="s">
        <v>487</v>
      </c>
      <c r="B20" s="10" t="s">
        <v>475</v>
      </c>
      <c r="C20" s="10" t="s">
        <v>488</v>
      </c>
      <c r="D20" s="10" t="s">
        <v>489</v>
      </c>
      <c r="E20" s="3"/>
      <c r="F20" s="3"/>
      <c r="G20" s="3" t="s">
        <v>305</v>
      </c>
      <c r="H20" s="10" t="s">
        <v>305</v>
      </c>
      <c r="I20" s="10" t="s">
        <v>305</v>
      </c>
      <c r="J20" s="10" t="s">
        <v>490</v>
      </c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>
      <c r="A22" s="1" t="s">
        <v>491</v>
      </c>
      <c r="B22" s="9"/>
      <c r="C22" s="9"/>
      <c r="D22" s="9"/>
      <c r="E22" s="19"/>
      <c r="F22" s="19"/>
      <c r="G22" s="19"/>
      <c r="H22" s="9"/>
      <c r="I22" s="9"/>
      <c r="J22" s="9"/>
    </row>
    <row r="23">
      <c r="A23" s="1" t="s">
        <v>492</v>
      </c>
      <c r="B23" s="9"/>
      <c r="C23" s="9"/>
      <c r="D23" s="9"/>
      <c r="E23" s="19"/>
      <c r="F23" s="19"/>
      <c r="G23" s="19"/>
      <c r="H23" s="9"/>
      <c r="I23" s="9"/>
      <c r="J23" s="9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J46"/>
  <sheetViews>
    <sheetView showGridLines="0" workbookViewId="0"/>
  </sheetViews>
  <sheetFormatPr defaultColWidth="8.42578125" defaultRowHeight="15"/>
  <cols>
    <col min="1" max="1" width="32" customWidth="1"/>
    <col min="2" max="2" width="12" customWidth="1"/>
    <col min="3" max="3" width="34" customWidth="1"/>
    <col min="4" max="4" width="70" customWidth="1"/>
    <col min="5" max="5" width="60" customWidth="1"/>
    <col min="6" max="6" width="18" customWidth="1"/>
    <col min="7" max="7" width="12" customWidth="1"/>
    <col min="8" max="8" width="40" customWidth="1"/>
    <col min="9" max="10" width="12" customWidth="1"/>
  </cols>
  <sheetData>
    <row r="1">
      <c r="A1" s="15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17" t="s">
        <v>493</v>
      </c>
      <c r="B2" s="1"/>
      <c r="C2" s="1"/>
      <c r="D2" s="1"/>
      <c r="E2" s="1"/>
      <c r="F2" s="1"/>
      <c r="G2" s="1"/>
      <c r="H2" s="1"/>
      <c r="I2" s="1"/>
      <c r="J2" s="1"/>
    </row>
    <row r="3">
      <c r="A3" s="7" t="s">
        <v>2</v>
      </c>
      <c r="B3" s="1"/>
      <c r="C3" s="1"/>
      <c r="D3" s="1"/>
      <c r="E3" s="1"/>
      <c r="F3" s="1"/>
      <c r="G3" s="1"/>
      <c r="H3" s="1"/>
      <c r="I3" s="1"/>
      <c r="J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</row>
    <row r="5">
      <c r="A5" s="76"/>
      <c r="B5" s="76"/>
      <c r="C5" s="76"/>
      <c r="D5" s="76"/>
      <c r="E5" s="76"/>
      <c r="F5" s="76"/>
      <c r="G5" s="76"/>
      <c r="H5" s="76"/>
      <c r="I5" s="77"/>
      <c r="J5" s="77"/>
    </row>
    <row r="6">
      <c r="A6" s="76"/>
      <c r="B6" s="76"/>
      <c r="C6" s="76"/>
      <c r="D6" s="76"/>
      <c r="E6" s="76"/>
      <c r="F6" s="76"/>
      <c r="G6" s="76"/>
      <c r="H6" s="77"/>
      <c r="I6" s="77"/>
      <c r="J6" s="77"/>
    </row>
    <row r="7">
      <c r="A7" s="76"/>
      <c r="B7" s="76"/>
      <c r="C7" s="76"/>
      <c r="D7" s="76"/>
      <c r="E7" s="76"/>
      <c r="F7" s="76"/>
      <c r="G7" s="76"/>
      <c r="H7" s="77"/>
      <c r="I7" s="77"/>
      <c r="J7" s="77"/>
    </row>
    <row r="8">
      <c r="A8" s="1"/>
      <c r="B8" s="1"/>
      <c r="C8" s="1"/>
      <c r="D8" s="1"/>
      <c r="E8" s="1"/>
      <c r="F8" s="1"/>
      <c r="G8" s="1"/>
      <c r="H8" s="1"/>
      <c r="I8" s="1"/>
      <c r="J8" s="1"/>
    </row>
    <row r="9">
      <c r="A9" s="17" t="s">
        <v>494</v>
      </c>
      <c r="B9" s="1"/>
      <c r="C9" s="1"/>
      <c r="D9" s="1"/>
      <c r="E9" s="1"/>
      <c r="F9" s="1"/>
      <c r="G9" s="1"/>
      <c r="H9" s="1"/>
      <c r="I9" s="1"/>
      <c r="J9" s="1"/>
    </row>
    <row r="10">
      <c r="A10" s="17" t="s">
        <v>495</v>
      </c>
      <c r="B10" s="1"/>
      <c r="C10" s="1"/>
      <c r="D10" s="1"/>
      <c r="E10" s="1"/>
      <c r="F10" s="1"/>
      <c r="G10" s="1"/>
      <c r="H10" s="1"/>
      <c r="I10" s="1"/>
      <c r="J10" s="1"/>
    </row>
    <row r="11">
      <c r="A11" s="17" t="s">
        <v>496</v>
      </c>
      <c r="B11" s="14" t="s">
        <v>497</v>
      </c>
      <c r="C11" s="14" t="s">
        <v>498</v>
      </c>
      <c r="D11" s="14" t="s">
        <v>499</v>
      </c>
      <c r="E11" s="14" t="s">
        <v>500</v>
      </c>
      <c r="F11" s="14" t="s">
        <v>501</v>
      </c>
      <c r="G11" s="14"/>
      <c r="H11" s="14" t="s">
        <v>502</v>
      </c>
      <c r="I11" s="14"/>
      <c r="J11" s="14"/>
    </row>
    <row r="12" ht="25.5">
      <c r="A12" s="1" t="s">
        <v>503</v>
      </c>
      <c r="B12" s="34" t="s">
        <v>455</v>
      </c>
      <c r="C12" s="34" t="s">
        <v>504</v>
      </c>
      <c r="D12" s="84" t="s">
        <v>505</v>
      </c>
      <c r="E12" s="34" t="s">
        <v>506</v>
      </c>
      <c r="F12" s="34" t="s">
        <v>507</v>
      </c>
      <c r="G12" s="34"/>
      <c r="H12" s="34"/>
      <c r="I12" s="34"/>
      <c r="J12" s="34"/>
    </row>
    <row r="13" ht="25.5">
      <c r="A13" s="1" t="s">
        <v>508</v>
      </c>
      <c r="B13" s="34" t="s">
        <v>509</v>
      </c>
      <c r="C13" s="34" t="s">
        <v>504</v>
      </c>
      <c r="D13" s="84" t="s">
        <v>510</v>
      </c>
      <c r="E13" s="34" t="s">
        <v>511</v>
      </c>
      <c r="F13" s="34" t="s">
        <v>507</v>
      </c>
      <c r="G13" s="34"/>
      <c r="H13" s="34"/>
      <c r="I13" s="34"/>
      <c r="J13" s="34"/>
    </row>
    <row r="14" ht="25.5">
      <c r="A14" s="1" t="s">
        <v>512</v>
      </c>
      <c r="B14" s="34" t="s">
        <v>462</v>
      </c>
      <c r="C14" s="34" t="s">
        <v>504</v>
      </c>
      <c r="D14" s="84" t="s">
        <v>513</v>
      </c>
      <c r="E14" s="34" t="s">
        <v>514</v>
      </c>
      <c r="F14" s="34" t="s">
        <v>507</v>
      </c>
      <c r="G14" s="34"/>
      <c r="H14" s="34"/>
      <c r="I14" s="34"/>
      <c r="J14" s="34"/>
    </row>
    <row r="15" ht="25.5">
      <c r="A15" s="1" t="s">
        <v>515</v>
      </c>
      <c r="B15" s="34" t="s">
        <v>516</v>
      </c>
      <c r="C15" s="34" t="s">
        <v>504</v>
      </c>
      <c r="D15" s="84" t="s">
        <v>517</v>
      </c>
      <c r="E15" s="34" t="s">
        <v>518</v>
      </c>
      <c r="F15" s="34" t="s">
        <v>507</v>
      </c>
      <c r="G15" s="34"/>
      <c r="H15" s="34" t="s">
        <v>519</v>
      </c>
      <c r="I15" s="34"/>
      <c r="J15" s="34"/>
    </row>
    <row r="16" ht="25.5">
      <c r="A16" s="1" t="s">
        <v>520</v>
      </c>
      <c r="B16" s="34" t="s">
        <v>521</v>
      </c>
      <c r="C16" s="34" t="s">
        <v>522</v>
      </c>
      <c r="D16" s="84" t="s">
        <v>523</v>
      </c>
      <c r="E16" s="34" t="s">
        <v>524</v>
      </c>
      <c r="F16" s="34" t="s">
        <v>507</v>
      </c>
      <c r="G16" s="34"/>
      <c r="H16" s="34"/>
      <c r="I16" s="34"/>
      <c r="J16" s="34"/>
    </row>
    <row r="17" ht="14.624267578125">
      <c r="A17" s="1" t="s">
        <v>525</v>
      </c>
      <c r="B17" s="34" t="s">
        <v>526</v>
      </c>
      <c r="C17" s="34" t="s">
        <v>527</v>
      </c>
      <c r="D17" s="84" t="s">
        <v>528</v>
      </c>
      <c r="E17" s="34" t="s">
        <v>529</v>
      </c>
      <c r="F17" s="34" t="s">
        <v>507</v>
      </c>
      <c r="G17" s="34"/>
      <c r="H17" s="34"/>
      <c r="I17" s="34"/>
      <c r="J17" s="34"/>
    </row>
    <row r="18" ht="25.5">
      <c r="A18" s="1" t="s">
        <v>530</v>
      </c>
      <c r="B18" s="34" t="s">
        <v>531</v>
      </c>
      <c r="C18" s="34" t="s">
        <v>532</v>
      </c>
      <c r="D18" s="84" t="s">
        <v>533</v>
      </c>
      <c r="E18" s="34" t="s">
        <v>534</v>
      </c>
      <c r="F18" s="34" t="s">
        <v>507</v>
      </c>
      <c r="G18" s="34"/>
      <c r="H18" s="34"/>
      <c r="I18" s="34"/>
      <c r="J18" s="34"/>
    </row>
    <row r="19" ht="25.5">
      <c r="A19" s="1" t="s">
        <v>535</v>
      </c>
      <c r="B19" s="34" t="s">
        <v>536</v>
      </c>
      <c r="C19" s="34" t="s">
        <v>537</v>
      </c>
      <c r="D19" s="84" t="s">
        <v>538</v>
      </c>
      <c r="E19" s="34" t="s">
        <v>539</v>
      </c>
      <c r="F19" s="34" t="s">
        <v>507</v>
      </c>
      <c r="G19" s="34"/>
      <c r="H19" s="34"/>
      <c r="I19" s="34"/>
      <c r="J19" s="34"/>
    </row>
    <row r="20" ht="25.5">
      <c r="A20" s="1" t="s">
        <v>463</v>
      </c>
      <c r="B20" s="34" t="s">
        <v>462</v>
      </c>
      <c r="C20" s="34" t="s">
        <v>540</v>
      </c>
      <c r="D20" s="84" t="s">
        <v>541</v>
      </c>
      <c r="E20" s="34" t="s">
        <v>542</v>
      </c>
      <c r="F20" s="34" t="s">
        <v>507</v>
      </c>
      <c r="G20" s="34"/>
      <c r="H20" s="34" t="s">
        <v>543</v>
      </c>
      <c r="I20" s="34"/>
      <c r="J20" s="34"/>
    </row>
    <row r="21" ht="25.5">
      <c r="A21" s="1" t="s">
        <v>481</v>
      </c>
      <c r="B21" s="34" t="s">
        <v>475</v>
      </c>
      <c r="C21" s="34" t="s">
        <v>544</v>
      </c>
      <c r="D21" s="84" t="s">
        <v>545</v>
      </c>
      <c r="E21" s="34" t="s">
        <v>546</v>
      </c>
      <c r="F21" s="34" t="s">
        <v>507</v>
      </c>
      <c r="G21" s="34"/>
      <c r="H21" s="34"/>
      <c r="I21" s="34"/>
      <c r="J21" s="34"/>
    </row>
    <row r="22" ht="25.5">
      <c r="A22" s="1" t="s">
        <v>144</v>
      </c>
      <c r="B22" s="34" t="s">
        <v>475</v>
      </c>
      <c r="C22" s="34" t="s">
        <v>547</v>
      </c>
      <c r="D22" s="84" t="s">
        <v>545</v>
      </c>
      <c r="E22" s="34" t="s">
        <v>548</v>
      </c>
      <c r="F22" s="34" t="s">
        <v>507</v>
      </c>
      <c r="G22" s="34"/>
      <c r="H22" s="34"/>
      <c r="I22" s="34"/>
      <c r="J22" s="34"/>
    </row>
    <row r="23" ht="25.5">
      <c r="A23" s="1" t="s">
        <v>152</v>
      </c>
      <c r="B23" s="34" t="s">
        <v>549</v>
      </c>
      <c r="C23" s="34" t="s">
        <v>550</v>
      </c>
      <c r="D23" s="84" t="s">
        <v>551</v>
      </c>
      <c r="E23" s="34" t="s">
        <v>552</v>
      </c>
      <c r="F23" s="34" t="s">
        <v>507</v>
      </c>
      <c r="G23" s="34"/>
      <c r="H23" s="34"/>
      <c r="I23" s="34"/>
      <c r="J23" s="34"/>
    </row>
    <row r="24" ht="25.5">
      <c r="A24" s="1" t="s">
        <v>154</v>
      </c>
      <c r="B24" s="34" t="s">
        <v>553</v>
      </c>
      <c r="C24" s="34" t="s">
        <v>554</v>
      </c>
      <c r="D24" s="84" t="s">
        <v>555</v>
      </c>
      <c r="E24" s="34" t="s">
        <v>556</v>
      </c>
      <c r="F24" s="34" t="s">
        <v>507</v>
      </c>
      <c r="G24" s="34"/>
      <c r="H24" s="34"/>
      <c r="I24" s="34"/>
      <c r="J24" s="34"/>
    </row>
    <row r="25" ht="25.5">
      <c r="A25" s="1" t="s">
        <v>156</v>
      </c>
      <c r="B25" s="34" t="s">
        <v>553</v>
      </c>
      <c r="C25" s="34" t="s">
        <v>557</v>
      </c>
      <c r="D25" s="84" t="s">
        <v>558</v>
      </c>
      <c r="E25" s="34" t="s">
        <v>559</v>
      </c>
      <c r="F25" s="34" t="s">
        <v>507</v>
      </c>
      <c r="G25" s="34"/>
      <c r="H25" s="34"/>
      <c r="I25" s="34"/>
      <c r="J25" s="34"/>
    </row>
    <row r="26" ht="25.5">
      <c r="A26" s="1" t="s">
        <v>560</v>
      </c>
      <c r="B26" s="34" t="s">
        <v>561</v>
      </c>
      <c r="C26" s="34" t="s">
        <v>562</v>
      </c>
      <c r="D26" s="84" t="s">
        <v>563</v>
      </c>
      <c r="E26" s="34" t="s">
        <v>564</v>
      </c>
      <c r="F26" s="34" t="s">
        <v>507</v>
      </c>
      <c r="G26" s="34"/>
      <c r="H26" s="34"/>
      <c r="I26" s="34"/>
      <c r="J26" s="34"/>
    </row>
    <row r="27" ht="25.5">
      <c r="A27" s="1" t="s">
        <v>565</v>
      </c>
      <c r="B27" s="34" t="s">
        <v>566</v>
      </c>
      <c r="C27" s="34" t="s">
        <v>567</v>
      </c>
      <c r="D27" s="84" t="s">
        <v>568</v>
      </c>
      <c r="E27" s="34" t="s">
        <v>569</v>
      </c>
      <c r="F27" s="34" t="s">
        <v>507</v>
      </c>
      <c r="G27" s="34"/>
      <c r="H27" s="34"/>
      <c r="I27" s="34"/>
      <c r="J27" s="34"/>
    </row>
    <row r="28" ht="14.624267578125">
      <c r="A28" s="1" t="s">
        <v>570</v>
      </c>
      <c r="B28" s="34" t="s">
        <v>571</v>
      </c>
      <c r="C28" s="34" t="s">
        <v>572</v>
      </c>
      <c r="D28" s="84" t="s">
        <v>573</v>
      </c>
      <c r="E28" s="34" t="s">
        <v>574</v>
      </c>
      <c r="F28" s="34" t="s">
        <v>507</v>
      </c>
      <c r="G28" s="34"/>
      <c r="H28" s="34"/>
      <c r="I28" s="34"/>
      <c r="J28" s="34"/>
    </row>
    <row r="29" ht="14.624267578125">
      <c r="A29" s="1" t="s">
        <v>148</v>
      </c>
      <c r="B29" s="34" t="s">
        <v>561</v>
      </c>
      <c r="C29" s="34" t="s">
        <v>575</v>
      </c>
      <c r="D29" s="84" t="s">
        <v>576</v>
      </c>
      <c r="E29" s="34" t="s">
        <v>577</v>
      </c>
      <c r="F29" s="34" t="s">
        <v>507</v>
      </c>
      <c r="G29" s="34"/>
      <c r="H29" s="34"/>
      <c r="I29" s="34"/>
      <c r="J29" s="34"/>
    </row>
    <row r="30" ht="14.624267578125">
      <c r="A30" s="1" t="s">
        <v>578</v>
      </c>
      <c r="B30" s="34" t="s">
        <v>579</v>
      </c>
      <c r="C30" s="34" t="s">
        <v>580</v>
      </c>
      <c r="D30" s="84" t="s">
        <v>581</v>
      </c>
      <c r="E30" s="34" t="s">
        <v>582</v>
      </c>
      <c r="F30" s="34" t="s">
        <v>507</v>
      </c>
      <c r="G30" s="34"/>
      <c r="H30" s="34"/>
      <c r="I30" s="34"/>
      <c r="J30" s="34"/>
    </row>
    <row r="31" ht="25.5">
      <c r="A31" s="1" t="s">
        <v>159</v>
      </c>
      <c r="B31" s="34" t="s">
        <v>561</v>
      </c>
      <c r="C31" s="34" t="s">
        <v>583</v>
      </c>
      <c r="D31" s="84" t="s">
        <v>584</v>
      </c>
      <c r="E31" s="34" t="s">
        <v>585</v>
      </c>
      <c r="F31" s="34" t="s">
        <v>507</v>
      </c>
      <c r="G31" s="34"/>
      <c r="H31" s="34"/>
      <c r="I31" s="34"/>
      <c r="J31" s="34"/>
    </row>
    <row r="32" ht="14.624267578125">
      <c r="A32" s="1" t="s">
        <v>586</v>
      </c>
      <c r="B32" s="34" t="s">
        <v>587</v>
      </c>
      <c r="C32" s="34" t="s">
        <v>588</v>
      </c>
      <c r="D32" s="84" t="s">
        <v>589</v>
      </c>
      <c r="E32" s="34" t="s">
        <v>590</v>
      </c>
      <c r="F32" s="34" t="s">
        <v>507</v>
      </c>
      <c r="G32" s="34"/>
      <c r="H32" s="34"/>
      <c r="I32" s="34"/>
      <c r="J32" s="34"/>
    </row>
    <row r="33" ht="25.5">
      <c r="A33" s="1" t="s">
        <v>591</v>
      </c>
      <c r="B33" s="34" t="s">
        <v>592</v>
      </c>
      <c r="C33" s="34" t="s">
        <v>593</v>
      </c>
      <c r="D33" s="84" t="s">
        <v>594</v>
      </c>
      <c r="E33" s="34" t="s">
        <v>595</v>
      </c>
      <c r="F33" s="34" t="s">
        <v>507</v>
      </c>
      <c r="G33" s="34"/>
      <c r="H33" s="34"/>
      <c r="I33" s="34"/>
      <c r="J33" s="34"/>
    </row>
    <row r="34" ht="25.5">
      <c r="A34" s="1" t="s">
        <v>596</v>
      </c>
      <c r="B34" s="34" t="s">
        <v>597</v>
      </c>
      <c r="C34" s="34" t="s">
        <v>598</v>
      </c>
      <c r="D34" s="84" t="s">
        <v>599</v>
      </c>
      <c r="E34" s="34" t="s">
        <v>600</v>
      </c>
      <c r="F34" s="34" t="s">
        <v>507</v>
      </c>
      <c r="G34" s="34"/>
      <c r="H34" s="34"/>
      <c r="I34" s="34"/>
      <c r="J34" s="34"/>
    </row>
    <row r="35" ht="25.5">
      <c r="A35" s="1" t="s">
        <v>601</v>
      </c>
      <c r="B35" s="34" t="s">
        <v>571</v>
      </c>
      <c r="C35" s="34" t="s">
        <v>602</v>
      </c>
      <c r="D35" s="84" t="s">
        <v>603</v>
      </c>
      <c r="E35" s="34" t="s">
        <v>604</v>
      </c>
      <c r="F35" s="34" t="s">
        <v>507</v>
      </c>
      <c r="G35" s="34"/>
      <c r="H35" s="34"/>
      <c r="I35" s="34"/>
      <c r="J35" s="34"/>
    </row>
    <row r="36" ht="14.624267578125">
      <c r="A36" s="1" t="s">
        <v>605</v>
      </c>
      <c r="B36" s="34" t="s">
        <v>606</v>
      </c>
      <c r="C36" s="34" t="s">
        <v>607</v>
      </c>
      <c r="D36" s="84" t="s">
        <v>608</v>
      </c>
      <c r="E36" s="34" t="s">
        <v>609</v>
      </c>
      <c r="F36" s="34" t="s">
        <v>507</v>
      </c>
      <c r="G36" s="34"/>
      <c r="H36" s="34"/>
      <c r="I36" s="34"/>
      <c r="J36" s="34"/>
    </row>
    <row r="37" ht="25.5">
      <c r="A37" s="1" t="s">
        <v>610</v>
      </c>
      <c r="B37" s="34" t="s">
        <v>587</v>
      </c>
      <c r="C37" s="34" t="s">
        <v>611</v>
      </c>
      <c r="D37" s="84" t="s">
        <v>612</v>
      </c>
      <c r="E37" s="34" t="s">
        <v>613</v>
      </c>
      <c r="F37" s="34" t="s">
        <v>507</v>
      </c>
      <c r="G37" s="34"/>
      <c r="H37" s="34"/>
      <c r="I37" s="34"/>
      <c r="J37" s="34"/>
    </row>
    <row r="38" ht="25.5">
      <c r="A38" s="1" t="s">
        <v>484</v>
      </c>
      <c r="B38" s="34" t="s">
        <v>614</v>
      </c>
      <c r="C38" s="34" t="s">
        <v>615</v>
      </c>
      <c r="D38" s="84" t="s">
        <v>616</v>
      </c>
      <c r="E38" s="34" t="s">
        <v>617</v>
      </c>
      <c r="F38" s="34" t="s">
        <v>507</v>
      </c>
      <c r="G38" s="34"/>
      <c r="H38" s="34"/>
      <c r="I38" s="34"/>
      <c r="J38" s="34"/>
    </row>
    <row r="39" ht="14.624267578125">
      <c r="A39" s="1" t="s">
        <v>618</v>
      </c>
      <c r="B39" s="34" t="s">
        <v>606</v>
      </c>
      <c r="C39" s="34" t="s">
        <v>619</v>
      </c>
      <c r="D39" s="84" t="s">
        <v>620</v>
      </c>
      <c r="E39" s="34" t="s">
        <v>621</v>
      </c>
      <c r="F39" s="34" t="s">
        <v>507</v>
      </c>
      <c r="G39" s="34"/>
      <c r="H39" s="34"/>
      <c r="I39" s="34"/>
      <c r="J39" s="34"/>
    </row>
    <row r="40" ht="14.624267578125">
      <c r="A40" s="1" t="s">
        <v>622</v>
      </c>
      <c r="B40" s="34" t="s">
        <v>623</v>
      </c>
      <c r="C40" s="34" t="s">
        <v>624</v>
      </c>
      <c r="D40" s="84" t="s">
        <v>625</v>
      </c>
      <c r="E40" s="34" t="s">
        <v>626</v>
      </c>
      <c r="F40" s="34" t="s">
        <v>507</v>
      </c>
      <c r="G40" s="34"/>
      <c r="H40" s="34"/>
      <c r="I40" s="34"/>
      <c r="J40" s="34"/>
    </row>
    <row r="41" ht="14.624267578125">
      <c r="A41" s="1" t="s">
        <v>627</v>
      </c>
      <c r="B41" s="34" t="s">
        <v>587</v>
      </c>
      <c r="C41" s="34" t="s">
        <v>628</v>
      </c>
      <c r="D41" s="84" t="s">
        <v>629</v>
      </c>
      <c r="E41" s="34" t="s">
        <v>630</v>
      </c>
      <c r="F41" s="34" t="s">
        <v>507</v>
      </c>
      <c r="G41" s="34"/>
      <c r="H41" s="34"/>
      <c r="I41" s="34"/>
      <c r="J41" s="34"/>
    </row>
    <row r="42" ht="14.624267578125">
      <c r="A42" s="1" t="s">
        <v>631</v>
      </c>
      <c r="B42" s="34" t="s">
        <v>606</v>
      </c>
      <c r="C42" s="34" t="s">
        <v>632</v>
      </c>
      <c r="D42" s="84" t="s">
        <v>633</v>
      </c>
      <c r="E42" s="34" t="s">
        <v>634</v>
      </c>
      <c r="F42" s="34" t="s">
        <v>507</v>
      </c>
      <c r="G42" s="34"/>
      <c r="H42" s="34"/>
      <c r="I42" s="34"/>
      <c r="J42" s="34"/>
    </row>
    <row r="43" ht="14.624267578125">
      <c r="A43" s="1" t="s">
        <v>460</v>
      </c>
      <c r="B43" s="34" t="s">
        <v>455</v>
      </c>
      <c r="C43" s="34" t="s">
        <v>635</v>
      </c>
      <c r="D43" s="84" t="s">
        <v>636</v>
      </c>
      <c r="E43" s="34" t="s">
        <v>637</v>
      </c>
      <c r="F43" s="34" t="s">
        <v>507</v>
      </c>
      <c r="G43" s="34"/>
      <c r="H43" s="34"/>
      <c r="I43" s="34"/>
      <c r="J43" s="34"/>
    </row>
    <row r="44" ht="25.5">
      <c r="A44" s="1" t="s">
        <v>490</v>
      </c>
      <c r="B44" s="34" t="s">
        <v>475</v>
      </c>
      <c r="C44" s="34" t="s">
        <v>638</v>
      </c>
      <c r="D44" s="84" t="s">
        <v>639</v>
      </c>
      <c r="E44" s="34" t="s">
        <v>640</v>
      </c>
      <c r="F44" s="34" t="s">
        <v>507</v>
      </c>
      <c r="G44" s="34"/>
      <c r="H44" s="34"/>
      <c r="I44" s="34"/>
      <c r="J44" s="34"/>
    </row>
    <row r="45" ht="25.5">
      <c r="A45" s="1" t="s">
        <v>641</v>
      </c>
      <c r="B45" s="34" t="s">
        <v>642</v>
      </c>
      <c r="C45" s="34" t="s">
        <v>643</v>
      </c>
      <c r="D45" s="84" t="s">
        <v>644</v>
      </c>
      <c r="E45" s="34" t="s">
        <v>645</v>
      </c>
      <c r="F45" s="34" t="s">
        <v>507</v>
      </c>
      <c r="G45" s="34"/>
      <c r="H45" s="34"/>
      <c r="I45" s="34"/>
      <c r="J45" s="34"/>
    </row>
    <row r="46" ht="25.5">
      <c r="A46" s="1" t="s">
        <v>646</v>
      </c>
      <c r="B46" s="34" t="s">
        <v>647</v>
      </c>
      <c r="C46" s="34" t="s">
        <v>648</v>
      </c>
      <c r="D46" s="84" t="s">
        <v>649</v>
      </c>
      <c r="E46" s="34" t="s">
        <v>650</v>
      </c>
      <c r="F46" s="34" t="s">
        <v>507</v>
      </c>
      <c r="G46" s="34"/>
      <c r="H46" s="34"/>
      <c r="I46" s="34"/>
      <c r="J46" s="34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J241"/>
  <sheetViews>
    <sheetView showGridLines="0" workbookViewId="0"/>
  </sheetViews>
  <sheetFormatPr defaultColWidth="8.42578125" defaultRowHeight="15"/>
  <cols>
    <col min="1" max="1" width="32" customWidth="1"/>
    <col min="2" max="7" width="26" customWidth="1"/>
    <col min="8" max="8" width="40" customWidth="1"/>
    <col min="9" max="9" width="18" customWidth="1"/>
    <col min="10" max="10" width="12" customWidth="1"/>
  </cols>
  <sheetData>
    <row r="1">
      <c r="A1" s="15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17" t="s">
        <v>651</v>
      </c>
      <c r="B2" s="1"/>
      <c r="C2" s="1"/>
      <c r="D2" s="1"/>
      <c r="E2" s="1"/>
      <c r="F2" s="1"/>
      <c r="G2" s="1"/>
      <c r="H2" s="1"/>
      <c r="I2" s="1"/>
      <c r="J2" s="1"/>
    </row>
    <row r="3">
      <c r="A3" s="7" t="s">
        <v>2</v>
      </c>
      <c r="B3" s="1"/>
      <c r="C3" s="1"/>
      <c r="D3" s="1"/>
      <c r="E3" s="1"/>
      <c r="F3" s="1"/>
      <c r="G3" s="1"/>
      <c r="H3" s="1"/>
      <c r="I3" s="1"/>
      <c r="J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</row>
    <row r="5">
      <c r="A5" s="76"/>
      <c r="B5" s="76"/>
      <c r="C5" s="76"/>
      <c r="D5" s="76"/>
      <c r="E5" s="76"/>
      <c r="F5" s="76"/>
      <c r="G5" s="76"/>
      <c r="H5" s="76"/>
      <c r="I5" s="77"/>
      <c r="J5" s="77"/>
    </row>
    <row r="6">
      <c r="A6" s="76"/>
      <c r="B6" s="76"/>
      <c r="C6" s="76"/>
      <c r="D6" s="76"/>
      <c r="E6" s="76"/>
      <c r="F6" s="76"/>
      <c r="G6" s="76"/>
      <c r="H6" s="77"/>
      <c r="I6" s="77"/>
      <c r="J6" s="77"/>
    </row>
    <row r="7">
      <c r="A7" s="76"/>
      <c r="B7" s="76"/>
      <c r="C7" s="76"/>
      <c r="D7" s="76"/>
      <c r="E7" s="76"/>
      <c r="F7" s="76"/>
      <c r="G7" s="76"/>
      <c r="H7" s="77"/>
      <c r="I7" s="77"/>
      <c r="J7" s="77"/>
    </row>
    <row r="8">
      <c r="A8" s="1"/>
      <c r="B8" s="1"/>
      <c r="C8" s="1"/>
      <c r="D8" s="1"/>
      <c r="E8" s="1"/>
      <c r="F8" s="1"/>
      <c r="G8" s="1"/>
      <c r="H8" s="1"/>
      <c r="I8" s="1"/>
      <c r="J8" s="1"/>
    </row>
    <row r="9">
      <c r="A9" s="17" t="s">
        <v>652</v>
      </c>
      <c r="B9" s="1"/>
      <c r="C9" s="1"/>
      <c r="D9" s="1"/>
      <c r="E9" s="1"/>
      <c r="F9" s="1"/>
      <c r="G9" s="1"/>
      <c r="H9" s="1"/>
      <c r="I9" s="1"/>
      <c r="J9" s="1"/>
    </row>
    <row r="10" ht="14.624267578125">
      <c r="A10" s="17" t="s">
        <v>653</v>
      </c>
      <c r="B10" s="104" t="s">
        <v>654</v>
      </c>
      <c r="C10" s="90" t="s">
        <v>655</v>
      </c>
      <c r="D10" s="14"/>
      <c r="E10" s="14"/>
      <c r="F10" s="14"/>
      <c r="G10" s="14"/>
      <c r="H10" s="14"/>
      <c r="I10" s="14"/>
      <c r="J10" s="14"/>
    </row>
    <row r="11">
      <c r="A11" s="1" t="s">
        <v>656</v>
      </c>
      <c r="B11" s="41" t="s">
        <v>657</v>
      </c>
      <c r="C11" s="34"/>
      <c r="D11" s="41"/>
      <c r="E11" s="41"/>
      <c r="F11" s="41"/>
      <c r="G11" s="41"/>
      <c r="H11" s="41"/>
      <c r="I11" s="41"/>
      <c r="J11" s="41"/>
    </row>
    <row r="12">
      <c r="A12" s="1" t="s">
        <v>658</v>
      </c>
      <c r="B12" s="41" t="s">
        <v>5</v>
      </c>
      <c r="C12" s="34"/>
      <c r="D12" s="41"/>
      <c r="E12" s="41"/>
      <c r="F12" s="41"/>
      <c r="G12" s="41"/>
      <c r="H12" s="41"/>
      <c r="I12" s="41"/>
      <c r="J12" s="41"/>
    </row>
    <row r="13">
      <c r="A13" s="1" t="s">
        <v>659</v>
      </c>
      <c r="B13" s="41" t="s">
        <v>660</v>
      </c>
      <c r="C13" s="34"/>
      <c r="D13" s="41"/>
      <c r="E13" s="41"/>
      <c r="F13" s="41"/>
      <c r="G13" s="41"/>
      <c r="H13" s="41"/>
      <c r="I13" s="41"/>
      <c r="J13" s="41"/>
    </row>
    <row r="14">
      <c r="A14" s="1" t="s">
        <v>661</v>
      </c>
      <c r="B14" s="41" t="s">
        <v>662</v>
      </c>
      <c r="C14" s="34"/>
      <c r="D14" s="41"/>
      <c r="E14" s="41"/>
      <c r="F14" s="41"/>
      <c r="G14" s="41"/>
      <c r="H14" s="41"/>
      <c r="I14" s="41"/>
      <c r="J14" s="41"/>
    </row>
    <row r="15">
      <c r="A15" s="1" t="s">
        <v>663</v>
      </c>
      <c r="B15" s="41" t="s">
        <v>664</v>
      </c>
      <c r="C15" s="34" t="s">
        <v>665</v>
      </c>
      <c r="D15" s="41"/>
      <c r="E15" s="41"/>
      <c r="F15" s="41"/>
      <c r="G15" s="41"/>
      <c r="H15" s="41"/>
      <c r="I15" s="41"/>
      <c r="J15" s="41"/>
    </row>
    <row r="16">
      <c r="A16" s="1" t="s">
        <v>666</v>
      </c>
      <c r="B16" s="41"/>
      <c r="C16" s="34" t="s">
        <v>667</v>
      </c>
      <c r="D16" s="41"/>
      <c r="E16" s="41"/>
      <c r="F16" s="41"/>
      <c r="G16" s="41"/>
      <c r="H16" s="41"/>
      <c r="I16" s="41"/>
      <c r="J16" s="41"/>
    </row>
    <row r="17">
      <c r="A17" s="1" t="s">
        <v>668</v>
      </c>
      <c r="B17" s="41" t="s">
        <v>669</v>
      </c>
      <c r="C17" s="34"/>
      <c r="D17" s="41"/>
      <c r="E17" s="41"/>
      <c r="F17" s="41"/>
      <c r="G17" s="41"/>
      <c r="H17" s="41"/>
      <c r="I17" s="41"/>
      <c r="J17" s="41"/>
    </row>
    <row r="18">
      <c r="A18" s="1" t="s">
        <v>670</v>
      </c>
      <c r="B18" s="41" t="s">
        <v>671</v>
      </c>
      <c r="C18" s="34"/>
      <c r="D18" s="41"/>
      <c r="E18" s="41"/>
      <c r="F18" s="41"/>
      <c r="G18" s="41"/>
      <c r="H18" s="41"/>
      <c r="I18" s="41"/>
      <c r="J18" s="41"/>
    </row>
    <row r="19">
      <c r="A19" s="1" t="s">
        <v>672</v>
      </c>
      <c r="B19" s="41" t="s">
        <v>673</v>
      </c>
      <c r="C19" s="34"/>
      <c r="D19" s="41"/>
      <c r="E19" s="41"/>
      <c r="F19" s="41"/>
      <c r="G19" s="41"/>
      <c r="H19" s="41"/>
      <c r="I19" s="41"/>
      <c r="J19" s="41"/>
    </row>
    <row r="20">
      <c r="A20" s="1" t="s">
        <v>674</v>
      </c>
      <c r="B20" s="41" t="s">
        <v>675</v>
      </c>
      <c r="C20" s="34"/>
      <c r="D20" s="41"/>
      <c r="E20" s="41"/>
      <c r="F20" s="41"/>
      <c r="G20" s="41"/>
      <c r="H20" s="41"/>
      <c r="I20" s="41"/>
      <c r="J20" s="41"/>
    </row>
    <row r="21">
      <c r="A21" s="1" t="s">
        <v>676</v>
      </c>
      <c r="B21" s="73">
        <v>26</v>
      </c>
      <c r="C21" s="34"/>
      <c r="D21" s="41"/>
      <c r="E21" s="41"/>
      <c r="F21" s="41"/>
      <c r="G21" s="41"/>
      <c r="H21" s="41"/>
      <c r="I21" s="41"/>
      <c r="J21" s="41"/>
    </row>
    <row r="22">
      <c r="A22" s="1" t="s">
        <v>677</v>
      </c>
      <c r="B22" s="73">
        <v>13.18</v>
      </c>
      <c r="C22" s="34" t="s">
        <v>678</v>
      </c>
      <c r="D22" s="41"/>
      <c r="E22" s="41"/>
      <c r="F22" s="41"/>
      <c r="G22" s="41"/>
      <c r="H22" s="41"/>
      <c r="I22" s="41"/>
      <c r="J22" s="41"/>
    </row>
    <row r="23">
      <c r="A23" s="1" t="s">
        <v>679</v>
      </c>
      <c r="B23" s="73">
        <v>12.87</v>
      </c>
      <c r="C23" s="34" t="s">
        <v>680</v>
      </c>
      <c r="D23" s="41"/>
      <c r="E23" s="41"/>
      <c r="F23" s="41"/>
      <c r="G23" s="41"/>
      <c r="H23" s="41"/>
      <c r="I23" s="41"/>
      <c r="J23" s="41"/>
    </row>
    <row r="24">
      <c r="A24" s="1" t="s">
        <v>681</v>
      </c>
      <c r="B24" s="73">
        <v>18.34</v>
      </c>
      <c r="C24" s="34" t="s">
        <v>682</v>
      </c>
      <c r="D24" s="41"/>
      <c r="E24" s="41"/>
      <c r="F24" s="41"/>
      <c r="G24" s="41"/>
      <c r="H24" s="41"/>
      <c r="I24" s="41"/>
      <c r="J24" s="41"/>
    </row>
    <row r="25">
      <c r="A25" s="1" t="s">
        <v>683</v>
      </c>
      <c r="B25" s="73">
        <v>11.46</v>
      </c>
      <c r="C25" s="34" t="s">
        <v>684</v>
      </c>
      <c r="D25" s="41"/>
      <c r="E25" s="41"/>
      <c r="F25" s="41"/>
      <c r="G25" s="41"/>
      <c r="H25" s="41"/>
      <c r="I25" s="41"/>
      <c r="J25" s="41"/>
    </row>
    <row r="26">
      <c r="A26" s="1" t="s">
        <v>685</v>
      </c>
      <c r="B26" s="73">
        <v>1.63</v>
      </c>
      <c r="C26" s="34"/>
      <c r="D26" s="41"/>
      <c r="E26" s="41"/>
      <c r="F26" s="41"/>
      <c r="G26" s="41"/>
      <c r="H26" s="41"/>
      <c r="I26" s="41"/>
      <c r="J26" s="41"/>
    </row>
    <row r="27">
      <c r="A27" s="1" t="s">
        <v>686</v>
      </c>
      <c r="B27" s="73">
        <v>18</v>
      </c>
      <c r="C27" s="34" t="s">
        <v>687</v>
      </c>
      <c r="D27" s="41"/>
      <c r="E27" s="41"/>
      <c r="F27" s="41"/>
      <c r="G27" s="41"/>
      <c r="H27" s="41"/>
      <c r="I27" s="41"/>
      <c r="J27" s="41"/>
    </row>
    <row r="28">
      <c r="A28" s="1" t="s">
        <v>688</v>
      </c>
      <c r="B28" s="41"/>
      <c r="C28" s="34"/>
      <c r="D28" s="41"/>
      <c r="E28" s="41"/>
      <c r="F28" s="41"/>
      <c r="G28" s="41"/>
      <c r="H28" s="41"/>
      <c r="I28" s="41"/>
      <c r="J28" s="41"/>
    </row>
    <row r="29">
      <c r="A29" s="1" t="s">
        <v>689</v>
      </c>
      <c r="B29" s="41"/>
      <c r="C29" s="34"/>
      <c r="D29" s="41"/>
      <c r="E29" s="41"/>
      <c r="F29" s="41"/>
      <c r="G29" s="41"/>
      <c r="H29" s="41"/>
      <c r="I29" s="41"/>
      <c r="J29" s="41"/>
    </row>
    <row r="30">
      <c r="A30" s="1" t="s">
        <v>690</v>
      </c>
      <c r="B30" s="41"/>
      <c r="C30" s="34"/>
      <c r="D30" s="41"/>
      <c r="E30" s="41"/>
      <c r="F30" s="41"/>
      <c r="G30" s="41"/>
      <c r="H30" s="41"/>
      <c r="I30" s="41"/>
      <c r="J30" s="41"/>
    </row>
    <row r="31">
      <c r="A31" s="1" t="s">
        <v>691</v>
      </c>
      <c r="B31" s="73">
        <v>13.09</v>
      </c>
      <c r="C31" s="34" t="s">
        <v>692</v>
      </c>
      <c r="D31" s="41"/>
      <c r="E31" s="41"/>
      <c r="F31" s="41"/>
      <c r="G31" s="41"/>
      <c r="H31" s="41"/>
      <c r="I31" s="41"/>
      <c r="J31" s="41"/>
    </row>
    <row r="32">
      <c r="A32" s="1" t="s">
        <v>693</v>
      </c>
      <c r="B32" s="73">
        <v>12.76</v>
      </c>
      <c r="C32" s="34"/>
      <c r="D32" s="41"/>
      <c r="E32" s="41"/>
      <c r="F32" s="41"/>
      <c r="G32" s="41"/>
      <c r="H32" s="41"/>
      <c r="I32" s="41"/>
      <c r="J32" s="41"/>
    </row>
    <row r="33">
      <c r="A33" s="1" t="s">
        <v>694</v>
      </c>
      <c r="B33" s="73">
        <v>18.34</v>
      </c>
      <c r="C33" s="34"/>
      <c r="D33" s="41"/>
      <c r="E33" s="41"/>
      <c r="F33" s="41"/>
      <c r="G33" s="41"/>
      <c r="H33" s="41"/>
      <c r="I33" s="41"/>
      <c r="J33" s="41"/>
    </row>
    <row r="34">
      <c r="A34" s="1" t="s">
        <v>695</v>
      </c>
      <c r="B34" s="73">
        <v>11.46</v>
      </c>
      <c r="C34" s="34"/>
      <c r="D34" s="41"/>
      <c r="E34" s="41"/>
      <c r="F34" s="41"/>
      <c r="G34" s="41"/>
      <c r="H34" s="41"/>
      <c r="I34" s="41"/>
      <c r="J34" s="41"/>
    </row>
    <row r="35">
      <c r="A35" s="1" t="s">
        <v>696</v>
      </c>
      <c r="B35" s="73">
        <v>1.56</v>
      </c>
      <c r="C35" s="34"/>
      <c r="D35" s="41"/>
      <c r="E35" s="41"/>
      <c r="F35" s="41"/>
      <c r="G35" s="41"/>
      <c r="H35" s="41"/>
      <c r="I35" s="41"/>
      <c r="J35" s="41"/>
    </row>
    <row r="36">
      <c r="A36" s="1" t="s">
        <v>697</v>
      </c>
      <c r="B36" s="73">
        <v>20</v>
      </c>
      <c r="C36" s="34"/>
      <c r="D36" s="41"/>
      <c r="E36" s="41"/>
      <c r="F36" s="41"/>
      <c r="G36" s="41"/>
      <c r="H36" s="41"/>
      <c r="I36" s="41"/>
      <c r="J36" s="41"/>
    </row>
    <row r="37">
      <c r="A37" s="1" t="s">
        <v>698</v>
      </c>
      <c r="B37" s="41"/>
      <c r="C37" s="34"/>
      <c r="D37" s="41"/>
      <c r="E37" s="41"/>
      <c r="F37" s="41"/>
      <c r="G37" s="41"/>
      <c r="H37" s="41"/>
      <c r="I37" s="41"/>
      <c r="J37" s="41"/>
    </row>
    <row r="38">
      <c r="A38" s="1" t="s">
        <v>699</v>
      </c>
      <c r="B38" s="73">
        <v>16887.88</v>
      </c>
      <c r="C38" s="34" t="s">
        <v>700</v>
      </c>
      <c r="D38" s="41"/>
      <c r="E38" s="41"/>
      <c r="F38" s="41"/>
      <c r="G38" s="41"/>
      <c r="H38" s="41"/>
      <c r="I38" s="41"/>
      <c r="J38" s="41"/>
    </row>
    <row r="39">
      <c r="A39" s="1" t="s">
        <v>701</v>
      </c>
      <c r="B39" s="73">
        <v>16804</v>
      </c>
      <c r="C39" s="34"/>
      <c r="D39" s="41"/>
      <c r="E39" s="41"/>
      <c r="F39" s="41"/>
      <c r="G39" s="41"/>
      <c r="H39" s="41"/>
      <c r="I39" s="41"/>
      <c r="J39" s="41"/>
    </row>
    <row r="40">
      <c r="A40" s="1" t="s">
        <v>702</v>
      </c>
      <c r="B40" s="73">
        <v>18214</v>
      </c>
      <c r="C40" s="34"/>
      <c r="D40" s="41"/>
      <c r="E40" s="41"/>
      <c r="F40" s="41"/>
      <c r="G40" s="41"/>
      <c r="H40" s="41"/>
      <c r="I40" s="41"/>
      <c r="J40" s="41"/>
    </row>
    <row r="41">
      <c r="A41" s="1" t="s">
        <v>703</v>
      </c>
      <c r="B41" s="73">
        <v>15450</v>
      </c>
      <c r="C41" s="34"/>
      <c r="D41" s="41"/>
      <c r="E41" s="41"/>
      <c r="F41" s="41"/>
      <c r="G41" s="41"/>
      <c r="H41" s="41"/>
      <c r="I41" s="41"/>
      <c r="J41" s="41"/>
    </row>
    <row r="42">
      <c r="A42" s="1" t="s">
        <v>704</v>
      </c>
      <c r="B42" s="73">
        <v>647.11</v>
      </c>
      <c r="C42" s="34"/>
      <c r="D42" s="41"/>
      <c r="E42" s="41"/>
      <c r="F42" s="41"/>
      <c r="G42" s="41"/>
      <c r="H42" s="41"/>
      <c r="I42" s="41"/>
      <c r="J42" s="41"/>
    </row>
    <row r="43">
      <c r="A43" s="1" t="s">
        <v>705</v>
      </c>
      <c r="B43" s="73">
        <v>15</v>
      </c>
      <c r="C43" s="34" t="s">
        <v>706</v>
      </c>
      <c r="D43" s="41"/>
      <c r="E43" s="41"/>
      <c r="F43" s="41"/>
      <c r="G43" s="41"/>
      <c r="H43" s="41"/>
      <c r="I43" s="41"/>
      <c r="J43" s="41"/>
    </row>
    <row r="44">
      <c r="A44" s="1" t="s">
        <v>707</v>
      </c>
      <c r="B44" s="41"/>
      <c r="C44" s="34"/>
      <c r="D44" s="41"/>
      <c r="E44" s="41"/>
      <c r="F44" s="41"/>
      <c r="G44" s="41"/>
      <c r="H44" s="41"/>
      <c r="I44" s="41"/>
      <c r="J44" s="41"/>
    </row>
    <row r="45">
      <c r="A45" s="1" t="s">
        <v>708</v>
      </c>
      <c r="B45" s="41"/>
      <c r="C45" s="34"/>
      <c r="D45" s="41"/>
      <c r="E45" s="41"/>
      <c r="F45" s="41"/>
      <c r="G45" s="41"/>
      <c r="H45" s="41"/>
      <c r="I45" s="41"/>
      <c r="J45" s="41"/>
    </row>
    <row r="46">
      <c r="A46" s="1" t="s">
        <v>709</v>
      </c>
      <c r="B46" s="41"/>
      <c r="C46" s="34"/>
      <c r="D46" s="41"/>
      <c r="E46" s="41"/>
      <c r="F46" s="41"/>
      <c r="G46" s="41"/>
      <c r="H46" s="41"/>
      <c r="I46" s="41"/>
      <c r="J46" s="41"/>
    </row>
    <row r="47">
      <c r="A47" s="1" t="s">
        <v>710</v>
      </c>
      <c r="B47" s="41"/>
      <c r="C47" s="34"/>
      <c r="D47" s="41"/>
      <c r="E47" s="41"/>
      <c r="F47" s="41"/>
      <c r="G47" s="41"/>
      <c r="H47" s="41"/>
      <c r="I47" s="41"/>
      <c r="J47" s="41"/>
    </row>
    <row r="48">
      <c r="A48" s="1" t="s">
        <v>711</v>
      </c>
      <c r="B48" s="73">
        <v>6427.5</v>
      </c>
      <c r="C48" s="34"/>
      <c r="D48" s="41"/>
      <c r="E48" s="41"/>
      <c r="F48" s="41"/>
      <c r="G48" s="41"/>
      <c r="H48" s="41"/>
      <c r="I48" s="41"/>
      <c r="J48" s="41"/>
    </row>
    <row r="49">
      <c r="A49" s="1" t="s">
        <v>712</v>
      </c>
      <c r="B49" s="73">
        <v>5236.84</v>
      </c>
      <c r="C49" s="34" t="s">
        <v>713</v>
      </c>
      <c r="D49" s="41"/>
      <c r="E49" s="41"/>
      <c r="F49" s="41"/>
      <c r="G49" s="41"/>
      <c r="H49" s="41"/>
      <c r="I49" s="41"/>
      <c r="J49" s="41"/>
    </row>
    <row r="50">
      <c r="A50" s="1" t="s">
        <v>714</v>
      </c>
      <c r="B50" s="73">
        <v>5307.54</v>
      </c>
      <c r="C50" s="34"/>
      <c r="D50" s="41"/>
      <c r="E50" s="41"/>
      <c r="F50" s="41"/>
      <c r="G50" s="41"/>
      <c r="H50" s="41"/>
      <c r="I50" s="41"/>
      <c r="J50" s="41"/>
    </row>
    <row r="51">
      <c r="A51" s="1" t="s">
        <v>715</v>
      </c>
      <c r="B51" s="73">
        <v>4002.55</v>
      </c>
      <c r="C51" s="34" t="s">
        <v>716</v>
      </c>
      <c r="D51" s="41"/>
      <c r="E51" s="41"/>
      <c r="F51" s="41"/>
      <c r="G51" s="41"/>
      <c r="H51" s="41"/>
      <c r="I51" s="41"/>
      <c r="J51" s="41"/>
    </row>
    <row r="52">
      <c r="A52" s="1" t="s">
        <v>717</v>
      </c>
      <c r="B52" s="73">
        <v>4026.34</v>
      </c>
      <c r="C52" s="34"/>
      <c r="D52" s="41"/>
      <c r="E52" s="41"/>
      <c r="F52" s="41"/>
      <c r="G52" s="41"/>
      <c r="H52" s="41"/>
      <c r="I52" s="41"/>
      <c r="J52" s="41"/>
    </row>
    <row r="53">
      <c r="A53" s="1" t="s">
        <v>718</v>
      </c>
      <c r="B53" s="73">
        <v>0.8</v>
      </c>
      <c r="C53" s="34"/>
      <c r="D53" s="41"/>
      <c r="E53" s="41"/>
      <c r="F53" s="41"/>
      <c r="G53" s="41"/>
      <c r="H53" s="41"/>
      <c r="I53" s="41"/>
      <c r="J53" s="41"/>
    </row>
    <row r="54">
      <c r="A54" s="1" t="s">
        <v>719</v>
      </c>
      <c r="B54" s="41"/>
      <c r="C54" s="34"/>
      <c r="D54" s="41"/>
      <c r="E54" s="41"/>
      <c r="F54" s="41"/>
      <c r="G54" s="41"/>
      <c r="H54" s="41"/>
      <c r="I54" s="41"/>
      <c r="J54" s="41"/>
    </row>
    <row r="55">
      <c r="A55" s="1" t="s">
        <v>720</v>
      </c>
      <c r="B55" s="73">
        <v>513.4</v>
      </c>
      <c r="C55" s="34"/>
      <c r="D55" s="41"/>
      <c r="E55" s="41"/>
      <c r="F55" s="41"/>
      <c r="G55" s="41"/>
      <c r="H55" s="41"/>
      <c r="I55" s="41"/>
      <c r="J55" s="41"/>
    </row>
    <row r="56">
      <c r="A56" s="1" t="s">
        <v>721</v>
      </c>
      <c r="B56" s="41"/>
      <c r="C56" s="34"/>
      <c r="D56" s="41"/>
      <c r="E56" s="41"/>
      <c r="F56" s="41"/>
      <c r="G56" s="41"/>
      <c r="H56" s="41"/>
      <c r="I56" s="41"/>
      <c r="J56" s="41"/>
    </row>
    <row r="57">
      <c r="A57" s="1" t="s">
        <v>722</v>
      </c>
      <c r="B57" s="73">
        <v>4362</v>
      </c>
      <c r="C57" s="34"/>
      <c r="D57" s="41"/>
      <c r="E57" s="41"/>
      <c r="F57" s="41"/>
      <c r="G57" s="41"/>
      <c r="H57" s="41"/>
      <c r="I57" s="41"/>
      <c r="J57" s="41"/>
    </row>
    <row r="58">
      <c r="A58" s="1" t="s">
        <v>723</v>
      </c>
      <c r="B58" s="41"/>
      <c r="C58" s="34"/>
      <c r="D58" s="41"/>
      <c r="E58" s="41"/>
      <c r="F58" s="41"/>
      <c r="G58" s="41"/>
      <c r="H58" s="41"/>
      <c r="I58" s="41"/>
      <c r="J58" s="41"/>
    </row>
    <row r="59">
      <c r="A59" s="1" t="s">
        <v>724</v>
      </c>
      <c r="B59" s="41"/>
      <c r="C59" s="34"/>
      <c r="D59" s="41"/>
      <c r="E59" s="41"/>
      <c r="F59" s="41"/>
      <c r="G59" s="41"/>
      <c r="H59" s="41"/>
      <c r="I59" s="41"/>
      <c r="J59" s="41"/>
    </row>
    <row r="60">
      <c r="A60" s="1" t="s">
        <v>725</v>
      </c>
      <c r="B60" s="41"/>
      <c r="C60" s="34"/>
      <c r="D60" s="41"/>
      <c r="E60" s="41"/>
      <c r="F60" s="41"/>
      <c r="G60" s="41"/>
      <c r="H60" s="41"/>
      <c r="I60" s="41"/>
      <c r="J60" s="41"/>
    </row>
    <row r="61">
      <c r="A61" s="1" t="s">
        <v>726</v>
      </c>
      <c r="B61" s="41"/>
      <c r="C61" s="34"/>
      <c r="D61" s="41"/>
      <c r="E61" s="41"/>
      <c r="F61" s="41"/>
      <c r="G61" s="41"/>
      <c r="H61" s="41"/>
      <c r="I61" s="41"/>
      <c r="J61" s="41"/>
    </row>
    <row r="62">
      <c r="A62" s="1" t="s">
        <v>727</v>
      </c>
      <c r="B62" s="41"/>
      <c r="C62" s="34"/>
      <c r="D62" s="41"/>
      <c r="E62" s="41"/>
      <c r="F62" s="41"/>
      <c r="G62" s="41"/>
      <c r="H62" s="41"/>
      <c r="I62" s="41"/>
      <c r="J62" s="41"/>
    </row>
    <row r="63">
      <c r="A63" s="1" t="s">
        <v>728</v>
      </c>
      <c r="B63" s="41"/>
      <c r="C63" s="34"/>
      <c r="D63" s="41"/>
      <c r="E63" s="41"/>
      <c r="F63" s="41"/>
      <c r="G63" s="41"/>
      <c r="H63" s="41"/>
      <c r="I63" s="41"/>
      <c r="J63" s="41"/>
    </row>
    <row r="64">
      <c r="A64" s="1" t="s">
        <v>729</v>
      </c>
      <c r="B64" s="73">
        <v>100056.5</v>
      </c>
      <c r="C64" s="34"/>
      <c r="D64" s="41"/>
      <c r="E64" s="41"/>
      <c r="F64" s="41"/>
      <c r="G64" s="41"/>
      <c r="H64" s="41"/>
      <c r="I64" s="41"/>
      <c r="J64" s="41"/>
    </row>
    <row r="65">
      <c r="A65" s="1" t="s">
        <v>730</v>
      </c>
      <c r="B65" s="41"/>
      <c r="C65" s="34"/>
      <c r="D65" s="41"/>
      <c r="E65" s="41"/>
      <c r="F65" s="41"/>
      <c r="G65" s="41"/>
      <c r="H65" s="41"/>
      <c r="I65" s="41"/>
      <c r="J65" s="41"/>
    </row>
    <row r="66">
      <c r="A66" s="1" t="s">
        <v>731</v>
      </c>
      <c r="B66" s="41"/>
      <c r="C66" s="34"/>
      <c r="D66" s="41"/>
      <c r="E66" s="41"/>
      <c r="F66" s="41"/>
      <c r="G66" s="41"/>
      <c r="H66" s="41"/>
      <c r="I66" s="41"/>
      <c r="J66" s="41"/>
    </row>
    <row r="67">
      <c r="A67" s="1" t="s">
        <v>732</v>
      </c>
      <c r="B67" s="73">
        <v>1069.1</v>
      </c>
      <c r="C67" s="34"/>
      <c r="D67" s="41"/>
      <c r="E67" s="41"/>
      <c r="F67" s="41"/>
      <c r="G67" s="41"/>
      <c r="H67" s="41"/>
      <c r="I67" s="41"/>
      <c r="J67" s="41"/>
    </row>
    <row r="68">
      <c r="A68" s="1" t="s">
        <v>733</v>
      </c>
      <c r="B68" s="73">
        <v>1050</v>
      </c>
      <c r="C68" s="34"/>
      <c r="D68" s="41"/>
      <c r="E68" s="41"/>
      <c r="F68" s="41"/>
      <c r="G68" s="41"/>
      <c r="H68" s="41"/>
      <c r="I68" s="41"/>
      <c r="J68" s="41"/>
    </row>
    <row r="69">
      <c r="A69" s="1" t="s">
        <v>734</v>
      </c>
      <c r="B69" s="73">
        <v>1250</v>
      </c>
      <c r="C69" s="34"/>
      <c r="D69" s="41"/>
      <c r="E69" s="41"/>
      <c r="F69" s="41"/>
      <c r="G69" s="41"/>
      <c r="H69" s="41"/>
      <c r="I69" s="41"/>
      <c r="J69" s="41"/>
    </row>
    <row r="70">
      <c r="A70" s="1" t="s">
        <v>735</v>
      </c>
      <c r="B70" s="73">
        <v>730</v>
      </c>
      <c r="C70" s="34"/>
      <c r="D70" s="41"/>
      <c r="E70" s="41"/>
      <c r="F70" s="41"/>
      <c r="G70" s="41"/>
      <c r="H70" s="41"/>
      <c r="I70" s="41"/>
      <c r="J70" s="41"/>
    </row>
    <row r="71">
      <c r="A71" s="1" t="s">
        <v>736</v>
      </c>
      <c r="B71" s="73">
        <v>120.8</v>
      </c>
      <c r="C71" s="34"/>
      <c r="D71" s="41"/>
      <c r="E71" s="41"/>
      <c r="F71" s="41"/>
      <c r="G71" s="41"/>
      <c r="H71" s="41"/>
      <c r="I71" s="41"/>
      <c r="J71" s="41"/>
    </row>
    <row r="72">
      <c r="A72" s="1" t="s">
        <v>737</v>
      </c>
      <c r="B72" s="73">
        <v>21</v>
      </c>
      <c r="C72" s="34"/>
      <c r="D72" s="41"/>
      <c r="E72" s="41"/>
      <c r="F72" s="41"/>
      <c r="G72" s="41"/>
      <c r="H72" s="41"/>
      <c r="I72" s="41"/>
      <c r="J72" s="41"/>
    </row>
    <row r="73">
      <c r="A73" s="1" t="s">
        <v>738</v>
      </c>
      <c r="B73" s="41" t="s">
        <v>739</v>
      </c>
      <c r="C73" s="34"/>
      <c r="D73" s="41"/>
      <c r="E73" s="41"/>
      <c r="F73" s="41"/>
      <c r="G73" s="41"/>
      <c r="H73" s="41"/>
      <c r="I73" s="41"/>
      <c r="J73" s="41"/>
    </row>
    <row r="74">
      <c r="A74" s="1" t="s">
        <v>740</v>
      </c>
      <c r="B74" s="73">
        <v>2.54</v>
      </c>
      <c r="C74" s="34"/>
      <c r="D74" s="41"/>
      <c r="E74" s="41"/>
      <c r="F74" s="41"/>
      <c r="G74" s="41"/>
      <c r="H74" s="41"/>
      <c r="I74" s="41"/>
      <c r="J74" s="41"/>
    </row>
    <row r="75">
      <c r="A75" s="1" t="s">
        <v>741</v>
      </c>
      <c r="B75" s="73">
        <v>895.32</v>
      </c>
      <c r="C75" s="34"/>
      <c r="D75" s="41"/>
      <c r="E75" s="41"/>
      <c r="F75" s="41"/>
      <c r="G75" s="41"/>
      <c r="H75" s="41"/>
      <c r="I75" s="41"/>
      <c r="J75" s="41"/>
    </row>
    <row r="76">
      <c r="A76" s="1" t="s">
        <v>742</v>
      </c>
      <c r="B76" s="41" t="s">
        <v>743</v>
      </c>
      <c r="C76" s="34"/>
      <c r="D76" s="41"/>
      <c r="E76" s="41"/>
      <c r="F76" s="41"/>
      <c r="G76" s="41"/>
      <c r="H76" s="41"/>
      <c r="I76" s="41"/>
      <c r="J76" s="41"/>
    </row>
    <row r="77">
      <c r="A77" s="1" t="s">
        <v>744</v>
      </c>
      <c r="B77" s="41" t="s">
        <v>11</v>
      </c>
      <c r="C77" s="34"/>
      <c r="D77" s="41"/>
      <c r="E77" s="41"/>
      <c r="F77" s="41"/>
      <c r="G77" s="41"/>
      <c r="H77" s="41"/>
      <c r="I77" s="41"/>
      <c r="J77" s="41"/>
    </row>
    <row r="78">
      <c r="A78" s="1" t="s">
        <v>745</v>
      </c>
      <c r="B78" s="41" t="s">
        <v>746</v>
      </c>
      <c r="C78" s="34"/>
      <c r="D78" s="41"/>
      <c r="E78" s="41"/>
      <c r="F78" s="41"/>
      <c r="G78" s="41"/>
      <c r="H78" s="41"/>
      <c r="I78" s="41"/>
      <c r="J78" s="41"/>
    </row>
    <row r="79">
      <c r="A79" s="1" t="s">
        <v>747</v>
      </c>
      <c r="B79" s="41" t="s">
        <v>606</v>
      </c>
      <c r="C79" s="34"/>
      <c r="D79" s="41"/>
      <c r="E79" s="41"/>
      <c r="F79" s="41"/>
      <c r="G79" s="41"/>
      <c r="H79" s="41"/>
      <c r="I79" s="41"/>
      <c r="J79" s="41"/>
    </row>
    <row r="80">
      <c r="A80" s="1" t="s">
        <v>748</v>
      </c>
      <c r="B80" s="41"/>
      <c r="C80" s="34"/>
      <c r="D80" s="41"/>
      <c r="E80" s="41"/>
      <c r="F80" s="41"/>
      <c r="G80" s="41"/>
      <c r="H80" s="41"/>
      <c r="I80" s="41"/>
      <c r="J80" s="41"/>
    </row>
    <row r="81">
      <c r="A81" s="1"/>
      <c r="B81" s="1"/>
      <c r="C81" s="75"/>
      <c r="D81" s="1"/>
      <c r="E81" s="1"/>
      <c r="F81" s="1"/>
      <c r="G81" s="1"/>
      <c r="H81" s="1"/>
      <c r="I81" s="1"/>
      <c r="J81" s="1"/>
    </row>
    <row r="82">
      <c r="A82" s="17" t="s">
        <v>749</v>
      </c>
      <c r="B82" s="1"/>
      <c r="C82" s="75"/>
      <c r="D82" s="1"/>
      <c r="E82" s="1"/>
      <c r="F82" s="1"/>
      <c r="G82" s="1"/>
      <c r="H82" s="1"/>
      <c r="I82" s="1"/>
      <c r="J82" s="1"/>
    </row>
    <row r="83">
      <c r="A83" s="1" t="s">
        <v>750</v>
      </c>
      <c r="B83" s="41" t="s">
        <v>751</v>
      </c>
      <c r="C83" s="34"/>
      <c r="D83" s="41"/>
      <c r="E83" s="41"/>
      <c r="F83" s="41"/>
      <c r="G83" s="41"/>
      <c r="H83" s="41"/>
      <c r="I83" s="41"/>
      <c r="J83" s="41"/>
    </row>
    <row r="84">
      <c r="A84" s="1" t="s">
        <v>752</v>
      </c>
      <c r="B84" s="41" t="s">
        <v>606</v>
      </c>
      <c r="C84" s="34"/>
      <c r="D84" s="41"/>
      <c r="E84" s="41"/>
      <c r="F84" s="41"/>
      <c r="G84" s="41"/>
      <c r="H84" s="41"/>
      <c r="I84" s="41"/>
      <c r="J84" s="41"/>
    </row>
    <row r="85">
      <c r="A85" s="1" t="s">
        <v>753</v>
      </c>
      <c r="B85" s="73">
        <v>18</v>
      </c>
      <c r="C85" s="34"/>
      <c r="D85" s="41"/>
      <c r="E85" s="41"/>
      <c r="F85" s="41"/>
      <c r="G85" s="41"/>
      <c r="H85" s="41"/>
      <c r="I85" s="41"/>
      <c r="J85" s="41"/>
    </row>
    <row r="86">
      <c r="A86" s="1" t="s">
        <v>754</v>
      </c>
      <c r="B86" s="73">
        <v>13.18</v>
      </c>
      <c r="C86" s="41"/>
      <c r="D86" s="41"/>
      <c r="E86" s="41"/>
      <c r="F86" s="41"/>
      <c r="G86" s="41"/>
      <c r="H86" s="41"/>
      <c r="I86" s="41"/>
      <c r="J86" s="41"/>
    </row>
    <row r="87">
      <c r="A87" s="1" t="s">
        <v>755</v>
      </c>
      <c r="B87" s="73">
        <v>16887.88</v>
      </c>
      <c r="C87" s="41"/>
      <c r="D87" s="41"/>
      <c r="E87" s="41"/>
      <c r="F87" s="41"/>
      <c r="G87" s="41"/>
      <c r="H87" s="41"/>
      <c r="I87" s="41"/>
      <c r="J87" s="41"/>
    </row>
    <row r="88">
      <c r="A88" s="1" t="s">
        <v>756</v>
      </c>
      <c r="B88" s="41" t="s">
        <v>757</v>
      </c>
      <c r="C88" s="41"/>
      <c r="D88" s="41"/>
      <c r="E88" s="41"/>
      <c r="F88" s="41"/>
      <c r="G88" s="41"/>
      <c r="H88" s="41"/>
      <c r="I88" s="41"/>
      <c r="J88" s="41"/>
    </row>
    <row r="89">
      <c r="A89" s="1" t="s">
        <v>758</v>
      </c>
      <c r="B89" s="41" t="s">
        <v>759</v>
      </c>
      <c r="C89" s="41"/>
      <c r="D89" s="41"/>
      <c r="E89" s="41"/>
      <c r="F89" s="41"/>
      <c r="G89" s="41"/>
      <c r="H89" s="41"/>
      <c r="I89" s="41"/>
      <c r="J89" s="41"/>
    </row>
    <row r="90">
      <c r="A90" s="1" t="s">
        <v>760</v>
      </c>
      <c r="B90" s="41" t="s">
        <v>761</v>
      </c>
      <c r="C90" s="41"/>
      <c r="D90" s="41"/>
      <c r="E90" s="41"/>
      <c r="F90" s="41"/>
      <c r="G90" s="41"/>
      <c r="H90" s="41"/>
      <c r="I90" s="41"/>
      <c r="J90" s="4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</row>
    <row r="92">
      <c r="A92" s="17" t="s">
        <v>762</v>
      </c>
      <c r="B92" s="1"/>
      <c r="C92" s="1"/>
      <c r="D92" s="1"/>
      <c r="E92" s="1"/>
      <c r="F92" s="1"/>
      <c r="G92" s="1"/>
      <c r="H92" s="1"/>
      <c r="I92" s="1"/>
      <c r="J92" s="1"/>
    </row>
    <row r="93" ht="25.5">
      <c r="A93" s="17" t="s">
        <v>763</v>
      </c>
      <c r="B93" s="86" t="s">
        <v>764</v>
      </c>
      <c r="C93" s="86" t="s">
        <v>765</v>
      </c>
      <c r="D93" s="86" t="s">
        <v>766</v>
      </c>
      <c r="E93" s="86" t="s">
        <v>767</v>
      </c>
      <c r="F93" s="86" t="s">
        <v>768</v>
      </c>
      <c r="G93" s="86" t="s">
        <v>769</v>
      </c>
      <c r="H93" s="86" t="s">
        <v>770</v>
      </c>
      <c r="I93" s="86" t="s">
        <v>771</v>
      </c>
      <c r="J93" s="86" t="s">
        <v>772</v>
      </c>
    </row>
    <row r="94">
      <c r="A94" s="1" t="s">
        <v>773</v>
      </c>
      <c r="B94" s="41" t="s">
        <v>774</v>
      </c>
      <c r="C94" s="73">
        <v>12.29</v>
      </c>
      <c r="D94" s="73">
        <v>14.12</v>
      </c>
      <c r="E94" s="73">
        <v>12.26</v>
      </c>
      <c r="F94" s="73">
        <v>14.12</v>
      </c>
      <c r="G94" s="73">
        <v>14711.4</v>
      </c>
      <c r="H94" s="73">
        <v>15062</v>
      </c>
      <c r="I94" s="41">
        <f>D94-C94</f>
        <v>1.83</v>
      </c>
      <c r="J94" s="41">
        <f>IF(AND(ISNUMBER(D94),ISNUMBER(C94)),IF(D94&gt;C94,1,0),"n.a.")</f>
        <v>1</v>
      </c>
    </row>
    <row r="95">
      <c r="A95" s="1" t="s">
        <v>775</v>
      </c>
      <c r="B95" s="41" t="s">
        <v>776</v>
      </c>
      <c r="C95" s="73">
        <v>9.62</v>
      </c>
      <c r="D95" s="73">
        <v>10.91</v>
      </c>
      <c r="E95" s="73">
        <v>9.66</v>
      </c>
      <c r="F95" s="73">
        <v>10.91</v>
      </c>
      <c r="G95" s="73">
        <v>13581.44</v>
      </c>
      <c r="H95" s="73">
        <v>14583</v>
      </c>
      <c r="I95" s="41">
        <f>D95-C95</f>
        <v>1.290000000000001</v>
      </c>
      <c r="J95" s="41">
        <f>IF(AND(ISNUMBER(D95),ISNUMBER(C95)),IF(D95&gt;C95,1,0),"n.a.")</f>
        <v>1</v>
      </c>
    </row>
    <row r="96">
      <c r="A96" s="1" t="s">
        <v>777</v>
      </c>
      <c r="B96" s="41" t="s">
        <v>509</v>
      </c>
      <c r="C96" s="73">
        <v>10.63</v>
      </c>
      <c r="D96" s="73">
        <v>12.25</v>
      </c>
      <c r="E96" s="73">
        <v>11.09</v>
      </c>
      <c r="F96" s="73">
        <v>12.25</v>
      </c>
      <c r="G96" s="73">
        <v>14250.41</v>
      </c>
      <c r="H96" s="73">
        <v>15184</v>
      </c>
      <c r="I96" s="41">
        <f>D96-C96</f>
        <v>1.6199999999999992</v>
      </c>
      <c r="J96" s="41">
        <f>IF(AND(ISNUMBER(D96),ISNUMBER(C96)),IF(D96&gt;C96,1,0),"n.a.")</f>
        <v>1</v>
      </c>
    </row>
    <row r="97">
      <c r="A97" s="1" t="s">
        <v>778</v>
      </c>
      <c r="B97" s="41" t="s">
        <v>455</v>
      </c>
      <c r="C97" s="73">
        <v>11.76</v>
      </c>
      <c r="D97" s="73">
        <v>14.01</v>
      </c>
      <c r="E97" s="73">
        <v>11.65</v>
      </c>
      <c r="F97" s="73">
        <v>14.01</v>
      </c>
      <c r="G97" s="73">
        <v>13849.31</v>
      </c>
      <c r="H97" s="73">
        <v>13454</v>
      </c>
      <c r="I97" s="41">
        <f>D97-C97</f>
        <v>2.25</v>
      </c>
      <c r="J97" s="41">
        <f>IF(AND(ISNUMBER(D97),ISNUMBER(C97)),IF(D97&gt;C97,1,0),"n.a.")</f>
        <v>1</v>
      </c>
    </row>
    <row r="98">
      <c r="A98" s="1" t="s">
        <v>779</v>
      </c>
      <c r="B98" s="41" t="s">
        <v>516</v>
      </c>
      <c r="C98" s="73">
        <v>16.24</v>
      </c>
      <c r="D98" s="73">
        <v>17.55</v>
      </c>
      <c r="E98" s="73">
        <v>16.39</v>
      </c>
      <c r="F98" s="73">
        <v>17.55</v>
      </c>
      <c r="G98" s="73">
        <v>16933.17</v>
      </c>
      <c r="H98" s="73">
        <v>17227</v>
      </c>
      <c r="I98" s="41">
        <f>D98-C98</f>
        <v>1.3100000000000023</v>
      </c>
      <c r="J98" s="41">
        <f>IF(AND(ISNUMBER(D98),ISNUMBER(C98)),IF(D98&gt;C98,1,0),"n.a.")</f>
        <v>1</v>
      </c>
    </row>
    <row r="99">
      <c r="A99" s="1" t="s">
        <v>780</v>
      </c>
      <c r="B99" s="41" t="s">
        <v>462</v>
      </c>
      <c r="C99" s="73">
        <v>14.5</v>
      </c>
      <c r="D99" s="73">
        <v>20.98</v>
      </c>
      <c r="E99" s="73">
        <v>14.54</v>
      </c>
      <c r="F99" s="73">
        <v>20.98</v>
      </c>
      <c r="G99" s="73">
        <v>16403.81</v>
      </c>
      <c r="H99" s="73">
        <v>20338</v>
      </c>
      <c r="I99" s="41">
        <f>D99-C99</f>
        <v>6.48</v>
      </c>
      <c r="J99" s="41">
        <f>IF(AND(ISNUMBER(D99),ISNUMBER(C99)),IF(D99&gt;C99,1,0),"n.a.")</f>
        <v>1</v>
      </c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>
      <c r="A101" s="17" t="s">
        <v>781</v>
      </c>
      <c r="B101" s="1"/>
      <c r="C101" s="1"/>
      <c r="D101" s="1"/>
      <c r="E101" s="1"/>
      <c r="F101" s="1"/>
      <c r="G101" s="1"/>
      <c r="H101" s="1"/>
      <c r="I101" s="1"/>
      <c r="J101" s="1"/>
    </row>
    <row r="102" ht="14.624267578125">
      <c r="A102" s="17" t="s">
        <v>782</v>
      </c>
      <c r="B102" s="86" t="s">
        <v>783</v>
      </c>
      <c r="C102" s="86" t="s">
        <v>784</v>
      </c>
      <c r="D102" s="86" t="s">
        <v>785</v>
      </c>
      <c r="E102" s="86" t="s">
        <v>786</v>
      </c>
      <c r="F102" s="86" t="s">
        <v>787</v>
      </c>
      <c r="G102" s="86" t="s">
        <v>788</v>
      </c>
      <c r="H102" s="14" t="s">
        <v>789</v>
      </c>
      <c r="I102" s="14"/>
      <c r="J102" s="14"/>
    </row>
    <row r="103">
      <c r="A103" s="1" t="s">
        <v>790</v>
      </c>
      <c r="B103" s="20">
        <v>875</v>
      </c>
      <c r="C103" s="20">
        <v>960</v>
      </c>
      <c r="D103" s="20">
        <v>3534</v>
      </c>
      <c r="E103" s="3">
        <f>G103-F103</f>
        <v>792</v>
      </c>
      <c r="F103" s="20">
        <v>1174</v>
      </c>
      <c r="G103" s="20">
        <v>1966</v>
      </c>
      <c r="H103" s="85" t="s">
        <v>791</v>
      </c>
      <c r="I103" s="3"/>
      <c r="J103" s="3"/>
    </row>
    <row r="104">
      <c r="A104" s="1" t="s">
        <v>792</v>
      </c>
      <c r="B104" s="20">
        <v>385</v>
      </c>
      <c r="C104" s="20">
        <v>499</v>
      </c>
      <c r="D104" s="20">
        <v>1677</v>
      </c>
      <c r="E104" s="3">
        <f>G104-F104</f>
        <v>370</v>
      </c>
      <c r="F104" s="20">
        <v>428</v>
      </c>
      <c r="G104" s="20">
        <v>798</v>
      </c>
      <c r="H104" s="3"/>
      <c r="I104" s="3"/>
      <c r="J104" s="3"/>
    </row>
    <row r="105">
      <c r="A105" s="1" t="s">
        <v>793</v>
      </c>
      <c r="B105" s="20">
        <v>605</v>
      </c>
      <c r="C105" s="20">
        <v>595</v>
      </c>
      <c r="D105" s="20">
        <v>2521</v>
      </c>
      <c r="E105" s="3">
        <f>G105-F105</f>
        <v>752</v>
      </c>
      <c r="F105" s="20">
        <v>589</v>
      </c>
      <c r="G105" s="20">
        <v>1341</v>
      </c>
      <c r="H105" s="3"/>
      <c r="I105" s="3"/>
      <c r="J105" s="3"/>
    </row>
    <row r="106">
      <c r="A106" s="1" t="s">
        <v>105</v>
      </c>
      <c r="B106" s="20">
        <v>1865</v>
      </c>
      <c r="C106" s="20">
        <v>2054</v>
      </c>
      <c r="D106" s="20">
        <v>7732</v>
      </c>
      <c r="E106" s="3">
        <f>G106-F106</f>
        <v>1914</v>
      </c>
      <c r="F106" s="20">
        <v>2191</v>
      </c>
      <c r="G106" s="20">
        <v>4105</v>
      </c>
      <c r="H106" s="3"/>
      <c r="I106" s="3"/>
      <c r="J106" s="3"/>
    </row>
    <row r="107">
      <c r="A107" s="1" t="s">
        <v>794</v>
      </c>
      <c r="B107" s="20">
        <v>2013</v>
      </c>
      <c r="C107" s="20">
        <v>1750</v>
      </c>
      <c r="D107" s="20">
        <v>9564</v>
      </c>
      <c r="E107" s="3">
        <f>G107-F107</f>
        <v>3390</v>
      </c>
      <c r="F107" s="20">
        <v>2423</v>
      </c>
      <c r="G107" s="20">
        <v>5813</v>
      </c>
      <c r="H107" s="3"/>
      <c r="I107" s="3"/>
      <c r="J107" s="3"/>
    </row>
    <row r="108">
      <c r="A108" s="1" t="s">
        <v>795</v>
      </c>
      <c r="B108" s="3"/>
      <c r="C108" s="20">
        <v>1012</v>
      </c>
      <c r="D108" s="20">
        <v>3778</v>
      </c>
      <c r="E108" s="3">
        <f>G108-F108</f>
        <v>1045</v>
      </c>
      <c r="F108" s="20">
        <v>1064</v>
      </c>
      <c r="G108" s="20">
        <v>2109</v>
      </c>
      <c r="H108" s="3"/>
      <c r="I108" s="3"/>
      <c r="J108" s="3"/>
    </row>
    <row r="109">
      <c r="A109" s="1" t="s">
        <v>112</v>
      </c>
      <c r="B109" s="3"/>
      <c r="C109" s="20">
        <v>2762</v>
      </c>
      <c r="D109" s="20">
        <v>13342</v>
      </c>
      <c r="E109" s="3">
        <f>G109-F109</f>
        <v>4435</v>
      </c>
      <c r="F109" s="20">
        <v>3487</v>
      </c>
      <c r="G109" s="20">
        <v>7922</v>
      </c>
      <c r="H109" s="3"/>
      <c r="I109" s="3"/>
      <c r="J109" s="3"/>
    </row>
    <row r="110">
      <c r="A110" s="1" t="s">
        <v>796</v>
      </c>
      <c r="B110" s="20">
        <v>2209</v>
      </c>
      <c r="C110" s="20">
        <v>1954</v>
      </c>
      <c r="D110" s="20">
        <v>7937</v>
      </c>
      <c r="E110" s="3">
        <f>G110-F110</f>
        <v>2547</v>
      </c>
      <c r="F110" s="20">
        <v>2595</v>
      </c>
      <c r="G110" s="20">
        <v>5142</v>
      </c>
      <c r="H110" s="3"/>
      <c r="I110" s="3"/>
      <c r="J110" s="3"/>
    </row>
    <row r="111">
      <c r="A111" s="1" t="s">
        <v>797</v>
      </c>
      <c r="B111" s="20">
        <v>1291</v>
      </c>
      <c r="C111" s="20">
        <v>1499</v>
      </c>
      <c r="D111" s="20">
        <v>5495</v>
      </c>
      <c r="E111" s="3">
        <f>G111-F111</f>
        <v>1645</v>
      </c>
      <c r="F111" s="20">
        <v>1706</v>
      </c>
      <c r="G111" s="20">
        <v>3351</v>
      </c>
      <c r="H111" s="3"/>
      <c r="I111" s="3"/>
      <c r="J111" s="3"/>
    </row>
    <row r="112">
      <c r="A112" s="1" t="s">
        <v>117</v>
      </c>
      <c r="B112" s="20">
        <v>3500</v>
      </c>
      <c r="C112" s="20">
        <v>3453</v>
      </c>
      <c r="D112" s="20">
        <v>13432</v>
      </c>
      <c r="E112" s="3">
        <f>G112-F112</f>
        <v>4192</v>
      </c>
      <c r="F112" s="20">
        <v>4301</v>
      </c>
      <c r="G112" s="20">
        <v>8493</v>
      </c>
      <c r="H112" s="3"/>
      <c r="I112" s="3"/>
      <c r="J112" s="3"/>
    </row>
    <row r="113">
      <c r="A113" s="1" t="s">
        <v>798</v>
      </c>
      <c r="B113" s="3"/>
      <c r="C113" s="20">
        <v>239</v>
      </c>
      <c r="D113" s="20">
        <v>561</v>
      </c>
      <c r="E113" s="3">
        <f>G113-F113</f>
        <v>200</v>
      </c>
      <c r="F113" s="20">
        <v>154</v>
      </c>
      <c r="G113" s="20">
        <v>354</v>
      </c>
      <c r="H113" s="3"/>
      <c r="I113" s="3"/>
      <c r="J113" s="3"/>
    </row>
    <row r="114">
      <c r="A114" s="1" t="s">
        <v>122</v>
      </c>
      <c r="B114" s="3"/>
      <c r="C114" s="20">
        <v>8508</v>
      </c>
      <c r="D114" s="20">
        <v>35067</v>
      </c>
      <c r="E114" s="3">
        <f>G114-F114</f>
        <v>10741</v>
      </c>
      <c r="F114" s="20">
        <v>10133</v>
      </c>
      <c r="G114" s="20">
        <v>20874</v>
      </c>
      <c r="H114" s="3"/>
      <c r="I114" s="3"/>
      <c r="J114" s="3"/>
    </row>
    <row r="115">
      <c r="A115" s="1" t="s">
        <v>799</v>
      </c>
      <c r="B115" s="3"/>
      <c r="C115" s="20">
        <v>2815</v>
      </c>
      <c r="D115" s="20">
        <v>10415</v>
      </c>
      <c r="E115" s="3">
        <f>G115-F115</f>
        <v>2701</v>
      </c>
      <c r="F115" s="20">
        <v>2802</v>
      </c>
      <c r="G115" s="20">
        <v>5503</v>
      </c>
      <c r="H115" s="3"/>
      <c r="I115" s="3"/>
      <c r="J115" s="3"/>
    </row>
    <row r="116">
      <c r="A116" s="1" t="s">
        <v>471</v>
      </c>
      <c r="B116" s="3"/>
      <c r="C116" s="20">
        <v>174</v>
      </c>
      <c r="D116" s="20">
        <v>393</v>
      </c>
      <c r="E116" s="3">
        <f>G116-F116</f>
        <v>129</v>
      </c>
      <c r="F116" s="20">
        <v>103</v>
      </c>
      <c r="G116" s="20">
        <v>232</v>
      </c>
      <c r="H116" s="3"/>
      <c r="I116" s="3"/>
      <c r="J116" s="3"/>
    </row>
    <row r="117">
      <c r="A117" s="1" t="s">
        <v>800</v>
      </c>
      <c r="B117" s="3"/>
      <c r="C117" s="20">
        <v>736</v>
      </c>
      <c r="D117" s="20">
        <v>2881</v>
      </c>
      <c r="E117" s="3">
        <f>G117-F117</f>
        <v>725</v>
      </c>
      <c r="F117" s="20">
        <v>789</v>
      </c>
      <c r="G117" s="20">
        <v>1514</v>
      </c>
      <c r="H117" s="3"/>
      <c r="I117" s="3"/>
      <c r="J117" s="3"/>
    </row>
    <row r="118">
      <c r="A118" s="1" t="s">
        <v>801</v>
      </c>
      <c r="B118" s="3"/>
      <c r="C118" s="20">
        <v>1044</v>
      </c>
      <c r="D118" s="20">
        <v>2627</v>
      </c>
      <c r="E118" s="3">
        <f>G118-F118</f>
        <v>156</v>
      </c>
      <c r="F118" s="20">
        <v>137</v>
      </c>
      <c r="G118" s="20">
        <v>293</v>
      </c>
      <c r="H118" s="3"/>
      <c r="I118" s="3"/>
      <c r="J118" s="3"/>
    </row>
    <row r="119">
      <c r="A119" s="1" t="s">
        <v>225</v>
      </c>
      <c r="B119" s="3"/>
      <c r="C119" s="20">
        <v>4769</v>
      </c>
      <c r="D119" s="20">
        <v>16316</v>
      </c>
      <c r="E119" s="3">
        <f>G119-F119</f>
        <v>3711</v>
      </c>
      <c r="F119" s="20">
        <v>3831</v>
      </c>
      <c r="G119" s="20">
        <v>7542</v>
      </c>
      <c r="H119" s="3"/>
      <c r="I119" s="3"/>
      <c r="J119" s="3"/>
    </row>
    <row r="120">
      <c r="A120" s="1" t="s">
        <v>802</v>
      </c>
      <c r="B120" s="3"/>
      <c r="C120" s="20">
        <v>592</v>
      </c>
      <c r="D120" s="20">
        <v>2129</v>
      </c>
      <c r="E120" s="3">
        <f>G120-F120</f>
        <v>610</v>
      </c>
      <c r="F120" s="20">
        <v>619</v>
      </c>
      <c r="G120" s="20">
        <v>1229</v>
      </c>
      <c r="H120" s="3"/>
      <c r="I120" s="3"/>
      <c r="J120" s="3"/>
    </row>
    <row r="121">
      <c r="A121" s="1" t="s">
        <v>90</v>
      </c>
      <c r="B121" s="20">
        <v>12699</v>
      </c>
      <c r="C121" s="20">
        <v>13869</v>
      </c>
      <c r="D121" s="20">
        <v>53512</v>
      </c>
      <c r="E121" s="3">
        <f>G121-F121</f>
        <v>15062</v>
      </c>
      <c r="F121" s="20">
        <v>14583</v>
      </c>
      <c r="G121" s="20">
        <v>29645</v>
      </c>
      <c r="H121" s="3"/>
      <c r="I121" s="3"/>
      <c r="J121" s="3"/>
    </row>
    <row r="122">
      <c r="A122" s="1" t="s">
        <v>803</v>
      </c>
      <c r="B122" s="20">
        <v>8045</v>
      </c>
      <c r="C122" s="20">
        <v>9097</v>
      </c>
      <c r="D122" s="20">
        <v>34448</v>
      </c>
      <c r="E122" s="3">
        <f>G122-F122</f>
        <v>9866</v>
      </c>
      <c r="F122" s="20">
        <v>8982</v>
      </c>
      <c r="G122" s="20">
        <v>18848</v>
      </c>
      <c r="H122" s="3"/>
      <c r="I122" s="3"/>
      <c r="J122" s="3"/>
    </row>
    <row r="123">
      <c r="A123" s="1" t="s">
        <v>804</v>
      </c>
      <c r="B123" s="20">
        <v>3076</v>
      </c>
      <c r="C123" s="20">
        <v>2773</v>
      </c>
      <c r="D123" s="20">
        <v>12250</v>
      </c>
      <c r="E123" s="3">
        <f>G123-F123</f>
        <v>3491</v>
      </c>
      <c r="F123" s="20">
        <v>3811</v>
      </c>
      <c r="G123" s="20">
        <v>7302</v>
      </c>
      <c r="H123" s="3"/>
      <c r="I123" s="3"/>
      <c r="J123" s="3"/>
    </row>
    <row r="124">
      <c r="A124" s="1" t="s">
        <v>805</v>
      </c>
      <c r="B124" s="20">
        <v>1578</v>
      </c>
      <c r="C124" s="20">
        <v>1999</v>
      </c>
      <c r="D124" s="20">
        <v>6814</v>
      </c>
      <c r="E124" s="3">
        <f>G124-F124</f>
        <v>1705</v>
      </c>
      <c r="F124" s="20">
        <v>1790</v>
      </c>
      <c r="G124" s="20">
        <v>3495</v>
      </c>
      <c r="H124" s="3"/>
      <c r="I124" s="3"/>
      <c r="J124" s="3"/>
    </row>
    <row r="125">
      <c r="A125" s="1" t="s">
        <v>806</v>
      </c>
      <c r="B125" s="20">
        <v>1864</v>
      </c>
      <c r="C125" s="20">
        <v>2056</v>
      </c>
      <c r="D125" s="20">
        <v>7738</v>
      </c>
      <c r="E125" s="3">
        <f>G125-F125</f>
        <v>1916</v>
      </c>
      <c r="F125" s="20">
        <v>2194</v>
      </c>
      <c r="G125" s="20">
        <v>4110</v>
      </c>
      <c r="H125" s="85" t="s">
        <v>807</v>
      </c>
      <c r="I125" s="3"/>
      <c r="J125" s="3"/>
    </row>
    <row r="126">
      <c r="A126" s="1" t="s">
        <v>808</v>
      </c>
      <c r="B126" s="20">
        <v>2649</v>
      </c>
      <c r="C126" s="20">
        <v>2923</v>
      </c>
      <c r="D126" s="20">
        <v>10596</v>
      </c>
      <c r="E126" s="3">
        <f>G126-F126</f>
        <v>2759</v>
      </c>
      <c r="F126" s="20">
        <v>2837</v>
      </c>
      <c r="G126" s="20">
        <v>5596</v>
      </c>
      <c r="H126" s="3"/>
      <c r="I126" s="3"/>
      <c r="J126" s="3"/>
    </row>
    <row r="127">
      <c r="A127" s="1" t="s">
        <v>809</v>
      </c>
      <c r="B127" s="20">
        <v>873</v>
      </c>
      <c r="C127" s="20">
        <v>1085</v>
      </c>
      <c r="D127" s="20">
        <v>4086</v>
      </c>
      <c r="E127" s="3">
        <f>G127-F127</f>
        <v>1226</v>
      </c>
      <c r="F127" s="20">
        <v>1201</v>
      </c>
      <c r="G127" s="20">
        <v>2427</v>
      </c>
      <c r="H127" s="3"/>
      <c r="I127" s="3"/>
      <c r="J127" s="3"/>
    </row>
    <row r="128">
      <c r="A128" s="1" t="s">
        <v>810</v>
      </c>
      <c r="B128" s="20">
        <v>4127</v>
      </c>
      <c r="C128" s="20">
        <v>3833</v>
      </c>
      <c r="D128" s="20">
        <v>18390</v>
      </c>
      <c r="E128" s="3">
        <f>G128-F128</f>
        <v>5723</v>
      </c>
      <c r="F128" s="20">
        <v>4733</v>
      </c>
      <c r="G128" s="20">
        <v>10456</v>
      </c>
      <c r="H128" s="3"/>
      <c r="I128" s="3"/>
      <c r="J128" s="3"/>
    </row>
    <row r="129">
      <c r="A129" s="1" t="s">
        <v>811</v>
      </c>
      <c r="B129" s="20">
        <v>839</v>
      </c>
      <c r="C129" s="20">
        <v>1627</v>
      </c>
      <c r="D129" s="20">
        <v>4646</v>
      </c>
      <c r="E129" s="3">
        <f>G129-F129</f>
        <v>543</v>
      </c>
      <c r="F129" s="20">
        <v>514</v>
      </c>
      <c r="G129" s="20">
        <v>1057</v>
      </c>
      <c r="H129" s="3"/>
      <c r="I129" s="3"/>
      <c r="J129" s="3"/>
    </row>
    <row r="130">
      <c r="A130" s="1" t="s">
        <v>241</v>
      </c>
      <c r="B130" s="20">
        <v>10352</v>
      </c>
      <c r="C130" s="20">
        <v>11524</v>
      </c>
      <c r="D130" s="20">
        <v>45456</v>
      </c>
      <c r="E130" s="3">
        <f>G130-F130</f>
        <v>12167</v>
      </c>
      <c r="F130" s="20">
        <v>11479</v>
      </c>
      <c r="G130" s="20">
        <v>23646</v>
      </c>
      <c r="H130" s="3"/>
      <c r="I130" s="3"/>
      <c r="J130" s="3"/>
    </row>
    <row r="131">
      <c r="A131" s="1" t="s">
        <v>812</v>
      </c>
      <c r="B131" s="20">
        <v>21448</v>
      </c>
      <c r="C131" s="20">
        <v>19954</v>
      </c>
      <c r="D131" s="20">
        <v>81397</v>
      </c>
      <c r="E131" s="3">
        <f>G131-F131</f>
        <v>19383</v>
      </c>
      <c r="F131" s="20">
        <v>19789</v>
      </c>
      <c r="G131" s="20">
        <v>39172</v>
      </c>
      <c r="H131" s="3"/>
      <c r="I131" s="3"/>
      <c r="J131" s="3"/>
    </row>
    <row r="132">
      <c r="A132" s="1" t="s">
        <v>813</v>
      </c>
      <c r="B132" s="20">
        <v>19101</v>
      </c>
      <c r="C132" s="20">
        <v>17609</v>
      </c>
      <c r="D132" s="20">
        <v>73341</v>
      </c>
      <c r="E132" s="3">
        <f>G132-F132</f>
        <v>16488</v>
      </c>
      <c r="F132" s="20">
        <v>16685</v>
      </c>
      <c r="G132" s="20">
        <v>33173</v>
      </c>
      <c r="H132" s="3"/>
      <c r="I132" s="3"/>
      <c r="J132" s="3"/>
    </row>
    <row r="133">
      <c r="A133" s="1" t="s">
        <v>244</v>
      </c>
      <c r="B133" s="20">
        <v>2347</v>
      </c>
      <c r="C133" s="20">
        <v>2345</v>
      </c>
      <c r="D133" s="20">
        <v>8056</v>
      </c>
      <c r="E133" s="3">
        <f>G133-F133</f>
        <v>2895</v>
      </c>
      <c r="F133" s="20">
        <v>3104</v>
      </c>
      <c r="G133" s="20">
        <v>5999</v>
      </c>
      <c r="H133" s="3"/>
      <c r="I133" s="3"/>
      <c r="J133" s="3"/>
    </row>
    <row r="134">
      <c r="A134" s="1" t="s">
        <v>90</v>
      </c>
      <c r="B134" s="20">
        <v>12699</v>
      </c>
      <c r="C134" s="20">
        <v>13869</v>
      </c>
      <c r="D134" s="20">
        <v>53512</v>
      </c>
      <c r="E134" s="3">
        <f>G134-F134</f>
        <v>15062</v>
      </c>
      <c r="F134" s="20">
        <v>14583</v>
      </c>
      <c r="G134" s="20">
        <v>29645</v>
      </c>
      <c r="H134" s="3"/>
      <c r="I134" s="3"/>
      <c r="J134" s="3"/>
    </row>
    <row r="135">
      <c r="A135" s="1" t="s">
        <v>247</v>
      </c>
      <c r="B135" s="20">
        <v>397</v>
      </c>
      <c r="C135" s="20">
        <v>351</v>
      </c>
      <c r="D135" s="20">
        <v>1348</v>
      </c>
      <c r="E135" s="3">
        <f>G135-F135</f>
        <v>287</v>
      </c>
      <c r="F135" s="20">
        <v>384</v>
      </c>
      <c r="G135" s="20">
        <v>671</v>
      </c>
      <c r="H135" s="3"/>
      <c r="I135" s="3"/>
      <c r="J135" s="3"/>
    </row>
    <row r="136">
      <c r="A136" s="1" t="s">
        <v>814</v>
      </c>
      <c r="B136" s="20">
        <v>4122</v>
      </c>
      <c r="C136" s="20">
        <v>3759</v>
      </c>
      <c r="D136" s="20">
        <v>16706</v>
      </c>
      <c r="E136" s="3">
        <f>G136-F136</f>
        <v>4876</v>
      </c>
      <c r="F136" s="20">
        <v>4685</v>
      </c>
      <c r="G136" s="20">
        <v>9561</v>
      </c>
      <c r="H136" s="3"/>
      <c r="I136" s="3"/>
      <c r="J136" s="3"/>
    </row>
    <row r="137">
      <c r="A137" s="1" t="s">
        <v>815</v>
      </c>
      <c r="B137" s="20">
        <v>1701</v>
      </c>
      <c r="C137" s="20">
        <v>1872</v>
      </c>
      <c r="D137" s="20">
        <v>6724</v>
      </c>
      <c r="E137" s="3">
        <f>G137-F137</f>
        <v>1850</v>
      </c>
      <c r="F137" s="20">
        <v>1955</v>
      </c>
      <c r="G137" s="20">
        <v>3805</v>
      </c>
      <c r="H137" s="3"/>
      <c r="I137" s="3"/>
      <c r="J137" s="3"/>
    </row>
    <row r="138">
      <c r="A138" s="1" t="s">
        <v>816</v>
      </c>
      <c r="B138" s="20">
        <v>159</v>
      </c>
      <c r="C138" s="20">
        <v>181</v>
      </c>
      <c r="D138" s="20">
        <v>646</v>
      </c>
      <c r="E138" s="3">
        <f>G138-F138</f>
        <v>156</v>
      </c>
      <c r="F138" s="20">
        <v>167</v>
      </c>
      <c r="G138" s="20">
        <v>323</v>
      </c>
      <c r="H138" s="3"/>
      <c r="I138" s="3"/>
      <c r="J138" s="3"/>
    </row>
    <row r="139">
      <c r="A139" s="1" t="s">
        <v>817</v>
      </c>
      <c r="B139" s="20">
        <v>498</v>
      </c>
      <c r="C139" s="20">
        <v>523</v>
      </c>
      <c r="D139" s="20">
        <v>1991</v>
      </c>
      <c r="E139" s="3">
        <f>G139-F139</f>
        <v>506</v>
      </c>
      <c r="F139" s="20">
        <v>530</v>
      </c>
      <c r="G139" s="20">
        <v>1036</v>
      </c>
      <c r="H139" s="3"/>
      <c r="I139" s="3"/>
      <c r="J139" s="3"/>
    </row>
    <row r="140">
      <c r="A140" s="1" t="s">
        <v>818</v>
      </c>
      <c r="B140" s="20">
        <v>621</v>
      </c>
      <c r="C140" s="20">
        <v>498</v>
      </c>
      <c r="D140" s="20">
        <v>2392</v>
      </c>
      <c r="E140" s="3">
        <f>G140-F140</f>
        <v>506</v>
      </c>
      <c r="F140" s="20">
        <v>618</v>
      </c>
      <c r="G140" s="20">
        <v>1124</v>
      </c>
      <c r="H140" s="3"/>
      <c r="I140" s="3"/>
      <c r="J140" s="3"/>
    </row>
    <row r="141">
      <c r="A141" s="1" t="s">
        <v>819</v>
      </c>
      <c r="B141" s="20">
        <v>242</v>
      </c>
      <c r="C141" s="20">
        <v>240</v>
      </c>
      <c r="D141" s="20">
        <v>973</v>
      </c>
      <c r="E141" s="3">
        <f>G141-F141</f>
        <v>233</v>
      </c>
      <c r="F141" s="20">
        <v>234</v>
      </c>
      <c r="G141" s="20">
        <v>467</v>
      </c>
      <c r="H141" s="3"/>
      <c r="I141" s="3"/>
      <c r="J141" s="3"/>
    </row>
    <row r="142">
      <c r="A142" s="1" t="s">
        <v>820</v>
      </c>
      <c r="B142" s="20">
        <v>400</v>
      </c>
      <c r="C142" s="20">
        <v>475</v>
      </c>
      <c r="D142" s="20">
        <v>1652</v>
      </c>
      <c r="E142" s="3">
        <f>G142-F142</f>
        <v>424</v>
      </c>
      <c r="F142" s="20">
        <v>440</v>
      </c>
      <c r="G142" s="20">
        <v>864</v>
      </c>
      <c r="H142" s="3"/>
      <c r="I142" s="3"/>
      <c r="J142" s="3"/>
    </row>
    <row r="143">
      <c r="A143" s="1" t="s">
        <v>821</v>
      </c>
      <c r="B143" s="20">
        <v>572</v>
      </c>
      <c r="C143" s="20">
        <v>713</v>
      </c>
      <c r="D143" s="20">
        <v>2683</v>
      </c>
      <c r="E143" s="3">
        <f>G143-F143</f>
        <v>577</v>
      </c>
      <c r="F143" s="20">
        <v>612</v>
      </c>
      <c r="G143" s="20">
        <v>1189</v>
      </c>
      <c r="H143" s="3"/>
      <c r="I143" s="3"/>
      <c r="J143" s="3"/>
    </row>
    <row r="144">
      <c r="A144" s="1" t="s">
        <v>822</v>
      </c>
      <c r="B144" s="3">
        <f>B145-B136</f>
        <v>4193</v>
      </c>
      <c r="C144" s="3">
        <f>C145-C136</f>
        <v>4502</v>
      </c>
      <c r="D144" s="3">
        <f>D145-D136</f>
        <v>17061</v>
      </c>
      <c r="E144" s="3">
        <f>G144-F144</f>
        <v>4252</v>
      </c>
      <c r="F144" s="3">
        <f>F145-F136</f>
        <v>4556</v>
      </c>
      <c r="G144" s="3">
        <f>G145-G136</f>
        <v>8808</v>
      </c>
      <c r="H144" s="3"/>
      <c r="I144" s="3"/>
      <c r="J144" s="3"/>
    </row>
    <row r="145">
      <c r="A145" s="1" t="s">
        <v>264</v>
      </c>
      <c r="B145" s="20">
        <v>8315</v>
      </c>
      <c r="C145" s="20">
        <v>8261</v>
      </c>
      <c r="D145" s="20">
        <v>33767</v>
      </c>
      <c r="E145" s="3">
        <f>G145-F145</f>
        <v>9128</v>
      </c>
      <c r="F145" s="20">
        <v>9241</v>
      </c>
      <c r="G145" s="20">
        <v>18369</v>
      </c>
      <c r="H145" s="3"/>
      <c r="I145" s="3"/>
      <c r="J145" s="3"/>
    </row>
    <row r="146">
      <c r="A146" s="1" t="s">
        <v>266</v>
      </c>
      <c r="B146" s="20">
        <v>3987</v>
      </c>
      <c r="C146" s="20">
        <v>5257</v>
      </c>
      <c r="D146" s="20">
        <v>18397</v>
      </c>
      <c r="E146" s="3">
        <f>G146-F146</f>
        <v>5647</v>
      </c>
      <c r="F146" s="20">
        <v>4958</v>
      </c>
      <c r="G146" s="20">
        <v>10605</v>
      </c>
      <c r="H146" s="3"/>
      <c r="I146" s="3"/>
      <c r="J146" s="3"/>
    </row>
    <row r="147">
      <c r="A147" s="1" t="s">
        <v>823</v>
      </c>
      <c r="B147" s="20">
        <v>997</v>
      </c>
      <c r="C147" s="20">
        <v>1146</v>
      </c>
      <c r="D147" s="20">
        <v>4121</v>
      </c>
      <c r="E147" s="3">
        <f>G147-F147</f>
        <v>909</v>
      </c>
      <c r="F147" s="20">
        <v>1235</v>
      </c>
      <c r="G147" s="20">
        <v>2144</v>
      </c>
      <c r="H147" s="3"/>
      <c r="I147" s="3"/>
      <c r="J147" s="3"/>
    </row>
    <row r="148">
      <c r="A148" s="1" t="s">
        <v>270</v>
      </c>
      <c r="B148" s="20">
        <v>2990</v>
      </c>
      <c r="C148" s="20">
        <v>4111</v>
      </c>
      <c r="D148" s="20">
        <v>14276</v>
      </c>
      <c r="E148" s="3">
        <f>G148-F148</f>
        <v>4738</v>
      </c>
      <c r="F148" s="20">
        <v>3723</v>
      </c>
      <c r="G148" s="20">
        <v>8461</v>
      </c>
      <c r="H148" s="3"/>
      <c r="I148" s="3"/>
      <c r="J148" s="3"/>
    </row>
    <row r="149">
      <c r="A149" s="1" t="s">
        <v>824</v>
      </c>
      <c r="B149" s="20">
        <v>210</v>
      </c>
      <c r="C149" s="20">
        <v>188</v>
      </c>
      <c r="D149" s="20">
        <v>751</v>
      </c>
      <c r="E149" s="3">
        <f>G149-F149</f>
        <v>155</v>
      </c>
      <c r="F149" s="20">
        <v>250</v>
      </c>
      <c r="G149" s="20">
        <v>405</v>
      </c>
      <c r="H149" s="3"/>
      <c r="I149" s="3"/>
      <c r="J149" s="3"/>
    </row>
    <row r="150">
      <c r="A150" s="1" t="s">
        <v>273</v>
      </c>
      <c r="B150" s="20">
        <v>2780</v>
      </c>
      <c r="C150" s="20">
        <v>3923</v>
      </c>
      <c r="D150" s="20">
        <v>13525</v>
      </c>
      <c r="E150" s="3">
        <f>G150-F150</f>
        <v>4583</v>
      </c>
      <c r="F150" s="20">
        <v>3473</v>
      </c>
      <c r="G150" s="20">
        <v>8056</v>
      </c>
      <c r="H150" s="3"/>
      <c r="I150" s="3"/>
      <c r="J150" s="3"/>
    </row>
    <row r="151">
      <c r="A151" s="1" t="s">
        <v>825</v>
      </c>
      <c r="B151" s="3"/>
      <c r="C151" s="3"/>
      <c r="D151" s="3"/>
      <c r="E151" s="3">
        <f>G151-F151</f>
        <v>4360</v>
      </c>
      <c r="F151" s="20">
        <v>3000</v>
      </c>
      <c r="G151" s="20">
        <v>7360</v>
      </c>
      <c r="H151" s="85" t="s">
        <v>826</v>
      </c>
      <c r="I151" s="3"/>
      <c r="J151" s="3"/>
    </row>
    <row r="152">
      <c r="A152" s="1" t="s">
        <v>440</v>
      </c>
      <c r="B152" s="3"/>
      <c r="C152" s="3"/>
      <c r="D152" s="3"/>
      <c r="E152" s="3">
        <f>G152-F152</f>
        <v>976</v>
      </c>
      <c r="F152" s="20">
        <v>957</v>
      </c>
      <c r="G152" s="20">
        <v>1933</v>
      </c>
      <c r="H152" s="3"/>
      <c r="I152" s="3"/>
      <c r="J152" s="3"/>
    </row>
    <row r="153">
      <c r="A153" s="1" t="s">
        <v>827</v>
      </c>
      <c r="B153" s="32">
        <v>8.4</v>
      </c>
      <c r="C153" s="32">
        <v>11.95</v>
      </c>
      <c r="D153" s="32">
        <v>40.54</v>
      </c>
      <c r="E153" s="32">
        <v>14.12</v>
      </c>
      <c r="F153" s="32">
        <v>10.91</v>
      </c>
      <c r="G153" s="32">
        <v>25.07</v>
      </c>
      <c r="H153" s="38"/>
      <c r="I153" s="38"/>
      <c r="J153" s="38"/>
    </row>
    <row r="154">
      <c r="A154" s="1" t="s">
        <v>828</v>
      </c>
      <c r="B154" s="32">
        <v>8.52</v>
      </c>
      <c r="C154" s="32">
        <v>12.13</v>
      </c>
      <c r="D154" s="32">
        <v>41.07</v>
      </c>
      <c r="E154" s="38"/>
      <c r="F154" s="32">
        <v>11.03</v>
      </c>
      <c r="G154" s="32">
        <v>25.32</v>
      </c>
      <c r="H154" s="38"/>
      <c r="I154" s="38"/>
      <c r="J154" s="38"/>
    </row>
    <row r="155">
      <c r="A155" s="1" t="s">
        <v>829</v>
      </c>
      <c r="B155" s="20">
        <v>324.8</v>
      </c>
      <c r="C155" s="20">
        <v>322.4</v>
      </c>
      <c r="D155" s="20">
        <v>328.1</v>
      </c>
      <c r="E155" s="3"/>
      <c r="F155" s="20">
        <v>313.7</v>
      </c>
      <c r="G155" s="20">
        <v>317.2</v>
      </c>
      <c r="H155" s="3"/>
      <c r="I155" s="3"/>
      <c r="J155" s="3"/>
    </row>
    <row r="156">
      <c r="A156" s="1" t="s">
        <v>830</v>
      </c>
      <c r="B156" s="20">
        <v>330.8</v>
      </c>
      <c r="C156" s="20">
        <v>328.4</v>
      </c>
      <c r="D156" s="20">
        <v>333.6</v>
      </c>
      <c r="E156" s="3"/>
      <c r="F156" s="20">
        <v>318.3</v>
      </c>
      <c r="G156" s="20">
        <v>321.4</v>
      </c>
      <c r="H156" s="3"/>
      <c r="I156" s="3"/>
      <c r="J156" s="3"/>
    </row>
    <row r="157">
      <c r="A157" s="1" t="s">
        <v>831</v>
      </c>
      <c r="B157" s="20">
        <v>324.2</v>
      </c>
      <c r="C157" s="20">
        <v>322.9</v>
      </c>
      <c r="D157" s="20">
        <v>322.9</v>
      </c>
      <c r="E157" s="3"/>
      <c r="F157" s="20">
        <v>311.5</v>
      </c>
      <c r="G157" s="3"/>
      <c r="H157" s="3"/>
      <c r="I157" s="3"/>
      <c r="J157" s="3"/>
    </row>
    <row r="158">
      <c r="A158" s="1" t="s">
        <v>832</v>
      </c>
      <c r="B158" s="3"/>
      <c r="C158" s="20">
        <v>3103</v>
      </c>
      <c r="D158" s="20">
        <v>2812</v>
      </c>
      <c r="E158" s="3"/>
      <c r="F158" s="20">
        <v>3173</v>
      </c>
      <c r="G158" s="3"/>
      <c r="H158" s="85" t="s">
        <v>833</v>
      </c>
      <c r="I158" s="3"/>
      <c r="J158" s="3"/>
    </row>
    <row r="159">
      <c r="A159" s="1" t="s">
        <v>834</v>
      </c>
      <c r="B159" s="3"/>
      <c r="C159" s="20">
        <v>11</v>
      </c>
      <c r="D159" s="20">
        <v>38</v>
      </c>
      <c r="E159" s="3"/>
      <c r="F159" s="20">
        <v>9</v>
      </c>
      <c r="G159" s="3"/>
      <c r="H159" s="3"/>
      <c r="I159" s="3"/>
      <c r="J159" s="3"/>
    </row>
    <row r="160">
      <c r="A160" s="1" t="s">
        <v>835</v>
      </c>
      <c r="B160" s="3"/>
      <c r="C160" s="20">
        <v>4</v>
      </c>
      <c r="D160" s="20">
        <v>15</v>
      </c>
      <c r="E160" s="3"/>
      <c r="F160" s="20">
        <v>8</v>
      </c>
      <c r="G160" s="3"/>
      <c r="H160" s="3"/>
      <c r="I160" s="3"/>
      <c r="J160" s="3"/>
    </row>
    <row r="161">
      <c r="A161" s="1" t="s">
        <v>836</v>
      </c>
      <c r="B161" s="3"/>
      <c r="C161" s="20">
        <v>7</v>
      </c>
      <c r="D161" s="20">
        <v>53</v>
      </c>
      <c r="E161" s="3"/>
      <c r="F161" s="20">
        <v>0</v>
      </c>
      <c r="G161" s="3"/>
      <c r="H161" s="3"/>
      <c r="I161" s="3"/>
      <c r="J161" s="3"/>
    </row>
    <row r="162">
      <c r="A162" s="1" t="s">
        <v>837</v>
      </c>
      <c r="B162" s="3"/>
      <c r="C162" s="20">
        <v>22</v>
      </c>
      <c r="D162" s="20">
        <v>106</v>
      </c>
      <c r="E162" s="3"/>
      <c r="F162" s="20">
        <v>17</v>
      </c>
      <c r="G162" s="3"/>
      <c r="H162" s="3"/>
      <c r="I162" s="3"/>
      <c r="J162" s="3"/>
    </row>
    <row r="163">
      <c r="A163" s="1" t="s">
        <v>838</v>
      </c>
      <c r="B163" s="3"/>
      <c r="C163" s="20">
        <v>70</v>
      </c>
      <c r="D163" s="20">
        <v>108</v>
      </c>
      <c r="E163" s="3"/>
      <c r="F163" s="20">
        <v>-12</v>
      </c>
      <c r="G163" s="3"/>
      <c r="H163" s="3"/>
      <c r="I163" s="3"/>
      <c r="J163" s="3"/>
    </row>
    <row r="164">
      <c r="A164" s="1" t="s">
        <v>839</v>
      </c>
      <c r="B164" s="3"/>
      <c r="C164" s="20">
        <v>92</v>
      </c>
      <c r="D164" s="20">
        <v>214</v>
      </c>
      <c r="E164" s="3"/>
      <c r="F164" s="20">
        <v>5</v>
      </c>
      <c r="G164" s="3"/>
      <c r="H164" s="3"/>
      <c r="I164" s="3"/>
      <c r="J164" s="3"/>
    </row>
    <row r="165">
      <c r="A165" s="1" t="s">
        <v>840</v>
      </c>
      <c r="B165" s="3"/>
      <c r="C165" s="20">
        <v>-58</v>
      </c>
      <c r="D165" s="20">
        <v>111</v>
      </c>
      <c r="E165" s="3"/>
      <c r="F165" s="20">
        <v>115</v>
      </c>
      <c r="G165" s="3"/>
      <c r="H165" s="3"/>
      <c r="I165" s="3"/>
      <c r="J165" s="3"/>
    </row>
    <row r="166">
      <c r="A166" s="1" t="s">
        <v>841</v>
      </c>
      <c r="B166" s="3"/>
      <c r="C166" s="20">
        <v>350</v>
      </c>
      <c r="D166" s="20">
        <v>350</v>
      </c>
      <c r="E166" s="3"/>
      <c r="F166" s="20">
        <v>371</v>
      </c>
      <c r="G166" s="3"/>
      <c r="H166" s="3"/>
      <c r="I166" s="3"/>
      <c r="J166" s="3"/>
    </row>
    <row r="167">
      <c r="A167" s="1" t="s">
        <v>842</v>
      </c>
      <c r="B167" s="3"/>
      <c r="C167" s="20">
        <v>772</v>
      </c>
      <c r="D167" s="20">
        <v>772</v>
      </c>
      <c r="E167" s="3"/>
      <c r="F167" s="20">
        <v>857</v>
      </c>
      <c r="G167" s="3"/>
      <c r="H167" s="3"/>
      <c r="I167" s="3"/>
      <c r="J167" s="3"/>
    </row>
    <row r="168">
      <c r="A168" s="1" t="s">
        <v>843</v>
      </c>
      <c r="B168" s="3"/>
      <c r="C168" s="20">
        <v>1170</v>
      </c>
      <c r="D168" s="20">
        <v>1170</v>
      </c>
      <c r="E168" s="3"/>
      <c r="F168" s="20">
        <v>1237</v>
      </c>
      <c r="G168" s="3"/>
      <c r="H168" s="3"/>
      <c r="I168" s="3"/>
      <c r="J168" s="3"/>
    </row>
    <row r="169">
      <c r="A169" s="1" t="s">
        <v>844</v>
      </c>
      <c r="B169" s="3"/>
      <c r="C169" s="20">
        <v>2292</v>
      </c>
      <c r="D169" s="20">
        <v>2292</v>
      </c>
      <c r="E169" s="3"/>
      <c r="F169" s="20">
        <v>2465</v>
      </c>
      <c r="G169" s="3"/>
      <c r="H169" s="3"/>
      <c r="I169" s="3"/>
      <c r="J169" s="3"/>
    </row>
    <row r="170">
      <c r="A170" s="1" t="s">
        <v>845</v>
      </c>
      <c r="B170" s="3"/>
      <c r="C170" s="20">
        <v>845</v>
      </c>
      <c r="D170" s="20">
        <v>845</v>
      </c>
      <c r="E170" s="3"/>
      <c r="F170" s="20">
        <v>828</v>
      </c>
      <c r="G170" s="3"/>
      <c r="H170" s="3"/>
      <c r="I170" s="3"/>
      <c r="J170" s="3"/>
    </row>
    <row r="171">
      <c r="A171" s="1" t="s">
        <v>846</v>
      </c>
      <c r="B171" s="3"/>
      <c r="C171" s="20">
        <v>3137</v>
      </c>
      <c r="D171" s="20">
        <v>3137</v>
      </c>
      <c r="E171" s="3"/>
      <c r="F171" s="20">
        <v>3293</v>
      </c>
      <c r="G171" s="3"/>
      <c r="H171" s="3"/>
      <c r="I171" s="3"/>
      <c r="J171" s="3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>
      <c r="A173" s="17" t="s">
        <v>847</v>
      </c>
      <c r="B173" s="1"/>
      <c r="C173" s="1"/>
      <c r="D173" s="1"/>
      <c r="E173" s="1"/>
      <c r="F173" s="1"/>
      <c r="G173" s="1"/>
      <c r="H173" s="1"/>
      <c r="I173" s="1"/>
      <c r="J173" s="1"/>
    </row>
    <row r="174" ht="14.624267578125">
      <c r="A174" s="17" t="s">
        <v>848</v>
      </c>
      <c r="B174" s="86" t="s">
        <v>849</v>
      </c>
      <c r="C174" s="86" t="s">
        <v>850</v>
      </c>
      <c r="D174" s="86" t="s">
        <v>851</v>
      </c>
      <c r="E174" s="86" t="s">
        <v>852</v>
      </c>
      <c r="F174" s="86" t="s">
        <v>853</v>
      </c>
      <c r="G174" s="14"/>
      <c r="H174" s="14" t="s">
        <v>854</v>
      </c>
      <c r="I174" s="14"/>
      <c r="J174" s="14"/>
    </row>
    <row r="175">
      <c r="A175" s="1" t="s">
        <v>270</v>
      </c>
      <c r="B175" s="20">
        <v>8461</v>
      </c>
      <c r="C175" s="20">
        <v>12559</v>
      </c>
      <c r="D175" s="20">
        <v>17176</v>
      </c>
      <c r="E175" s="20">
        <v>5630</v>
      </c>
      <c r="F175" s="20">
        <v>12258</v>
      </c>
      <c r="G175" s="3"/>
      <c r="H175" s="3"/>
      <c r="I175" s="3"/>
      <c r="J175" s="3"/>
    </row>
    <row r="176">
      <c r="A176" s="1" t="s">
        <v>818</v>
      </c>
      <c r="B176" s="20">
        <v>1124</v>
      </c>
      <c r="C176" s="20">
        <v>1655</v>
      </c>
      <c r="D176" s="20">
        <v>2182</v>
      </c>
      <c r="E176" s="20">
        <v>495</v>
      </c>
      <c r="F176" s="20">
        <v>1004</v>
      </c>
      <c r="G176" s="3"/>
      <c r="H176" s="3"/>
      <c r="I176" s="3"/>
      <c r="J176" s="3"/>
    </row>
    <row r="177">
      <c r="A177" s="1" t="s">
        <v>855</v>
      </c>
      <c r="B177" s="20">
        <v>-202</v>
      </c>
      <c r="C177" s="20">
        <v>-153</v>
      </c>
      <c r="D177" s="20">
        <v>204</v>
      </c>
      <c r="E177" s="20">
        <v>-47</v>
      </c>
      <c r="F177" s="20">
        <v>-488</v>
      </c>
      <c r="G177" s="3"/>
      <c r="H177" s="3"/>
      <c r="I177" s="3"/>
      <c r="J177" s="3"/>
    </row>
    <row r="178">
      <c r="A178" s="1" t="s">
        <v>856</v>
      </c>
      <c r="B178" s="20">
        <v>2950</v>
      </c>
      <c r="C178" s="20">
        <v>3187</v>
      </c>
      <c r="D178" s="20">
        <v>3445</v>
      </c>
      <c r="E178" s="20">
        <v>2530</v>
      </c>
      <c r="F178" s="20">
        <v>2969</v>
      </c>
      <c r="G178" s="3"/>
      <c r="H178" s="3"/>
      <c r="I178" s="3"/>
      <c r="J178" s="3"/>
    </row>
    <row r="179">
      <c r="A179" s="1" t="s">
        <v>247</v>
      </c>
      <c r="B179" s="20">
        <v>671</v>
      </c>
      <c r="C179" s="20">
        <v>1010</v>
      </c>
      <c r="D179" s="20">
        <v>-1113</v>
      </c>
      <c r="E179" s="20">
        <v>315</v>
      </c>
      <c r="F179" s="20">
        <v>417</v>
      </c>
      <c r="G179" s="3"/>
      <c r="H179" s="3"/>
      <c r="I179" s="3"/>
      <c r="J179" s="3"/>
    </row>
    <row r="180">
      <c r="A180" s="1" t="s">
        <v>857</v>
      </c>
      <c r="B180" s="20">
        <v>-11708</v>
      </c>
      <c r="C180" s="20">
        <v>-10576</v>
      </c>
      <c r="D180" s="20">
        <v>-43206</v>
      </c>
      <c r="E180" s="20">
        <v>36161</v>
      </c>
      <c r="F180" s="20">
        <v>23911</v>
      </c>
      <c r="G180" s="3"/>
      <c r="H180" s="3"/>
      <c r="I180" s="3"/>
      <c r="J180" s="3"/>
    </row>
    <row r="181">
      <c r="A181" s="1" t="s">
        <v>858</v>
      </c>
      <c r="B181" s="20">
        <v>-34073</v>
      </c>
      <c r="C181" s="20">
        <v>-27821</v>
      </c>
      <c r="D181" s="20">
        <v>-12891</v>
      </c>
      <c r="E181" s="20">
        <v>-14041</v>
      </c>
      <c r="F181" s="20">
        <v>13697</v>
      </c>
      <c r="G181" s="3"/>
      <c r="H181" s="3"/>
      <c r="I181" s="3"/>
      <c r="J181" s="3"/>
    </row>
    <row r="182">
      <c r="A182" s="1" t="s">
        <v>859</v>
      </c>
      <c r="B182" s="20">
        <v>-47625</v>
      </c>
      <c r="C182" s="20">
        <v>-66888</v>
      </c>
      <c r="D182" s="20">
        <v>-69866</v>
      </c>
      <c r="E182" s="20">
        <v>-104035</v>
      </c>
      <c r="F182" s="20">
        <v>-132577</v>
      </c>
      <c r="G182" s="3"/>
      <c r="H182" s="3"/>
      <c r="I182" s="3"/>
      <c r="J182" s="3"/>
    </row>
    <row r="183">
      <c r="A183" s="1" t="s">
        <v>860</v>
      </c>
      <c r="B183" s="20">
        <v>49794</v>
      </c>
      <c r="C183" s="20">
        <v>58129</v>
      </c>
      <c r="D183" s="20">
        <v>57560</v>
      </c>
      <c r="E183" s="20">
        <v>48637</v>
      </c>
      <c r="F183" s="20">
        <v>56360</v>
      </c>
      <c r="G183" s="3"/>
      <c r="H183" s="3"/>
      <c r="I183" s="3"/>
      <c r="J183" s="3"/>
    </row>
    <row r="184">
      <c r="A184" s="1" t="s">
        <v>861</v>
      </c>
      <c r="B184" s="20">
        <v>-1261</v>
      </c>
      <c r="C184" s="20">
        <v>-629</v>
      </c>
      <c r="D184" s="20">
        <v>-504</v>
      </c>
      <c r="E184" s="20">
        <v>-2008</v>
      </c>
      <c r="F184" s="20">
        <v>-2344</v>
      </c>
      <c r="G184" s="3"/>
      <c r="H184" s="3"/>
      <c r="I184" s="3"/>
      <c r="J184" s="3"/>
    </row>
    <row r="185">
      <c r="A185" s="1" t="s">
        <v>862</v>
      </c>
      <c r="B185" s="20">
        <v>311</v>
      </c>
      <c r="C185" s="20">
        <v>649</v>
      </c>
      <c r="D185" s="20">
        <v>1859</v>
      </c>
      <c r="E185" s="20">
        <v>-5505</v>
      </c>
      <c r="F185" s="20">
        <v>-970</v>
      </c>
      <c r="G185" s="3"/>
      <c r="H185" s="3"/>
      <c r="I185" s="3"/>
      <c r="J185" s="3"/>
    </row>
    <row r="186">
      <c r="A186" s="17" t="s">
        <v>863</v>
      </c>
      <c r="B186" s="74">
        <v>-31558</v>
      </c>
      <c r="C186" s="74">
        <v>-28878</v>
      </c>
      <c r="D186" s="74">
        <v>-45154</v>
      </c>
      <c r="E186" s="74">
        <v>-31868</v>
      </c>
      <c r="F186" s="74">
        <v>-25763</v>
      </c>
      <c r="G186" s="39"/>
      <c r="H186" s="39"/>
      <c r="I186" s="39"/>
      <c r="J186" s="39"/>
    </row>
    <row r="187">
      <c r="A187" s="1" t="s">
        <v>864</v>
      </c>
      <c r="B187" s="20">
        <v>-975</v>
      </c>
      <c r="C187" s="20">
        <v>-1533</v>
      </c>
      <c r="D187" s="20">
        <v>-2064</v>
      </c>
      <c r="E187" s="20">
        <v>-565</v>
      </c>
      <c r="F187" s="20">
        <v>-1067</v>
      </c>
      <c r="G187" s="3"/>
      <c r="H187" s="3"/>
      <c r="I187" s="3"/>
      <c r="J187" s="3"/>
    </row>
    <row r="188">
      <c r="A188" s="1" t="s">
        <v>865</v>
      </c>
      <c r="B188" s="20">
        <v>392</v>
      </c>
      <c r="C188" s="20">
        <v>504</v>
      </c>
      <c r="D188" s="20">
        <v>803</v>
      </c>
      <c r="E188" s="20">
        <v>63</v>
      </c>
      <c r="F188" s="20">
        <v>209</v>
      </c>
      <c r="G188" s="3"/>
      <c r="H188" s="3"/>
      <c r="I188" s="3"/>
      <c r="J188" s="3"/>
    </row>
    <row r="189">
      <c r="A189" s="1" t="s">
        <v>866</v>
      </c>
      <c r="B189" s="20">
        <v>0</v>
      </c>
      <c r="C189" s="20">
        <v>1536</v>
      </c>
      <c r="D189" s="20">
        <v>1536</v>
      </c>
      <c r="E189" s="20">
        <v>-359</v>
      </c>
      <c r="F189" s="20">
        <v>-1783</v>
      </c>
      <c r="G189" s="3"/>
      <c r="H189" s="3"/>
      <c r="I189" s="3"/>
      <c r="J189" s="3"/>
    </row>
    <row r="190">
      <c r="A190" s="1" t="s">
        <v>867</v>
      </c>
      <c r="B190" s="20">
        <v>-53101</v>
      </c>
      <c r="C190" s="20">
        <v>-61849</v>
      </c>
      <c r="D190" s="20">
        <v>-77429</v>
      </c>
      <c r="E190" s="20">
        <v>-62327</v>
      </c>
      <c r="F190" s="20">
        <v>-84175</v>
      </c>
      <c r="G190" s="3"/>
      <c r="H190" s="3"/>
      <c r="I190" s="3"/>
      <c r="J190" s="3"/>
    </row>
    <row r="191">
      <c r="A191" s="1" t="s">
        <v>868</v>
      </c>
      <c r="B191" s="20">
        <v>32088</v>
      </c>
      <c r="C191" s="20">
        <v>41014</v>
      </c>
      <c r="D191" s="20">
        <v>61325</v>
      </c>
      <c r="E191" s="20">
        <v>24194</v>
      </c>
      <c r="F191" s="20">
        <v>25987</v>
      </c>
      <c r="G191" s="3"/>
      <c r="H191" s="3"/>
      <c r="I191" s="3"/>
      <c r="J191" s="3"/>
    </row>
    <row r="192">
      <c r="A192" s="1" t="s">
        <v>869</v>
      </c>
      <c r="B192" s="20">
        <v>1</v>
      </c>
      <c r="C192" s="20">
        <v>1</v>
      </c>
      <c r="D192" s="20">
        <v>43</v>
      </c>
      <c r="E192" s="20">
        <v>90</v>
      </c>
      <c r="F192" s="20">
        <v>209</v>
      </c>
      <c r="G192" s="3"/>
      <c r="H192" s="3"/>
      <c r="I192" s="3"/>
      <c r="J192" s="3"/>
    </row>
    <row r="193">
      <c r="A193" s="1" t="s">
        <v>870</v>
      </c>
      <c r="B193" s="20">
        <v>-5819</v>
      </c>
      <c r="C193" s="20">
        <v>-10025</v>
      </c>
      <c r="D193" s="20">
        <v>-11279</v>
      </c>
      <c r="E193" s="20">
        <v>-9289</v>
      </c>
      <c r="F193" s="20">
        <v>-13636</v>
      </c>
      <c r="G193" s="3"/>
      <c r="H193" s="3"/>
      <c r="I193" s="3"/>
      <c r="J193" s="3"/>
    </row>
    <row r="194">
      <c r="A194" s="1" t="s">
        <v>871</v>
      </c>
      <c r="B194" s="20">
        <v>12438</v>
      </c>
      <c r="C194" s="20">
        <v>16952</v>
      </c>
      <c r="D194" s="20">
        <v>21687</v>
      </c>
      <c r="E194" s="20">
        <v>4613</v>
      </c>
      <c r="F194" s="20">
        <v>8634</v>
      </c>
      <c r="G194" s="3"/>
      <c r="H194" s="3"/>
      <c r="I194" s="3"/>
      <c r="J194" s="3"/>
    </row>
    <row r="195">
      <c r="A195" s="1" t="s">
        <v>872</v>
      </c>
      <c r="B195" s="20">
        <v>-4419</v>
      </c>
      <c r="C195" s="20">
        <v>-6365</v>
      </c>
      <c r="D195" s="20">
        <v>-9392</v>
      </c>
      <c r="E195" s="20">
        <v>-2605</v>
      </c>
      <c r="F195" s="20">
        <v>-5189</v>
      </c>
      <c r="G195" s="3"/>
      <c r="H195" s="3"/>
      <c r="I195" s="3"/>
      <c r="J195" s="3"/>
    </row>
    <row r="196">
      <c r="A196" s="1" t="s">
        <v>873</v>
      </c>
      <c r="B196" s="20">
        <v>4466</v>
      </c>
      <c r="C196" s="20">
        <v>6581</v>
      </c>
      <c r="D196" s="20">
        <v>9892</v>
      </c>
      <c r="E196" s="20">
        <v>2885</v>
      </c>
      <c r="F196" s="20">
        <v>6226</v>
      </c>
      <c r="G196" s="3"/>
      <c r="H196" s="3"/>
      <c r="I196" s="3"/>
      <c r="J196" s="3"/>
    </row>
    <row r="197">
      <c r="A197" s="1" t="s">
        <v>874</v>
      </c>
      <c r="B197" s="20">
        <v>-19152</v>
      </c>
      <c r="C197" s="20">
        <v>-26010</v>
      </c>
      <c r="D197" s="20">
        <v>-39349</v>
      </c>
      <c r="E197" s="20">
        <v>-13007</v>
      </c>
      <c r="F197" s="20">
        <v>-20294</v>
      </c>
      <c r="G197" s="3"/>
      <c r="H197" s="3"/>
      <c r="I197" s="3"/>
      <c r="J197" s="3"/>
    </row>
    <row r="198">
      <c r="A198" s="17" t="s">
        <v>875</v>
      </c>
      <c r="B198" s="74">
        <v>-34081</v>
      </c>
      <c r="C198" s="74">
        <v>-39194</v>
      </c>
      <c r="D198" s="74">
        <v>-44227</v>
      </c>
      <c r="E198" s="74">
        <v>-56307</v>
      </c>
      <c r="F198" s="74">
        <v>-84879</v>
      </c>
      <c r="G198" s="39"/>
      <c r="H198" s="39"/>
      <c r="I198" s="39"/>
      <c r="J198" s="39"/>
    </row>
    <row r="199">
      <c r="A199" s="1" t="s">
        <v>876</v>
      </c>
      <c r="B199" s="20">
        <v>3927</v>
      </c>
      <c r="C199" s="20">
        <v>3243</v>
      </c>
      <c r="D199" s="20">
        <v>2988</v>
      </c>
      <c r="E199" s="20">
        <v>7232</v>
      </c>
      <c r="F199" s="20">
        <v>12077</v>
      </c>
      <c r="G199" s="3"/>
      <c r="H199" s="3"/>
      <c r="I199" s="3"/>
      <c r="J199" s="3"/>
    </row>
    <row r="200">
      <c r="A200" s="1" t="s">
        <v>877</v>
      </c>
      <c r="B200" s="20">
        <v>-7026</v>
      </c>
      <c r="C200" s="20">
        <v>-5372</v>
      </c>
      <c r="D200" s="20">
        <v>-3877</v>
      </c>
      <c r="E200" s="20">
        <v>7234</v>
      </c>
      <c r="F200" s="20">
        <v>10852</v>
      </c>
      <c r="G200" s="3"/>
      <c r="H200" s="3"/>
      <c r="I200" s="3"/>
      <c r="J200" s="3"/>
    </row>
    <row r="201">
      <c r="A201" s="1" t="s">
        <v>878</v>
      </c>
      <c r="B201" s="20">
        <v>1206</v>
      </c>
      <c r="C201" s="20">
        <v>3757</v>
      </c>
      <c r="D201" s="20">
        <v>6510</v>
      </c>
      <c r="E201" s="20">
        <v>651</v>
      </c>
      <c r="F201" s="20">
        <v>5127</v>
      </c>
      <c r="G201" s="3"/>
      <c r="H201" s="3"/>
      <c r="I201" s="3"/>
      <c r="J201" s="3"/>
    </row>
    <row r="202">
      <c r="A202" s="1" t="s">
        <v>879</v>
      </c>
      <c r="B202" s="20">
        <v>-1275</v>
      </c>
      <c r="C202" s="20">
        <v>-2613</v>
      </c>
      <c r="D202" s="20">
        <v>-3331</v>
      </c>
      <c r="E202" s="20">
        <v>-73</v>
      </c>
      <c r="F202" s="20">
        <v>-3304</v>
      </c>
      <c r="G202" s="3"/>
      <c r="H202" s="3"/>
      <c r="I202" s="3"/>
      <c r="J202" s="3"/>
    </row>
    <row r="203">
      <c r="A203" s="1" t="s">
        <v>880</v>
      </c>
      <c r="B203" s="20">
        <v>51067</v>
      </c>
      <c r="C203" s="20">
        <v>61360</v>
      </c>
      <c r="D203" s="20">
        <v>88196</v>
      </c>
      <c r="E203" s="20">
        <v>58244</v>
      </c>
      <c r="F203" s="20">
        <v>108489</v>
      </c>
      <c r="G203" s="3"/>
      <c r="H203" s="3"/>
      <c r="I203" s="3"/>
      <c r="J203" s="3"/>
    </row>
    <row r="204">
      <c r="A204" s="1" t="s">
        <v>881</v>
      </c>
      <c r="B204" s="20">
        <v>-36197</v>
      </c>
      <c r="C204" s="20">
        <v>-50227</v>
      </c>
      <c r="D204" s="20">
        <v>-71502</v>
      </c>
      <c r="E204" s="20">
        <v>-20402</v>
      </c>
      <c r="F204" s="20">
        <v>-40809</v>
      </c>
      <c r="G204" s="3"/>
      <c r="H204" s="3"/>
      <c r="I204" s="3"/>
      <c r="J204" s="3"/>
    </row>
    <row r="205">
      <c r="A205" s="1" t="s">
        <v>882</v>
      </c>
      <c r="B205" s="20">
        <v>634</v>
      </c>
      <c r="C205" s="20">
        <v>877</v>
      </c>
      <c r="D205" s="20">
        <v>2313</v>
      </c>
      <c r="E205" s="20">
        <v>1239</v>
      </c>
      <c r="F205" s="20">
        <v>2484</v>
      </c>
      <c r="G205" s="3"/>
      <c r="H205" s="3"/>
      <c r="I205" s="3"/>
      <c r="J205" s="3"/>
    </row>
    <row r="206">
      <c r="A206" s="1" t="s">
        <v>883</v>
      </c>
      <c r="B206" s="20">
        <v>27244</v>
      </c>
      <c r="C206" s="20">
        <v>51832</v>
      </c>
      <c r="D206" s="20">
        <v>62783</v>
      </c>
      <c r="E206" s="20">
        <v>60819</v>
      </c>
      <c r="F206" s="20">
        <v>57580</v>
      </c>
      <c r="G206" s="3"/>
      <c r="H206" s="3"/>
      <c r="I206" s="3"/>
      <c r="J206" s="3"/>
    </row>
    <row r="207">
      <c r="A207" s="1" t="s">
        <v>884</v>
      </c>
      <c r="B207" s="20">
        <v>0</v>
      </c>
      <c r="C207" s="20">
        <v>0</v>
      </c>
      <c r="D207" s="20">
        <v>0</v>
      </c>
      <c r="E207" s="20">
        <v>-1450</v>
      </c>
      <c r="F207" s="20">
        <v>-2125</v>
      </c>
      <c r="G207" s="3"/>
      <c r="H207" s="3"/>
      <c r="I207" s="3"/>
      <c r="J207" s="3"/>
    </row>
    <row r="208">
      <c r="A208" s="1" t="s">
        <v>885</v>
      </c>
      <c r="B208" s="20">
        <v>-7360</v>
      </c>
      <c r="C208" s="20">
        <v>-9360</v>
      </c>
      <c r="D208" s="20">
        <v>-12360</v>
      </c>
      <c r="E208" s="20">
        <v>-5000</v>
      </c>
      <c r="F208" s="20">
        <v>-9000</v>
      </c>
      <c r="G208" s="3"/>
      <c r="H208" s="3"/>
      <c r="I208" s="3"/>
      <c r="J208" s="3"/>
    </row>
    <row r="209">
      <c r="A209" s="1" t="s">
        <v>886</v>
      </c>
      <c r="B209" s="20">
        <v>-2146</v>
      </c>
      <c r="C209" s="20">
        <v>-2156</v>
      </c>
      <c r="D209" s="20">
        <v>-2156</v>
      </c>
      <c r="E209" s="20">
        <v>-2605</v>
      </c>
      <c r="F209" s="20">
        <v>-2864</v>
      </c>
      <c r="G209" s="3"/>
      <c r="H209" s="3"/>
      <c r="I209" s="3"/>
      <c r="J209" s="3"/>
    </row>
    <row r="210">
      <c r="A210" s="1" t="s">
        <v>887</v>
      </c>
      <c r="B210" s="20">
        <v>-2338</v>
      </c>
      <c r="C210" s="20">
        <v>-3814</v>
      </c>
      <c r="D210" s="20">
        <v>-5277</v>
      </c>
      <c r="E210" s="20">
        <v>-1588</v>
      </c>
      <c r="F210" s="20">
        <v>-3191</v>
      </c>
      <c r="G210" s="3"/>
      <c r="H210" s="3"/>
      <c r="I210" s="3"/>
      <c r="J210" s="3"/>
    </row>
    <row r="211">
      <c r="A211" s="1" t="s">
        <v>888</v>
      </c>
      <c r="B211" s="20">
        <v>1895</v>
      </c>
      <c r="C211" s="20">
        <v>1895</v>
      </c>
      <c r="D211" s="20">
        <v>1895</v>
      </c>
      <c r="E211" s="20">
        <v>0</v>
      </c>
      <c r="F211" s="20">
        <v>0</v>
      </c>
      <c r="G211" s="3"/>
      <c r="H211" s="3"/>
      <c r="I211" s="3"/>
      <c r="J211" s="3"/>
    </row>
    <row r="212">
      <c r="A212" s="1" t="s">
        <v>889</v>
      </c>
      <c r="B212" s="20">
        <v>-67</v>
      </c>
      <c r="C212" s="20">
        <v>-77</v>
      </c>
      <c r="D212" s="20">
        <v>-82</v>
      </c>
      <c r="E212" s="20">
        <v>-7</v>
      </c>
      <c r="F212" s="20">
        <v>-106</v>
      </c>
      <c r="G212" s="3"/>
      <c r="H212" s="3"/>
      <c r="I212" s="3"/>
      <c r="J212" s="3"/>
    </row>
    <row r="213">
      <c r="A213" s="17" t="s">
        <v>890</v>
      </c>
      <c r="B213" s="74">
        <v>29564</v>
      </c>
      <c r="C213" s="74">
        <v>49345</v>
      </c>
      <c r="D213" s="74">
        <v>66100</v>
      </c>
      <c r="E213" s="74">
        <v>104294</v>
      </c>
      <c r="F213" s="74">
        <v>135210</v>
      </c>
      <c r="G213" s="39"/>
      <c r="H213" s="39"/>
      <c r="I213" s="39"/>
      <c r="J213" s="39"/>
    </row>
    <row r="214">
      <c r="A214" s="1" t="s">
        <v>399</v>
      </c>
      <c r="B214" s="20">
        <v>6950</v>
      </c>
      <c r="C214" s="20">
        <v>6212</v>
      </c>
      <c r="D214" s="20">
        <v>5448</v>
      </c>
      <c r="E214" s="20">
        <v>-848</v>
      </c>
      <c r="F214" s="20">
        <v>-1561</v>
      </c>
      <c r="G214" s="3"/>
      <c r="H214" s="3"/>
      <c r="I214" s="3"/>
      <c r="J214" s="3"/>
    </row>
    <row r="215">
      <c r="A215" s="17" t="s">
        <v>891</v>
      </c>
      <c r="B215" s="74">
        <v>-29125</v>
      </c>
      <c r="C215" s="74">
        <v>-12515</v>
      </c>
      <c r="D215" s="74">
        <v>-17833</v>
      </c>
      <c r="E215" s="74">
        <v>15271</v>
      </c>
      <c r="F215" s="74">
        <v>23007</v>
      </c>
      <c r="G215" s="39"/>
      <c r="H215" s="39"/>
      <c r="I215" s="39"/>
      <c r="J215" s="39"/>
    </row>
    <row r="216">
      <c r="A216" s="1" t="s">
        <v>892</v>
      </c>
      <c r="B216" s="20">
        <v>182092</v>
      </c>
      <c r="C216" s="20">
        <v>182092</v>
      </c>
      <c r="D216" s="20">
        <v>182092</v>
      </c>
      <c r="E216" s="20">
        <v>164259</v>
      </c>
      <c r="F216" s="20">
        <v>164259</v>
      </c>
      <c r="G216" s="3"/>
      <c r="H216" s="3"/>
      <c r="I216" s="3"/>
      <c r="J216" s="3"/>
    </row>
    <row r="217">
      <c r="A217" s="1" t="s">
        <v>893</v>
      </c>
      <c r="B217" s="20">
        <v>152967</v>
      </c>
      <c r="C217" s="20">
        <v>169577</v>
      </c>
      <c r="D217" s="20">
        <v>164259</v>
      </c>
      <c r="E217" s="20">
        <v>179530</v>
      </c>
      <c r="F217" s="20">
        <v>187266</v>
      </c>
      <c r="G217" s="3"/>
      <c r="H217" s="3"/>
      <c r="I217" s="3"/>
      <c r="J217" s="3"/>
    </row>
    <row r="218">
      <c r="A218" s="1" t="s">
        <v>894</v>
      </c>
      <c r="B218" s="3">
        <f>B175+B176+B177+B178+B179+B180+B181+B182+B183+B184+B185+B187+B188+B189+B190+B191+B192+B193+B194+B195+B196+B197+B199+B200+B201+B202+B203+B204+B205+B206+B207+B208+B209+B210+B211+B212+B214-B215</f>
        <v>0</v>
      </c>
      <c r="C218" s="3">
        <f>C175+C176+C177+C178+C179+C180+C181+C182+C183+C184+C185+C187+C188+C189+C190+C191+C192+C193+C194+C195+C196+C197+C199+C200+C201+C202+C203+C204+C205+C206+C207+C208+C209+C210+C211+C212+C214-C215</f>
        <v>0</v>
      </c>
      <c r="D218" s="3">
        <f>D175+D176+D177+D178+D179+D180+D181+D182+D183+D184+D185+D187+D188+D189+D190+D191+D192+D193+D194+D195+D196+D197+D199+D200+D201+D202+D203+D204+D205+D206+D207+D208+D209+D210+D211+D212+D214-D215</f>
        <v>0</v>
      </c>
      <c r="E218" s="3">
        <f>E175+E176+E177+E178+E179+E180+E181+E182+E183+E184+E185+E187+E188+E189+E190+E191+E192+E193+E194+E195+E196+E197+E199+E200+E201+E202+E203+E204+E205+E206+E207+E208+E209+E210+E211+E212+E214-E215</f>
        <v>0</v>
      </c>
      <c r="F218" s="3">
        <f>F175+F176+F177+F178+F179+F180+F181+F182+F183+F184+F185+F187+F188+F189+F190+F191+F192+F193+F194+F195+F196+F197+F199+F200+F201+F202+F203+F204+F205+F206+F207+F208+F209+F210+F211+F212+F214-F215</f>
        <v>0</v>
      </c>
      <c r="G218" s="3"/>
      <c r="H218" s="3"/>
      <c r="I218" s="3"/>
      <c r="J218" s="3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>
      <c r="A220" s="17" t="s">
        <v>895</v>
      </c>
      <c r="B220" s="1"/>
      <c r="C220" s="1"/>
      <c r="D220" s="1"/>
      <c r="E220" s="1"/>
      <c r="F220" s="1"/>
      <c r="G220" s="1"/>
      <c r="H220" s="1"/>
      <c r="I220" s="1"/>
      <c r="J220" s="1"/>
    </row>
    <row r="221">
      <c r="A221" s="1" t="s">
        <v>896</v>
      </c>
      <c r="B221" s="20">
        <v>260.69</v>
      </c>
      <c r="C221" s="3"/>
      <c r="D221" s="3"/>
      <c r="E221" s="3"/>
      <c r="F221" s="3"/>
      <c r="G221" s="3"/>
      <c r="H221" s="85" t="s">
        <v>897</v>
      </c>
      <c r="I221" s="3"/>
      <c r="J221" s="3"/>
    </row>
    <row r="222">
      <c r="A222" s="1" t="s">
        <v>45</v>
      </c>
      <c r="B222" s="41" t="str">
        <f>IF(B221&gt;10,"Large",IF(B221&gt;=2,"Mid","Small"))</f>
        <v>Large</v>
      </c>
      <c r="C222" s="41"/>
      <c r="D222" s="41"/>
      <c r="E222" s="41"/>
      <c r="F222" s="41"/>
      <c r="G222" s="41"/>
      <c r="H222" s="87" t="s">
        <v>898</v>
      </c>
      <c r="I222" s="41"/>
      <c r="J222" s="41"/>
    </row>
    <row r="223">
      <c r="A223" s="1" t="s">
        <v>46</v>
      </c>
      <c r="B223" s="41" t="str">
        <f>B15</f>
        <v>Y</v>
      </c>
      <c r="C223" s="41"/>
      <c r="D223" s="41"/>
      <c r="E223" s="41"/>
      <c r="F223" s="41"/>
      <c r="G223" s="41"/>
      <c r="H223" s="41"/>
      <c r="I223" s="41"/>
      <c r="J223" s="41"/>
    </row>
    <row r="224">
      <c r="A224" s="7" t="s">
        <v>47</v>
      </c>
      <c r="B224" s="21">
        <f>IF(OR(B222="Large",B223="Y"),0.78,IF(B222="Mid",0.7,0.6))</f>
        <v>0.78</v>
      </c>
      <c r="C224" s="21"/>
      <c r="D224" s="21"/>
      <c r="E224" s="21"/>
      <c r="F224" s="21"/>
      <c r="G224" s="21"/>
      <c r="H224" s="91" t="s">
        <v>899</v>
      </c>
      <c r="I224" s="21"/>
      <c r="J224" s="21"/>
    </row>
    <row r="225">
      <c r="A225" s="1" t="s">
        <v>900</v>
      </c>
      <c r="B225" s="73">
        <v>8</v>
      </c>
      <c r="C225" s="41"/>
      <c r="D225" s="41"/>
      <c r="E225" s="41"/>
      <c r="F225" s="41"/>
      <c r="G225" s="41"/>
      <c r="H225" s="87" t="s">
        <v>901</v>
      </c>
      <c r="I225" s="41"/>
      <c r="J225" s="41"/>
    </row>
    <row r="226">
      <c r="A226" s="1" t="s">
        <v>902</v>
      </c>
      <c r="B226" s="41">
        <f>SUM(J94:J99)</f>
        <v>6</v>
      </c>
      <c r="C226" s="41"/>
      <c r="D226" s="41"/>
      <c r="E226" s="41"/>
      <c r="F226" s="41"/>
      <c r="G226" s="41"/>
      <c r="H226" s="41"/>
      <c r="I226" s="41"/>
      <c r="J226" s="41"/>
    </row>
    <row r="227">
      <c r="A227" s="1" t="s">
        <v>903</v>
      </c>
      <c r="B227" s="41">
        <f>IF(AND(ISNUMBER(C94),ISNUMBER(D94)),1,0)+IF(AND(ISNUMBER(C95),ISNUMBER(D95)),1,0)+IF(AND(ISNUMBER(C96),ISNUMBER(D96)),1,0)+IF(AND(ISNUMBER(C97),ISNUMBER(D97)),1,0)+IF(AND(ISNUMBER(C98),ISNUMBER(D98)),1,0)+IF(AND(ISNUMBER(C99),ISNUMBER(D99)),1,0)</f>
        <v>6</v>
      </c>
      <c r="C227" s="41"/>
      <c r="D227" s="41"/>
      <c r="E227" s="41"/>
      <c r="F227" s="41"/>
      <c r="G227" s="41"/>
      <c r="H227" s="41"/>
      <c r="I227" s="41"/>
      <c r="J227" s="41"/>
    </row>
    <row r="228">
      <c r="A228" s="7" t="s">
        <v>904</v>
      </c>
      <c r="B228" s="21">
        <f>(B225*B224+B226)/(B225+B227)</f>
        <v>0.8742857142857143</v>
      </c>
      <c r="C228" s="21"/>
      <c r="D228" s="21"/>
      <c r="E228" s="21"/>
      <c r="F228" s="21"/>
      <c r="G228" s="21"/>
      <c r="H228" s="21"/>
      <c r="I228" s="21"/>
      <c r="J228" s="21"/>
    </row>
    <row r="229">
      <c r="A229" s="7" t="s">
        <v>51</v>
      </c>
      <c r="B229" s="18">
        <v>-0.234</v>
      </c>
      <c r="C229" s="21"/>
      <c r="D229" s="21"/>
      <c r="E229" s="21"/>
      <c r="F229" s="21"/>
      <c r="G229" s="21"/>
      <c r="H229" s="91" t="s">
        <v>905</v>
      </c>
      <c r="I229" s="21"/>
      <c r="J229" s="21"/>
    </row>
    <row r="230">
      <c r="A230" s="57" t="s">
        <v>906</v>
      </c>
      <c r="B230" s="48">
        <f>B228+B229</f>
        <v>0.6402857142857143</v>
      </c>
      <c r="C230" s="48"/>
      <c r="D230" s="48"/>
      <c r="E230" s="48"/>
      <c r="F230" s="48"/>
      <c r="G230" s="48"/>
      <c r="H230" s="48"/>
      <c r="I230" s="48"/>
      <c r="J230" s="48"/>
    </row>
    <row r="231">
      <c r="A231" s="1" t="s">
        <v>907</v>
      </c>
      <c r="B231" s="38">
        <f>AVERAGE(I94:I99)</f>
        <v>2.463333333333334</v>
      </c>
      <c r="C231" s="38"/>
      <c r="D231" s="38"/>
      <c r="E231" s="38"/>
      <c r="F231" s="38"/>
      <c r="G231" s="38"/>
      <c r="H231" s="38"/>
      <c r="I231" s="38"/>
      <c r="J231" s="38"/>
    </row>
    <row r="232">
      <c r="A232" s="1" t="s">
        <v>908</v>
      </c>
      <c r="B232" s="38">
        <f>MEDIAN(I94:I99)</f>
        <v>1.7249999999999996</v>
      </c>
      <c r="C232" s="38"/>
      <c r="D232" s="38"/>
      <c r="E232" s="38"/>
      <c r="F232" s="38"/>
      <c r="G232" s="38"/>
      <c r="H232" s="38"/>
      <c r="I232" s="38"/>
      <c r="J232" s="38"/>
    </row>
    <row r="233">
      <c r="A233" s="1" t="s">
        <v>909</v>
      </c>
      <c r="B233" s="88" t="b">
        <f>AND(B230&gt;=0,B230&lt;=1)</f>
        <v>1</v>
      </c>
      <c r="C233" s="1"/>
      <c r="D233" s="1"/>
      <c r="E233" s="1"/>
      <c r="F233" s="1"/>
      <c r="G233" s="1"/>
      <c r="H233" s="1"/>
      <c r="I233" s="1"/>
      <c r="J233" s="1"/>
    </row>
    <row r="234">
      <c r="A234" s="17" t="s">
        <v>910</v>
      </c>
      <c r="B234" s="1"/>
      <c r="C234" s="1"/>
      <c r="D234" s="1"/>
      <c r="E234" s="1"/>
      <c r="F234" s="1"/>
      <c r="G234" s="1"/>
      <c r="H234" s="1"/>
      <c r="I234" s="1"/>
      <c r="J234" s="1"/>
    </row>
    <row r="235" ht="14.624267578125">
      <c r="A235" s="17" t="s">
        <v>911</v>
      </c>
      <c r="B235" s="86" t="s">
        <v>912</v>
      </c>
      <c r="C235" s="86" t="s">
        <v>913</v>
      </c>
      <c r="D235" s="14"/>
      <c r="E235" s="14"/>
      <c r="F235" s="14"/>
      <c r="G235" s="14"/>
      <c r="H235" s="14"/>
      <c r="I235" s="14"/>
      <c r="J235" s="14"/>
    </row>
    <row r="236">
      <c r="A236" s="1" t="s">
        <v>914</v>
      </c>
      <c r="B236" s="20">
        <v>12.9</v>
      </c>
      <c r="C236" s="20">
        <v>16870</v>
      </c>
      <c r="D236" s="3"/>
      <c r="E236" s="3"/>
      <c r="F236" s="3"/>
      <c r="G236" s="3"/>
      <c r="H236" s="3"/>
      <c r="I236" s="3"/>
      <c r="J236" s="3"/>
    </row>
    <row r="237">
      <c r="A237" s="1" t="s">
        <v>915</v>
      </c>
      <c r="B237" s="20">
        <v>13.87</v>
      </c>
      <c r="C237" s="20">
        <v>17019.5</v>
      </c>
      <c r="D237" s="3"/>
      <c r="E237" s="3"/>
      <c r="F237" s="3"/>
      <c r="G237" s="3"/>
      <c r="H237" s="3"/>
      <c r="I237" s="3"/>
      <c r="J237" s="3"/>
    </row>
    <row r="238">
      <c r="A238" s="1" t="s">
        <v>916</v>
      </c>
      <c r="B238" s="20">
        <v>12.95</v>
      </c>
      <c r="C238" s="20">
        <v>16870</v>
      </c>
      <c r="D238" s="3"/>
      <c r="E238" s="3"/>
      <c r="F238" s="3"/>
      <c r="G238" s="3"/>
      <c r="H238" s="3"/>
      <c r="I238" s="3"/>
      <c r="J238" s="3"/>
    </row>
    <row r="239">
      <c r="A239" s="1" t="s">
        <v>917</v>
      </c>
      <c r="B239" s="20">
        <v>11690</v>
      </c>
      <c r="C239" s="20">
        <v>4490</v>
      </c>
      <c r="D239" s="20">
        <v>213</v>
      </c>
      <c r="E239" s="3"/>
      <c r="F239" s="3"/>
      <c r="G239" s="3"/>
      <c r="H239" s="3"/>
      <c r="I239" s="3"/>
      <c r="J239" s="3"/>
    </row>
    <row r="240">
      <c r="A240" s="1" t="s">
        <v>918</v>
      </c>
      <c r="B240" s="20">
        <v>2760</v>
      </c>
      <c r="C240" s="20">
        <v>3720</v>
      </c>
      <c r="D240" s="20">
        <v>4960</v>
      </c>
      <c r="E240" s="20">
        <v>241.25</v>
      </c>
      <c r="F240" s="3"/>
      <c r="G240" s="3"/>
      <c r="H240" s="3"/>
      <c r="I240" s="3"/>
      <c r="J240" s="3"/>
    </row>
    <row r="241">
      <c r="A241" s="1" t="s">
        <v>919</v>
      </c>
      <c r="B241" s="20">
        <v>4179.41</v>
      </c>
      <c r="C241" s="20">
        <v>701.52</v>
      </c>
      <c r="D241" s="3"/>
      <c r="E241" s="3"/>
      <c r="F241" s="3"/>
      <c r="G241" s="3"/>
      <c r="H241" s="3"/>
      <c r="I241" s="3"/>
      <c r="J241" s="3"/>
    </row>
  </sheetData>
  <legacyDrawing r:id="rId2"/>
</worksheet>
</file>