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Intermodal" sheetId="3" r:id="rId3"/>
    <sheet name="Segment - Dedicated" sheetId="4" r:id="rId4"/>
    <sheet name="Segment - ICS" sheetId="5" r:id="rId5"/>
    <sheet name="Segment - Final Mile" sheetId="6" r:id="rId6"/>
    <sheet name="Segment - Truckload" sheetId="7" r:id="rId7"/>
    <sheet name="Income Statement" sheetId="8" r:id="rId8"/>
    <sheet name="Balance Sheet" sheetId="9" r:id="rId9"/>
    <sheet name="Cash Flow Statement" sheetId="10" r:id="rId10"/>
    <sheet name="Share Count" sheetId="11" r:id="rId11"/>
    <sheet name="Guidance" sheetId="12" r:id="rId12"/>
    <sheet name="Sources" sheetId="13" r:id="rId13"/>
    <sheet name="Inputs" sheetId="14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44" authorId="0">
      <text>
        <t>ex_870337.htm | three months ended September 30, 2025 — Financial Information By Segment, Intersegment eliminations | (4,157)</t>
      </text>
    </comment>
    <comment ref="D44" authorId="0">
      <text>
        <t>ex_907715.htm | three months ended December 31, 2025 — Financial Information By Segment, Intersegment eliminations | (4,778)</t>
      </text>
    </comment>
    <comment ref="F44" authorId="0">
      <text>
        <t>ex_945603.htm | three months ended March 31, 2026 — Financial Information By Segment, Intersegment eliminations | (5,006)</t>
      </text>
    </comment>
    <comment ref="G44" authorId="0">
      <text>
        <t>ex_987956.htm | three months ended June 30, 2026 — Financial Information By Segment, Intersegment eliminations | (5,288)</t>
      </text>
    </comment>
    <comment ref="C48" authorId="0">
      <text>
        <t>jbht20251231_10k.htm | Consolidated Statements of Cash Flows — Business acquisitions 2025 | -</t>
      </text>
    </comment>
    <comment ref="D48" authorId="0">
      <text>
        <t>jbht20251231_10k.htm | Consolidated Statements of Cash Flows — Business acquisitions 2025 | -</t>
      </text>
    </comment>
    <comment ref="E48" authorId="0">
      <text>
        <t>jbht20251231_10k.htm | Consolidated Statements of Cash Flows — Business acquisitions 2025 | -</t>
      </text>
    </comment>
    <comment ref="F48" authorId="0">
      <text>
        <t>jbht20251231_10k.htm | Consolidated Statements of Cash Flows — Business acquisitions 2025 | -</t>
      </text>
    </comment>
    <comment ref="G48" authorId="0">
      <text>
        <t>jbht20251231_10k.htm | Consolidated Statements of Cash Flows — Business acquisitions 2025 | -</t>
      </text>
    </comment>
    <comment ref="H48" authorId="0">
      <text>
        <t>jbht20251231_10k.htm | Consolidated Statements of Cash Flows — Business acquisitions 2025 | -</t>
      </text>
    </comment>
    <comment ref="C67" authorId="0">
      <text>
        <t>ex_870337.htm | three months ended September 30, 2025 — Financial Information By Segment, Other (corporate support) | (225)</t>
      </text>
    </comment>
    <comment ref="D67" authorId="0">
      <text>
        <t>ex_907715.htm | three months ended December 31, 2025 — Financial Information By Segment, Other (corporate support) | 70</t>
      </text>
    </comment>
    <comment ref="F67" authorId="0">
      <text>
        <t>ex_945603.htm | three months ended March 31, 2026 — Financial Information By Segment, Other (corporate support) | (68)</t>
      </text>
    </comment>
    <comment ref="G67" authorId="0">
      <text>
        <t>ex_987956.htm | three months ended June 30, 2026 — Financial Information By Segment, Other (corporate support) | 199</t>
      </text>
    </comment>
    <comment ref="C74" authorId="0">
      <text>
        <t>EIA weekly retail on-highway diesel (EMD_EPD2D_PTE_NUS_DPG) | simple average of weekly prices, 3Q25A | 3.756</t>
      </text>
    </comment>
    <comment ref="D74" authorId="0">
      <text>
        <t>EIA weekly retail on-highway diesel (EMD_EPD2D_PTE_NUS_DPG) | simple average of weekly prices, 4Q25A | 3.698</t>
      </text>
    </comment>
    <comment ref="F74" authorId="0">
      <text>
        <t>EIA weekly retail on-highway diesel (EMD_EPD2D_PTE_NUS_DPG) | simple average of weekly prices, 1Q26A | 4.122</t>
      </text>
    </comment>
    <comment ref="G74" authorId="0">
      <text>
        <t>EIA weekly retail on-highway diesel (EMD_EPD2D_PTE_NUS_DPG) | simple average of weekly prices, 2Q26A | 5.348</t>
      </text>
    </comment>
    <comment ref="H74" authorId="0">
      <text>
        <t>EIA weekly retail on-highway diesel (EMD_EPD2D_PTE_NUS_DPG) | simple average of weekly prices, 3Q26E | 5.561</t>
      </text>
    </comment>
    <comment ref="C82" authorId="0">
      <text>
        <t>ex_870337.htm | three months ended September 30, 2024 — Financial Information By Segment, Intersegment eliminations | (4,284)</t>
      </text>
    </comment>
    <comment ref="D82" authorId="0">
      <text>
        <t>ex_907715.htm | three months ended December 31, 2024 — Financial Information By Segment, Intersegment eliminations | (5,779)</t>
      </text>
    </comment>
    <comment ref="E82" authorId="0">
      <text>
        <t>ex_907715.htm | twelve months ended December 31, 2024 — Financial Information By Segment, Intersegment eliminations | (17,892)</t>
      </text>
    </comment>
    <comment ref="F82" authorId="0">
      <text>
        <t>ex_945603.htm | three months ended March 31, 2025 — Financial Information By Segment, Intersegment eliminations | (5,528)</t>
      </text>
    </comment>
    <comment ref="G82" authorId="0">
      <text>
        <t>ex_987956.htm | three months ended June 30, 2025 — Financial Information By Segment, Intersegment eliminations | (4,297)</t>
      </text>
    </comment>
    <comment ref="C84" authorId="0">
      <text>
        <t>ex_870337.htm | three months ended September 30, 2024 — Financial Information By Segment, Other | (104)</t>
      </text>
    </comment>
    <comment ref="D84" authorId="0">
      <text>
        <t>ex_907715.htm | three months ended December 31, 2024 — Financial Information By Segment, Other | (139)</t>
      </text>
    </comment>
    <comment ref="E84" authorId="0">
      <text>
        <t>ex_907715.htm | twelve months ended December 31, 2024 — Financial Information By Segment, Other | (171)</t>
      </text>
    </comment>
    <comment ref="F84" authorId="0">
      <text>
        <t>ex_945603.htm | three months ended March 31, 2025 — Financial Information By Segment, Other | (30)</t>
      </text>
    </comment>
    <comment ref="G84" authorId="0">
      <text>
        <t>ex_987956.htm | three months ended June 30, 2025 — Financial Information By Segment, Other | 32</t>
      </text>
    </comment>
    <comment ref="C85" authorId="0">
      <text>
        <t>EIA weekly retail on-highway diesel (EMD_EPD2D_PTE_NUS_DPG) | simple average of weekly prices, 3Q24 | 3.688</t>
      </text>
    </comment>
    <comment ref="D85" authorId="0">
      <text>
        <t>EIA weekly retail on-highway diesel (EMD_EPD2D_PTE_NUS_DPG) | simple average of weekly prices, 4Q24 | 3.531</t>
      </text>
    </comment>
    <comment ref="E85" authorId="0">
      <text>
        <t>EIA weekly retail on-highway diesel (EMD_EPD2D_PTE_NUS_DPG) | simple average of weekly prices, FY24 | 3.760</t>
      </text>
    </comment>
    <comment ref="F85" authorId="0">
      <text>
        <t>EIA weekly retail on-highway diesel (EMD_EPD2D_PTE_NUS_DPG) | simple average of weekly prices, 1Q25 | 3.628</t>
      </text>
    </comment>
    <comment ref="G85" authorId="0">
      <text>
        <t>EIA weekly retail on-highway diesel (EMD_EPD2D_PTE_NUS_DPG) | simple average of weekly prices, 2Q25 | 3.558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9" authorId="0">
      <text>
        <t>ex_870337.htm | three months ended September 30, 2025 — Operating Statistics by Segment | 539,907</t>
      </text>
    </comment>
    <comment ref="D9" authorId="0">
      <text>
        <t>ex_907715.htm | three months ended December 31, 2025 — Operating Statistics by Segment | 551,302</t>
      </text>
    </comment>
    <comment ref="F9" authorId="0">
      <text>
        <t>ex_945603.htm | three months ended March 31, 2026 — Operating Statistics by Segment | 536,852</t>
      </text>
    </comment>
    <comment ref="G9" authorId="0">
      <text>
        <t>ex_987956.htm | three months ended June 30, 2026 — Operating Statistics by Segment | 578,072</t>
      </text>
    </comment>
    <comment ref="C12" authorId="0">
      <text>
        <t>ex_870337.htm | JBI segment text | decreased 6%</t>
      </text>
    </comment>
    <comment ref="D12" authorId="0">
      <text>
        <t>ex_907715.htm | JBI segment text | decreased 6%</t>
      </text>
    </comment>
    <comment ref="F12" authorId="0">
      <text>
        <t>ex_945603.htm | JBI segment text | were flat</t>
      </text>
    </comment>
    <comment ref="G12" authorId="0">
      <text>
        <t>ex_987956.htm | JBI segment text | increased 5%</t>
      </text>
    </comment>
    <comment ref="C15" authorId="0">
      <text>
        <t>ex_870337.htm | JBI segment text | increased 6%</t>
      </text>
    </comment>
    <comment ref="D15" authorId="0">
      <text>
        <t>ex_907715.htm | JBI segment text | increased 5%</t>
      </text>
    </comment>
    <comment ref="F15" authorId="0">
      <text>
        <t>ex_945603.htm | JBI segment text | increased 7%</t>
      </text>
    </comment>
    <comment ref="G15" authorId="0">
      <text>
        <t>ex_987956.htm | JBI segment text | increased 16%</t>
      </text>
    </comment>
    <comment ref="C18" authorId="0">
      <text>
        <t>ex_870337.htm | three months ended September 30, 2025 — Operating Statistics by Segment | 1,643</t>
      </text>
    </comment>
    <comment ref="D18" authorId="0">
      <text>
        <t>ex_907715.htm | three months ended December 31, 2025 — Operating Statistics by Segment | 1,638</t>
      </text>
    </comment>
    <comment ref="F18" authorId="0">
      <text>
        <t>ex_945603.htm | three months ended March 31, 2026 — Operating Statistics by Segment | 1,614</t>
      </text>
    </comment>
    <comment ref="G18" authorId="0">
      <text>
        <t>ex_987956.htm | three months ended June 30, 2026 — Operating Statistics by Segment | 1,587</t>
      </text>
    </comment>
    <comment ref="E18" authorId="0">
      <text>
        <t>ex_907715.htm | twelve months ended December 31, 2025 — Operating Statistics by Segment | 1,643</t>
      </text>
    </comment>
    <comment ref="C22" authorId="0">
      <text>
        <t>ex_870337.htm | three months ended September 30, 2025 — Operating Statistics by Segment | 2,816</t>
      </text>
    </comment>
    <comment ref="D22" authorId="0">
      <text>
        <t>ex_907715.htm | three months ended December 31, 2025 — Operating Statistics by Segment | 2,808</t>
      </text>
    </comment>
    <comment ref="F22" authorId="0">
      <text>
        <t>ex_945603.htm | three months ended March 31, 2026 — Operating Statistics by Segment | 2,803</t>
      </text>
    </comment>
    <comment ref="G22" authorId="0">
      <text>
        <t>ex_987956.htm | three months ended June 30, 2026 — Operating Statistics by Segment | 3,034</t>
      </text>
    </comment>
    <comment ref="E22" authorId="0">
      <text>
        <t>ex_907715.htm | twelve months ended December 31, 2025 — Operating Statistics by Segment | 2,795</t>
      </text>
    </comment>
    <comment ref="C25" authorId="0">
      <text>
        <t>ex_870337.htm | JBI segment text | decreased 1%</t>
      </text>
    </comment>
    <comment ref="D25" authorId="0">
      <text>
        <t>ex_907715.htm | JBI segment text | down 2%</t>
      </text>
    </comment>
    <comment ref="F25" authorId="0">
      <text>
        <t>ex_945603.htm | JBI segment text | down 2%</t>
      </text>
    </comment>
    <comment ref="G25" authorId="0">
      <text>
        <t>ex_987956.htm | JBI segment text | increased 1%</t>
      </text>
    </comment>
    <comment ref="C30" authorId="0">
      <text>
        <t>ex_870337.htm | three months ended September 30, 2025 — Financial Information By Segment, Revenue | 1,520,377</t>
      </text>
    </comment>
    <comment ref="D30" authorId="0">
      <text>
        <t>ex_907715.htm | three months ended December 31, 2025 — Financial Information By Segment, Revenue | 1,547,842</t>
      </text>
    </comment>
    <comment ref="F30" authorId="0">
      <text>
        <t>ex_945603.htm | three months ended March 31, 2026 — Financial Information By Segment, Revenue | 1,504,793</t>
      </text>
    </comment>
    <comment ref="G30" authorId="0">
      <text>
        <t>ex_987956.htm | three months ended June 30, 2026 — Financial Information By Segment, Revenue | 1,753,689</t>
      </text>
    </comment>
    <comment ref="C35" authorId="0">
      <text>
        <t>jbht20251231_10k.htm | Consolidated Statements of Cash Flows — Business acquisitions 2025 | -</t>
      </text>
    </comment>
    <comment ref="D35" authorId="0">
      <text>
        <t>jbht20251231_10k.htm | Consolidated Statements of Cash Flows — Business acquisitions 2025 | -</t>
      </text>
    </comment>
    <comment ref="E35" authorId="0">
      <text>
        <t>jbht20251231_10k.htm | Consolidated Statements of Cash Flows — Business acquisitions 2025 | -</t>
      </text>
    </comment>
    <comment ref="F35" authorId="0">
      <text>
        <t>jbht20251231_10k.htm | Consolidated Statements of Cash Flows — Business acquisitions 2025 | -</t>
      </text>
    </comment>
    <comment ref="G35" authorId="0">
      <text>
        <t>jbht20251231_10k.htm | Consolidated Statements of Cash Flows — Business acquisitions 2025 | -</t>
      </text>
    </comment>
    <comment ref="H35" authorId="0">
      <text>
        <t>jbht20251231_10k.htm | Consolidated Statements of Cash Flows — Business acquisitions 2025 | -</t>
      </text>
    </comment>
    <comment ref="C41" authorId="0">
      <text>
        <t>ex_870337.htm | three months ended September 30, 2025 — Financial Information By Segment, Operating income | 125,003</t>
      </text>
    </comment>
    <comment ref="D41" authorId="0">
      <text>
        <t>ex_907715.htm | three months ended December 31, 2025 — Financial Information By Segment, Operating income | 135,454</t>
      </text>
    </comment>
    <comment ref="F41" authorId="0">
      <text>
        <t>ex_945603.htm | three months ended March 31, 2026 — Financial Information By Segment, Operating income | 114,489</t>
      </text>
    </comment>
    <comment ref="G41" authorId="0">
      <text>
        <t>ex_987956.htm | three months ended June 30, 2026 — Financial Information By Segment, Operating income | 150,863</t>
      </text>
    </comment>
    <comment ref="C61" authorId="0">
      <text>
        <t>ex_870337.htm | three months ended September 30, 2025 — Operating Statistics by Segment | 6,361</t>
      </text>
    </comment>
    <comment ref="D61" authorId="0">
      <text>
        <t>ex_907715.htm | three months ended December 31, 2025 — Operating Statistics by Segment | 6,232</t>
      </text>
    </comment>
    <comment ref="F61" authorId="0">
      <text>
        <t>ex_945603.htm | three months ended March 31, 2026 — Operating Statistics by Segment | 6,184</t>
      </text>
    </comment>
    <comment ref="G61" authorId="0">
      <text>
        <t>ex_987956.htm | three months ended June 30, 2026 — Operating Statistics by Segment | 6,212</t>
      </text>
    </comment>
    <comment ref="E61" authorId="0">
      <text>
        <t>ex_907715.htm | twelve months ended December 31, 2025 — Operating Statistics by Segment | 6,350</t>
      </text>
    </comment>
    <comment ref="C66" authorId="0">
      <text>
        <t>ex_870337.htm | three months ended September 30, 2025 — Operating Statistics by Segment | 6,388</t>
      </text>
    </comment>
    <comment ref="D66" authorId="0">
      <text>
        <t>ex_907715.htm | three months ended December 31, 2025 — Operating Statistics by Segment | 6,188</t>
      </text>
    </comment>
    <comment ref="F66" authorId="0">
      <text>
        <t>ex_945603.htm | three months ended March 31, 2026 — Operating Statistics by Segment | 6,184</t>
      </text>
    </comment>
    <comment ref="G66" authorId="0">
      <text>
        <t>ex_987956.htm | three months ended June 30, 2026 — Operating Statistics by Segment | 6,232</t>
      </text>
    </comment>
    <comment ref="E66" authorId="0">
      <text>
        <t>ex_907715.htm | twelve months ended December 31, 2025 — Operating Statistics by Segment | 6,188</t>
      </text>
    </comment>
    <comment ref="C70" authorId="0">
      <text>
        <t>ex_870337.htm | three months ended September 30, 2025 — Operating Statistics by Segment | 125,105</t>
      </text>
    </comment>
    <comment ref="D70" authorId="0">
      <text>
        <t>ex_907715.htm | three months ended December 31, 2025 — Operating Statistics by Segment | 124,838</t>
      </text>
    </comment>
    <comment ref="F70" authorId="0">
      <text>
        <t>ex_945603.htm | three months ended March 31, 2026 — Operating Statistics by Segment | 124,188</t>
      </text>
    </comment>
    <comment ref="G70" authorId="0">
      <text>
        <t>ex_987956.htm | three months ended June 30, 2026 — Operating Statistics by Segment | 124,199</t>
      </text>
    </comment>
    <comment ref="E70" authorId="0">
      <text>
        <t>ex_907715.htm | twelve months ended December 31, 2025 — Operating Statistics by Segment | 124,838</t>
      </text>
    </comment>
    <comment ref="C72" authorId="0">
      <text>
        <t>ex_870337.htm | three months ended September 30, 2025 — Operating Statistics by Segment | 104,573</t>
      </text>
    </comment>
    <comment ref="D72" authorId="0">
      <text>
        <t>ex_907715.htm | three months ended December 31, 2025 — Operating Statistics by Segment | 107,617</t>
      </text>
    </comment>
    <comment ref="F72" authorId="0">
      <text>
        <t>ex_945603.htm | three months ended March 31, 2026 — Operating Statistics by Segment | 108,084</t>
      </text>
    </comment>
    <comment ref="G72" authorId="0">
      <text>
        <t>ex_987956.htm | three months ended June 30, 2026 — Operating Statistics by Segment | 112,301</t>
      </text>
    </comment>
    <comment ref="E72" authorId="0">
      <text>
        <t>ex_907715.htm | twelve months ended December 31, 2025 — Operating Statistics by Segment | 105,630</t>
      </text>
    </comment>
    <comment ref="C83" authorId="0">
      <text>
        <t>ex_870337.htm | three months ended September 30, 2024 — Operating Statistics, Intermodal loads | 547,988</t>
      </text>
    </comment>
    <comment ref="D83" authorId="0">
      <text>
        <t>ex_907715.htm | three months ended December 31, 2024 — Operating Statistics, Intermodal loads | 560,132</t>
      </text>
    </comment>
    <comment ref="E83" authorId="0">
      <text>
        <t>ex_907715.htm | twelve months ended December 31, 2024 — Operating Statistics, Intermodal loads | 2,090,732</t>
      </text>
    </comment>
    <comment ref="F83" authorId="0">
      <text>
        <t>ex_945603.htm | three months ended March 31, 2025 — Operating Statistics, Intermodal loads | 521,821</t>
      </text>
    </comment>
    <comment ref="G83" authorId="0">
      <text>
        <t>ex_987956.htm | three months ended June 30, 2025 — Operating Statistics, Intermodal loads | 525,161</t>
      </text>
    </comment>
    <comment ref="C84" authorId="0">
      <text>
        <t>ex_870337.htm | three months ended September 30, 2024 — Operating Statistics, Average length of haul | 1,697</t>
      </text>
    </comment>
    <comment ref="D84" authorId="0">
      <text>
        <t>ex_907715.htm | three months ended December 31, 2024 — Operating Statistics, Average length of haul | 1,693</t>
      </text>
    </comment>
    <comment ref="E84" authorId="0">
      <text>
        <t>ex_907715.htm | twelve months ended December 31, 2024 — Operating Statistics, Average length of haul | 1,692</t>
      </text>
    </comment>
    <comment ref="F84" authorId="0">
      <text>
        <t>ex_945603.htm | three months ended March 31, 2025 — Operating Statistics, Average length of haul | 1,658</t>
      </text>
    </comment>
    <comment ref="G84" authorId="0">
      <text>
        <t>ex_987956.htm | three months ended June 30, 2025 — Operating Statistics, Average length of haul | 1,631</t>
      </text>
    </comment>
    <comment ref="C85" authorId="0">
      <text>
        <t>ex_870337.htm | three months ended September 30, 2024 — Operating Statistics, Revenue per load | 2,841</t>
      </text>
    </comment>
    <comment ref="D85" authorId="0">
      <text>
        <t>ex_907715.htm | three months ended December 31, 2024 — Operating Statistics, Revenue per load | 2,850</t>
      </text>
    </comment>
    <comment ref="E85" authorId="0">
      <text>
        <t>ex_907715.htm | twelve months ended December 31, 2024 — Operating Statistics, Revenue per load | 2,849</t>
      </text>
    </comment>
    <comment ref="F85" authorId="0">
      <text>
        <t>ex_945603.htm | three months ended March 31, 2025 — Operating Statistics, Revenue per load | 2,816</t>
      </text>
    </comment>
    <comment ref="G85" authorId="0">
      <text>
        <t>ex_987956.htm | three months ended June 30, 2025 — Operating Statistics, Revenue per load | 2,738</t>
      </text>
    </comment>
    <comment ref="C86" authorId="0">
      <text>
        <t>ex_870337.htm | three months ended September 30, 2024 — Financial Information By Segment, Intermodal revenue | 1,556,774</t>
      </text>
    </comment>
    <comment ref="D86" authorId="0">
      <text>
        <t>ex_907715.htm | three months ended December 31, 2024 — Financial Information By Segment, Intermodal revenue | 1,596,471</t>
      </text>
    </comment>
    <comment ref="E86" authorId="0">
      <text>
        <t>ex_907715.htm | twelve months ended December 31, 2024 — Financial Information By Segment, Intermodal revenue | 5,956,092</t>
      </text>
    </comment>
    <comment ref="F86" authorId="0">
      <text>
        <t>ex_945603.htm | three months ended March 31, 2025 — Financial Information By Segment, Intermodal revenue | 1,469,253</t>
      </text>
    </comment>
    <comment ref="G86" authorId="0">
      <text>
        <t>ex_987956.htm | three months ended June 30, 2025 — Financial Information By Segment, Intermodal revenue | 1,437,885</t>
      </text>
    </comment>
    <comment ref="C87" authorId="0">
      <text>
        <t>ex_870337.htm | three months ended September 30, 2024 — Financial Information By Segment, Intermodal operating income | 111,785</t>
      </text>
    </comment>
    <comment ref="D87" authorId="0">
      <text>
        <t>ex_907715.htm | three months ended December 31, 2024 — Financial Information By Segment, Intermodal operating income | 116,959</t>
      </text>
    </comment>
    <comment ref="E87" authorId="0">
      <text>
        <t>ex_907715.htm | twelve months ended December 31, 2024 — Financial Information By Segment, Intermodal operating income | 429,877</t>
      </text>
    </comment>
    <comment ref="F87" authorId="0">
      <text>
        <t>ex_945603.htm | three months ended March 31, 2025 — Financial Information By Segment, Intermodal operating income | 94,387</t>
      </text>
    </comment>
    <comment ref="G87" authorId="0">
      <text>
        <t>ex_987956.htm | three months ended June 30, 2025 — Financial Information By Segment, Intermodal operating income | 95,747</t>
      </text>
    </comment>
    <comment ref="C88" authorId="0">
      <text>
        <t>ex_870337.htm | three months ended September 30, 2024 — Operating Statistics, Average tractors | 6,374</t>
      </text>
    </comment>
    <comment ref="D88" authorId="0">
      <text>
        <t>ex_907715.htm | three months ended December 31, 2024 — Operating Statistics, Average tractors | 6,546</t>
      </text>
    </comment>
    <comment ref="E88" authorId="0">
      <text>
        <t>ex_907715.htm | twelve months ended December 31, 2024 — Operating Statistics, Average tractors | 6,368</t>
      </text>
    </comment>
    <comment ref="F88" authorId="0">
      <text>
        <t>ex_945603.htm | three months ended March 31, 2025 — Operating Statistics, Average tractors | 6,430</t>
      </text>
    </comment>
    <comment ref="G88" authorId="0">
      <text>
        <t>ex_987956.htm | three months ended June 30, 2025 — Operating Statistics, Average tractors | 6,376</t>
      </text>
    </comment>
    <comment ref="C89" authorId="0">
      <text>
        <t>ex_870337.htm | three months ended September 30, 2024 — Operating Statistics, Tractors (end of period) | 6,514</t>
      </text>
    </comment>
    <comment ref="D89" authorId="0">
      <text>
        <t>ex_907715.htm | three months ended December 31, 2024 — Operating Statistics, Tractors (end of period) | 6,502</t>
      </text>
    </comment>
    <comment ref="E89" authorId="0">
      <text>
        <t>ex_907715.htm | twelve months ended December 31, 2024 — Operating Statistics, Tractors (end of period) | 6,502</t>
      </text>
    </comment>
    <comment ref="F89" authorId="0">
      <text>
        <t>ex_945603.htm | three months ended March 31, 2025 — Operating Statistics, Tractors (end of period) | 6,417</t>
      </text>
    </comment>
    <comment ref="G89" authorId="0">
      <text>
        <t>ex_987956.htm | three months ended June 30, 2025 — Operating Statistics, Tractors (end of period) | 6,363</t>
      </text>
    </comment>
    <comment ref="C90" authorId="0">
      <text>
        <t>ex_870337.htm | three months ended September 30, 2024 — Operating Statistics, Trailing equipment (end of period) | 121,477</t>
      </text>
    </comment>
    <comment ref="D90" authorId="0">
      <text>
        <t>ex_907715.htm | three months ended December 31, 2024 — Operating Statistics, Trailing equipment (end of period) | 122,272</t>
      </text>
    </comment>
    <comment ref="E90" authorId="0">
      <text>
        <t>ex_907715.htm | twelve months ended December 31, 2024 — Operating Statistics, Trailing equipment (end of period) | 122,272</t>
      </text>
    </comment>
    <comment ref="F90" authorId="0">
      <text>
        <t>ex_945603.htm | three months ended March 31, 2025 — Operating Statistics, Trailing equipment (end of period) | 124,971</t>
      </text>
    </comment>
    <comment ref="G90" authorId="0">
      <text>
        <t>ex_987956.htm | three months ended June 30, 2025 — Operating Statistics, Trailing equipment (end of period) | 125,265</t>
      </text>
    </comment>
    <comment ref="C91" authorId="0">
      <text>
        <t>ex_870337.htm | three months ended September 30, 2024 — Operating Statistics, Average effective trailing equipment usage | 108,632</t>
      </text>
    </comment>
    <comment ref="D91" authorId="0">
      <text>
        <t>ex_907715.htm | three months ended December 31, 2024 — Operating Statistics, Average effective trailing equipment usage | 113,320</t>
      </text>
    </comment>
    <comment ref="E91" authorId="0">
      <text>
        <t>ex_907715.htm | twelve months ended December 31, 2024 — Operating Statistics, Average effective trailing equipment usage | 104,103</t>
      </text>
    </comment>
    <comment ref="F91" authorId="0">
      <text>
        <t>ex_945603.htm | three months ended March 31, 2025 — Operating Statistics, Average effective trailing equipment usage | 107,725</t>
      </text>
    </comment>
    <comment ref="G91" authorId="0">
      <text>
        <t>ex_987956.htm | three months ended June 30, 2025 — Operating Statistics, Average effective trailing equipment usage | 102,603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1" authorId="0">
      <text>
        <t>ex_870337.htm | three months ended September 30, 2025 — Operating Statistics by Segment | 12,702</t>
      </text>
    </comment>
    <comment ref="D11" authorId="0">
      <text>
        <t>ex_907715.htm | three months ended December 31, 2025 — Operating Statistics by Segment | 12,639</t>
      </text>
    </comment>
    <comment ref="F11" authorId="0">
      <text>
        <t>ex_945603.htm | three months ended March 31, 2026 — Operating Statistics by Segment | 12,605</t>
      </text>
    </comment>
    <comment ref="G11" authorId="0">
      <text>
        <t>ex_987956.htm | three months ended June 30, 2026 — Operating Statistics by Segment | 12,744</t>
      </text>
    </comment>
    <comment ref="E11" authorId="0">
      <text>
        <t>ex_907715.htm | twelve months ended December 31, 2025 — Operating Statistics by Segment | 12,639</t>
      </text>
    </comment>
    <comment ref="F13" authorId="0">
      <text>
        <t>Q1 2026 earnings call transcript | CFO remarks | nearly 300 truck sales</t>
      </text>
    </comment>
    <comment ref="G13" authorId="0">
      <text>
        <t>Q2 2026 earnings call transcript (Motley Fool) | CFO remarks | approximately 250 trucks</t>
      </text>
    </comment>
    <comment ref="C15" authorId="0">
      <text>
        <t>ex_870337.htm | three months ended September 30, 2025 — Operating Statistics by Segment | 12,718</t>
      </text>
    </comment>
    <comment ref="D15" authorId="0">
      <text>
        <t>ex_907715.htm | three months ended December 31, 2025 — Operating Statistics by Segment | 12,605</t>
      </text>
    </comment>
    <comment ref="F15" authorId="0">
      <text>
        <t>ex_945603.htm | three months ended March 31, 2026 — Operating Statistics by Segment | 12,640</t>
      </text>
    </comment>
    <comment ref="G15" authorId="0">
      <text>
        <t>ex_987956.htm | three months ended June 30, 2026 — Operating Statistics by Segment | 12,658</t>
      </text>
    </comment>
    <comment ref="E15" authorId="0">
      <text>
        <t>ex_907715.htm | twelve months ended December 31, 2025 — Operating Statistics by Segment | 12,659</t>
      </text>
    </comment>
    <comment ref="G18" authorId="0">
      <text>
        <t>ex_987956.htm | DCS segment text | approximately 96%</t>
      </text>
    </comment>
    <comment ref="C22" authorId="0">
      <text>
        <t>ex_870337.htm | three months ended September 30, 2025 — Operating Statistics by Segment | 5,209</t>
      </text>
    </comment>
    <comment ref="D22" authorId="0">
      <text>
        <t>ex_907715.htm | three months ended December 31, 2025 — Operating Statistics by Segment | 5,259</t>
      </text>
    </comment>
    <comment ref="F22" authorId="0">
      <text>
        <t>ex_945603.htm | three months ended March 31, 2026 — Operating Statistics by Segment | 5,238</t>
      </text>
    </comment>
    <comment ref="G22" authorId="0">
      <text>
        <t>ex_987956.htm | three months ended June 30, 2026 — Operating Statistics by Segment | 5,635</t>
      </text>
    </comment>
    <comment ref="E22" authorId="0">
      <text>
        <t>ex_907715.htm | twelve months ended December 31, 2025 — Operating Statistics by Segment | 5,190</t>
      </text>
    </comment>
    <comment ref="C25" authorId="0">
      <text>
        <t>ex_870337.htm | DCS segment text | increased 3%</t>
      </text>
    </comment>
    <comment ref="D25" authorId="0">
      <text>
        <t>ex_907715.htm | DCS segment text | increased 1%</t>
      </text>
    </comment>
    <comment ref="F25" authorId="0">
      <text>
        <t>ex_945603.htm | DCS segment text | increased 1%</t>
      </text>
    </comment>
    <comment ref="G25" authorId="0">
      <text>
        <t>ex_987956.htm | DCS segment text | increased 2%</t>
      </text>
    </comment>
    <comment ref="C28" authorId="0">
      <text>
        <t>ex_870337.htm | three months ended September 30, 2025 — Operating Statistics by Segment | 992,032</t>
      </text>
    </comment>
    <comment ref="D28" authorId="0">
      <text>
        <t>ex_907715.htm | three months ended December 31, 2025 — Operating Statistics by Segment | 957,765</t>
      </text>
    </comment>
    <comment ref="F28" authorId="0">
      <text>
        <t>ex_945603.htm | three months ended March 31, 2026 — Operating Statistics by Segment | 942,231</t>
      </text>
    </comment>
    <comment ref="G28" authorId="0">
      <text>
        <t>ex_987956.htm | three months ended June 30, 2026 — Operating Statistics by Segment | 995,594</t>
      </text>
    </comment>
    <comment ref="C31" authorId="0">
      <text>
        <t>ex_870337.htm | three months ended September 30, 2025 — Operating Statistics by Segment | 175</t>
      </text>
    </comment>
    <comment ref="D31" authorId="0">
      <text>
        <t>ex_907715.htm | three months ended December 31, 2025 — Operating Statistics by Segment | 173</t>
      </text>
    </comment>
    <comment ref="F31" authorId="0">
      <text>
        <t>ex_945603.htm | three months ended March 31, 2026 — Operating Statistics by Segment | 172</t>
      </text>
    </comment>
    <comment ref="G31" authorId="0">
      <text>
        <t>ex_987956.htm | three months ended June 30, 2026 — Operating Statistics by Segment | 172</t>
      </text>
    </comment>
    <comment ref="E31" authorId="0">
      <text>
        <t>ex_907715.htm | twelve months ended December 31, 2025 — Operating Statistics by Segment | 177</t>
      </text>
    </comment>
    <comment ref="C39" authorId="0">
      <text>
        <t>ex_870337.htm | three months ended September 30, 2025 — Financial Information By Segment, Revenue | 864,110</t>
      </text>
    </comment>
    <comment ref="D39" authorId="0">
      <text>
        <t>ex_907715.htm | three months ended December 31, 2025 — Financial Information By Segment, Revenue | 842,894</t>
      </text>
    </comment>
    <comment ref="F39" authorId="0">
      <text>
        <t>ex_945603.htm | three months ended March 31, 2026 — Financial Information By Segment, Revenue | 840,556</t>
      </text>
    </comment>
    <comment ref="G39" authorId="0">
      <text>
        <t>ex_987956.htm | three months ended June 30, 2026 — Financial Information By Segment, Revenue | 920,710</t>
      </text>
    </comment>
    <comment ref="C44" authorId="0">
      <text>
        <t>jbht20251231_10k.htm | Consolidated Statements of Cash Flows — Business acquisitions 2025 | -</t>
      </text>
    </comment>
    <comment ref="D44" authorId="0">
      <text>
        <t>jbht20251231_10k.htm | Consolidated Statements of Cash Flows — Business acquisitions 2025 | -</t>
      </text>
    </comment>
    <comment ref="E44" authorId="0">
      <text>
        <t>jbht20251231_10k.htm | Consolidated Statements of Cash Flows — Business acquisitions 2025 | -</t>
      </text>
    </comment>
    <comment ref="F44" authorId="0">
      <text>
        <t>jbht20251231_10k.htm | Consolidated Statements of Cash Flows — Business acquisitions 2025 | -</t>
      </text>
    </comment>
    <comment ref="G44" authorId="0">
      <text>
        <t>jbht20251231_10k.htm | Consolidated Statements of Cash Flows — Business acquisitions 2025 | -</t>
      </text>
    </comment>
    <comment ref="H44" authorId="0">
      <text>
        <t>jbht20251231_10k.htm | Consolidated Statements of Cash Flows — Business acquisitions 2025 | -</t>
      </text>
    </comment>
    <comment ref="C50" authorId="0">
      <text>
        <t>ex_870337.htm | three months ended September 30, 2025 — Financial Information By Segment, Operating income | 104,282</t>
      </text>
    </comment>
    <comment ref="D50" authorId="0">
      <text>
        <t>ex_907715.htm | three months ended December 31, 2025 — Financial Information By Segment, Operating income | 98,368</t>
      </text>
    </comment>
    <comment ref="F50" authorId="0">
      <text>
        <t>ex_945603.htm | three months ended March 31, 2026 — Financial Information By Segment, Operating income | 87,396</t>
      </text>
    </comment>
    <comment ref="G50" authorId="0">
      <text>
        <t>ex_987956.htm | three months ended June 30, 2026 — Financial Information By Segment, Operating income | 102,473</t>
      </text>
    </comment>
    <comment ref="C72" authorId="0">
      <text>
        <t>ex_870337.htm | three months ended September 30, 2025 — Operating Statistics by Segment | 32,240</t>
      </text>
    </comment>
    <comment ref="D72" authorId="0">
      <text>
        <t>ex_907715.htm | three months ended December 31, 2025 — Operating Statistics by Segment | 32,090</t>
      </text>
    </comment>
    <comment ref="F72" authorId="0">
      <text>
        <t>ex_945603.htm | three months ended March 31, 2026 — Operating Statistics by Segment | 32,608</t>
      </text>
    </comment>
    <comment ref="G72" authorId="0">
      <text>
        <t>ex_987956.htm | three months ended June 30, 2026 — Operating Statistics by Segment | 34,343</t>
      </text>
    </comment>
    <comment ref="E72" authorId="0">
      <text>
        <t>ex_907715.htm | twelve months ended December 31, 2025 — Operating Statistics by Segment | 32,090</t>
      </text>
    </comment>
    <comment ref="C74" authorId="0">
      <text>
        <t>ex_870337.htm | three months ended September 30, 2025 — Operating Statistics by Segment | 33,152</t>
      </text>
    </comment>
    <comment ref="D74" authorId="0">
      <text>
        <t>ex_907715.htm | three months ended December 31, 2025 — Operating Statistics by Segment | 33,054</t>
      </text>
    </comment>
    <comment ref="F74" authorId="0">
      <text>
        <t>ex_945603.htm | three months ended March 31, 2026 — Operating Statistics by Segment | 33,349</t>
      </text>
    </comment>
    <comment ref="G74" authorId="0">
      <text>
        <t>ex_987956.htm | three months ended June 30, 2026 — Operating Statistics by Segment | 35,645</t>
      </text>
    </comment>
    <comment ref="E74" authorId="0">
      <text>
        <t>ex_907715.htm | twelve months ended December 31, 2025 — Operating Statistics by Segment | 33,038</t>
      </text>
    </comment>
    <comment ref="C79" authorId="0">
      <text>
        <t>ex_870337.htm | three months ended September 30, 2024 — Operating Statistics, Trucks (end of period) | 12,761</t>
      </text>
    </comment>
    <comment ref="D79" authorId="0">
      <text>
        <t>ex_907715.htm | three months ended December 31, 2024 — Operating Statistics, Trucks (end of period) | 12,647</t>
      </text>
    </comment>
    <comment ref="E79" authorId="0">
      <text>
        <t>ex_907715.htm | twelve months ended December 31, 2024 — Operating Statistics, Trucks (end of period) | 12,647</t>
      </text>
    </comment>
    <comment ref="F79" authorId="0">
      <text>
        <t>ex_945603.htm | three months ended March 31, 2025 — Operating Statistics, Trucks (end of period) | 12,624</t>
      </text>
    </comment>
    <comment ref="G79" authorId="0">
      <text>
        <t>ex_987956.htm | three months ended June 30, 2025 — Operating Statistics, Trucks (end of period) | 12,739</t>
      </text>
    </comment>
    <comment ref="C80" authorId="0">
      <text>
        <t>ex_870337.htm | three months ended September 30, 2024 — Operating Statistics, Average trucks | 12,800</t>
      </text>
    </comment>
    <comment ref="D80" authorId="0">
      <text>
        <t>ex_907715.htm | three months ended December 31, 2024 — Operating Statistics, Average trucks | 12,711</t>
      </text>
    </comment>
    <comment ref="E80" authorId="0">
      <text>
        <t>ex_907715.htm | twelve months ended December 31, 2024 — Operating Statistics, Average trucks | 12,988</t>
      </text>
    </comment>
    <comment ref="F80" authorId="0">
      <text>
        <t>ex_945603.htm | three months ended March 31, 2025 — Operating Statistics, Average trucks | 12,624</t>
      </text>
    </comment>
    <comment ref="G80" authorId="0">
      <text>
        <t>ex_987956.htm | three months ended June 30, 2025 — Operating Statistics, Average trucks | 12,689</t>
      </text>
    </comment>
    <comment ref="C81" authorId="0">
      <text>
        <t>ex_870337.htm | three months ended September 30, 2024 — Operating Statistics, Revenue per truck per week | 5,073</t>
      </text>
    </comment>
    <comment ref="D81" authorId="0">
      <text>
        <t>ex_907715.htm | three months ended December 31, 2024 — Operating Statistics, Revenue per truck per week | 5,210</t>
      </text>
    </comment>
    <comment ref="E81" authorId="0">
      <text>
        <t>ex_907715.htm | twelve months ended December 31, 2024 — Operating Statistics, Revenue per truck per week | 5,075</t>
      </text>
    </comment>
    <comment ref="F81" authorId="0">
      <text>
        <t>ex_945603.htm | three months ended March 31, 2025 — Operating Statistics, Revenue per truck per week | 5,127</t>
      </text>
    </comment>
    <comment ref="G81" authorId="0">
      <text>
        <t>ex_987956.htm | three months ended June 30, 2025 — Operating Statistics, Revenue per truck per week | 5,163</t>
      </text>
    </comment>
    <comment ref="C82" authorId="0">
      <text>
        <t>ex_870337.htm | three months ended September 30, 2024 — Operating Statistics, Dedicated loads | 1,005,515</t>
      </text>
    </comment>
    <comment ref="D82" authorId="0">
      <text>
        <t>ex_907715.htm | three months ended December 31, 2024 — Operating Statistics, Dedicated loads | 967,571</t>
      </text>
    </comment>
    <comment ref="E82" authorId="0">
      <text>
        <t>ex_907715.htm | twelve months ended December 31, 2024 — Operating Statistics, Dedicated loads | 3,985,221</t>
      </text>
    </comment>
    <comment ref="F82" authorId="0">
      <text>
        <t>ex_945603.htm | three months ended March 31, 2025 — Operating Statistics, Dedicated loads | 942,894</t>
      </text>
    </comment>
    <comment ref="G82" authorId="0">
      <text>
        <t>ex_987956.htm | three months ended June 30, 2025 — Operating Statistics, Dedicated loads | 992,772</t>
      </text>
    </comment>
    <comment ref="C83" authorId="0">
      <text>
        <t>ex_870337.htm | three months ended September 30, 2024 — Operating Statistics, Average length of haul | 180</t>
      </text>
    </comment>
    <comment ref="D83" authorId="0">
      <text>
        <t>ex_907715.htm | three months ended December 31, 2024 — Operating Statistics, Average length of haul | 181</t>
      </text>
    </comment>
    <comment ref="E83" authorId="0">
      <text>
        <t>ex_907715.htm | twelve months ended December 31, 2024 — Operating Statistics, Average length of haul | 181</t>
      </text>
    </comment>
    <comment ref="F83" authorId="0">
      <text>
        <t>ex_945603.htm | three months ended March 31, 2025 — Operating Statistics, Average length of haul | 180</t>
      </text>
    </comment>
    <comment ref="G83" authorId="0">
      <text>
        <t>ex_987956.htm | three months ended June 30, 2025 — Operating Statistics, Average length of haul | 177</t>
      </text>
    </comment>
    <comment ref="C84" authorId="0">
      <text>
        <t>ex_870337.htm | three months ended September 30, 2024 — Financial Information By Segment, Dedicated revenue | 845,963</t>
      </text>
    </comment>
    <comment ref="D84" authorId="0">
      <text>
        <t>ex_907715.htm | three months ended December 31, 2024 — Financial Information By Segment, Dedicated revenue | 838,529</t>
      </text>
    </comment>
    <comment ref="E84" authorId="0">
      <text>
        <t>ex_907715.htm | twelve months ended December 31, 2024 — Financial Information By Segment, Dedicated revenue | 3,395,518</t>
      </text>
    </comment>
    <comment ref="F84" authorId="0">
      <text>
        <t>ex_945603.htm | three months ended March 31, 2025 — Financial Information By Segment, Dedicated revenue | 822,292</t>
      </text>
    </comment>
    <comment ref="G84" authorId="0">
      <text>
        <t>ex_987956.htm | three months ended June 30, 2025 — Financial Information By Segment, Dedicated revenue | 846,755</t>
      </text>
    </comment>
    <comment ref="C85" authorId="0">
      <text>
        <t>ex_870337.htm | three months ended September 30, 2024 — Financial Information By Segment, Dedicated operating income | 95,510</t>
      </text>
    </comment>
    <comment ref="D85" authorId="0">
      <text>
        <t>ex_907715.htm | three months ended December 31, 2024 — Financial Information By Segment, Dedicated operating income | 90,309</t>
      </text>
    </comment>
    <comment ref="E85" authorId="0">
      <text>
        <t>ex_907715.htm | twelve months ended December 31, 2024 — Financial Information By Segment, Dedicated operating income | 375,878</t>
      </text>
    </comment>
    <comment ref="F85" authorId="0">
      <text>
        <t>ex_945603.htm | three months ended March 31, 2025 — Financial Information By Segment, Dedicated operating income | 80,273</t>
      </text>
    </comment>
    <comment ref="G85" authorId="0">
      <text>
        <t>ex_987956.htm | three months ended June 30, 2025 — Financial Information By Segment, Dedicated operating income | 93,687</t>
      </text>
    </comment>
    <comment ref="C86" authorId="0">
      <text>
        <t>ex_870337.htm | three months ended September 30, 2024 — Operating Statistics, Trailing equipment (end of period) | 31,967</t>
      </text>
    </comment>
    <comment ref="D86" authorId="0">
      <text>
        <t>ex_907715.htm | three months ended December 31, 2024 — Operating Statistics, Trailing equipment (end of period) | 32,046</t>
      </text>
    </comment>
    <comment ref="E86" authorId="0">
      <text>
        <t>ex_907715.htm | twelve months ended December 31, 2024 — Operating Statistics, Trailing equipment (end of period) | 32,046</t>
      </text>
    </comment>
    <comment ref="F86" authorId="0">
      <text>
        <t>ex_945603.htm | three months ended March 31, 2025 — Operating Statistics, Trailing equipment (end of period) | 32,363</t>
      </text>
    </comment>
    <comment ref="G86" authorId="0">
      <text>
        <t>ex_987956.htm | three months ended June 30, 2025 — Operating Statistics, Trailing equipment (end of period) | 32,345</t>
      </text>
    </comment>
    <comment ref="C87" authorId="0">
      <text>
        <t>ex_870337.htm | three months ended September 30, 2024 — Operating Statistics, Average effective trailing equipment usage | 32,525</t>
      </text>
    </comment>
    <comment ref="D87" authorId="0">
      <text>
        <t>ex_907715.htm | three months ended December 31, 2024 — Operating Statistics, Average effective trailing equipment usage | 32,573</t>
      </text>
    </comment>
    <comment ref="E87" authorId="0">
      <text>
        <t>ex_907715.htm | twelve months ended December 31, 2024 — Operating Statistics, Average effective trailing equipment usage | 32,639</t>
      </text>
    </comment>
    <comment ref="F87" authorId="0">
      <text>
        <t>ex_945603.htm | three months ended March 31, 2025 — Operating Statistics, Average effective trailing equipment usage | 32,918</t>
      </text>
    </comment>
    <comment ref="G87" authorId="0">
      <text>
        <t>ex_987956.htm | three months ended June 30, 2025 — Operating Statistics, Average effective trailing equipment usage | 33,027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9" authorId="0">
      <text>
        <t>ex_870337.htm | three months ended September 30, 2025 — Operating Statistics by Segment | 135,309</t>
      </text>
    </comment>
    <comment ref="D9" authorId="0">
      <text>
        <t>ex_907715.htm | three months ended December 31, 2025 — Operating Statistics by Segment | 147,759</t>
      </text>
    </comment>
    <comment ref="F9" authorId="0">
      <text>
        <t>ex_945603.htm | three months ended March 31, 2026 — Operating Statistics by Segment | 151,819</t>
      </text>
    </comment>
    <comment ref="G9" authorId="0">
      <text>
        <t>ex_987956.htm | three months ended June 30, 2026 — Operating Statistics by Segment | 156,856</t>
      </text>
    </comment>
    <comment ref="C12" authorId="0">
      <text>
        <t>ex_870337.htm | ICS segment text | approximately 63%</t>
      </text>
    </comment>
    <comment ref="D12" authorId="0">
      <text>
        <t>ex_907715.htm | ICS segment text | approximately 65%</t>
      </text>
    </comment>
    <comment ref="F12" authorId="0">
      <text>
        <t>ex_945603.htm | ICS segment text | approximately 67%</t>
      </text>
    </comment>
    <comment ref="G12" authorId="0">
      <text>
        <t>ex_987956.htm | ICS segment text | approximately 65%</t>
      </text>
    </comment>
    <comment ref="C24" authorId="0">
      <text>
        <t>ex_870337.htm | ICS segment text | 64% of the total revenue</t>
      </text>
    </comment>
    <comment ref="D24" authorId="0">
      <text>
        <t>ex_907715.htm | ICS segment text | 66% of the total revenue</t>
      </text>
    </comment>
    <comment ref="F24" authorId="0">
      <text>
        <t>ex_945603.htm | ICS segment text | 66% of the total revenue</t>
      </text>
    </comment>
    <comment ref="G24" authorId="0">
      <text>
        <t>ex_987956.htm | ICS segment text | 63% of the total revenue</t>
      </text>
    </comment>
    <comment ref="C27" authorId="0">
      <text>
        <t>ex_870337.htm | three months ended September 30, 2025 — Operating Statistics, ICS Employee count | 563</t>
      </text>
    </comment>
    <comment ref="D27" authorId="0">
      <text>
        <t>ex_907715.htm | three months ended December 31, 2025 — Operating Statistics, ICS Employee count | 575</t>
      </text>
    </comment>
    <comment ref="F27" authorId="0">
      <text>
        <t>ex_945603.htm | three months ended March 31, 2026 — Operating Statistics, ICS Employee count | 654</t>
      </text>
    </comment>
    <comment ref="G27" authorId="0">
      <text>
        <t>ex_987956.htm | three months ended June 30, 2026 — Operating Statistics, ICS Employee count | 710</t>
      </text>
    </comment>
    <comment ref="E27" authorId="0">
      <text>
        <t>ex_907715.htm | twelve months ended December 31, 2025 — Operating Statistics, ICS Employee count | 575</t>
      </text>
    </comment>
    <comment ref="C34" authorId="0">
      <text>
        <t>ex_870337.htm | three months ended September 30, 2025 — Operating Statistics by Segment | 2,042</t>
      </text>
    </comment>
    <comment ref="D34" authorId="0">
      <text>
        <t>ex_907715.htm | three months ended December 31, 2025 — Operating Statistics by Segment | 2,061</t>
      </text>
    </comment>
    <comment ref="F34" authorId="0">
      <text>
        <t>ex_945603.htm | three months ended March 31, 2026 — Operating Statistics by Segment | 2,126</t>
      </text>
    </comment>
    <comment ref="G34" authorId="0">
      <text>
        <t>ex_987956.htm | three months ended June 30, 2026 — Operating Statistics by Segment | 2,477</t>
      </text>
    </comment>
    <comment ref="E34" authorId="0">
      <text>
        <t>ex_907715.htm | twelve months ended December 31, 2025 — Operating Statistics by Segment | 2,005</t>
      </text>
    </comment>
    <comment ref="C39" authorId="0">
      <text>
        <t>ex_870337.htm | three months ended September 30, 2025 — Financial Information By Segment, Revenue | 276,343</t>
      </text>
    </comment>
    <comment ref="D39" authorId="0">
      <text>
        <t>ex_907715.htm | three months ended December 31, 2025 — Financial Information By Segment, Revenue | 304,589</t>
      </text>
    </comment>
    <comment ref="F39" authorId="0">
      <text>
        <t>ex_945603.htm | three months ended March 31, 2026 — Financial Information By Segment, Revenue | 322,737</t>
      </text>
    </comment>
    <comment ref="G39" authorId="0">
      <text>
        <t>ex_987956.htm | three months ended June 30, 2026 — Financial Information By Segment, Revenue | 388,495</t>
      </text>
    </comment>
    <comment ref="C44" authorId="0">
      <text>
        <t>jbht20251231_10k.htm | Consolidated Statements of Cash Flows — Business acquisitions 2025 | -</t>
      </text>
    </comment>
    <comment ref="D44" authorId="0">
      <text>
        <t>jbht20251231_10k.htm | Consolidated Statements of Cash Flows — Business acquisitions 2025 | -</t>
      </text>
    </comment>
    <comment ref="E44" authorId="0">
      <text>
        <t>jbht20251231_10k.htm | Consolidated Statements of Cash Flows — Business acquisitions 2025 | -</t>
      </text>
    </comment>
    <comment ref="F44" authorId="0">
      <text>
        <t>jbht20251231_10k.htm | Consolidated Statements of Cash Flows — Business acquisitions 2025 | -</t>
      </text>
    </comment>
    <comment ref="G44" authorId="0">
      <text>
        <t>jbht20251231_10k.htm | Consolidated Statements of Cash Flows — Business acquisitions 2025 | -</t>
      </text>
    </comment>
    <comment ref="H44" authorId="0">
      <text>
        <t>jbht20251231_10k.htm | Consolidated Statements of Cash Flows — Business acquisitions 2025 | -</t>
      </text>
    </comment>
    <comment ref="C50" authorId="0">
      <text>
        <t>ex_870337.htm | three months ended September 30, 2025 — Operating Statistics by Segment | 15.0%</t>
      </text>
    </comment>
    <comment ref="D50" authorId="0">
      <text>
        <t>ex_907715.htm | three months ended December 31, 2025 — Operating Statistics by Segment | 12.4%</t>
      </text>
    </comment>
    <comment ref="F50" authorId="0">
      <text>
        <t>ex_945603.htm | three months ended March 31, 2026 — Operating Statistics by Segment | 12.0%</t>
      </text>
    </comment>
    <comment ref="G50" authorId="0">
      <text>
        <t>ex_987956.htm | three months ended June 30, 2026 — Operating Statistics by Segment | 12.5%</t>
      </text>
    </comment>
    <comment ref="E50" authorId="0">
      <text>
        <t>ex_907715.htm | twelve months ended December 31, 2025 — Operating Statistics by Segment | 14.5%</t>
      </text>
    </comment>
    <comment ref="C61" authorId="0">
      <text>
        <t>ex_870337.htm | three months ended September 30, 2025 — Financial Information By Segment, Operating income | (752)</t>
      </text>
    </comment>
    <comment ref="D61" authorId="0">
      <text>
        <t>ex_907715.htm | three months ended December 31, 2025 — Financial Information By Segment, Operating income | (3,344)</t>
      </text>
    </comment>
    <comment ref="F61" authorId="0">
      <text>
        <t>ex_945603.htm | three months ended March 31, 2026 — Financial Information By Segment, Operating income | (4,651)</t>
      </text>
    </comment>
    <comment ref="G61" authorId="0">
      <text>
        <t>ex_987956.htm | three months ended June 30, 2026 — Financial Information By Segment, Operating income | 1,695</t>
      </text>
    </comment>
    <comment ref="C71" authorId="0">
      <text>
        <t>ex_870337.htm | three months ended September 30, 2024 — Operating Statistics, ICS loads | 147,805</t>
      </text>
    </comment>
    <comment ref="D71" authorId="0">
      <text>
        <t>ex_907715.htm | three months ended December 31, 2024 — Operating Statistics, ICS loads | 158,440</t>
      </text>
    </comment>
    <comment ref="E71" authorId="0">
      <text>
        <t>ex_907715.htm | twelve months ended December 31, 2024 — Operating Statistics, ICS loads | 609,854</t>
      </text>
    </comment>
    <comment ref="F71" authorId="0">
      <text>
        <t>ex_945603.htm | three months ended March 31, 2025 — Operating Statistics, ICS loads | 137,744</t>
      </text>
    </comment>
    <comment ref="G71" authorId="0">
      <text>
        <t>ex_987956.htm | three months ended June 30, 2025 — Operating Statistics, ICS loads | 132,315</t>
      </text>
    </comment>
    <comment ref="C72" authorId="0">
      <text>
        <t>ex_870337.htm | three months ended September 30, 2024 — Operating Statistics, ICS revenue per load | 1,882</t>
      </text>
    </comment>
    <comment ref="D72" authorId="0">
      <text>
        <t>ex_907715.htm | three months ended December 31, 2024 — Operating Statistics, ICS revenue per load | 1,942</t>
      </text>
    </comment>
    <comment ref="E72" authorId="0">
      <text>
        <t>ex_907715.htm | twelve months ended December 31, 2024 — Operating Statistics, ICS revenue per load | 1,872</t>
      </text>
    </comment>
    <comment ref="F72" authorId="0">
      <text>
        <t>ex_945603.htm | three months ended March 31, 2025 — Operating Statistics, ICS revenue per load | 1,946</t>
      </text>
    </comment>
    <comment ref="G72" authorId="0">
      <text>
        <t>ex_987956.htm | three months ended June 30, 2025 — Operating Statistics, ICS revenue per load | 1,967</t>
      </text>
    </comment>
    <comment ref="C73" authorId="0">
      <text>
        <t>ex_870337.htm | three months ended September 30, 2024 — Financial Information By Segment, ICS revenue | 278,177</t>
      </text>
    </comment>
    <comment ref="D73" authorId="0">
      <text>
        <t>ex_907715.htm | three months ended December 31, 2024 — Financial Information By Segment, ICS revenue | 307,634</t>
      </text>
    </comment>
    <comment ref="E73" authorId="0">
      <text>
        <t>ex_907715.htm | twelve months ended December 31, 2024 — Financial Information By Segment, ICS revenue | 1,141,475</t>
      </text>
    </comment>
    <comment ref="F73" authorId="0">
      <text>
        <t>ex_945603.htm | three months ended March 31, 2025 — Financial Information By Segment, ICS revenue | 268,043</t>
      </text>
    </comment>
    <comment ref="G73" authorId="0">
      <text>
        <t>ex_987956.htm | three months ended June 30, 2025 — Financial Information By Segment, ICS revenue | 260,243</t>
      </text>
    </comment>
    <comment ref="C74" authorId="0">
      <text>
        <t>ex_870337.htm | three months ended September 30, 2024 — Financial Information By Segment, ICS operating income | (3,255)</t>
      </text>
    </comment>
    <comment ref="D74" authorId="0">
      <text>
        <t>ex_907715.htm | three months ended December 31, 2024 — Financial Information By Segment, ICS operating income | (21,811)</t>
      </text>
    </comment>
    <comment ref="E74" authorId="0">
      <text>
        <t>ex_907715.htm | twelve months ended December 31, 2024 — Financial Information By Segment, ICS operating income | (55,895)</t>
      </text>
    </comment>
    <comment ref="F74" authorId="0">
      <text>
        <t>ex_945603.htm | three months ended March 31, 2025 — Financial Information By Segment, ICS operating income | (2,666)</t>
      </text>
    </comment>
    <comment ref="G74" authorId="0">
      <text>
        <t>ex_987956.htm | three months ended June 30, 2025 — Financial Information By Segment, ICS operating income | (3,554)</t>
      </text>
    </comment>
    <comment ref="C75" authorId="0">
      <text>
        <t>ex_870337.htm | three months ended September 30, 2024 — Operating Statistics, ICS gross profit margin | 17.9%</t>
      </text>
    </comment>
    <comment ref="D75" authorId="0">
      <text>
        <t>ex_907715.htm | three months ended December 31, 2024 — Operating Statistics, ICS gross profit margin | 17.3%</t>
      </text>
    </comment>
    <comment ref="E75" authorId="0">
      <text>
        <t>ex_907715.htm | twelve months ended December 31, 2024 — Operating Statistics, ICS gross profit margin | 16.1%</t>
      </text>
    </comment>
    <comment ref="F75" authorId="0">
      <text>
        <t>ex_945603.htm | three months ended March 31, 2025 — Operating Statistics, ICS gross profit margin | 15.3%</t>
      </text>
    </comment>
    <comment ref="G75" authorId="0">
      <text>
        <t>ex_987956.htm | three months ended June 30, 2025 — Operating Statistics, ICS gross profit margin | 15.5%</t>
      </text>
    </comment>
    <comment ref="C76" authorId="0">
      <text>
        <t>ex_870337.htm | three months ended September 30, 2024 — Operating Statistics, ICS employee count | 640</t>
      </text>
    </comment>
    <comment ref="D76" authorId="0">
      <text>
        <t>ex_907715.htm | three months ended December 31, 2024 — Operating Statistics, ICS employee count | 590</t>
      </text>
    </comment>
    <comment ref="E76" authorId="0">
      <text>
        <t>ex_907715.htm | twelve months ended December 31, 2024 — Operating Statistics, ICS employee count | 590</t>
      </text>
    </comment>
    <comment ref="F76" authorId="0">
      <text>
        <t>ex_945603.htm | three months ended March 31, 2025 — Operating Statistics, ICS employee count | 553</t>
      </text>
    </comment>
    <comment ref="G76" authorId="0">
      <text>
        <t>ex_987956.htm | three months ended June 30, 2025 — Operating Statistics, ICS employee count | 560</t>
      </text>
    </comment>
    <comment ref="C77" authorId="0">
      <text>
        <t>ex_870337.htm | ICS segment text | compared to 62%</t>
      </text>
    </comment>
    <comment ref="D77" authorId="0">
      <text>
        <t>ex_907715.htm | ICS segment text | compared to 63% for both</t>
      </text>
    </comment>
    <comment ref="F77" authorId="0">
      <text>
        <t>ex_945603.htm | ICS segment text | compared to 65%</t>
      </text>
    </comment>
    <comment ref="G77" authorId="0">
      <text>
        <t>ex_987956.htm | ICS segment text | compared to 62%</t>
      </text>
    </comment>
    <comment ref="C78" authorId="0">
      <text>
        <t>ex_870337.htm | ICS segment text | 62% and 61%, respectively</t>
      </text>
    </comment>
    <comment ref="D78" authorId="0">
      <text>
        <t>ex_907715.htm | ICS segment text | 63% for both</t>
      </text>
    </comment>
    <comment ref="F78" authorId="0">
      <text>
        <t>ex_945603.htm | ICS segment text | 65% and 63%, respectively</t>
      </text>
    </comment>
    <comment ref="G78" authorId="0">
      <text>
        <t>ex_987956.htm | ICS segment text | 62% and 63%, respectively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ex_870337.htm | three months ended September 30, 2025 — Operating Statistics by Segment | 971,244</t>
      </text>
    </comment>
    <comment ref="D9" authorId="0">
      <text>
        <t>ex_907715.htm | three months ended December 31, 2025 — Operating Statistics by Segment | 941,115</t>
      </text>
    </comment>
    <comment ref="F9" authorId="0">
      <text>
        <t>ex_945603.htm | three months ended March 31, 2026 — Operating Statistics by Segment | 804,736</t>
      </text>
    </comment>
    <comment ref="G9" authorId="0">
      <text>
        <t>ex_987956.htm | three months ended June 30, 2026 — Operating Statistics by Segment | 861,905</t>
      </text>
    </comment>
    <comment ref="C12" authorId="0">
      <text>
        <t>ex_870337.htm | three months ended September 30, 2025 — Operating Statistics by Segment | 1,296</t>
      </text>
    </comment>
    <comment ref="D12" authorId="0">
      <text>
        <t>ex_907715.htm | three months ended December 31, 2025 — Operating Statistics by Segment | 1,319</t>
      </text>
    </comment>
    <comment ref="F12" authorId="0">
      <text>
        <t>ex_945603.htm | three months ended March 31, 2026 — Operating Statistics by Segment | 1,229</t>
      </text>
    </comment>
    <comment ref="G12" authorId="0">
      <text>
        <t>ex_987956.htm | three months ended June 30, 2026 — Operating Statistics by Segment | 1,199</t>
      </text>
    </comment>
    <comment ref="E12" authorId="0">
      <text>
        <t>ex_907715.htm | twelve months ended December 31, 2025 — Operating Statistics by Segment | 1,321</t>
      </text>
    </comment>
    <comment ref="C24" authorId="0">
      <text>
        <t>ex_870337.htm | three months ended September 30, 2025 — Financial Information By Segment, Revenue | 206,481</t>
      </text>
    </comment>
    <comment ref="D24" authorId="0">
      <text>
        <t>ex_907715.htm | three months ended December 31, 2025 — Financial Information By Segment, Revenue | 205,778</t>
      </text>
    </comment>
    <comment ref="F24" authorId="0">
      <text>
        <t>ex_945603.htm | three months ended March 31, 2026 — Financial Information By Segment, Revenue | 188,027</t>
      </text>
    </comment>
    <comment ref="G24" authorId="0">
      <text>
        <t>ex_987956.htm | three months ended June 30, 2026 — Financial Information By Segment, Revenue | 198,037</t>
      </text>
    </comment>
    <comment ref="C29" authorId="0">
      <text>
        <t>jbht20251231_10k.htm | Consolidated Statements of Cash Flows — Business acquisitions 2025 | -</t>
      </text>
    </comment>
    <comment ref="D29" authorId="0">
      <text>
        <t>jbht20251231_10k.htm | Consolidated Statements of Cash Flows — Business acquisitions 2025 | -</t>
      </text>
    </comment>
    <comment ref="E29" authorId="0">
      <text>
        <t>jbht20251231_10k.htm | Consolidated Statements of Cash Flows — Business acquisitions 2025 | -</t>
      </text>
    </comment>
    <comment ref="F29" authorId="0">
      <text>
        <t>jbht20251231_10k.htm | Consolidated Statements of Cash Flows — Business acquisitions 2025 | -</t>
      </text>
    </comment>
    <comment ref="G29" authorId="0">
      <text>
        <t>jbht20251231_10k.htm | Consolidated Statements of Cash Flows — Business acquisitions 2025 | -</t>
      </text>
    </comment>
    <comment ref="H29" authorId="0">
      <text>
        <t>jbht20251231_10k.htm | Consolidated Statements of Cash Flows — Business acquisitions 2025 | -</t>
      </text>
    </comment>
    <comment ref="C35" authorId="0">
      <text>
        <t>ex_870337.htm | three months ended September 30, 2025 — Financial Information By Segment, Operating income | 6,913</t>
      </text>
    </comment>
    <comment ref="D35" authorId="0">
      <text>
        <t>ex_907715.htm | three months ended December 31, 2025 — Financial Information By Segment, Operating income | 7,499</t>
      </text>
    </comment>
    <comment ref="F35" authorId="0">
      <text>
        <t>ex_945603.htm | three months ended March 31, 2026 — Financial Information By Segment, Operating income | 7,165</t>
      </text>
    </comment>
    <comment ref="G35" authorId="0">
      <text>
        <t>ex_987956.htm | three months ended June 30, 2026 — Financial Information By Segment, Operating income | 5,557</t>
      </text>
    </comment>
    <comment ref="C55" authorId="0">
      <text>
        <t>ex_870337.htm | three months ended September 30, 2024 — Operating Statistics, FMS stops | 1,051,428</t>
      </text>
    </comment>
    <comment ref="D55" authorId="0">
      <text>
        <t>ex_907715.htm | three months ended December 31, 2024 — Operating Statistics, FMS stops | 1,089,940</t>
      </text>
    </comment>
    <comment ref="E55" authorId="0">
      <text>
        <t>ex_907715.htm | twelve months ended December 31, 2024 — Operating Statistics, FMS stops | 4,316,578</t>
      </text>
    </comment>
    <comment ref="F55" authorId="0">
      <text>
        <t>ex_945603.htm | three months ended March 31, 2025 — Operating Statistics, FMS stops | 920,344</t>
      </text>
    </comment>
    <comment ref="G55" authorId="0">
      <text>
        <t>ex_987956.htm | three months ended June 30, 2025 — Operating Statistics, FMS stops | 998,916</t>
      </text>
    </comment>
    <comment ref="C56" authorId="0">
      <text>
        <t>ex_870337.htm | three months ended September 30, 2024 — Operating Statistics, FMS average trucks | 1,334</t>
      </text>
    </comment>
    <comment ref="D56" authorId="0">
      <text>
        <t>ex_907715.htm | three months ended December 31, 2024 — Operating Statistics, FMS average trucks | 1,376</t>
      </text>
    </comment>
    <comment ref="E56" authorId="0">
      <text>
        <t>ex_907715.htm | twelve months ended December 31, 2024 — Operating Statistics, FMS average trucks | 1,373</t>
      </text>
    </comment>
    <comment ref="F56" authorId="0">
      <text>
        <t>ex_945603.htm | three months ended March 31, 2025 — Operating Statistics, FMS average trucks | 1,353</t>
      </text>
    </comment>
    <comment ref="G56" authorId="0">
      <text>
        <t>ex_987956.htm | three months ended June 30, 2025 — Operating Statistics, FMS average trucks | 1,317</t>
      </text>
    </comment>
    <comment ref="C57" authorId="0">
      <text>
        <t>ex_870337.htm | three months ended September 30, 2024 — Financial Information By Segment, FMS revenue | 218,318</t>
      </text>
    </comment>
    <comment ref="D57" authorId="0">
      <text>
        <t>ex_907715.htm | three months ended December 31, 2024 — Financial Information By Segment, FMS revenue | 227,543</t>
      </text>
    </comment>
    <comment ref="E57" authorId="0">
      <text>
        <t>ex_907715.htm | twelve months ended December 31, 2024 — Financial Information By Segment, FMS revenue | 910,430</t>
      </text>
    </comment>
    <comment ref="F57" authorId="0">
      <text>
        <t>ex_945603.htm | three months ended March 31, 2025 — Financial Information By Segment, FMS revenue | 200,703</t>
      </text>
    </comment>
    <comment ref="G57" authorId="0">
      <text>
        <t>ex_987956.htm | three months ended June 30, 2025 — Financial Information By Segment, FMS revenue | 210,627</t>
      </text>
    </comment>
    <comment ref="C58" authorId="0">
      <text>
        <t>ex_870337.htm | three months ended September 30, 2024 — Financial Information By Segment, FMS operating income | 12,021</t>
      </text>
    </comment>
    <comment ref="D58" authorId="0">
      <text>
        <t>ex_907715.htm | three months ended December 31, 2024 — Financial Information By Segment, FMS operating income | 13,171</t>
      </text>
    </comment>
    <comment ref="E58" authorId="0">
      <text>
        <t>ex_907715.htm | twelve months ended December 31, 2024 — Financial Information By Segment, FMS operating income | 60,057</t>
      </text>
    </comment>
    <comment ref="F58" authorId="0">
      <text>
        <t>ex_945603.htm | three months ended March 31, 2025 — Financial Information By Segment, FMS operating income | 4,676</t>
      </text>
    </comment>
    <comment ref="G58" authorId="0">
      <text>
        <t>ex_987956.htm | three months ended June 30, 2025 — Financial Information By Segment, FMS operating income | 7,993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9" authorId="0">
      <text>
        <t>ex_870337.htm | three months ended September 30, 2025 — Operating Statistics by Segment | 115,269</t>
      </text>
    </comment>
    <comment ref="D9" authorId="0">
      <text>
        <t>ex_907715.htm | three months ended December 31, 2025 — Operating Statistics by Segment | 118,025</t>
      </text>
    </comment>
    <comment ref="F9" authorId="0">
      <text>
        <t>ex_945603.htm | three months ended March 31, 2026 — Operating Statistics by Segment | 113,421</t>
      </text>
    </comment>
    <comment ref="G9" authorId="0">
      <text>
        <t>ex_987956.htm | three months ended June 30, 2026 — Operating Statistics by Segment | 118,714</t>
      </text>
    </comment>
    <comment ref="C12" authorId="0">
      <text>
        <t>ex_870337.htm | three months ended September 30, 2025 — Operating Statistics by Segment | 576</t>
      </text>
    </comment>
    <comment ref="D12" authorId="0">
      <text>
        <t>ex_907715.htm | three months ended December 31, 2025 — Operating Statistics by Segment | 576</t>
      </text>
    </comment>
    <comment ref="F12" authorId="0">
      <text>
        <t>ex_945603.htm | three months ended March 31, 2026 — Operating Statistics by Segment | 595</t>
      </text>
    </comment>
    <comment ref="G12" authorId="0">
      <text>
        <t>ex_987956.htm | three months ended June 30, 2026 — Operating Statistics by Segment | 584</t>
      </text>
    </comment>
    <comment ref="E12" authorId="0">
      <text>
        <t>ex_907715.htm | twelve months ended December 31, 2025 — Operating Statistics by Segment | 596</t>
      </text>
    </comment>
    <comment ref="C16" authorId="0">
      <text>
        <t>ex_870337.htm | three months ended September 30, 2025 — Operating Statistics by Segment | 1,646</t>
      </text>
    </comment>
    <comment ref="D16" authorId="0">
      <text>
        <t>ex_907715.htm | three months ended December 31, 2025 — Operating Statistics by Segment | 1,697</t>
      </text>
    </comment>
    <comment ref="F16" authorId="0">
      <text>
        <t>ex_945603.htm | three months ended March 31, 2026 — Operating Statistics by Segment | 1,811</t>
      </text>
    </comment>
    <comment ref="G16" authorId="0">
      <text>
        <t>ex_987956.htm | three months ended June 30, 2026 — Operating Statistics by Segment | 2,019</t>
      </text>
    </comment>
    <comment ref="E16" authorId="0">
      <text>
        <t>ex_907715.htm | twelve months ended December 31, 2025 — Operating Statistics by Segment | 1,695</t>
      </text>
    </comment>
    <comment ref="C19" authorId="0">
      <text>
        <t>ex_870337.htm | JBT segment text | 4% decline</t>
      </text>
    </comment>
    <comment ref="D19" authorId="0">
      <text>
        <t>ex_907715.htm | JBT segment text | 4% decrease</t>
      </text>
    </comment>
    <comment ref="F19" authorId="0">
      <text>
        <t>ex_945603.htm | JBT segment text | 3% increase</t>
      </text>
    </comment>
    <comment ref="G19" authorId="0">
      <text>
        <t>ex_987956.htm | JBT segment text | 13% improvement</t>
      </text>
    </comment>
    <comment ref="C24" authorId="0">
      <text>
        <t>ex_870337.htm | three months ended September 30, 2025 — Financial Information By Segment, Revenue | 189,743</t>
      </text>
    </comment>
    <comment ref="D24" authorId="0">
      <text>
        <t>ex_907715.htm | three months ended December 31, 2025 — Financial Information By Segment, Revenue | 200,301</t>
      </text>
    </comment>
    <comment ref="F24" authorId="0">
      <text>
        <t>ex_945603.htm | three months ended March 31, 2026 — Financial Information By Segment, Revenue | 205,384</t>
      </text>
    </comment>
    <comment ref="G24" authorId="0">
      <text>
        <t>ex_987956.htm | three months ended June 30, 2026 — Financial Information By Segment, Revenue | 239,653</t>
      </text>
    </comment>
    <comment ref="C29" authorId="0">
      <text>
        <t>jbht20251231_10k.htm | Consolidated Statements of Cash Flows — Business acquisitions 2025 | -</t>
      </text>
    </comment>
    <comment ref="D29" authorId="0">
      <text>
        <t>jbht20251231_10k.htm | Consolidated Statements of Cash Flows — Business acquisitions 2025 | -</t>
      </text>
    </comment>
    <comment ref="E29" authorId="0">
      <text>
        <t>jbht20251231_10k.htm | Consolidated Statements of Cash Flows — Business acquisitions 2025 | -</t>
      </text>
    </comment>
    <comment ref="F29" authorId="0">
      <text>
        <t>jbht20251231_10k.htm | Consolidated Statements of Cash Flows — Business acquisitions 2025 | -</t>
      </text>
    </comment>
    <comment ref="G29" authorId="0">
      <text>
        <t>jbht20251231_10k.htm | Consolidated Statements of Cash Flows — Business acquisitions 2025 | -</t>
      </text>
    </comment>
    <comment ref="H29" authorId="0">
      <text>
        <t>jbht20251231_10k.htm | Consolidated Statements of Cash Flows — Business acquisitions 2025 | -</t>
      </text>
    </comment>
    <comment ref="C35" authorId="0">
      <text>
        <t>ex_870337.htm | three months ended September 30, 2025 — Financial Information By Segment, Operating income | 7,436</t>
      </text>
    </comment>
    <comment ref="D35" authorId="0">
      <text>
        <t>ex_907715.htm | three months ended December 31, 2025 — Financial Information By Segment, Operating income | 8,410</t>
      </text>
    </comment>
    <comment ref="F35" authorId="0">
      <text>
        <t>ex_945603.htm | three months ended March 31, 2026 — Financial Information By Segment, Operating income | 2,717</t>
      </text>
    </comment>
    <comment ref="G35" authorId="0">
      <text>
        <t>ex_987956.htm | three months ended June 30, 2026 — Financial Information By Segment, Operating income | (1,335)</t>
      </text>
    </comment>
    <comment ref="C57" authorId="0">
      <text>
        <t>ex_870337.htm | three months ended September 30, 2025 — Operating Statistics by Segment | 2,091</t>
      </text>
    </comment>
    <comment ref="D57" authorId="0">
      <text>
        <t>ex_907715.htm | three months ended December 31, 2025 — Operating Statistics by Segment | 2,003</t>
      </text>
    </comment>
    <comment ref="F57" authorId="0">
      <text>
        <t>ex_945603.htm | three months ended March 31, 2026 — Operating Statistics by Segment | 1,881</t>
      </text>
    </comment>
    <comment ref="G57" authorId="0">
      <text>
        <t>ex_987956.htm | three months ended June 30, 2026 — Operating Statistics by Segment | 1,880</t>
      </text>
    </comment>
    <comment ref="E57" authorId="0">
      <text>
        <t>ex_907715.htm | twelve months ended December 31, 2025 — Operating Statistics by Segment | 2,003</t>
      </text>
    </comment>
    <comment ref="C61" authorId="0">
      <text>
        <t>ex_870337.htm | three months ended September 30, 2025 — Operating Statistics by Segment | 12,676</t>
      </text>
    </comment>
    <comment ref="D61" authorId="0">
      <text>
        <t>ex_907715.htm | three months ended December 31, 2025 — Operating Statistics by Segment | 12,658</t>
      </text>
    </comment>
    <comment ref="F61" authorId="0">
      <text>
        <t>ex_945603.htm | three months ended March 31, 2026 — Operating Statistics by Segment | 12,731</t>
      </text>
    </comment>
    <comment ref="G61" authorId="0">
      <text>
        <t>ex_987956.htm | three months ended June 30, 2026 — Operating Statistics by Segment | 12,573</t>
      </text>
    </comment>
    <comment ref="E61" authorId="0">
      <text>
        <t>ex_907715.htm | twelve months ended December 31, 2025 — Operating Statistics by Segment | 12,658</t>
      </text>
    </comment>
    <comment ref="C63" authorId="0">
      <text>
        <t>ex_870337.htm | three months ended September 30, 2025 — Operating Statistics by Segment | 12,107</t>
      </text>
    </comment>
    <comment ref="D63" authorId="0">
      <text>
        <t>ex_907715.htm | three months ended December 31, 2025 — Operating Statistics by Segment | 12,262</t>
      </text>
    </comment>
    <comment ref="F63" authorId="0">
      <text>
        <t>ex_945603.htm | three months ended March 31, 2026 — Operating Statistics by Segment | 12,515</t>
      </text>
    </comment>
    <comment ref="G63" authorId="0">
      <text>
        <t>ex_987956.htm | three months ended June 30, 2026 — Operating Statistics by Segment | 12,190</t>
      </text>
    </comment>
    <comment ref="E63" authorId="0">
      <text>
        <t>ex_907715.htm | twelve months ended December 31, 2025 — Operating Statistics by Segment | 12,152</t>
      </text>
    </comment>
    <comment ref="C71" authorId="0">
      <text>
        <t>ex_870337.htm | three months ended September 30, 2024 — Operating Statistics, Truckload loads | 100,896</t>
      </text>
    </comment>
    <comment ref="D71" authorId="0">
      <text>
        <t>ex_907715.htm | three months ended December 31, 2024 — Operating Statistics, Truckload loads | 102,623</t>
      </text>
    </comment>
    <comment ref="E71" authorId="0">
      <text>
        <t>ex_907715.htm | twelve months ended December 31, 2024 — Operating Statistics, Truckload loads | 389,832</t>
      </text>
    </comment>
    <comment ref="F71" authorId="0">
      <text>
        <t>ex_945603.htm | three months ended March 31, 2025 — Operating Statistics, Truckload loads | 95,143</t>
      </text>
    </comment>
    <comment ref="G71" authorId="0">
      <text>
        <t>ex_987956.htm | three months ended June 30, 2025 — Operating Statistics, Truckload loads | 104,357</t>
      </text>
    </comment>
    <comment ref="C72" authorId="0">
      <text>
        <t>ex_870337.htm | three months ended September 30, 2024 — Operating Statistics, Truckload average length of haul | 601</t>
      </text>
    </comment>
    <comment ref="D72" authorId="0">
      <text>
        <t>ex_907715.htm | three months ended December 31, 2024 — Operating Statistics, Truckload average length of haul | 591</t>
      </text>
    </comment>
    <comment ref="E72" authorId="0">
      <text>
        <t>ex_907715.htm | twelve months ended December 31, 2024 — Operating Statistics, Truckload average length of haul | 629</t>
      </text>
    </comment>
    <comment ref="F72" authorId="0">
      <text>
        <t>ex_945603.htm | three months ended March 31, 2025 — Operating Statistics, Truckload average length of haul | 621</t>
      </text>
    </comment>
    <comment ref="G72" authorId="0">
      <text>
        <t>ex_987956.htm | three months ended June 30, 2025 — Operating Statistics, Truckload average length of haul | 611</t>
      </text>
    </comment>
    <comment ref="C73" authorId="0">
      <text>
        <t>ex_870337.htm | three months ended September 30, 2024 — Operating Statistics, Truckload revenue per load | 1,717</t>
      </text>
    </comment>
    <comment ref="D73" authorId="0">
      <text>
        <t>ex_907715.htm | three months ended December 31, 2024 — Operating Statistics, Truckload revenue per load | 1,773</t>
      </text>
    </comment>
    <comment ref="E73" authorId="0">
      <text>
        <t>ex_907715.htm | twelve months ended December 31, 2024 — Operating Statistics, Truckload revenue per load | 1,800</t>
      </text>
    </comment>
    <comment ref="F73" authorId="0">
      <text>
        <t>ex_945603.htm | three months ended March 31, 2025 — Operating Statistics, Truckload revenue per load | 1,751</t>
      </text>
    </comment>
    <comment ref="G73" authorId="0">
      <text>
        <t>ex_987956.htm | three months ended June 30, 2025 — Operating Statistics, Truckload revenue per load | 1,696</t>
      </text>
    </comment>
    <comment ref="C74" authorId="0">
      <text>
        <t>ex_870337.htm | three months ended September 30, 2024 — Financial Information By Segment, Truckload revenue | 173,223</t>
      </text>
    </comment>
    <comment ref="D74" authorId="0">
      <text>
        <t>ex_907715.htm | three months ended December 31, 2024 — Financial Information By Segment, Truckload revenue | 181,950</t>
      </text>
    </comment>
    <comment ref="E74" authorId="0">
      <text>
        <t>ex_907715.htm | twelve months ended December 31, 2024 — Financial Information By Segment, Truckload revenue | 701,581</t>
      </text>
    </comment>
    <comment ref="F74" authorId="0">
      <text>
        <t>ex_945603.htm | three months ended March 31, 2025 — Financial Information By Segment, Truckload revenue | 166,629</t>
      </text>
    </comment>
    <comment ref="G74" authorId="0">
      <text>
        <t>ex_987956.htm | three months ended June 30, 2025 — Financial Information By Segment, Truckload revenue | 176,968</t>
      </text>
    </comment>
    <comment ref="C75" authorId="0">
      <text>
        <t>ex_870337.htm | three months ended September 30, 2024 — Financial Information By Segment, Truckload operating income | 8,151</t>
      </text>
    </comment>
    <comment ref="D75" authorId="0">
      <text>
        <t>ex_907715.htm | three months ended December 31, 2024 — Financial Information By Segment, Truckload operating income | 8,550</t>
      </text>
    </comment>
    <comment ref="E75" authorId="0">
      <text>
        <t>ex_907715.htm | twelve months ended December 31, 2024 — Financial Information By Segment, Truckload operating income | 21,479</t>
      </text>
    </comment>
    <comment ref="F75" authorId="0">
      <text>
        <t>ex_945603.htm | three months ended March 31, 2025 — Financial Information By Segment, Truckload operating income | 2,040</t>
      </text>
    </comment>
    <comment ref="G75" authorId="0">
      <text>
        <t>ex_987956.htm | three months ended June 30, 2025 — Financial Information By Segment, Truckload operating income | 3,369</t>
      </text>
    </comment>
    <comment ref="C76" authorId="0">
      <text>
        <t>ex_870337.htm | three months ended September 30, 2024 — Operating Statistics, Truckload total tractors | 1,989</t>
      </text>
    </comment>
    <comment ref="D76" authorId="0">
      <text>
        <t>ex_907715.htm | three months ended December 31, 2024 — Operating Statistics, Truckload total tractors | 1,919</t>
      </text>
    </comment>
    <comment ref="E76" authorId="0">
      <text>
        <t>ex_907715.htm | twelve months ended December 31, 2024 — Operating Statistics, Truckload total tractors | 1,919</t>
      </text>
    </comment>
    <comment ref="F76" authorId="0">
      <text>
        <t>ex_945603.htm | three months ended March 31, 2025 — Operating Statistics, Truckload total tractors | 1,852</t>
      </text>
    </comment>
    <comment ref="G76" authorId="0">
      <text>
        <t>ex_987956.htm | three months ended June 30, 2025 — Operating Statistics, Truckload total tractors | 2,041</t>
      </text>
    </comment>
    <comment ref="C77" authorId="0">
      <text>
        <t>ex_870337.htm | three months ended September 30, 2024 — Operating Statistics, Truckload trailers | 13,205</t>
      </text>
    </comment>
    <comment ref="D77" authorId="0">
      <text>
        <t>ex_907715.htm | three months ended December 31, 2024 — Operating Statistics, Truckload trailers | 12,895</t>
      </text>
    </comment>
    <comment ref="E77" authorId="0">
      <text>
        <t>ex_907715.htm | twelve months ended December 31, 2024 — Operating Statistics, Truckload trailers | 12,895</t>
      </text>
    </comment>
    <comment ref="F77" authorId="0">
      <text>
        <t>ex_945603.htm | three months ended March 31, 2025 — Operating Statistics, Truckload trailers | 12,675</t>
      </text>
    </comment>
    <comment ref="G77" authorId="0">
      <text>
        <t>ex_987956.htm | three months ended June 30, 2025 — Operating Statistics, Truckload trailers | 12,785</t>
      </text>
    </comment>
    <comment ref="C78" authorId="0">
      <text>
        <t>ex_870337.htm | three months ended September 30, 2024 — Operating Statistics, Truckload average effective trailing usage | 12,588</t>
      </text>
    </comment>
    <comment ref="D78" authorId="0">
      <text>
        <t>ex_907715.htm | three months ended December 31, 2024 — Operating Statistics, Truckload average effective trailing usage | 12,130</t>
      </text>
    </comment>
    <comment ref="E78" authorId="0">
      <text>
        <t>ex_907715.htm | twelve months ended December 31, 2024 — Operating Statistics, Truckload average effective trailing usage | 12,552</t>
      </text>
    </comment>
    <comment ref="F78" authorId="0">
      <text>
        <t>ex_945603.htm | three months ended March 31, 2025 — Operating Statistics, Truckload average effective trailing usage | 12,096</t>
      </text>
    </comment>
    <comment ref="G78" authorId="0">
      <text>
        <t>ex_987956.htm | three months ended June 30, 2025 — Operating Statistics, Truckload average effective trailing usage | 12,144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9" authorId="0">
      <text>
        <t>ex_870337.htm | three months ended September 30, 2025 — Condensed Consolidated Statements of Earnings, Operating revenues, excl. fuel surcharge | 2,667,276</t>
      </text>
    </comment>
    <comment ref="D9" authorId="0">
      <text>
        <t>ex_907715.htm | three months ended December 31, 2025 — Condensed Consolidated Statements of Earnings, Operating revenues, excl. fuel surcharge | 2,720,098</t>
      </text>
    </comment>
    <comment ref="F9" authorId="0">
      <text>
        <t>ex_945603.htm | three months ended March 31, 2026 — Condensed Consolidated Statements of Earnings, Operating revenues, excl. fuel surcharge | 2,648,493</t>
      </text>
    </comment>
    <comment ref="G9" authorId="0">
      <text>
        <t>ex_987956.htm | three months ended June 30, 2026 — Condensed Consolidated Statements of Earnings, Operating revenues, excl. fuel surcharge | 2,853,836</t>
      </text>
    </comment>
    <comment ref="C11" authorId="0">
      <text>
        <t>ex_870337.htm | three months ended September 30, 2025 — Condensed Consolidated Statements of Earnings, Fuel surcharge revenues | 385,621</t>
      </text>
    </comment>
    <comment ref="D11" authorId="0">
      <text>
        <t>ex_907715.htm | three months ended December 31, 2025 — Condensed Consolidated Statements of Earnings, Fuel surcharge revenues | 376,528</t>
      </text>
    </comment>
    <comment ref="F11" authorId="0">
      <text>
        <t>ex_945603.htm | three months ended March 31, 2026 — Condensed Consolidated Statements of Earnings, Fuel surcharge revenues | 407,998</t>
      </text>
    </comment>
    <comment ref="G11" authorId="0">
      <text>
        <t>ex_987956.htm | three months ended June 30, 2026 — Condensed Consolidated Statements of Earnings, Fuel surcharge revenues | 641,460</t>
      </text>
    </comment>
    <comment ref="C19" authorId="0">
      <text>
        <t>ex_870337.htm | three months ended September 30, 2025 — Condensed Consolidated Statements of Earnings, Rents and purchased transportation | 1,332,386</t>
      </text>
    </comment>
    <comment ref="D19" authorId="0">
      <text>
        <t>ex_907715.htm | three months ended December 31, 2025 — Condensed Consolidated Statements of Earnings, Rents and purchased transportation | 1,413,783</t>
      </text>
    </comment>
    <comment ref="F19" authorId="0">
      <text>
        <t>ex_945603.htm | three months ended March 31, 2026 — Condensed Consolidated Statements of Earnings, Rents and purchased transportation | 1,404,900</t>
      </text>
    </comment>
    <comment ref="G19" authorId="0">
      <text>
        <t>ex_987956.htm | three months ended June 30, 2026 — Condensed Consolidated Statements of Earnings, Rents and purchased transportation | 1,677,280</t>
      </text>
    </comment>
    <comment ref="C21" authorId="0">
      <text>
        <t>ex_870337.htm | three months ended September 30, 2025 — Condensed Consolidated Statements of Earnings, Salaries, wages and employee benefits | 822,193</t>
      </text>
    </comment>
    <comment ref="D21" authorId="0">
      <text>
        <t>ex_907715.htm | three months ended December 31, 2025 — Condensed Consolidated Statements of Earnings, Salaries, wages and employee benefits | 797,538</t>
      </text>
    </comment>
    <comment ref="F21" authorId="0">
      <text>
        <t>ex_945603.htm | three months ended March 31, 2026 — Condensed Consolidated Statements of Earnings, Salaries, wages and employee benefits | 785,596</t>
      </text>
    </comment>
    <comment ref="G21" authorId="0">
      <text>
        <t>ex_987956.htm | three months ended June 30, 2026 — Condensed Consolidated Statements of Earnings, Salaries, wages and employee benefits | 820,352</t>
      </text>
    </comment>
    <comment ref="C26" authorId="0">
      <text>
        <t>ex_870337.htm | three months ended September 30, 2025 — Condensed Consolidated Statements of Earnings, Depreciation and amortization | 179,125</t>
      </text>
    </comment>
    <comment ref="D26" authorId="0">
      <text>
        <t>ex_907715.htm | three months ended December 31, 2025 — Condensed Consolidated Statements of Earnings, Depreciation and amortization | 179,205</t>
      </text>
    </comment>
    <comment ref="F26" authorId="0">
      <text>
        <t>ex_945603.htm | three months ended March 31, 2026 — Condensed Consolidated Statements of Earnings, Depreciation and amortization | 179,410</t>
      </text>
    </comment>
    <comment ref="G26" authorId="0">
      <text>
        <t>ex_987956.htm | three months ended June 30, 2026 — Condensed Consolidated Statements of Earnings, Depreciation and amortization | 180,610</t>
      </text>
    </comment>
    <comment ref="C28" authorId="0">
      <text>
        <t>ex_870337.htm | three months ended September 30, 2025 — Condensed Consolidated Statements of Earnings, Fuel and fuel taxes | 164,008</t>
      </text>
    </comment>
    <comment ref="D28" authorId="0">
      <text>
        <t>ex_907715.htm | three months ended December 31, 2025 — Condensed Consolidated Statements of Earnings, Fuel and fuel taxes | 155,672</t>
      </text>
    </comment>
    <comment ref="F28" authorId="0">
      <text>
        <t>ex_945603.htm | three months ended March 31, 2026 — Condensed Consolidated Statements of Earnings, Fuel and fuel taxes | 175,059</t>
      </text>
    </comment>
    <comment ref="G28" authorId="0">
      <text>
        <t>ex_987956.htm | three months ended June 30, 2026 — Condensed Consolidated Statements of Earnings, Fuel and fuel taxes | 235,208</t>
      </text>
    </comment>
    <comment ref="C30" authorId="0">
      <text>
        <t>ex_870337.htm | three months ended September 30, 2025 — Condensed Consolidated Statements of Earnings, Operating supplies and expenses | 132,701</t>
      </text>
    </comment>
    <comment ref="D30" authorId="0">
      <text>
        <t>ex_907715.htm | three months ended December 31, 2025 — Condensed Consolidated Statements of Earnings, Operating supplies and expenses | 127,241</t>
      </text>
    </comment>
    <comment ref="F30" authorId="0">
      <text>
        <t>ex_945603.htm | three months ended March 31, 2026 — Condensed Consolidated Statements of Earnings, Operating supplies and expenses | 125,261</t>
      </text>
    </comment>
    <comment ref="G30" authorId="0">
      <text>
        <t>ex_987956.htm | three months ended June 30, 2026 — Condensed Consolidated Statements of Earnings, Operating supplies and expenses | 138,870</t>
      </text>
    </comment>
    <comment ref="C32" authorId="0">
      <text>
        <t>ex_870337.htm | three months ended September 30, 2025 — Condensed Consolidated Statements of Earnings, Insurance and claims | 82,015</t>
      </text>
    </comment>
    <comment ref="D32" authorId="0">
      <text>
        <t>ex_907715.htm | three months ended December 31, 2025 — Condensed Consolidated Statements of Earnings, Insurance and claims | 82,819</t>
      </text>
    </comment>
    <comment ref="F32" authorId="0">
      <text>
        <t>ex_945603.htm | three months ended March 31, 2026 — Condensed Consolidated Statements of Earnings, Insurance and claims | 87,750</t>
      </text>
    </comment>
    <comment ref="G32" authorId="0">
      <text>
        <t>ex_987956.htm | three months ended June 30, 2026 — Condensed Consolidated Statements of Earnings, Insurance and claims | 88,792</t>
      </text>
    </comment>
    <comment ref="C34" authorId="0">
      <text>
        <t>ex_870337.htm | three months ended September 30, 2025 — Condensed Consolidated Statements of Earnings, General and administrative, net of asset dispositions | 69,004</t>
      </text>
    </comment>
    <comment ref="D34" authorId="0">
      <text>
        <t>ex_907715.htm | three months ended December 31, 2025 — Condensed Consolidated Statements of Earnings, General and administrative, net of asset dispositions | 64,656</t>
      </text>
    </comment>
    <comment ref="F34" authorId="0">
      <text>
        <t>ex_945603.htm | three months ended March 31, 2026 — Condensed Consolidated Statements of Earnings, General and administrative, net of asset dispositions | 61,853</t>
      </text>
    </comment>
    <comment ref="G34" authorId="0">
      <text>
        <t>ex_987956.htm | three months ended June 30, 2026 — Condensed Consolidated Statements of Earnings, General and administrative, net of asset dispositions | 65,718</t>
      </text>
    </comment>
    <comment ref="C36" authorId="0">
      <text>
        <t>ex_870337.htm | three months ended September 30, 2025 — Condensed Consolidated Statements of Earnings, Operating taxes and licenses | 18,020</t>
      </text>
    </comment>
    <comment ref="D36" authorId="0">
      <text>
        <t>ex_907715.htm | three months ended December 31, 2025 — Condensed Consolidated Statements of Earnings, Operating taxes and licenses | 18,300</t>
      </text>
    </comment>
    <comment ref="F36" authorId="0">
      <text>
        <t>ex_945603.htm | three months ended March 31, 2026 — Condensed Consolidated Statements of Earnings, Operating taxes and licenses | 18,533</t>
      </text>
    </comment>
    <comment ref="G36" authorId="0">
      <text>
        <t>ex_987956.htm | three months ended June 30, 2026 — Condensed Consolidated Statements of Earnings, Operating taxes and licenses | 18,920</t>
      </text>
    </comment>
    <comment ref="C38" authorId="0">
      <text>
        <t>ex_870337.htm | three months ended September 30, 2025 — Condensed Consolidated Statements of Earnings, Communication and utilities | 10,788</t>
      </text>
    </comment>
    <comment ref="D38" authorId="0">
      <text>
        <t>ex_907715.htm | three months ended December 31, 2025 — Condensed Consolidated Statements of Earnings, Communication and utilities | 10,955</t>
      </text>
    </comment>
    <comment ref="F38" authorId="0">
      <text>
        <t>ex_945603.htm | three months ended March 31, 2026 — Condensed Consolidated Statements of Earnings, Communication and utilities | 11,081</t>
      </text>
    </comment>
    <comment ref="G38" authorId="0">
      <text>
        <t>ex_987956.htm | three months ended June 30, 2026 — Condensed Consolidated Statements of Earnings, Communication and utilities | 10,094</t>
      </text>
    </comment>
    <comment ref="C47" authorId="0">
      <text>
        <t>ex_870337.htm | three months ended September 30, 2025 — Condensed Consolidated Statements of Earnings, Net interest expense | 17,871</t>
      </text>
    </comment>
    <comment ref="D47" authorId="0">
      <text>
        <t>ex_907715.htm | three months ended December 31, 2025 — Condensed Consolidated Statements of Earnings, Net interest expense | 13,203</t>
      </text>
    </comment>
    <comment ref="F47" authorId="0">
      <text>
        <t>ex_945603.htm | three months ended March 31, 2026 — Condensed Consolidated Statements of Earnings, Net interest expense | 17,900</t>
      </text>
    </comment>
    <comment ref="G47" authorId="0">
      <text>
        <t>ex_987956.htm | three months ended June 30, 2026 — Condensed Consolidated Statements of Earnings, Net interest expense | 16,768</t>
      </text>
    </comment>
    <comment ref="C52" authorId="0">
      <text>
        <t>ex_870337.htm | three months ended September 30, 2025 — Condensed Consolidated Statements of Earnings, Income taxes | 53,937</t>
      </text>
    </comment>
    <comment ref="D52" authorId="0">
      <text>
        <t>ex_907715.htm | three months ended December 31, 2025 — Condensed Consolidated Statements of Earnings, Income taxes | 52,184</t>
      </text>
    </comment>
    <comment ref="F52" authorId="0">
      <text>
        <t>ex_945603.htm | three months ended March 31, 2026 — Condensed Consolidated Statements of Earnings, Income taxes | 47,595</t>
      </text>
    </comment>
    <comment ref="G52" authorId="0">
      <text>
        <t>ex_987956.htm | three months ended June 30, 2026 — Condensed Consolidated Statements of Earnings, Income taxes | 61,650</t>
      </text>
    </comment>
    <comment ref="C69" authorId="0">
      <text>
        <t>ex_870337.htm | three months ended September 30, 2025 — Diluted earnings per share | 1.76</t>
      </text>
    </comment>
    <comment ref="D69" authorId="0">
      <text>
        <t>ex_907715.htm | three months ended December 31, 2025 — Diluted earnings per share | 1.90</t>
      </text>
    </comment>
    <comment ref="E69" authorId="0">
      <text>
        <t>ex_907715.htm | twelve months ended December 31, 2025 — Diluted earnings per share | 6.12</t>
      </text>
    </comment>
    <comment ref="F69" authorId="0">
      <text>
        <t>ex_945603.htm | three months ended March 31, 2026 — Diluted earnings per share | 1.49</t>
      </text>
    </comment>
    <comment ref="G69" authorId="0">
      <text>
        <t>ex_987956.htm | three months ended June 30, 2026 — Diluted earnings per share | 1.91</t>
      </text>
    </comment>
    <comment ref="E81" authorId="0">
      <text>
        <t>ex_907715.htm | twelve months ended December 31, 2025 — Statements of Earnings (twelve months) | 11,999,096</t>
      </text>
    </comment>
    <comment ref="E82" authorId="0">
      <text>
        <t>ex_907715.htm | twelve months ended December 31, 2025 — Statements of Earnings (twelve months) | 865,069</t>
      </text>
    </comment>
    <comment ref="C87" authorId="0">
      <text>
        <t>ex_870337.htm | three months ended September 30, 2024 — Statements of Earnings, Operating revenues, excl. fuel surcharge | 2,678,484</t>
      </text>
    </comment>
    <comment ref="D87" authorId="0">
      <text>
        <t>ex_907715.htm | three months ended December 31, 2024 — Statements of Earnings, Operating revenues, excl. fuel surcharge | 2,781,717</t>
      </text>
    </comment>
    <comment ref="E87" authorId="0">
      <text>
        <t>ex_907715.htm | twelve months ended December 31, 2024 — Statements of Earnings, Operating revenues, excl. fuel surcharge | 10,557,709</t>
      </text>
    </comment>
    <comment ref="F87" authorId="0">
      <text>
        <t>ex_945603.htm | three months ended March 31, 2025 — Statements of Earnings, Operating revenues, excl. fuel surcharge | 2,559,729</t>
      </text>
    </comment>
    <comment ref="G87" authorId="0">
      <text>
        <t>ex_987956.htm | three months ended June 30, 2025 — Statements of Earnings, Operating revenues, excl. fuel surcharge | 2,576,319</t>
      </text>
    </comment>
    <comment ref="C88" authorId="0">
      <text>
        <t>ex_870337.htm | three months ended September 30, 2024 — Statements of Earnings, Fuel surcharge revenues | 389,687</t>
      </text>
    </comment>
    <comment ref="D88" authorId="0">
      <text>
        <t>ex_907715.htm | three months ended December 31, 2024 — Statements of Earnings, Fuel surcharge revenues | 364,631</t>
      </text>
    </comment>
    <comment ref="E88" authorId="0">
      <text>
        <t>ex_907715.htm | twelve months ended December 31, 2024 — Statements of Earnings, Fuel surcharge revenues | 1,529,495</t>
      </text>
    </comment>
    <comment ref="F88" authorId="0">
      <text>
        <t>ex_945603.htm | three months ended March 31, 2025 — Statements of Earnings, Fuel surcharge revenues | 361,663</t>
      </text>
    </comment>
    <comment ref="G88" authorId="0">
      <text>
        <t>ex_987956.htm | three months ended June 30, 2025 — Statements of Earnings, Fuel surcharge revenues | 351,862</t>
      </text>
    </comment>
    <comment ref="C89" authorId="0">
      <text>
        <t>ex_870337.htm | three months ended September 30, 2024 — Statements of Earnings, Rents and purchased transportation | 1,380,380</t>
      </text>
    </comment>
    <comment ref="D89" authorId="0">
      <text>
        <t>ex_907715.htm | three months ended December 31, 2024 — Statements of Earnings, Rents and purchased transportation | 1,442,957</t>
      </text>
    </comment>
    <comment ref="E89" authorId="0">
      <text>
        <t>ex_907715.htm | twelve months ended December 31, 2024 — Statements of Earnings, Rents and purchased transportation | 5,378,336</t>
      </text>
    </comment>
    <comment ref="F89" authorId="0">
      <text>
        <t>ex_945603.htm | three months ended March 31, 2025 — Statements of Earnings, Rents and purchased transportation | 1,293,328</t>
      </text>
    </comment>
    <comment ref="G89" authorId="0">
      <text>
        <t>ex_987956.htm | three months ended June 30, 2025 — Statements of Earnings, Rents and purchased transportation | 1,266,908</t>
      </text>
    </comment>
    <comment ref="C90" authorId="0">
      <text>
        <t>ex_870337.htm | three months ended September 30, 2024 — Statements of Earnings, Salaries, wages and employee benefits | 809,494</t>
      </text>
    </comment>
    <comment ref="D90" authorId="0">
      <text>
        <t>ex_907715.htm | three months ended December 31, 2024 — Statements of Earnings, Salaries, wages and employee benefits | 812,015</t>
      </text>
    </comment>
    <comment ref="E90" authorId="0">
      <text>
        <t>ex_907715.htm | twelve months ended December 31, 2024 — Statements of Earnings, Salaries, wages and employee benefits | 3,232,440</t>
      </text>
    </comment>
    <comment ref="F90" authorId="0">
      <text>
        <t>ex_945603.htm | three months ended March 31, 2025 — Statements of Earnings, Salaries, wages and employee benefits | 799,648</t>
      </text>
    </comment>
    <comment ref="G90" authorId="0">
      <text>
        <t>ex_987956.htm | three months ended June 30, 2025 — Statements of Earnings, Salaries, wages and employee benefits | 816,941</t>
      </text>
    </comment>
    <comment ref="C91" authorId="0">
      <text>
        <t>ex_870337.htm | three months ended September 30, 2024 — Statements of Earnings, Depreciation and amortization | 187,982</t>
      </text>
    </comment>
    <comment ref="D91" authorId="0">
      <text>
        <t>ex_907715.htm | three months ended December 31, 2024 — Statements of Earnings, Depreciation and amortization | 205,504</t>
      </text>
    </comment>
    <comment ref="E91" authorId="0">
      <text>
        <t>ex_907715.htm | twelve months ended December 31, 2024 — Statements of Earnings, Depreciation and amortization | 761,141</t>
      </text>
    </comment>
    <comment ref="F91" authorId="0">
      <text>
        <t>ex_945603.htm | three months ended March 31, 2025 — Statements of Earnings, Depreciation and amortization | 179,476</t>
      </text>
    </comment>
    <comment ref="G91" authorId="0">
      <text>
        <t>ex_987956.htm | three months ended June 30, 2025 — Statements of Earnings, Depreciation and amortization | 176,980</t>
      </text>
    </comment>
    <comment ref="C92" authorId="0">
      <text>
        <t>ex_870337.htm | three months ended September 30, 2024 — Statements of Earnings, Fuel and fuel taxes | 158,792</t>
      </text>
    </comment>
    <comment ref="D92" authorId="0">
      <text>
        <t>ex_907715.htm | three months ended December 31, 2024 — Statements of Earnings, Fuel and fuel taxes | 155,519</t>
      </text>
    </comment>
    <comment ref="E92" authorId="0">
      <text>
        <t>ex_907715.htm | twelve months ended December 31, 2024 — Statements of Earnings, Fuel and fuel taxes | 652,129</t>
      </text>
    </comment>
    <comment ref="F92" authorId="0">
      <text>
        <t>ex_945603.htm | three months ended March 31, 2025 — Statements of Earnings, Fuel and fuel taxes | 159,933</t>
      </text>
    </comment>
    <comment ref="G92" authorId="0">
      <text>
        <t>ex_987956.htm | three months ended June 30, 2025 — Statements of Earnings, Fuel and fuel taxes | 153,710</t>
      </text>
    </comment>
    <comment ref="C93" authorId="0">
      <text>
        <t>ex_870337.htm | three months ended September 30, 2024 — Statements of Earnings, Operating supplies and expenses | 127,889</t>
      </text>
    </comment>
    <comment ref="D93" authorId="0">
      <text>
        <t>ex_907715.htm | three months ended December 31, 2024 — Statements of Earnings, Operating supplies and expenses | 124,070</t>
      </text>
    </comment>
    <comment ref="E93" authorId="0">
      <text>
        <t>ex_907715.htm | twelve months ended December 31, 2024 — Statements of Earnings, Operating supplies and expenses | 495,375</t>
      </text>
    </comment>
    <comment ref="F93" authorId="0">
      <text>
        <t>ex_945603.htm | three months ended March 31, 2025 — Statements of Earnings, Operating supplies and expenses | 123,452</t>
      </text>
    </comment>
    <comment ref="G93" authorId="0">
      <text>
        <t>ex_987956.htm | three months ended June 30, 2025 — Statements of Earnings, Operating supplies and expenses | 128,245</t>
      </text>
    </comment>
    <comment ref="C94" authorId="0">
      <text>
        <t>ex_870337.htm | three months ended September 30, 2024 — Statements of Earnings, Insurance and claims | 78,441</t>
      </text>
    </comment>
    <comment ref="D94" authorId="0">
      <text>
        <t>ex_907715.htm | three months ended December 31, 2024 — Statements of Earnings, Insurance and claims | 86,316</t>
      </text>
    </comment>
    <comment ref="E94" authorId="0">
      <text>
        <t>ex_907715.htm | twelve months ended December 31, 2024 — Statements of Earnings, Insurance and claims | 313,664</t>
      </text>
    </comment>
    <comment ref="F94" authorId="0">
      <text>
        <t>ex_945603.htm | three months ended March 31, 2025 — Statements of Earnings, Insurance and claims | 85,017</t>
      </text>
    </comment>
    <comment ref="G94" authorId="0">
      <text>
        <t>ex_987956.htm | three months ended June 30, 2025 — Statements of Earnings, Insurance and claims | 84,838</t>
      </text>
    </comment>
    <comment ref="C95" authorId="0">
      <text>
        <t>ex_870337.htm | three months ended September 30, 2024 — Statements of Earnings, General and administrative, net of asset dispositions | 72,389</t>
      </text>
    </comment>
    <comment ref="D95" authorId="0">
      <text>
        <t>ex_907715.htm | three months ended December 31, 2024 — Statements of Earnings, General and administrative, net of asset dispositions | 82,476</t>
      </text>
    </comment>
    <comment ref="E95" authorId="0">
      <text>
        <t>ex_907715.htm | twelve months ended December 31, 2024 — Statements of Earnings, General and administrative, net of asset dispositions | 306,355</t>
      </text>
    </comment>
    <comment ref="F95" authorId="0">
      <text>
        <t>ex_945603.htm | three months ended March 31, 2025 — Statements of Earnings, General and administrative, net of asset dispositions | 72,971</t>
      </text>
    </comment>
    <comment ref="G95" authorId="0">
      <text>
        <t>ex_987956.htm | three months ended June 30, 2025 — Statements of Earnings, General and administrative, net of asset dispositions | 74,876</t>
      </text>
    </comment>
    <comment ref="C96" authorId="0">
      <text>
        <t>ex_870337.htm | three months ended September 30, 2024 — Statements of Earnings, Operating taxes and licenses | 17,705</t>
      </text>
    </comment>
    <comment ref="D96" authorId="0">
      <text>
        <t>ex_907715.htm | three months ended December 31, 2024 — Statements of Earnings, Operating taxes and licenses | 19,732</t>
      </text>
    </comment>
    <comment ref="E96" authorId="0">
      <text>
        <t>ex_907715.htm | twelve months ended December 31, 2024 — Statements of Earnings, Operating taxes and licenses | 72,547</t>
      </text>
    </comment>
    <comment ref="F96" authorId="0">
      <text>
        <t>ex_945603.htm | three months ended March 31, 2025 — Statements of Earnings, Operating taxes and licenses | 17,480</t>
      </text>
    </comment>
    <comment ref="G96" authorId="0">
      <text>
        <t>ex_987956.htm | three months ended June 30, 2025 — Statements of Earnings, Operating taxes and licenses | 17,770</t>
      </text>
    </comment>
    <comment ref="C97" authorId="0">
      <text>
        <t>ex_870337.htm | three months ended September 30, 2024 — Statements of Earnings, Communication and utilities | 10,991</t>
      </text>
    </comment>
    <comment ref="D97" authorId="0">
      <text>
        <t>ex_907715.htm | three months ended December 31, 2024 — Statements of Earnings, Communication and utilities | 10,720</t>
      </text>
    </comment>
    <comment ref="E97" authorId="0">
      <text>
        <t>ex_907715.htm | twelve months ended December 31, 2024 — Statements of Earnings, Communication and utilities | 43,992</t>
      </text>
    </comment>
    <comment ref="F97" authorId="0">
      <text>
        <t>ex_945603.htm | three months ended March 31, 2025 — Statements of Earnings, Communication and utilities | 11,407</t>
      </text>
    </comment>
    <comment ref="G97" authorId="0">
      <text>
        <t>ex_987956.htm | three months ended June 30, 2025 — Statements of Earnings, Communication and utilities | 10,639</t>
      </text>
    </comment>
    <comment ref="C98" authorId="0">
      <text>
        <t>ex_870337.htm | three months ended September 30, 2024 — Statements of Earnings, Net interest expense | 20,751</t>
      </text>
    </comment>
    <comment ref="D98" authorId="0">
      <text>
        <t>ex_907715.htm | three months ended December 31, 2024 — Statements of Earnings, Net interest expense | 15,111</t>
      </text>
    </comment>
    <comment ref="E98" authorId="0">
      <text>
        <t>ex_907715.htm | twelve months ended December 31, 2024 — Statements of Earnings, Net interest expense | 71,709</t>
      </text>
    </comment>
    <comment ref="F98" authorId="0">
      <text>
        <t>ex_945603.htm | three months ended March 31, 2025 — Statements of Earnings, Net interest expense | 18,597</t>
      </text>
    </comment>
    <comment ref="G98" authorId="0">
      <text>
        <t>ex_987956.htm | three months ended June 30, 2025 — Statements of Earnings, Net interest expense | 21,285</t>
      </text>
    </comment>
    <comment ref="C99" authorId="0">
      <text>
        <t>ex_870337.htm | three months ended September 30, 2024 — Statements of Earnings, Income taxes | 51,291</t>
      </text>
    </comment>
    <comment ref="D99" authorId="0">
      <text>
        <t>ex_907715.htm | three months ended December 31, 2024 — Statements of Earnings, Income taxes | 36,474</t>
      </text>
    </comment>
    <comment ref="E99" authorId="0">
      <text>
        <t>ex_907715.htm | twelve months ended December 31, 2024 — Statements of Earnings, Income taxes | 188,630</t>
      </text>
    </comment>
    <comment ref="F99" authorId="0">
      <text>
        <t>ex_945603.htm | three months ended March 31, 2025 — Statements of Earnings, Income taxes | 42,343</t>
      </text>
    </comment>
    <comment ref="G99" authorId="0">
      <text>
        <t>ex_987956.htm | three months ended June 30, 2025 — Statements of Earnings, Income taxes | 47,365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9" authorId="0">
      <text>
        <t>ex_870337.htm | Condensed Consolidated Balance Sheets, September 30, 2025 — Cash and cash equivalents | 52,290</t>
      </text>
    </comment>
    <comment ref="D9" authorId="0">
      <text>
        <t>ex_907715.htm | Condensed Consolidated Balance Sheets, December 31, 2025 — Cash and cash equivalents | 17,284</t>
      </text>
    </comment>
    <comment ref="F9" authorId="0">
      <text>
        <t>ex_945603.htm | Condensed Consolidated Balance Sheets, March 31, 2026 — Cash and cash equivalents | 4,563</t>
      </text>
    </comment>
    <comment ref="G9" authorId="0">
      <text>
        <t>ex_987956.htm | Condensed Consolidated Balance Sheets, June 30, 2026 — Cash and cash equivalents | 4,162</t>
      </text>
    </comment>
    <comment ref="C10" authorId="0">
      <text>
        <t>ex_870337.htm | Condensed Consolidated Balance Sheets, September 30, 2025 — Accounts receivable, net | 1,231,356</t>
      </text>
    </comment>
    <comment ref="D10" authorId="0">
      <text>
        <t>ex_907715.htm | Condensed Consolidated Balance Sheets, December 31, 2025 — Accounts receivable, net | 1,160,371</t>
      </text>
    </comment>
    <comment ref="F10" authorId="0">
      <text>
        <t>ex_945603.htm | Condensed Consolidated Balance Sheets, March 31, 2026 — Accounts receivable, net | 1,327,455</t>
      </text>
    </comment>
    <comment ref="G10" authorId="0">
      <text>
        <t>ex_987956.htm | Condensed Consolidated Balance Sheets, June 30, 2026 — Accounts receivable, net | 1,461,271</t>
      </text>
    </comment>
    <comment ref="C11" authorId="0">
      <text>
        <t>ex_870337.htm | Condensed Consolidated Balance Sheets, September 30, 2025 — Prepaid expenses and other | 392,636</t>
      </text>
    </comment>
    <comment ref="D11" authorId="0">
      <text>
        <t>ex_907715.htm | Condensed Consolidated Balance Sheets, December 31, 2025 — Prepaid expenses and other | 426,535</t>
      </text>
    </comment>
    <comment ref="F11" authorId="0">
      <text>
        <t>ex_945603.htm | Condensed Consolidated Balance Sheets, March 31, 2026 — Prepaid expenses and other | 385,417</t>
      </text>
    </comment>
    <comment ref="G11" authorId="0">
      <text>
        <t>ex_987956.htm | Condensed Consolidated Balance Sheets, June 30, 2026 — Prepaid expenses and other | 347,913</t>
      </text>
    </comment>
    <comment ref="C13" authorId="0">
      <text>
        <t>ex_870337.htm | Condensed Consolidated Balance Sheets, September 30, 2025 — Property and equipment, gross | 9,341,316</t>
      </text>
    </comment>
    <comment ref="D13" authorId="0">
      <text>
        <t>ex_907715.htm | Condensed Consolidated Balance Sheets, December 31, 2025 — Property and equipment, gross | 9,348,370</t>
      </text>
    </comment>
    <comment ref="F13" authorId="0">
      <text>
        <t>ex_945603.htm | Condensed Consolidated Balance Sheets, March 31, 2026 — Property and equipment, gross | 9,330,847</t>
      </text>
    </comment>
    <comment ref="G13" authorId="0">
      <text>
        <t>ex_987956.htm | Condensed Consolidated Balance Sheets, June 30, 2026 — Property and equipment, gross | 9,359,388</t>
      </text>
    </comment>
    <comment ref="C14" authorId="0">
      <text>
        <t>ex_870337.htm | Condensed Consolidated Balance Sheets, September 30, 2025 — Less accumulated depreciation | 3,700,489</t>
      </text>
    </comment>
    <comment ref="D14" authorId="0">
      <text>
        <t>ex_907715.htm | Condensed Consolidated Balance Sheets, December 31, 2025 — Less accumulated depreciation | 3,810,269</t>
      </text>
    </comment>
    <comment ref="F14" authorId="0">
      <text>
        <t>ex_945603.htm | Condensed Consolidated Balance Sheets, March 31, 2026 — Less accumulated depreciation | 3,895,731</t>
      </text>
    </comment>
    <comment ref="G14" authorId="0">
      <text>
        <t>ex_987956.htm | Condensed Consolidated Balance Sheets, June 30, 2026 — Less accumulated depreciation | 3,988,837</t>
      </text>
    </comment>
    <comment ref="C16" authorId="0">
      <text>
        <t>ex_870337.htm | Condensed Consolidated Balance Sheets, September 30, 2025 — Other assets, net | 790,543</t>
      </text>
    </comment>
    <comment ref="D16" authorId="0">
      <text>
        <t>ex_907715.htm | Condensed Consolidated Balance Sheets, December 31, 2025 — Other assets, net | 784,864</t>
      </text>
    </comment>
    <comment ref="F16" authorId="0">
      <text>
        <t>ex_945603.htm | Condensed Consolidated Balance Sheets, March 31, 2026 — Other assets, net | 777,989</t>
      </text>
    </comment>
    <comment ref="G16" authorId="0">
      <text>
        <t>ex_987956.htm | Condensed Consolidated Balance Sheets, June 30, 2026 — Other assets, net | 760,881</t>
      </text>
    </comment>
    <comment ref="C19" authorId="0">
      <text>
        <t>ex_870337.htm | Condensed Consolidated Balance Sheets, September 30, 2025 — Current debt | 699,647</t>
      </text>
    </comment>
    <comment ref="D19" authorId="0">
      <text>
        <t>ex_907715.htm | Condensed Consolidated Balance Sheets, December 31, 2025 — Current debt | 699,859</t>
      </text>
    </comment>
    <comment ref="F19" authorId="0">
      <text>
        <t>ex_945603.htm | Condensed Consolidated Balance Sheets, March 31, 2026 — Current debt | -</t>
      </text>
    </comment>
    <comment ref="G19" authorId="0">
      <text>
        <t>ex_987956.htm | Condensed Consolidated Balance Sheets, June 30, 2026 — Current debt | -</t>
      </text>
    </comment>
    <comment ref="C20" authorId="0">
      <text>
        <t>ex_870337.htm | Condensed Consolidated Balance Sheets, September 30, 2025 — Trade accounts payable | 664,517</t>
      </text>
    </comment>
    <comment ref="D20" authorId="0">
      <text>
        <t>ex_907715.htm | Condensed Consolidated Balance Sheets, December 31, 2025 — Trade accounts payable | 655,604</t>
      </text>
    </comment>
    <comment ref="F20" authorId="0">
      <text>
        <t>ex_945603.htm | Condensed Consolidated Balance Sheets, March 31, 2026 — Trade accounts payable | 751,878</t>
      </text>
    </comment>
    <comment ref="G20" authorId="0">
      <text>
        <t>ex_987956.htm | Condensed Consolidated Balance Sheets, June 30, 2026 — Trade accounts payable | 792,348</t>
      </text>
    </comment>
    <comment ref="C21" authorId="0">
      <text>
        <t>ex_870337.htm | Condensed Consolidated Balance Sheets, September 30, 2025 — Claims accruals | 284,712</t>
      </text>
    </comment>
    <comment ref="D21" authorId="0">
      <text>
        <t>ex_907715.htm | Condensed Consolidated Balance Sheets, December 31, 2025 — Claims accruals | 310,339</t>
      </text>
    </comment>
    <comment ref="F21" authorId="0">
      <text>
        <t>ex_945603.htm | Condensed Consolidated Balance Sheets, March 31, 2026 — Claims accruals | 322,618</t>
      </text>
    </comment>
    <comment ref="G21" authorId="0">
      <text>
        <t>ex_987956.htm | Condensed Consolidated Balance Sheets, June 30, 2026 — Claims accruals | 322,235</t>
      </text>
    </comment>
    <comment ref="C22" authorId="0">
      <text>
        <t>ex_870337.htm | Condensed Consolidated Balance Sheets, September 30, 2025 — Accrued payroll | 141,778</t>
      </text>
    </comment>
    <comment ref="D22" authorId="0">
      <text>
        <t>ex_907715.htm | Condensed Consolidated Balance Sheets, December 31, 2025 — Accrued payroll | 110,388</t>
      </text>
    </comment>
    <comment ref="F22" authorId="0">
      <text>
        <t>ex_945603.htm | Condensed Consolidated Balance Sheets, March 31, 2026 — Accrued payroll | 127,369</t>
      </text>
    </comment>
    <comment ref="G22" authorId="0">
      <text>
        <t>ex_987956.htm | Condensed Consolidated Balance Sheets, June 30, 2026 — Accrued payroll | 153,185</t>
      </text>
    </comment>
    <comment ref="C23" authorId="0">
      <text>
        <t>ex_870337.htm | Condensed Consolidated Balance Sheets, September 30, 2025 — Other accrued expenses | 142,214</t>
      </text>
    </comment>
    <comment ref="D23" authorId="0">
      <text>
        <t>ex_907715.htm | Condensed Consolidated Balance Sheets, December 31, 2025 — Other accrued expenses | 159,153</t>
      </text>
    </comment>
    <comment ref="F23" authorId="0">
      <text>
        <t>ex_945603.htm | Condensed Consolidated Balance Sheets, March 31, 2026 — Other accrued expenses | 163,163</t>
      </text>
    </comment>
    <comment ref="G23" authorId="0">
      <text>
        <t>ex_987956.htm | Condensed Consolidated Balance Sheets, June 30, 2026 — Other accrued expenses | 176,895</t>
      </text>
    </comment>
    <comment ref="C25" authorId="0">
      <text>
        <t>ex_870337.htm | Condensed Consolidated Balance Sheets, September 30, 2025 — Long-term debt | 902,207</t>
      </text>
    </comment>
    <comment ref="D25" authorId="0">
      <text>
        <t>ex_907715.htm | Condensed Consolidated Balance Sheets, December 31, 2025 — Long-term debt | 766,938</t>
      </text>
    </comment>
    <comment ref="F25" authorId="0">
      <text>
        <t>ex_945603.htm | Condensed Consolidated Balance Sheets, March 31, 2026 — Long-term debt | 1,302,838</t>
      </text>
    </comment>
    <comment ref="G25" authorId="0">
      <text>
        <t>ex_987956.htm | Condensed Consolidated Balance Sheets, June 30, 2026 — Long-term debt | 1,145,337</t>
      </text>
    </comment>
    <comment ref="C26" authorId="0">
      <text>
        <t>ex_870337.htm | Condensed Consolidated Balance Sheets, September 30, 2025 — Long-term claims accruals | 420,430</t>
      </text>
    </comment>
    <comment ref="D26" authorId="0">
      <text>
        <t>ex_907715.htm | Condensed Consolidated Balance Sheets, December 31, 2025 — Long-term claims accruals | 444,479</t>
      </text>
    </comment>
    <comment ref="F26" authorId="0">
      <text>
        <t>ex_945603.htm | Condensed Consolidated Balance Sheets, March 31, 2026 — Long-term claims accruals | 480,696</t>
      </text>
    </comment>
    <comment ref="G26" authorId="0">
      <text>
        <t>ex_987956.htm | Condensed Consolidated Balance Sheets, June 30, 2026 — Long-term claims accruals | 487,457</t>
      </text>
    </comment>
    <comment ref="C27" authorId="0">
      <text>
        <t>ex_870337.htm | Condensed Consolidated Balance Sheets, September 30, 2025 — Other long-term liabilities | 341,921</t>
      </text>
    </comment>
    <comment ref="D27" authorId="0">
      <text>
        <t>ex_907715.htm | Condensed Consolidated Balance Sheets, December 31, 2025 — Other long-term liabilities | 307,005</t>
      </text>
    </comment>
    <comment ref="F27" authorId="0">
      <text>
        <t>ex_945603.htm | Condensed Consolidated Balance Sheets, March 31, 2026 — Other long-term liabilities | 298,895</t>
      </text>
    </comment>
    <comment ref="G27" authorId="0">
      <text>
        <t>ex_987956.htm | Condensed Consolidated Balance Sheets, June 30, 2026 — Other long-term liabilities | 298,697</t>
      </text>
    </comment>
    <comment ref="C28" authorId="0">
      <text>
        <t>ex_870337.htm | Condensed Consolidated Balance Sheets, September 30, 2025 — Deferred income taxes | 938,360</t>
      </text>
    </comment>
    <comment ref="D28" authorId="0">
      <text>
        <t>ex_907715.htm | Condensed Consolidated Balance Sheets, December 31, 2025 — Deferred income taxes | 908,305</t>
      </text>
    </comment>
    <comment ref="F28" authorId="0">
      <text>
        <t>ex_945603.htm | Condensed Consolidated Balance Sheets, March 31, 2026 — Deferred income taxes | 888,725</t>
      </text>
    </comment>
    <comment ref="G28" authorId="0">
      <text>
        <t>ex_987956.htm | Condensed Consolidated Balance Sheets, June 30, 2026 — Deferred income taxes | 911,509</t>
      </text>
    </comment>
    <comment ref="C31" authorId="0">
      <text>
        <t>ex_870337.htm | Condensed Consolidated Balance Sheets, September 30, 2025 — Stockholders' equity | 3,571,866</t>
      </text>
    </comment>
    <comment ref="D31" authorId="0">
      <text>
        <t>ex_907715.htm | Condensed Consolidated Balance Sheets, December 31, 2025 — Stockholders' equity | 3,565,085</t>
      </text>
    </comment>
    <comment ref="F31" authorId="0">
      <text>
        <t>ex_945603.htm | Condensed Consolidated Balance Sheets, March 31, 2026 — Stockholders' equity | 3,594,358</t>
      </text>
    </comment>
    <comment ref="G31" authorId="0">
      <text>
        <t>ex_987956.htm | Condensed Consolidated Balance Sheets, June 30, 2026 — Stockholders' equity | 3,657,115</t>
      </text>
    </comment>
    <comment ref="D46" authorId="0">
      <text>
        <t>ex_907715.htm | Condensed Consolidated Balance Sheets, December 31, 2024 — Accounts Receivable, net | 1,224,166</t>
      </text>
    </comment>
    <comment ref="E46" authorId="0">
      <text>
        <t>ex_907715.htm | Condensed Consolidated Balance Sheets, December 31, 2024 — Accounts Receivable, net | 1,224,166</t>
      </text>
    </comment>
    <comment ref="D47" authorId="0">
      <text>
        <t>ex_907715.htm | Condensed Consolidated Balance Sheets, December 31, 2024 — Trade accounts payable | 645,925</t>
      </text>
    </comment>
    <comment ref="E47" authorId="0">
      <text>
        <t>ex_907715.htm | Condensed Consolidated Balance Sheets, December 31, 2024 — Trade accounts payable | 645,925</t>
      </text>
    </comment>
  </commentList>
</comments>
</file>

<file path=xl/comments9.xml><?xml version="1.0" encoding="utf-8"?>
<comments xmlns="http://schemas.openxmlformats.org/spreadsheetml/2006/main">
  <authors>
    <author>Shortcut</author>
    <author>api</author>
  </authors>
  <commentList>
    <comment ref="C37" authorId="0">
      <text>
        <t>jbht20260630_10q.htm | Statements of Cash Flows, six months ended June 30, 2025 — Cash and cash equivalents at end of period | $50,901</t>
      </text>
    </comment>
    <comment ref="E37" authorId="0">
      <text>
        <t>jbht20251231_10k.htm | Consolidated Statements of Cash Flows — Cash and cash equivalents at beginning of year | 46,983</t>
      </text>
    </comment>
    <comment ref="C47" authorId="0">
      <text>
        <t>jbht20250930_10q.htm | Condensed Consolidated Statements of Cash Flows, nine months ended September 30, 2025 — Net earnings | 417,213</t>
      </text>
    </comment>
    <comment ref="D47" authorId="0">
      <text>
        <t>jbht20251231_10k.htm | Consolidated Statements of Cash Flows, year ended December 31, 2025 — Net earnings | 598,282</t>
      </text>
    </comment>
    <comment ref="F47" authorId="0">
      <text>
        <t>jbht20260331_10q.htm | Condensed Consolidated Statements of Cash Flows, three months ended March 31, 2026 — Net earnings | 141,553</t>
      </text>
    </comment>
    <comment ref="G47" authorId="0">
      <text>
        <t>jbht20260630_10q.htm | Condensed Consolidated Statements of Cash Flows, six months ended June 30, 2026 — Net earnings | 322,587</t>
      </text>
    </comment>
    <comment ref="C48" authorId="0">
      <text>
        <t>jbht20250930_10q.htm | Condensed Consolidated Statements of Cash Flows, nine months ended September 30, 2025 — Depreciation and amortization | 535,581</t>
      </text>
    </comment>
    <comment ref="D48" authorId="0">
      <text>
        <t>jbht20251231_10k.htm | Consolidated Statements of Cash Flows, year ended December 31, 2025 — Depreciation and amortization | 714,785</t>
      </text>
    </comment>
    <comment ref="F48" authorId="0">
      <text>
        <t>jbht20260331_10q.htm | Condensed Consolidated Statements of Cash Flows, three months ended March 31, 2026 — Depreciation and amortization | 179,410</t>
      </text>
    </comment>
    <comment ref="G48" authorId="0">
      <text>
        <t>jbht20260630_10q.htm | Condensed Consolidated Statements of Cash Flows, six months ended June 30, 2026 — Depreciation and amortization | 360,020</t>
      </text>
    </comment>
    <comment ref="C49" authorId="0">
      <text>
        <t>jbht20250930_10q.htm | Condensed Consolidated Statements of Cash Flows, nine months ended September 30, 2025 — Noncash lease expense | 72,305</t>
      </text>
    </comment>
    <comment ref="D49" authorId="0">
      <text>
        <t>jbht20251231_10k.htm | Consolidated Statements of Cash Flows, year ended December 31, 2025 — Noncash lease expense | 96,007</t>
      </text>
    </comment>
    <comment ref="F49" authorId="0">
      <text>
        <t>jbht20260331_10q.htm | Condensed Consolidated Statements of Cash Flows, three months ended March 31, 2026 — Noncash lease expense | 23,803</t>
      </text>
    </comment>
    <comment ref="G49" authorId="0">
      <text>
        <t>jbht20260630_10q.htm | Condensed Consolidated Statements of Cash Flows, six months ended June 30, 2026 — Noncash lease expense | 44,933</t>
      </text>
    </comment>
    <comment ref="C50" authorId="0">
      <text>
        <t>jbht20250930_10q.htm | Condensed Consolidated Statements of Cash Flows, nine months ended September 30, 2025 — Share-based compensation | 58,695</t>
      </text>
    </comment>
    <comment ref="D50" authorId="0">
      <text>
        <t>jbht20251231_10k.htm | Consolidated Statements of Cash Flows, year ended December 31, 2025 — Share-based compensation | 71,753</t>
      </text>
    </comment>
    <comment ref="F50" authorId="0">
      <text>
        <t>jbht20260331_10q.htm | Condensed Consolidated Statements of Cash Flows, three months ended March 31, 2026 — Share-based compensation | 18,048</t>
      </text>
    </comment>
    <comment ref="G50" authorId="0">
      <text>
        <t>jbht20260630_10q.htm | Condensed Consolidated Statements of Cash Flows, six months ended June 30, 2026 — Share-based compensation | 38,084</t>
      </text>
    </comment>
    <comment ref="C51" authorId="0">
      <text>
        <t>jbht20250930_10q.htm | Condensed Consolidated Statements of Cash Flows, nine months ended September 30, 2025 — Loss on sale of revenue equipment and other | 11,938</t>
      </text>
    </comment>
    <comment ref="D51" authorId="0">
      <text>
        <t>jbht20251231_10k.htm | Consolidated Statements of Cash Flows, year ended December 31, 2025 — Loss on sale of revenue equipment and other | 13,739</t>
      </text>
    </comment>
    <comment ref="F51" authorId="0">
      <text>
        <t>jbht20260331_10q.htm | Condensed Consolidated Statements of Cash Flows, three months ended March 31, 2026 — Loss on sale of revenue equipment and other | 324</t>
      </text>
    </comment>
    <comment ref="G51" authorId="0">
      <text>
        <t>jbht20260630_10q.htm | Condensed Consolidated Statements of Cash Flows, six months ended June 30, 2026 — Loss on sale of revenue equipment and other | 3,708</t>
      </text>
    </comment>
    <comment ref="C52" authorId="0">
      <text>
        <t>jbht20250930_10q.htm | Condensed Consolidated Statements of Cash Flows, nine months ended September 30, 2025 — Deferred income taxes | 42,111</t>
      </text>
    </comment>
    <comment ref="D52" authorId="0">
      <text>
        <t>jbht20251231_10k.htm | Consolidated Statements of Cash Flows, year ended December 31, 2025 — Deferred income taxes | 12,056</t>
      </text>
    </comment>
    <comment ref="F52" authorId="0">
      <text>
        <t>jbht20260331_10q.htm | Condensed Consolidated Statements of Cash Flows, three months ended March 31, 2026 — Deferred income taxes | (19,581)</t>
      </text>
    </comment>
    <comment ref="G52" authorId="0">
      <text>
        <t>jbht20260630_10q.htm | Condensed Consolidated Statements of Cash Flows, six months ended June 30, 2026 — Deferred income taxes | 3,203</t>
      </text>
    </comment>
    <comment ref="C53" authorId="0">
      <text>
        <t>jbht20250930_10q.htm | Condensed Consolidated Statements of Cash Flows, nine months ended September 30, 2025 — Trade accounts receivable | (7,190)</t>
      </text>
    </comment>
    <comment ref="D53" authorId="0">
      <text>
        <t>jbht20251231_10k.htm | Consolidated Statements of Cash Flows, year ended December 31, 2025 — Trade accounts receivable | 63,796</t>
      </text>
    </comment>
    <comment ref="F53" authorId="0">
      <text>
        <t>jbht20260331_10q.htm | Condensed Consolidated Statements of Cash Flows, three months ended March 31, 2026 — Trade accounts receivable | (167,085)</t>
      </text>
    </comment>
    <comment ref="G53" authorId="0">
      <text>
        <t>jbht20260630_10q.htm | Condensed Consolidated Statements of Cash Flows, six months ended June 30, 2026 — Trade accounts receivable | (300,900)</t>
      </text>
    </comment>
    <comment ref="C54" authorId="0">
      <text>
        <t>jbht20250930_10q.htm | Condensed Consolidated Statements of Cash Flows, nine months ended September 30, 2025 — Other (current) assets | 158,652</t>
      </text>
    </comment>
    <comment ref="D54" authorId="0">
      <text>
        <t>jbht20251231_10k.htm | Consolidated Statements of Cash Flows, year ended December 31, 2025 — Other (current) assets | 17,684</t>
      </text>
    </comment>
    <comment ref="F54" authorId="0">
      <text>
        <t>jbht20260331_10q.htm | Condensed Consolidated Statements of Cash Flows, three months ended March 31, 2026 — Other (current) assets | 30,443</t>
      </text>
    </comment>
    <comment ref="G54" authorId="0">
      <text>
        <t>jbht20260630_10q.htm | Condensed Consolidated Statements of Cash Flows, six months ended June 30, 2026 — Other (current) assets | 56,005</t>
      </text>
    </comment>
    <comment ref="C55" authorId="0">
      <text>
        <t>jbht20250930_10q.htm | Condensed Consolidated Statements of Cash Flows, nine months ended September 30, 2025 — Trade accounts payable | 63,212</t>
      </text>
    </comment>
    <comment ref="D55" authorId="0">
      <text>
        <t>jbht20251231_10k.htm | Consolidated Statements of Cash Flows, year ended December 31, 2025 — Trade accounts payable | 59,416</t>
      </text>
    </comment>
    <comment ref="F55" authorId="0">
      <text>
        <t>jbht20260331_10q.htm | Condensed Consolidated Statements of Cash Flows, three months ended March 31, 2026 — Trade accounts payable | 99,754</t>
      </text>
    </comment>
    <comment ref="G55" authorId="0">
      <text>
        <t>jbht20260630_10q.htm | Condensed Consolidated Statements of Cash Flows, six months ended June 30, 2026 — Trade accounts payable | 117,948</t>
      </text>
    </comment>
    <comment ref="C56" authorId="0">
      <text>
        <t>jbht20250930_10q.htm | Condensed Consolidated Statements of Cash Flows, nine months ended September 30, 2025 — Income taxes payable or receivable | (33,852)</t>
      </text>
    </comment>
    <comment ref="D56" authorId="0">
      <text>
        <t>jbht20251231_10k.htm | Consolidated Statements of Cash Flows, year ended December 31, 2025 — Income taxes payable or receivable | 81,854</t>
      </text>
    </comment>
    <comment ref="F56" authorId="0">
      <text>
        <t>jbht20260331_10q.htm | Condensed Consolidated Statements of Cash Flows, three months ended March 31, 2026 — Income taxes payable or receivable | 58,881</t>
      </text>
    </comment>
    <comment ref="G56" authorId="0">
      <text>
        <t>jbht20260630_10q.htm | Condensed Consolidated Statements of Cash Flows, six months ended June 30, 2026 — Income taxes payable or receivable | 56,055</t>
      </text>
    </comment>
    <comment ref="C57" authorId="0">
      <text>
        <t>jbht20250930_10q.htm | Condensed Consolidated Statements of Cash Flows, nine months ended September 30, 2025 — Claims accruals | 30,972</t>
      </text>
    </comment>
    <comment ref="D57" authorId="0">
      <text>
        <t>jbht20251231_10k.htm | Consolidated Statements of Cash Flows, year ended December 31, 2025 — Claims accruals | 61,074</t>
      </text>
    </comment>
    <comment ref="F57" authorId="0">
      <text>
        <t>jbht20260331_10q.htm | Condensed Consolidated Statements of Cash Flows, three months ended March 31, 2026 — Claims accruals | 11,113</t>
      </text>
    </comment>
    <comment ref="G57" authorId="0">
      <text>
        <t>jbht20260630_10q.htm | Condensed Consolidated Statements of Cash Flows, six months ended June 30, 2026 — Claims accruals | 17,125</t>
      </text>
    </comment>
    <comment ref="C58" authorId="0">
      <text>
        <t>jbht20250930_10q.htm | Condensed Consolidated Statements of Cash Flows, nine months ended September 30, 2025 — Accrued payroll and other accrued expenses | (56,963)</t>
      </text>
    </comment>
    <comment ref="D58" authorId="0">
      <text>
        <t>jbht20251231_10k.htm | Consolidated Statements of Cash Flows, year ended December 31, 2025 — Accrued payroll and other accrued expenses | (112,174)</t>
      </text>
    </comment>
    <comment ref="F58" authorId="0">
      <text>
        <t>jbht20260331_10q.htm | Condensed Consolidated Statements of Cash Flows, three months ended March 31, 2026 — Accrued payroll and other accrued expenses | (23,625)</t>
      </text>
    </comment>
    <comment ref="G58" authorId="0">
      <text>
        <t>jbht20260630_10q.htm | Condensed Consolidated Statements of Cash Flows, six months ended June 30, 2026 — Accrued payroll and other accrued expenses | 4,498</t>
      </text>
    </comment>
    <comment ref="C59" authorId="0">
      <text>
        <t>jbht20250930_10q.htm | Condensed Consolidated Statements of Cash Flows, nine months ended September 30, 2025 — Additions to property and equipment | (596,363)</t>
      </text>
    </comment>
    <comment ref="D59" authorId="0">
      <text>
        <t>jbht20251231_10k.htm | Consolidated Statements of Cash Flows, year ended December 31, 2025 — Additions to property and equipment | (730,687)</t>
      </text>
    </comment>
    <comment ref="F59" authorId="0">
      <text>
        <t>jbht20260331_10q.htm | Condensed Consolidated Statements of Cash Flows, three months ended March 31, 2026 — Additions to property and equipment | (110,271)</t>
      </text>
    </comment>
    <comment ref="G59" authorId="0">
      <text>
        <t>jbht20260630_10q.htm | Condensed Consolidated Statements of Cash Flows, six months ended June 30, 2026 — Additions to property and equipment | (227,175)</t>
      </text>
    </comment>
    <comment ref="C60" authorId="0">
      <text>
        <t>jbht20250930_10q.htm | Condensed Consolidated Statements of Cash Flows, nine months ended September 30, 2025 — Net proceeds from sale of equipment | 105,444</t>
      </text>
    </comment>
    <comment ref="D60" authorId="0">
      <text>
        <t>jbht20251231_10k.htm | Consolidated Statements of Cash Flows, year ended December 31, 2025 — Net proceeds from sale of equipment | 155,913</t>
      </text>
    </comment>
    <comment ref="F60" authorId="0">
      <text>
        <t>jbht20260331_10q.htm | Condensed Consolidated Statements of Cash Flows, three months ended March 31, 2026 — Net proceeds from sale of equipment | 39,540</t>
      </text>
    </comment>
    <comment ref="G60" authorId="0">
      <text>
        <t>jbht20260630_10q.htm | Condensed Consolidated Statements of Cash Flows, six months ended June 30, 2026 — Net proceeds from sale of equipment | 82,228</t>
      </text>
    </comment>
    <comment ref="C61" authorId="0">
      <text>
        <t>jbht20250930_10q.htm | Condensed Consolidated Statements of Cash Flows, nine months ended September 30, 2025 — Other investing (investment sales, acquisitions) | -</t>
      </text>
    </comment>
    <comment ref="D61" authorId="0">
      <text>
        <t>jbht20251231_10k.htm | Consolidated Statements of Cash Flows, year ended December 31, 2025 — Other investing (investment sales, acquisitions) | -</t>
      </text>
    </comment>
    <comment ref="F61" authorId="0">
      <text>
        <t>jbht20260331_10q.htm | Condensed Consolidated Statements of Cash Flows, three months ended March 31, 2026 — Other investing (investment sales, acquisitions) | -</t>
      </text>
    </comment>
    <comment ref="G61" authorId="0">
      <text>
        <t>jbht20260630_10q.htm | Condensed Consolidated Statements of Cash Flows, six months ended June 30, 2026 — Other investing (investment sales, acquisitions) | -</t>
      </text>
    </comment>
    <comment ref="C62" authorId="0">
      <text>
        <t>jbht20250930_10q.htm | Condensed Consolidated Statements of Cash Flows, nine months ended September 30, 2025 — Proceeds from issuances of long-term debt | 750,000</t>
      </text>
    </comment>
    <comment ref="D62" authorId="0">
      <text>
        <t>jbht20251231_10k.htm | Consolidated Statements of Cash Flows, year ended December 31, 2025 — Proceeds from issuances of long-term debt | 750,000</t>
      </text>
    </comment>
    <comment ref="F62" authorId="0">
      <text>
        <t>jbht20260331_10q.htm | Condensed Consolidated Statements of Cash Flows, three months ended March 31, 2026 — Proceeds from issuances of long-term debt | 475,000</t>
      </text>
    </comment>
    <comment ref="G62" authorId="0">
      <text>
        <t>jbht20260630_10q.htm | Condensed Consolidated Statements of Cash Flows, six months ended June 30, 2026 — Proceeds from issuances of long-term debt | 475,000</t>
      </text>
    </comment>
    <comment ref="C63" authorId="0">
      <text>
        <t>jbht20250930_10q.htm | Condensed Consolidated Statements of Cash Flows, nine months ended September 30, 2025 — Payments on long-term debt | (500,000)</t>
      </text>
    </comment>
    <comment ref="D63" authorId="0">
      <text>
        <t>jbht20251231_10k.htm | Consolidated Statements of Cash Flows, year ended December 31, 2025 — Payments on long-term debt | (500,000)</t>
      </text>
    </comment>
    <comment ref="F63" authorId="0">
      <text>
        <t>jbht20260331_10q.htm | Condensed Consolidated Statements of Cash Flows, three months ended March 31, 2026 — Payments on long-term debt | (700,000)</t>
      </text>
    </comment>
    <comment ref="G63" authorId="0">
      <text>
        <t>jbht20260630_10q.htm | Condensed Consolidated Statements of Cash Flows, six months ended June 30, 2026 — Payments on long-term debt | (825,000)</t>
      </text>
    </comment>
    <comment ref="C64" authorId="0">
      <text>
        <t>jbht20250930_10q.htm | Condensed Consolidated Statements of Cash Flows, nine months ended September 30, 2025 — Proceeds from revolving lines of credit and other | 2,320,100</t>
      </text>
    </comment>
    <comment ref="D64" authorId="0">
      <text>
        <t>jbht20251231_10k.htm | Consolidated Statements of Cash Flows, year ended December 31, 2025 — Proceeds from revolving lines of credit and other | 2,476,800</t>
      </text>
    </comment>
    <comment ref="F64" authorId="0">
      <text>
        <t>jbht20260331_10q.htm | Condensed Consolidated Statements of Cash Flows, three months ended March 31, 2026 — Proceeds from revolving lines of credit and other | 536,500</t>
      </text>
    </comment>
    <comment ref="G64" authorId="0">
      <text>
        <t>jbht20260630_10q.htm | Condensed Consolidated Statements of Cash Flows, six months ended June 30, 2026 — Proceeds from revolving lines of credit and other | 930,800</t>
      </text>
    </comment>
    <comment ref="C65" authorId="0">
      <text>
        <t>jbht20250930_10q.htm | Condensed Consolidated Statements of Cash Flows, nine months ended September 30, 2025 — Payments on revolving lines of credit and other | (2,448,001)</t>
      </text>
    </comment>
    <comment ref="D65" authorId="0">
      <text>
        <t>jbht20251231_10k.htm | Consolidated Statements of Cash Flows, year ended December 31, 2025 — Payments on revolving lines of credit and other | (2,740,542)</t>
      </text>
    </comment>
    <comment ref="F65" authorId="0">
      <text>
        <t>jbht20260331_10q.htm | Condensed Consolidated Statements of Cash Flows, three months ended March 31, 2026 — Payments on revolving lines of credit and other | (476,200)</t>
      </text>
    </comment>
    <comment ref="G65" authorId="0">
      <text>
        <t>jbht20260630_10q.htm | Condensed Consolidated Statements of Cash Flows, six months ended June 30, 2026 — Payments on revolving lines of credit and other | (903,600)</t>
      </text>
    </comment>
    <comment ref="C66" authorId="0">
      <text>
        <t>jbht20250930_10q.htm | Condensed Consolidated Statements of Cash Flows, nine months ended September 30, 2025 — Purchase of treasury stock | (783,360)</t>
      </text>
    </comment>
    <comment ref="D66" authorId="0">
      <text>
        <t>jbht20251231_10k.htm | Consolidated Statements of Cash Flows, year ended December 31, 2025 — Purchase of treasury stock | (923,292)</t>
      </text>
    </comment>
    <comment ref="F66" authorId="0">
      <text>
        <t>jbht20260331_10q.htm | Condensed Consolidated Statements of Cash Flows, three months ended March 31, 2026 — Purchase of treasury stock | (80,063)</t>
      </text>
    </comment>
    <comment ref="G66" authorId="0">
      <text>
        <t>jbht20260630_10q.htm | Condensed Consolidated Statements of Cash Flows, six months ended June 30, 2026 — Purchase of treasury stock | (177,831)</t>
      </text>
    </comment>
    <comment ref="C67" authorId="0">
      <text>
        <t>jbht20250930_10q.htm | Condensed Consolidated Statements of Cash Flows, nine months ended September 30, 2025 — Stock repurchased for payroll taxes and other | (6,030)</t>
      </text>
    </comment>
    <comment ref="D67" authorId="0">
      <text>
        <t>jbht20251231_10k.htm | Consolidated Statements of Cash Flows, year ended December 31, 2025 — Stock repurchased for payroll taxes and other | (25,115)</t>
      </text>
    </comment>
    <comment ref="F67" authorId="0">
      <text>
        <t>jbht20260331_10q.htm | Condensed Consolidated Statements of Cash Flows, three months ended March 31, 2026 — Stock repurchased for payroll taxes and other | (7,670)</t>
      </text>
    </comment>
    <comment ref="G67" authorId="0">
      <text>
        <t>jbht20260630_10q.htm | Condensed Consolidated Statements of Cash Flows, six months ended June 30, 2026 — Stock repurchased for payroll taxes and other | (5,796)</t>
      </text>
    </comment>
    <comment ref="C68" authorId="0">
      <text>
        <t>jbht20250930_10q.htm | Condensed Consolidated Statements of Cash Flows, nine months ended September 30, 2025 — Dividends paid | (129,157)</t>
      </text>
    </comment>
    <comment ref="D68" authorId="0">
      <text>
        <t>jbht20251231_10k.htm | Consolidated Statements of Cash Flows, year ended December 31, 2025 — Dividends paid | (171,048)</t>
      </text>
    </comment>
    <comment ref="F68" authorId="0">
      <text>
        <t>jbht20260331_10q.htm | Condensed Consolidated Statements of Cash Flows, three months ended March 31, 2026 — Dividends paid | (42,595)</t>
      </text>
    </comment>
    <comment ref="G68" authorId="0">
      <text>
        <t>jbht20260630_10q.htm | Condensed Consolidated Statements of Cash Flows, six months ended June 30, 2026 — Dividends paid | (85,014)</t>
      </text>
    </comment>
    <comment ref="C69" authorId="0">
      <text>
        <t>jbht20260630_10q.htm | Condensed Consolidated Statements of Cash Flows, six months ended June 30, 2025 — Net earnings | 246,364</t>
      </text>
    </comment>
    <comment ref="C70" authorId="0">
      <text>
        <t>jbht20260630_10q.htm | Condensed Consolidated Statements of Cash Flows, six months ended June 30, 2025 — Depreciation and amortization | 356,456</t>
      </text>
    </comment>
    <comment ref="C71" authorId="0">
      <text>
        <t>jbht20260630_10q.htm | Condensed Consolidated Statements of Cash Flows, six months ended June 30, 2025 — Noncash lease expense | 48,884</t>
      </text>
    </comment>
    <comment ref="C72" authorId="0">
      <text>
        <t>jbht20260630_10q.htm | Condensed Consolidated Statements of Cash Flows, six months ended June 30, 2025 — Share-based compensation | 38,107</t>
      </text>
    </comment>
    <comment ref="C73" authorId="0">
      <text>
        <t>jbht20260630_10q.htm | Condensed Consolidated Statements of Cash Flows, six months ended June 30, 2025 — Loss on sale of revenue equipment and other | 9,362</t>
      </text>
    </comment>
    <comment ref="C74" authorId="0">
      <text>
        <t>jbht20260630_10q.htm | Condensed Consolidated Statements of Cash Flows, six months ended June 30, 2025 — Deferred income taxes | (30,879)</t>
      </text>
    </comment>
    <comment ref="C75" authorId="0">
      <text>
        <t>jbht20260630_10q.htm | Condensed Consolidated Statements of Cash Flows, six months ended June 30, 2025 — Trade accounts receivable | 41,992</t>
      </text>
    </comment>
    <comment ref="C76" authorId="0">
      <text>
        <t>jbht20260630_10q.htm | Condensed Consolidated Statements of Cash Flows, six months ended June 30, 2025 — Other (current) assets | 65,101</t>
      </text>
    </comment>
    <comment ref="C77" authorId="0">
      <text>
        <t>jbht20260630_10q.htm | Condensed Consolidated Statements of Cash Flows, six months ended June 30, 2025 — Trade accounts payable | 41,419</t>
      </text>
    </comment>
    <comment ref="C78" authorId="0">
      <text>
        <t>jbht20260630_10q.htm | Condensed Consolidated Statements of Cash Flows, six months ended June 30, 2025 — Income taxes payable or receivable | (4,793)</t>
      </text>
    </comment>
    <comment ref="C79" authorId="0">
      <text>
        <t>jbht20260630_10q.htm | Condensed Consolidated Statements of Cash Flows, six months ended June 30, 2025 — Claims accruals | 20,894</t>
      </text>
    </comment>
    <comment ref="C80" authorId="0">
      <text>
        <t>jbht20260630_10q.htm | Condensed Consolidated Statements of Cash Flows, six months ended June 30, 2025 — Accrued payroll and other accrued expenses | (26,662)</t>
      </text>
    </comment>
    <comment ref="C81" authorId="0">
      <text>
        <t>jbht20260630_10q.htm | Condensed Consolidated Statements of Cash Flows, six months ended June 30, 2025 — Additions to property and equipment | (462,291)</t>
      </text>
    </comment>
    <comment ref="C82" authorId="0">
      <text>
        <t>jbht20260630_10q.htm | Condensed Consolidated Statements of Cash Flows, six months ended June 30, 2025 — Net proceeds from sale of equipment | 63,212</t>
      </text>
    </comment>
    <comment ref="C83" authorId="0">
      <text>
        <t>jbht20260630_10q.htm | Condensed Consolidated Statements of Cash Flows, six months ended June 30, 2025 — Other investing (investment sales, acquisitions) | -</t>
      </text>
    </comment>
    <comment ref="C84" authorId="0">
      <text>
        <t>jbht20260630_10q.htm | Condensed Consolidated Statements of Cash Flows, six months ended June 30, 2025 — Proceeds from issuances of long-term debt | 750,000</t>
      </text>
    </comment>
    <comment ref="C85" authorId="0">
      <text>
        <t>jbht20260630_10q.htm | Condensed Consolidated Statements of Cash Flows, six months ended June 30, 2025 — Payments on long-term debt | (500,000)</t>
      </text>
    </comment>
    <comment ref="C86" authorId="0">
      <text>
        <t>jbht20260630_10q.htm | Condensed Consolidated Statements of Cash Flows, six months ended June 30, 2025 — Proceeds from revolving lines of credit and other | 1,666,600</t>
      </text>
    </comment>
    <comment ref="C87" authorId="0">
      <text>
        <t>jbht20260630_10q.htm | Condensed Consolidated Statements of Cash Flows, six months ended June 30, 2025 — Payments on revolving lines of credit and other | (1,676,202)</t>
      </text>
    </comment>
    <comment ref="C88" authorId="0">
      <text>
        <t>jbht20260630_10q.htm | Condensed Consolidated Statements of Cash Flows, six months ended June 30, 2025 — Purchase of treasury stock | (552,911)</t>
      </text>
    </comment>
    <comment ref="C89" authorId="0">
      <text>
        <t>jbht20260630_10q.htm | Condensed Consolidated Statements of Cash Flows, six months ended June 30, 2025 — Stock repurchased for payroll taxes and other | (4,098)</t>
      </text>
    </comment>
    <comment ref="C90" authorId="0">
      <text>
        <t>jbht20260630_10q.htm | Condensed Consolidated Statements of Cash Flows, six months ended June 30, 2025 — Dividends paid | (86,637)</t>
      </text>
    </comment>
    <comment ref="E93" authorId="1">
      <text>
        <t>jbht20251231_10k.htm | Note 10. Leases | Lease liabilities, current (98.1) [2024]; Lease liabilities, long-term (214.0) [2024]</t>
      </text>
    </comment>
    <comment ref="E94" authorId="1">
      <text>
        <t>jbht20251231_10k.htm | Note 10. Leases | a total of $39.3 million ... of right-of-use assets were obtained in exchange for new operating lease liabilities</t>
      </text>
    </comment>
    <comment ref="D96" authorId="1">
      <text>
        <t>jbht20251231_10k.htm | Note 10. Leases | Present value of lease liabilities | $253.7</t>
      </text>
    </comment>
    <comment ref="E97" authorId="1">
      <text>
        <t>jbht20251231_10k.htm | Note 10. Leases | cash paid for amounts included in the measurement of operating lease liabilities was $106.8 million</t>
      </text>
    </comment>
    <comment ref="E102" authorId="1">
      <text>
        <t>jbht20251231_10k.htm | Note 10. Leases | 2026 | $87.6</t>
      </text>
    </comment>
    <comment ref="E103" authorId="1">
      <text>
        <t>jbht20251231_10k.htm | Note 10. Leases | the weighted-average discount rate was 4.35%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C9" authorId="0">
      <text>
        <t>ex_870337.htm | Supplemental Data — Actual shares outstanding at end of period (000) | 95,218</t>
      </text>
    </comment>
    <comment ref="D9" authorId="0">
      <text>
        <t>ex_907715.htm | Supplemental Data — Actual shares outstanding at end of period (000) | 94,595</t>
      </text>
    </comment>
    <comment ref="F9" authorId="0">
      <text>
        <t>ex_945603.htm | Supplemental Data — Actual shares outstanding at end of period (000) | 94,299</t>
      </text>
    </comment>
    <comment ref="G9" authorId="0">
      <text>
        <t>ex_987956.htm | Supplemental Data — Actual shares outstanding at end of period (000) | 93,915</t>
      </text>
    </comment>
    <comment ref="D10" authorId="0">
      <text>
        <t>ex_907715.htm | Cash Flow and Capitalization | approximately 843,000 shares</t>
      </text>
    </comment>
    <comment ref="F10" authorId="0">
      <text>
        <t>jbht20260331_10q.htm | Note 5 Capital Stock | approximately 383,000 shares</t>
      </text>
    </comment>
    <comment ref="G10" authorId="0">
      <text>
        <t>jbht20260630_10q.htm | Note 5 Capital Stock | 391,758 shares</t>
      </text>
    </comment>
    <comment ref="C17" authorId="0">
      <text>
        <t>jbht20250930_10q.htm | Statements of Earnings — Weighted average basic shares outstanding | 96,184</t>
      </text>
    </comment>
    <comment ref="E17" authorId="0">
      <text>
        <t>jbht20251231_10k.htm | Note: Earnings Per Share — Weighted average shares outstanding – basic | 97,090</t>
      </text>
    </comment>
    <comment ref="F17" authorId="0">
      <text>
        <t>jbht20260331_10q.htm | Statements of Earnings — Weighted average basic shares outstanding | 94,540</t>
      </text>
    </comment>
    <comment ref="G17" authorId="0">
      <text>
        <t>jbht20260630_10q.htm | Statements of Earnings — Weighted average basic shares outstanding | 94,125</t>
      </text>
    </comment>
    <comment ref="C19" authorId="0">
      <text>
        <t>ex_870337.htm | three months ended September 30, 2025 — Average diluted shares outstanding | 96,847</t>
      </text>
    </comment>
    <comment ref="D19" authorId="0">
      <text>
        <t>ex_907715.htm | three months ended December 31, 2025 — Average diluted shares outstanding | 95,505</t>
      </text>
    </comment>
    <comment ref="E19" authorId="0">
      <text>
        <t>ex_907715.htm | twelve months ended December 31, 2025 — Average diluted shares outstanding | 97,688</t>
      </text>
    </comment>
    <comment ref="F19" authorId="0">
      <text>
        <t>ex_945603.htm | three months ended March 31, 2026 — Average diluted shares outstanding | 95,204</t>
      </text>
    </comment>
    <comment ref="G19" authorId="0">
      <text>
        <t>ex_987956.htm | three months ended June 30, 2026 — Average diluted shares outstanding | 94,944</t>
      </text>
    </comment>
    <comment ref="C23" authorId="0">
      <text>
        <t>jbht20251231_10k.htm | Item 5 dividends | a $0.44 per share quarterly dividend in 2025</t>
      </text>
    </comment>
    <comment ref="D23" authorId="0">
      <text>
        <t>jbht20251231_10k.htm | Item 5 dividends | a $0.44 per share quarterly dividend in 2025</t>
      </text>
    </comment>
    <comment ref="F23" authorId="0">
      <text>
        <t>jbht20260331_10q.htm / Q1 2026 call | Board authorized a 2% dividend increase (Jan-22-2026) | $0.45</t>
      </text>
    </comment>
    <comment ref="G23" authorId="0">
      <text>
        <t>investor.jbhunt.com 23-Apr-2026 dividend release | regular quarterly dividend | $0.45</t>
      </text>
    </comment>
    <comment ref="H23" authorId="0">
      <text>
        <t>investor.jbhunt.com 22-Jul-2026 dividend release | payable 21-Aug-2026 | $ 0.45</t>
      </text>
    </comment>
    <comment ref="C30" authorId="0">
      <text>
        <t>jbht20250930_10q.htm | Statements of Earnings — Weighted average basic shares (2024) | 101,319</t>
      </text>
    </comment>
    <comment ref="E30" authorId="0">
      <text>
        <t>jbht20251231_10k.htm | Note: Earnings Per Share — basic 2024 | 101,947</t>
      </text>
    </comment>
    <comment ref="F30" authorId="0">
      <text>
        <t>jbht20260331_10q.htm | Statements of Earnings — Weighted average basic shares (2025) | 99,905</t>
      </text>
    </comment>
    <comment ref="G30" authorId="0">
      <text>
        <t>jbht20260630_10q.htm | Statements of Earnings — Weighted average basic shares (2025) | 97,448</t>
      </text>
    </comment>
    <comment ref="C31" authorId="0">
      <text>
        <t>jbht20251231_10k.htm | Item 5 dividends | a $0.43 per share quarterly dividend in 2024</t>
      </text>
    </comment>
    <comment ref="D31" authorId="0">
      <text>
        <t>jbht20251231_10k.htm | Item 5 dividends | a $0.43 per share quarterly dividend in 2024</t>
      </text>
    </comment>
    <comment ref="F31" authorId="0">
      <text>
        <t>jbht20251231_10k.htm | Item 5 dividends | a $0.44 per share quarterly dividend in 2025</t>
      </text>
    </comment>
    <comment ref="G31" authorId="0">
      <text>
        <t>jbht20251231_10k.htm | Item 5 dividends | a $0.44 per share quarterly dividend in 2025</t>
      </text>
    </comment>
    <comment ref="C32" authorId="0">
      <text>
        <t>ex_870337.htm | three months ended September 30, 2024 — Average diluted shares outstanding | 102,135</t>
      </text>
    </comment>
    <comment ref="D32" authorId="0">
      <text>
        <t>ex_907715.htm | three months ended December 31, 2024 — Average diluted shares outstanding | 101,647</t>
      </text>
    </comment>
    <comment ref="E32" authorId="0">
      <text>
        <t>ex_907715.htm | twelve months ended December 31, 2024 — Average diluted shares outstanding | 102,754</t>
      </text>
    </comment>
    <comment ref="F32" authorId="0">
      <text>
        <t>ex_945603.htm | three months ended March 31, 2025 — Average diluted shares outstanding | 100,489</t>
      </text>
    </comment>
    <comment ref="G32" authorId="0">
      <text>
        <t>ex_987956.htm | three months ended June 30, 2025 — Average diluted shares outstanding | 97,976</t>
      </text>
    </comment>
    <comment ref="C10" authorId="0">
      <text>
        <t>jbht20250930_10q.htm | Part II Item 2, Purchases of Equity Securities (3Q25) | Total 1,602,783 shares, average $143.78</t>
      </text>
    </comment>
    <comment ref="E10" authorId="0">
      <text>
        <t>jbht20251231_10k.htm | Note: Capital Stock | During calendar year 2025, we purchased approximately 6,269,000 shares, or $923.3 million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B23" authorId="0">
      <text>
        <t>JBHT does not give quarterly EPS guidance; the 15-Sep-26 conference update is its only explicit EPS range in the window, so there is no EPS-guidance history to calibrate against.</t>
      </text>
    </comment>
  </commentList>
</comments>
</file>

<file path=xl/comments12.xml><?xml version="1.0" encoding="utf-8"?>
<comments xmlns="http://schemas.openxmlformats.org/spreadsheetml/2006/main">
  <authors>
    <author>Shortcut</author>
  </authors>
  <commentList>
    <comment ref="C118" authorId="0">
      <text>
        <t>stockanalysis.com/stocks/jbht/market-cap | Market Cap | $21.53 billion as of October 9, 2026</t>
      </text>
    </comment>
  </commentList>
</comments>
</file>

<file path=xl/sharedStrings.xml><?xml version="1.0" encoding="utf-8"?>
<sst xmlns="http://schemas.openxmlformats.org/spreadsheetml/2006/main" count="1722" uniqueCount="932">
  <si>
    <t>J.B. Hunt Transport Services, Inc. (NasdaqGS: JBHT)</t>
  </si>
  <si>
    <t>Company Model — built by Shortcut</t>
  </si>
  <si>
    <t>$ millions, except per share</t>
  </si>
  <si>
    <t>Front sheet: no period columns (period headers are on each statement tab)</t>
  </si>
  <si>
    <t>Company</t>
  </si>
  <si>
    <t>J.B. Hunt Transport Services, Inc.</t>
  </si>
  <si>
    <t>Ticker</t>
  </si>
  <si>
    <t>JBHT</t>
  </si>
  <si>
    <t>Exchange</t>
  </si>
  <si>
    <t>NasdaqGS</t>
  </si>
  <si>
    <t>Fiscal year end</t>
  </si>
  <si>
    <t>December 31 (calendar quarters)</t>
  </si>
  <si>
    <t>Forecast period</t>
  </si>
  <si>
    <t>3Q26E = FQ3 2026, quarter ended September 30, 2026 (supplied label "FQ3 2026 - Sep 2026", 2026-09-30; issuer quarter end verified)</t>
  </si>
  <si>
    <t>Currency</t>
  </si>
  <si>
    <t>USD; $ millions except per share</t>
  </si>
  <si>
    <t>EPS basis</t>
  </si>
  <si>
    <t>Normalized diluted EPS per common share (CapIQ) = GAAP diluted EPS; JBHT reports no non-GAAP adjustments</t>
  </si>
  <si>
    <t>Information cutoff</t>
  </si>
  <si>
    <t>2026-10-11 22:24 UTC</t>
  </si>
  <si>
    <t>Expected report date</t>
  </si>
  <si>
    <t>2026-10-15 after market close (call 4:00 pm CDT)</t>
  </si>
  <si>
    <t>Author</t>
  </si>
  <si>
    <t>Shortcut</t>
  </si>
  <si>
    <t>3Q26E headline vs consensus and guidance</t>
  </si>
  <si>
    <t>USD m, except per share</t>
  </si>
  <si>
    <t>Shortcut estimate</t>
  </si>
  <si>
    <t>Consensus at cutoff (CapIQ)</t>
  </si>
  <si>
    <t>Variance</t>
  </si>
  <si>
    <t>Variance %</t>
  </si>
  <si>
    <t>Guidance midpoint</t>
  </si>
  <si>
    <t>Est. vs guidance</t>
  </si>
  <si>
    <t>Notes</t>
  </si>
  <si>
    <t>Total revenue</t>
  </si>
  <si>
    <t>n/a</t>
  </si>
  <si>
    <t>Revenue, operating income and net income were not guided; only the EPS change was.</t>
  </si>
  <si>
    <t>Operating income</t>
  </si>
  <si>
    <t>Net income (normalized = GAAP)</t>
  </si>
  <si>
    <t>Basis unconfirmed: CapIQ NI excl. exceptionals 171.81 vs GAAP 172.51 (Inputs C73:C74); EPS −$0.004 to −$0.007 if mirrored (IS I75).</t>
  </si>
  <si>
    <t>Normalized diluted EPS (scored)</t>
  </si>
  <si>
    <t>GAAP diluted EPS</t>
  </si>
  <si>
    <t>Link check: Cover ties to statements (=0)</t>
  </si>
  <si>
    <t>Link/identity check (not validation)</t>
  </si>
  <si>
    <t>Link and identity tests only; 3Q26E checks are construction identities (IS H19 balances), not forecast validation.</t>
  </si>
  <si>
    <t>P(beat consensus EPS)</t>
  </si>
  <si>
    <t>Confidence</t>
  </si>
  <si>
    <t>Consensus detail (CapIQ snapshot 11-Oct-2026)</t>
  </si>
  <si>
    <t>EPS contributors, primary (n)</t>
  </si>
  <si>
    <t>Normalized EPS median</t>
  </si>
  <si>
    <t>Normalized EPS high</t>
  </si>
  <si>
    <t>Normalized EPS low</t>
  </si>
  <si>
    <t>Normalized EPS std. dev.</t>
  </si>
  <si>
    <t>Revenue contributors</t>
  </si>
  <si>
    <t>CapIQ EPS guidance low</t>
  </si>
  <si>
    <t>CapIQ EPS guidance high</t>
  </si>
  <si>
    <t>Starting P(beat) (size/history prior)</t>
  </si>
  <si>
    <t>Mean EPS surprise, 6 quarters ($)</t>
  </si>
  <si>
    <t>Forecast basis</t>
  </si>
  <si>
    <t>Management guided 3Q26 EPS down 5-10% from 2Q26 ($1.91), i.e. $1.72-1.81, on 15-Sep-26.</t>
  </si>
  <si>
    <t>Segment builds: JBI loads +9% Y/Y, DCS +115 trucks, ICS/JBT priced off a tight truckload market.</t>
  </si>
  <si>
    <t>Q/Q cost bridge: ~$25m driver costs, &gt;=$10m fuel lag, plus claims and medical, partly offset by volume.</t>
  </si>
  <si>
    <t>Tax 24.2% (FY guide 24.0-24.5%); diluted shares 94.5m after ~$100m buyback.</t>
  </si>
  <si>
    <t>Consensus $1.81 sits at the top of the guided range; our $1.79 is just above the midpoint.</t>
  </si>
  <si>
    <t>Revenue summary: segment revenue, growth and mix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</si>
  <si>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</si>
  <si>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</si>
  <si>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</si>
  <si>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</si>
  <si>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</si>
  <si>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</si>
  <si>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</si>
  <si>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</si>
  <si>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</si>
  <si>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Revenue by reportable segment</t>
  </si>
  <si>
    <t>Intermodal (JBI)</t>
  </si>
  <si>
    <t xml:space="preserve">  % Y/Y</t>
  </si>
  <si>
    <t xml:space="preserve">  % Q/Q</t>
  </si>
  <si>
    <t xml:space="preserve">  % of total revenue</t>
  </si>
  <si>
    <t xml:space="preserve">  M&amp;A / scope contribution</t>
  </si>
  <si>
    <t xml:space="preserve">  FX impact</t>
  </si>
  <si>
    <t xml:space="preserve">  Organic growth</t>
  </si>
  <si>
    <t>Dedicated Contract Services (DCS)</t>
  </si>
  <si>
    <t>Integrated Capacity Solutions (ICS)</t>
  </si>
  <si>
    <t>Final Mile Services (FMS)</t>
  </si>
  <si>
    <t>Truckload (JBT)</t>
  </si>
  <si>
    <t>Intersegment eliminations</t>
  </si>
  <si>
    <t>3Q26E: in line with 2Q26 (-5.3).</t>
  </si>
  <si>
    <t>Total operating revenues</t>
  </si>
  <si>
    <t>No acquisitions or divestitures in the period (10-K 2025 cash flow: business acquisitions nil; no deals disclosed in 2026 10-Qs).</t>
  </si>
  <si>
    <t>n/d</t>
  </si>
  <si>
    <t>FX impact not disclosed; 10-K Item 7A: international operations not material, no FX hedging.</t>
  </si>
  <si>
    <t>Organic = (1+Y/Y)/((1+M&amp;A)*(1+FX))-1; unavailable because FX is not disclosed.</t>
  </si>
  <si>
    <t xml:space="preserve">  Total Y/Y</t>
  </si>
  <si>
    <t xml:space="preserve">  Revenue excl. FSC % Y/Y (issuer basis)</t>
  </si>
  <si>
    <t>Link check: segments − IS revenue</t>
  </si>
  <si>
    <t>3Q26E identity: IS H15 = H45 (not a forecast test).</t>
  </si>
  <si>
    <t>Geography: effectively all revenue is U.S.; 10-K Item 7A says international operations are not material, so there is no Geo tab.</t>
  </si>
  <si>
    <t>Segment operating income</t>
  </si>
  <si>
    <t xml:space="preserve">  Operating margin</t>
  </si>
  <si>
    <t>Other (corporate support activity)</t>
  </si>
  <si>
    <t>Total operating income</t>
  </si>
  <si>
    <t xml:space="preserve">  Consolidated operating margin</t>
  </si>
  <si>
    <t xml:space="preserve">  JBI + DCS share of segment OI</t>
  </si>
  <si>
    <t>Link check: segment OI − IS OI</t>
  </si>
  <si>
    <t>3Q26E identity: IS H19 is the balancing item (not a forecast test).</t>
  </si>
  <si>
    <t>Fuel driver (fuel surcharge revenue)</t>
  </si>
  <si>
    <t>EIA diesel, qtr avg of weekly ($/gal)</t>
  </si>
  <si>
    <t>3Q26 is observed data (13 weekly EIA prints Jul-6 to Sep-28-26), not an estimate. Jul-Aug prints in S18 EIA table; Sep-26 prints (5.967, 6.285, 6.529, 6.382) from EIA reprints in cached S18 search results.</t>
  </si>
  <si>
    <t xml:space="preserve">  Q/Q change ($/gal)</t>
  </si>
  <si>
    <t>Fuel surcharge revenue % of total revenue</t>
  </si>
  <si>
    <t xml:space="preserve">  Y/Y change (bp)</t>
  </si>
  <si>
    <t xml:space="preserve">  Q/Q change (bp)</t>
  </si>
  <si>
    <t>Comparatives: year-ago (H = 3Q25A)</t>
  </si>
  <si>
    <t>Intersegment eliminations (yr ago)</t>
  </si>
  <si>
    <t>Total operating revenues (yr ago)</t>
  </si>
  <si>
    <t>Other (corporate) operating income (yr ago)</t>
  </si>
  <si>
    <t>EIA diesel avg (yr ago) ($/gal)</t>
  </si>
  <si>
    <t>FY24 (E85) and FY25 (E74) are both simple averages of EIA weekly prices (S18). 2025 has 13 weekly prints per quarter, so the mean of quarterly averages equals the 52-week mean (3.6601).</t>
  </si>
  <si>
    <t>Segment - Intermodal (JBI): volume, price and revenue build</t>
  </si>
  <si>
    <t>Volume drivers</t>
  </si>
  <si>
    <t>Intermodal loads (#)</t>
  </si>
  <si>
    <t>3Q26E: +2.0% Q/Q (2025 seasonal Q2-&gt;Q3 was +2.8%; mgmt: Q3 shape similar to 2025), ~+9% Y/Y vs IANA domestic containers +8% YTD.</t>
  </si>
  <si>
    <t xml:space="preserve">  Q/Q change (#)</t>
  </si>
  <si>
    <t>Transcon loads % Y/Y (reported)</t>
  </si>
  <si>
    <t>Memo (not a revenue driver). 3Q26E assumption: SoCal peak "good, not off the charts" (Laguna, 15-Sep-26).</t>
  </si>
  <si>
    <t>C:G n/d (2024 comparatives not in the filings used); 3Q26E uses the 3Q25A reported rate in column C.</t>
  </si>
  <si>
    <t>Eastern network loads % Y/Y (reported)</t>
  </si>
  <si>
    <t>Memo. Highway-to-rail conversion strongest in East (Laguna, 15-Sep-26).</t>
  </si>
  <si>
    <t>Average length of haul (miles)</t>
  </si>
  <si>
    <t>3Q26E: Eastern mix keeps LOH below prior year.</t>
  </si>
  <si>
    <t xml:space="preserve">  Y/Y change</t>
  </si>
  <si>
    <t xml:space="preserve">  Q/Q change</t>
  </si>
  <si>
    <t>Price drivers</t>
  </si>
  <si>
    <t>Gross revenue per load ($)</t>
  </si>
  <si>
    <t>3Q26E: lagged diesel (1-wk) ~flat vs 2Q26 (5.43 vs 5.40 $/gal), modest contract/mini-bid and peak accessorial uplift.</t>
  </si>
  <si>
    <t xml:space="preserve">  Q/Q change ($)</t>
  </si>
  <si>
    <t>Rev/load excl. FSC % Y/Y (reported)</t>
  </si>
  <si>
    <t>Memo. Intermodal contract pricing lags truckload by ~2 quarters; 2027 bid season starts Oct-26.</t>
  </si>
  <si>
    <t>Revenue build</t>
  </si>
  <si>
    <t>Driver-implied revenue</t>
  </si>
  <si>
    <t>JBI revenue</t>
  </si>
  <si>
    <t>3Q26E revenue built from drivers above; historical = reported segment revenue.</t>
  </si>
  <si>
    <t xml:space="preserve">  Reported less driver-implied</t>
  </si>
  <si>
    <t>Segment profit</t>
  </si>
  <si>
    <t>JBI operating income</t>
  </si>
  <si>
    <t>3Q26E operating income bridge vs 2Q26A</t>
  </si>
  <si>
    <t>2Q26A operating income</t>
  </si>
  <si>
    <t>Revenue change Q/Q</t>
  </si>
  <si>
    <t>Incremental margin on revenue change</t>
  </si>
  <si>
    <t>Q2-26 Y/Y incremental margin was ~17%; network density on +2% loads.</t>
  </si>
  <si>
    <t>Contribution from revenue change</t>
  </si>
  <si>
    <t>Segment share of driver-cost step-up</t>
  </si>
  <si>
    <t>CFO (Laguna 15-Sep-26): ~$25m more driver recruiting/onboarding/sign-on cost Q3 vs Q2; dray-heavy JBI assumed 60%.</t>
  </si>
  <si>
    <t>Driver-related cost increase</t>
  </si>
  <si>
    <t>Segment share of fuel headwind</t>
  </si>
  <si>
    <t>CFO: &gt;=$10m sequential fuel headwind (1-week surcharge lag); JBI 50%.</t>
  </si>
  <si>
    <t>Fuel cost / surcharge lag</t>
  </si>
  <si>
    <t>Insurance, claims and group medical</t>
  </si>
  <si>
    <t>CFO: higher claims and group medical costs (unquantified).</t>
  </si>
  <si>
    <t>Other (pricing actions, mix, startups)</t>
  </si>
  <si>
    <t>Peak-season / empty-repositioning surcharges and mini-bids (Laguna).</t>
  </si>
  <si>
    <t>3Q26E operating income</t>
  </si>
  <si>
    <t>Capacity and equipment</t>
  </si>
  <si>
    <t>Average tractors during period (#)</t>
  </si>
  <si>
    <t>Tractors, opening (#)</t>
  </si>
  <si>
    <t xml:space="preserve">  Net tractor additions (#)</t>
  </si>
  <si>
    <t>Tractors, end of period (#)</t>
  </si>
  <si>
    <t xml:space="preserve">  Y/Y change (#)</t>
  </si>
  <si>
    <t>Trailing equipment, opening (#)</t>
  </si>
  <si>
    <t xml:space="preserve">  Net trailing equipment additions (#)</t>
  </si>
  <si>
    <t>Trailing equipment, end of period (#)</t>
  </si>
  <si>
    <t>No container purchases assumed (10-15% capacity still available, Laguna).</t>
  </si>
  <si>
    <t>Avg effective trailing usage (#)</t>
  </si>
  <si>
    <t>Loads per trailing unit per month (x)</t>
  </si>
  <si>
    <t xml:space="preserve">  Y/Y change (x)</t>
  </si>
  <si>
    <t xml:space="preserve">  Q/Q change (x)</t>
  </si>
  <si>
    <t>Effective usage % of trailing equipment</t>
  </si>
  <si>
    <t>Loads (#) (yr ago)</t>
  </si>
  <si>
    <t>Average length of haul (yr ago)</t>
  </si>
  <si>
    <t>Revenue per load ($) (yr ago)</t>
  </si>
  <si>
    <t>Segment revenue (yr ago)</t>
  </si>
  <si>
    <t>Segment operating income (yr ago)</t>
  </si>
  <si>
    <t>Average tractors (yr ago)</t>
  </si>
  <si>
    <t>Tractors EOP (yr ago)</t>
  </si>
  <si>
    <t>Trailing equipment EOP (yr ago)</t>
  </si>
  <si>
    <t>Avg effective trailing usage (yr ago)</t>
  </si>
  <si>
    <t>Segment - Dedicated Contract Services (DCS): fleet, productivity and revenue build</t>
  </si>
  <si>
    <t>Fleet ladder (revenue-producing trucks)</t>
  </si>
  <si>
    <t>Trucks, opening (#)</t>
  </si>
  <si>
    <t xml:space="preserve">  Net truck additions (#)</t>
  </si>
  <si>
    <t>Trucks, end of period (#)</t>
  </si>
  <si>
    <t>3Q26E: record pipeline (Laguna, 15-Sep-26); +~115 net adds after +139 in 2Q26.</t>
  </si>
  <si>
    <t xml:space="preserve">  Gross new trucks sold (approx.)</t>
  </si>
  <si>
    <t>Sales wins (not fleet additions); FY26 target 1,000-1,200. Gross additions / terminations not disclosed.</t>
  </si>
  <si>
    <t xml:space="preserve">  Terminations / churned trucks</t>
  </si>
  <si>
    <t>Not disclosed by issuer.</t>
  </si>
  <si>
    <t>Average trucks during period (#)</t>
  </si>
  <si>
    <t>Customer retention (approx.)</t>
  </si>
  <si>
    <t>Year-ago value of this reported rate is not in the filings used.</t>
  </si>
  <si>
    <t>Productivity and price</t>
  </si>
  <si>
    <t>Revenue per truck per week ($)</t>
  </si>
  <si>
    <t>3Q26E: lagged diesel ~flat Q/Q; index-based escalators +~2% ex-FSC.</t>
  </si>
  <si>
    <t>Productivity excl. FSC % Y/Y (reported)</t>
  </si>
  <si>
    <t>Dedicated loads (#)</t>
  </si>
  <si>
    <t>3Q26E: loads scale with average trucks.</t>
  </si>
  <si>
    <t>Implied revenue weeks</t>
  </si>
  <si>
    <t>3Q26E uses 3Q25A implied weeks (same calendar quarter). History back-solved from reported revenue (calendar 92/7 = 13.14 weeks).</t>
  </si>
  <si>
    <t xml:space="preserve">  Y/Y change (weeks)</t>
  </si>
  <si>
    <t xml:space="preserve">  Q/Q change (weeks)</t>
  </si>
  <si>
    <t>History = reported revenue (weeks back-solved; see I35).</t>
  </si>
  <si>
    <t>DCS revenue</t>
  </si>
  <si>
    <t xml:space="preserve">  Reported less implied</t>
  </si>
  <si>
    <t>Zero by construction (history weeks back-solved); not an independent check.</t>
  </si>
  <si>
    <t>DCS operating income</t>
  </si>
  <si>
    <t>Typical DCS contribution on added trucks/productivity.</t>
  </si>
  <si>
    <t>Share of ~$25m driver-related cost increase (CFO, Laguna 15-Sep-26).</t>
  </si>
  <si>
    <t>Share of &gt;=$10m fuel headwind.</t>
  </si>
  <si>
    <t>Insurance premium, claims and group medical inflation.</t>
  </si>
  <si>
    <t>Maturing of startups onboarded in 2Q26.</t>
  </si>
  <si>
    <t>Equipment</t>
  </si>
  <si>
    <t xml:space="preserve">  Net trailing additions (#)</t>
  </si>
  <si>
    <t>Trucks EOP (yr ago)</t>
  </si>
  <si>
    <t>Average trucks (yr ago)</t>
  </si>
  <si>
    <t>Revenue per truck per week ($) (yr ago)</t>
  </si>
  <si>
    <t>Segment - Integrated Capacity Solutions (ICS): brokerage volume, price and gross profit</t>
  </si>
  <si>
    <t>ICS loads (#)</t>
  </si>
  <si>
    <t>3Q26E: ~flat Q/Q after +19% Y/Y in 2Q26; spot rates fell in Aug (DAT) but share gains continue.</t>
  </si>
  <si>
    <t>Contractual % of load volume (reported)</t>
  </si>
  <si>
    <t>Transactional % of load volume (derived)</t>
  </si>
  <si>
    <t>Contractual loads (derived, #)</t>
  </si>
  <si>
    <t xml:space="preserve">  Y/Y change, contractual (#)</t>
  </si>
  <si>
    <t xml:space="preserve">  Q/Q change, contractual (#)</t>
  </si>
  <si>
    <t>Transactional loads (derived, #)</t>
  </si>
  <si>
    <t xml:space="preserve">  Y/Y change, transactional (#)</t>
  </si>
  <si>
    <t xml:space="preserve">  Q/Q change, transactional (#)</t>
  </si>
  <si>
    <t>Contractual % of revenue (reported)</t>
  </si>
  <si>
    <t>Employee count, end of period (#)</t>
  </si>
  <si>
    <t>Loads per employee (annualised, #)</t>
  </si>
  <si>
    <t>Revenue per load ($)</t>
  </si>
  <si>
    <t>3Q26E: slightly below 2Q26 as Aug spot rates pulled back (DAT 15-Sep-26) while contract repricing holds.</t>
  </si>
  <si>
    <t>ICS revenue</t>
  </si>
  <si>
    <t>Gross profit and segment profit</t>
  </si>
  <si>
    <t>Gross profit margin (reported)</t>
  </si>
  <si>
    <t>3Q26E: +50bp Q/Q on repriced contract freight and softer Aug spot buy rates.</t>
  </si>
  <si>
    <t>Gross profit (revenue x margin)</t>
  </si>
  <si>
    <t>FY25 E53 = sum of quarters (1Q25 F79 + 2Q25 G79 + 3Q25 C53 + 4Q25 D53), each revenue x rounded reported margin; implied 14.48% rounds to the reported 14.5% (E50). FY Y/Y (E51, E54) compares with FY24 revenue x margin (E79) because 1Q24/2Q24 are unavailable.</t>
  </si>
  <si>
    <t xml:space="preserve">  Q/Q change ($m)</t>
  </si>
  <si>
    <t>Purchased transportation (derived)</t>
  </si>
  <si>
    <t>Segment opex below gross profit</t>
  </si>
  <si>
    <t>3Q26E: 2Q26 level grown by the assumption below.</t>
  </si>
  <si>
    <t xml:space="preserve">  Y/Y change ($m)</t>
  </si>
  <si>
    <t xml:space="preserve">  Opex growth Q/Q (3Q26E assumption)</t>
  </si>
  <si>
    <t>Headcount up (710 employees at 2Q26).</t>
  </si>
  <si>
    <t>ICS operating income</t>
  </si>
  <si>
    <t>3Q26E operating income build</t>
  </si>
  <si>
    <t>3Q26E operating income (GP less opex)</t>
  </si>
  <si>
    <t>Gross profit margin (yr ago)</t>
  </si>
  <si>
    <t>Employee count EOP (yr ago)</t>
  </si>
  <si>
    <t>Contractual % volume (yr ago)</t>
  </si>
  <si>
    <t>Contractual % of revenue (yr ago)</t>
  </si>
  <si>
    <t>Gross profit (yr ago) (derived)</t>
  </si>
  <si>
    <t>Segment - Final Mile Services (FMS): stops, revenue per stop and revenue build</t>
  </si>
  <si>
    <t>Stops (#)</t>
  </si>
  <si>
    <t>3Q26E: ~+1% Q/Q; known business losses keep Y/Y negative (mgmt: FMS the exception to strong demand).</t>
  </si>
  <si>
    <t>Stops per truck per quarter (#)</t>
  </si>
  <si>
    <t>Revenue per stop ($)</t>
  </si>
  <si>
    <t>History derived (revenue / stops). 3Q26E assumption (input): near 2Q26 ($229.8) on revenue-quality actions.</t>
  </si>
  <si>
    <t>FMS revenue</t>
  </si>
  <si>
    <t>Zero by construction (history revenue per stop back-solved from revenue, row 19); not an independent check.</t>
  </si>
  <si>
    <t>FMS operating income</t>
  </si>
  <si>
    <t>Low-margin asset-light mix.</t>
  </si>
  <si>
    <t>Small share of ~$25m driver costs.</t>
  </si>
  <si>
    <t>Small share of fuel headwind.</t>
  </si>
  <si>
    <t>Claims/medical inflation.</t>
  </si>
  <si>
    <t>Stops (#) (yr ago)</t>
  </si>
  <si>
    <t>Revenue per stop (yr ago) (derived)</t>
  </si>
  <si>
    <t>Segment - Truckload (JBT): volume, price and revenue build</t>
  </si>
  <si>
    <t>Truckload loads (#)</t>
  </si>
  <si>
    <t>3Q26E: +5% Q/Q, +8% Y/Y; 360box drop-trailer demand strong in tight market.</t>
  </si>
  <si>
    <t>3Q26E: rates moved closer to market (Laguna); Aug spot pullback limits upside.</t>
  </si>
  <si>
    <t>JBT revenue</t>
  </si>
  <si>
    <t>JBT operating income</t>
  </si>
  <si>
    <t>Purchased-power heavy model.</t>
  </si>
  <si>
    <t>Small share of driver costs.</t>
  </si>
  <si>
    <t>Share of fuel headwind.</t>
  </si>
  <si>
    <t>Rate increases toward market (CFO, Laguna 15-Sep-26).</t>
  </si>
  <si>
    <t>IC tractors, end of period (#)</t>
  </si>
  <si>
    <t>Trailers, opening (#)</t>
  </si>
  <si>
    <t xml:space="preserve">  Net trailer additions (#)</t>
  </si>
  <si>
    <t>Trailers, end of period (#)</t>
  </si>
  <si>
    <t>Loads per effective trailer per month (x)</t>
  </si>
  <si>
    <t>Trailers EOP (yr ago)</t>
  </si>
  <si>
    <t>Income Statement (U.S. GAAP) and EPS bridge</t>
  </si>
  <si>
    <t>Revenue</t>
  </si>
  <si>
    <t>Revenues, excl. fuel surcharge</t>
  </si>
  <si>
    <t>Fuel surcharge revenues</t>
  </si>
  <si>
    <t>Fuel-line allocation (unresolved; no OI/EPS effect): FSC revenue +20.2 Q/Q and company fuel +9.4 (H28) give a net +10.9, vs the −$10m bridge headwind. The ~20.9 difference is an implied purchased-transport fuel cost increase inside H19; quantified in memo rows H107:H121.</t>
  </si>
  <si>
    <t xml:space="preserve">  Fuel surcharge % of total revenue</t>
  </si>
  <si>
    <t>3Q26E assumption: 1-week-lagged EIA diesel averaged ~$5.43 vs ~$5.40 in 2Q26, so FSC share stays ~flat vs 2Q26 (18.4%). Lag verified from S18 weekly prints: 29-Jun to 21-Sep 13-print avg $5.429; 30-Mar to 22-Jun $5.404 (unlagged $5.561 / $5.348, Revenue summary H74/G74).</t>
  </si>
  <si>
    <t>3Q26E = Revenue summary total (sum of segment driver builds less eliminations).</t>
  </si>
  <si>
    <t>Operating expenses</t>
  </si>
  <si>
    <t>Rents and purchased transport</t>
  </si>
  <si>
    <t>3Q26E derived: revenue less segment-built operating income less the other expense lines (balancing item). Residual assumption, not an independent check; composition (incl. implied fuel ~20.9) shown in memo rows H107:H121.</t>
  </si>
  <si>
    <t xml:space="preserve">  % of revenue</t>
  </si>
  <si>
    <t>Salaries, wages and benefits</t>
  </si>
  <si>
    <t>2Q26 x (1 + underlying growth) + driver-related step-up (rows below).</t>
  </si>
  <si>
    <t xml:space="preserve">  Underlying growth Q/Q (assumption)</t>
  </si>
  <si>
    <t>Wage/headcount growth with volume.</t>
  </si>
  <si>
    <t xml:space="preserve">  Driver cost step-up, $m (assumption)</t>
  </si>
  <si>
    <t>Single source: Guidance!G13 (CFO, Laguna 15-Sep-26: ~$25m Q3 vs Q2). Segment bridges allocate this amount.</t>
  </si>
  <si>
    <t xml:space="preserve">  Fuel-lag headwind, $m (assumption)</t>
  </si>
  <si>
    <t>Single source: Guidance!E14 (CFO: at least $10m Q/Q). Segment bridges allocate this amount.</t>
  </si>
  <si>
    <t>Depreciation and amortization</t>
  </si>
  <si>
    <t>Run-rate; net capex guide $600-800m for FY26.</t>
  </si>
  <si>
    <t>Fuel and fuel taxes</t>
  </si>
  <si>
    <t>G scaled by observed EIA diesel avg 3Q26 vs 2Q26 (+4.0%, unlagged pump price). Company fuel only; purchased-transport fuel surcharges paid sit in H19. Not built to reproduce the $10m bridge headwind (see I11).</t>
  </si>
  <si>
    <t>Operating supplies &amp; expenses</t>
  </si>
  <si>
    <t>~+1.5% Q/Q with volume.</t>
  </si>
  <si>
    <t>Insurance and claims</t>
  </si>
  <si>
    <t>2Q26 + $3.5m: higher premiums, claims (CFO, Laguna).</t>
  </si>
  <si>
    <t>G&amp;A, net of asset dispositions</t>
  </si>
  <si>
    <t>Near 2Q26 run-rate.</t>
  </si>
  <si>
    <t>Operating taxes and licenses</t>
  </si>
  <si>
    <t>Run-rate.</t>
  </si>
  <si>
    <t>Communication and utilities</t>
  </si>
  <si>
    <t>Total operating expenses</t>
  </si>
  <si>
    <t>Operating income (GAAP)</t>
  </si>
  <si>
    <t>Net interest expense</t>
  </si>
  <si>
    <t>3Q26E own estimate: 2Q26 $16.8m less ~$0.5m for lower average debt after the planned revolver paydown (CapIQ consensus -16.3 is shown only on Inputs).</t>
  </si>
  <si>
    <t>Earnings before income taxes</t>
  </si>
  <si>
    <t xml:space="preserve">  Pretax margin</t>
  </si>
  <si>
    <t>Income taxes</t>
  </si>
  <si>
    <t xml:space="preserve">  Effective tax rate</t>
  </si>
  <si>
    <t>3Q26E: FY26 guide 24.0-24.5% (2Q26 release) vs 25.3% in 1H26 implies ~23.3% 2H; Q4 usually lowest (22.4% 4Q25), so 24.2% for 3Q.</t>
  </si>
  <si>
    <t>Net earnings (GAAP)</t>
  </si>
  <si>
    <t xml:space="preserve">  Net margin</t>
  </si>
  <si>
    <t>Shares and GAAP EPS</t>
  </si>
  <si>
    <t>Wtd avg shares, basic (m)</t>
  </si>
  <si>
    <t>Wtd avg shares, diluted (m)</t>
  </si>
  <si>
    <t>Basic EPS (GAAP)</t>
  </si>
  <si>
    <t>Diluted EPS (GAAP)</t>
  </si>
  <si>
    <t>Memo: diluted EPS as reported</t>
  </si>
  <si>
    <t>Check: EPS vs reported</t>
  </si>
  <si>
    <t>History: rounded EPS vs reported. 3Q26E: arithmetic identity only.</t>
  </si>
  <si>
    <t>GAAP to normalized (consensus basis) bridge</t>
  </si>
  <si>
    <t xml:space="preserve">  + Impairment/restructuring (pre-tax)</t>
  </si>
  <si>
    <t>None reported in these periods (last: $16.0m ICS intangible impairment in 4Q24, outside window).</t>
  </si>
  <si>
    <t xml:space="preserve">  +/- Gains/losses on asset sales (pre-tax)</t>
  </si>
  <si>
    <t>None reported in window. CapIQ consensus EBT excl. exceptional 230.15 vs GAAP 230.65 (Inputs C71:C72) implies ~$0.5m pretax normalized out (≈$0.004/share); source not identified, so H75 kept at 0 (unresolved).</t>
  </si>
  <si>
    <t xml:space="preserve">  - Tax effect of adjustments</t>
  </si>
  <si>
    <t>Normalized net earnings</t>
  </si>
  <si>
    <t>Normalized diluted EPS</t>
  </si>
  <si>
    <t>JBHT reports GAAP only; CapIQ normalized actuals equal GAAP diluted EPS in all six history rows (Inputs).</t>
  </si>
  <si>
    <t>Memo: FY25 as reported (10-K / 4Q25 release) vs sum of quarters</t>
  </si>
  <si>
    <t>FY25 total revenue as reported</t>
  </si>
  <si>
    <t>FY25 operating income as reported</t>
  </si>
  <si>
    <t>FY25 net earnings as reported</t>
  </si>
  <si>
    <t>Check: FY25 quarters − reported (sum of absolute differences)</t>
  </si>
  <si>
    <t xml:space="preserve">  Source-rounding tolerance for FY25 check ($m)</t>
  </si>
  <si>
    <t>Releases report $ thousands: per line up to 5 x $0.0005m rounding (four quarters + FY total) = $0.0025m; three lines = $0.0075m. Observed 0.002 (OI −0.001, net earnings +0.001).</t>
  </si>
  <si>
    <t>Revenues, excl. fuel surcharge (yr ago)</t>
  </si>
  <si>
    <t>Fuel surcharge revenues (yr ago)</t>
  </si>
  <si>
    <t>Rents and purchased transport (yr ago)</t>
  </si>
  <si>
    <t>Salaries, wages and benefits (yr ago)</t>
  </si>
  <si>
    <t>Depreciation and amortization (yr ago)</t>
  </si>
  <si>
    <t>Fuel and fuel taxes (yr ago)</t>
  </si>
  <si>
    <t>Operating supplies &amp; expenses (yr ago)</t>
  </si>
  <si>
    <t>Insurance and claims (yr ago)</t>
  </si>
  <si>
    <t>G&amp;A, net of asset dispositions (yr ago)</t>
  </si>
  <si>
    <t>Operating taxes and licenses (yr ago)</t>
  </si>
  <si>
    <t>Communication and utilities (yr ago)</t>
  </si>
  <si>
    <t>Net interest expense (yr ago)</t>
  </si>
  <si>
    <t>Income taxes (yr ago)</t>
  </si>
  <si>
    <t>Total operating expenses (yr ago)</t>
  </si>
  <si>
    <t>Operating income (yr ago)</t>
  </si>
  <si>
    <t>Earnings before income taxes (yr ago)</t>
  </si>
  <si>
    <t>Net earnings (yr ago)</t>
  </si>
  <si>
    <t>Diluted EPS (yr ago)</t>
  </si>
  <si>
    <t>Memo: 3Q26E expense-line allocation vs segment OI bridges (disclosure, not a check)</t>
  </si>
  <si>
    <t>OI and EPS do not depend on this split: H19 is solved so H41 = segment OI (Revenue summary H68). Reallocating among expense lines changes only line presentation.</t>
  </si>
  <si>
    <t>Fuel surcharge revenue, change Q/Q</t>
  </si>
  <si>
    <t>Driven by the FSC share assumption (H13) on segment-built revenue.</t>
  </si>
  <si>
    <t>Fuel and fuel taxes, change Q/Q</t>
  </si>
  <si>
    <t>Company fuel scaled by unlagged EIA diesel (I28).</t>
  </si>
  <si>
    <t>Net fuel effect in IS lines</t>
  </si>
  <si>
    <t>Segment-bridge fuel-lag headwind</t>
  </si>
  <si>
    <t>Guidance E14 (≥$10m), allocated in segment bridges.</t>
  </si>
  <si>
    <t>Implied purchased-transport fuel cost increase in H19</t>
  </si>
  <si>
    <t>Derived residual, not sourced: fuel surcharges paid to rail/carriers needed to reconcile the IS fuel lines to the bridge headwind. Unresolved allocation.</t>
  </si>
  <si>
    <t>Insurance and claims, change Q/Q</t>
  </si>
  <si>
    <t>Segment-bridge insurance, claims and group medical</t>
  </si>
  <si>
    <t>ICS bridge has no claims item.</t>
  </si>
  <si>
    <t>Bridge claims/medical not in IS claims line</t>
  </si>
  <si>
    <t>Group medical sits in salaries, wages and benefits (underlying growth, H23) or H19; split not disclosed.</t>
  </si>
  <si>
    <t>Salaries, wages and benefits, change Q/Q</t>
  </si>
  <si>
    <t xml:space="preserve">  of which driver-cost step-up (= bridge total)</t>
  </si>
  <si>
    <t xml:space="preserve">  of which underlying growth (volume, medical)</t>
  </si>
  <si>
    <t>Volume-related cost growth is netted within the bridges' incremental-margin contribution.</t>
  </si>
  <si>
    <t>Rents and purchased transport, change Q/Q</t>
  </si>
  <si>
    <t xml:space="preserve">  % Q/Q (residual) vs total revenue % Q/Q</t>
  </si>
  <si>
    <t xml:space="preserve">  % Q/Q excluding implied fuel increase (H112)</t>
  </si>
  <si>
    <t>Compare total revenue +2.3% Q/Q (H17).</t>
  </si>
  <si>
    <t>Balance Sheet (period-end; FY25A = December 31, 2025)</t>
  </si>
  <si>
    <t>Assets</t>
  </si>
  <si>
    <t>Cash and cash equivalents</t>
  </si>
  <si>
    <t>3Q26E = Cash Flow Statement ending cash.</t>
  </si>
  <si>
    <t>Accounts receivable, net</t>
  </si>
  <si>
    <t>3Q26E: DSO held at 2Q26 level.</t>
  </si>
  <si>
    <t>Prepaid expenses and other</t>
  </si>
  <si>
    <t>Total current assets</t>
  </si>
  <si>
    <t>Property and equipment, gross</t>
  </si>
  <si>
    <t>3Q26E: + additions − book value of disposals (proceeds + loss). Net-disposal convention: accumulated depreciation of disposed assets is not relieved, so gross PP&amp;E and accumulated depreciation are both overstated by that amount; net PP&amp;E (H15) is unaffected.</t>
  </si>
  <si>
    <t>Less accumulated depreciation</t>
  </si>
  <si>
    <t>Net property and equipment</t>
  </si>
  <si>
    <t>Other assets, net</t>
  </si>
  <si>
    <t>3Q26E: right-of-use amortization (noncash lease expense).</t>
  </si>
  <si>
    <t>Total assets</t>
  </si>
  <si>
    <t>Liabilities</t>
  </si>
  <si>
    <t>Current debt</t>
  </si>
  <si>
    <t>Trade accounts payable</t>
  </si>
  <si>
    <t>3Q26E: payables held at 2Q26 % of operating expenses.</t>
  </si>
  <si>
    <t>Claims accruals</t>
  </si>
  <si>
    <t>Accrued payroll</t>
  </si>
  <si>
    <t>3Q26E: held flat (original zero payroll-accrual assumption). Cash Flow Statement H20 carries only the lease-liability reduction, mapped to H27.</t>
  </si>
  <si>
    <t>Other accrued expenses</t>
  </si>
  <si>
    <t>3Q26E: + Cash Flow Statement H18 (income taxes payable/receivable; model mapping convention, 0 in 3Q26E).</t>
  </si>
  <si>
    <t>Total current liabilities</t>
  </si>
  <si>
    <t>Long-term debt</t>
  </si>
  <si>
    <t>Long-term claims accruals</t>
  </si>
  <si>
    <t>Other long-term liabilities</t>
  </si>
  <si>
    <t>3Q26E: less operating-lease liability reduction (Cash Flow Statement H20). Current/long-term lease split (Dec-25: 85.6/168.1) and reclass not modeled; total reduction booked here.</t>
  </si>
  <si>
    <t>Deferred income taxes</t>
  </si>
  <si>
    <t>Total liabilities</t>
  </si>
  <si>
    <t>Stockholders' equity</t>
  </si>
  <si>
    <t>3Q26E: + net earnings + share-based comp - buybacks - payroll-tax share withholding - dividends.</t>
  </si>
  <si>
    <t>Total liabilities and equity</t>
  </si>
  <si>
    <t>Check: assets − liabilities − equity</t>
  </si>
  <si>
    <t>Memo and working-capital drivers</t>
  </si>
  <si>
    <t>Total debt</t>
  </si>
  <si>
    <t>Net debt</t>
  </si>
  <si>
    <t>Days sales outstanding (days)</t>
  </si>
  <si>
    <t xml:space="preserve">  Y/Y change (days)</t>
  </si>
  <si>
    <t>Year-ago balance sheets for Sep-24, Mar-25 and Jun-25 are not in the filings used (C, F, G n/d); Dec-24 from the 4Q25 release. 3Q26E uses the Sep-25 balance (H46).</t>
  </si>
  <si>
    <t xml:space="preserve">  Q/Q change (days)</t>
  </si>
  <si>
    <t>Payables % of period opex</t>
  </si>
  <si>
    <t>FY column not comparable with quarterly opex (n/a).</t>
  </si>
  <si>
    <t>Only the Dec-24 (D) and Sep-25 (H, via H47) year-ago balances are in the filings used.</t>
  </si>
  <si>
    <t>Comparatives: year-ago balance sheet (Dec-24 only)</t>
  </si>
  <si>
    <t>Accounts receivable (yr ago)</t>
  </si>
  <si>
    <t>Trade accounts payable (yr ago)</t>
  </si>
  <si>
    <t>Book value per share ($)</t>
  </si>
  <si>
    <t>Cash Flow Statement (quarters derived from reported year-to-date filings)</t>
  </si>
  <si>
    <t>Operating activities</t>
  </si>
  <si>
    <t>Net earnings</t>
  </si>
  <si>
    <t>Noncash lease expense</t>
  </si>
  <si>
    <t>3Q26E add-back held near run-rate (right-of-use amortization; reduces Balance Sheet H16). Matching lease-liability cash reduction now modeled in H20 (−H11) and mapped to Balance Sheet H27.</t>
  </si>
  <si>
    <t>Share-based compensation</t>
  </si>
  <si>
    <t>Loss on sale of equipment and other</t>
  </si>
  <si>
    <t>Trade accounts receivable</t>
  </si>
  <si>
    <t>Other (current) assets</t>
  </si>
  <si>
    <t>Income taxes payable/receivable</t>
  </si>
  <si>
    <t>Accrued payroll and other accruals</t>
  </si>
  <si>
    <t>3Q26E: lease-liability reduction = −H11 (payroll accrual change 0, original). Issuer CF has no separate lease line; the current lease liability sits in other accrued expenses, whose changes run through this line. FY25 rollforward (memo rows 93-100): reduction 97.7 vs ROU amortization 96.0; cash paid 106.8 ≈ straight-line expense 106.7. Quarterly cash payment not disclosed (scoped assumption): CFO sensitivity H101 (−0.4) to H104 (+2.4); no EPS effect. Maps to BS H27.</t>
  </si>
  <si>
    <t>Cash from operating activities</t>
  </si>
  <si>
    <t>3Q26E CFO is a scoped estimate: it embeds the lease-cash basis in H20 (quarterly lease cash not disclosed); range about H21 + H101 to H21 + H104.</t>
  </si>
  <si>
    <t>Investing activities</t>
  </si>
  <si>
    <t>Additions to PP&amp;E</t>
  </si>
  <si>
    <t>3Q26E: FY26 net capex guide $600-800m vs $144.9m in 1H26 implies a 2H step-up; 3Q26E net ~$200m.</t>
  </si>
  <si>
    <t>Proceeds from equipment sales</t>
  </si>
  <si>
    <t>Other investing</t>
  </si>
  <si>
    <t>Cash from investing activities</t>
  </si>
  <si>
    <t>Financing activities</t>
  </si>
  <si>
    <t>Long-term debt issued</t>
  </si>
  <si>
    <t>Payments on long-term debt</t>
  </si>
  <si>
    <t>Revolver proceeds and other</t>
  </si>
  <si>
    <t>3Q26E: incremental revolver draw sized to fund the lease-liability cash reduction (H20), so ending cash stays on the original path; original revolver repayment (H31) unchanged. Interest (IS H47) not re-estimated: ~+$0.15m pretax, about −$0.001 EPS.</t>
  </si>
  <si>
    <t>Revolver payments and other</t>
  </si>
  <si>
    <t>Purchase of treasury stock</t>
  </si>
  <si>
    <t>Shares withheld and other (net)</t>
  </si>
  <si>
    <t>2Q26 +1.874 source-verified: S8 6M26 YTD (5.796) less S7 3M26 YTD (7.670). S8 2Q26 equity statement shows +1.874 'restricted share issuances, net of stock repurchased for payroll taxes and other'. Net line, not a keying error.</t>
  </si>
  <si>
    <t>Dividends paid</t>
  </si>
  <si>
    <t>3Q26E: $0.45 declared 22-Jul-26 x shares outstanding at 30-Jun-26.</t>
  </si>
  <si>
    <t>Cash from financing activities</t>
  </si>
  <si>
    <t>Net change in cash</t>
  </si>
  <si>
    <t>Cash, beginning of period</t>
  </si>
  <si>
    <t>Cash, end of period</t>
  </si>
  <si>
    <t>Check: end cash − BS cash</t>
  </si>
  <si>
    <t>3Q26E identity: Balance Sheet H9 = H38 (not a forecast test).</t>
  </si>
  <si>
    <t>Memo</t>
  </si>
  <si>
    <t>Net capex (additions less proceeds)</t>
  </si>
  <si>
    <t>CFO less net capex (not issuer FCF)</t>
  </si>
  <si>
    <t>Reference only: JBHT does not define free cash flow; this is not issuer FCF and is not scored.</t>
  </si>
  <si>
    <t>CFO / net earnings (x)</t>
  </si>
  <si>
    <t>Reported year-to-date inputs (C=9M25 less 6M25, D=FY25 less 9M25, F=3M26, G=6M26 less 3M26)</t>
  </si>
  <si>
    <t>Net earnings (YTD)</t>
  </si>
  <si>
    <t>Depreciation and amortization (YTD)</t>
  </si>
  <si>
    <t>Noncash lease expense (YTD)</t>
  </si>
  <si>
    <t>Share-based compensation (YTD)</t>
  </si>
  <si>
    <t>Loss on equipment sales (YTD)</t>
  </si>
  <si>
    <t>Deferred income taxes (YTD)</t>
  </si>
  <si>
    <t>Trade accounts receivable (YTD)</t>
  </si>
  <si>
    <t>Other (current) assets (YTD)</t>
  </si>
  <si>
    <t>Trade accounts payable (YTD)</t>
  </si>
  <si>
    <t>Income taxes payable/receivable (YTD)</t>
  </si>
  <si>
    <t>Claims accruals (YTD)</t>
  </si>
  <si>
    <t>Accrued payroll and other accruals (YTD)</t>
  </si>
  <si>
    <t>Additions to PP&amp;E (YTD)</t>
  </si>
  <si>
    <t>Proceeds from equipment sales (YTD)</t>
  </si>
  <si>
    <t>Other investing (YTD)</t>
  </si>
  <si>
    <t>Long-term debt issued (YTD)</t>
  </si>
  <si>
    <t>Payments on long-term debt (YTD)</t>
  </si>
  <si>
    <t>Revolver proceeds and other (YTD)</t>
  </si>
  <si>
    <t>Revolver payments and other (YTD)</t>
  </si>
  <si>
    <t>Purchase of treasury stock (YTD)</t>
  </si>
  <si>
    <t>Shares withheld and other, net (YTD)</t>
  </si>
  <si>
    <t>Dividends paid (YTD)</t>
  </si>
  <si>
    <t>Net earnings (prior YTD)</t>
  </si>
  <si>
    <t>Depreciation and amortization (prior YTD)</t>
  </si>
  <si>
    <t>Noncash lease expense (prior YTD)</t>
  </si>
  <si>
    <t>Share-based compensation (prior YTD)</t>
  </si>
  <si>
    <t>Loss on equipment sales (prior YTD)</t>
  </si>
  <si>
    <t>Deferred income taxes (prior YTD)</t>
  </si>
  <si>
    <t>Trade accounts receivable (prior YTD)</t>
  </si>
  <si>
    <t>Other (current) assets (prior YTD)</t>
  </si>
  <si>
    <t>Trade accounts payable (prior YTD)</t>
  </si>
  <si>
    <t>Income taxes payable/receivable (prior YTD)</t>
  </si>
  <si>
    <t>Claims accruals (prior YTD)</t>
  </si>
  <si>
    <t>Accrued payroll and other accruals (prior YTD)</t>
  </si>
  <si>
    <t>Additions to PP&amp;E (prior YTD)</t>
  </si>
  <si>
    <t>Proceeds from equipment sales (prior YTD)</t>
  </si>
  <si>
    <t>Other investing (prior YTD)</t>
  </si>
  <si>
    <t>Long-term debt issued (prior YTD)</t>
  </si>
  <si>
    <t>Payments on long-term debt (prior YTD)</t>
  </si>
  <si>
    <t>Revolver proceeds and other (prior YTD)</t>
  </si>
  <si>
    <t>Revolver payments and other (prior YTD)</t>
  </si>
  <si>
    <t>Purchase of treasury stock (prior YTD)</t>
  </si>
  <si>
    <t>Shares withheld and other, net (prior YTD)</t>
  </si>
  <si>
    <t>Dividends paid (prior YTD)</t>
  </si>
  <si>
    <t>Memo: operating-lease liability rollforward (10-K FY25 Note 10; basis for H11 and H20)</t>
  </si>
  <si>
    <t>Quarterly discounted lease liabilities, cash paid and new leases are not disclosed in the 10-Qs used (n/d, not zero); 10-Qs give only undiscounted future minimum payments (Sep-25 295.9, Mar-26 265.1, Jun-26 258.0 vs Dec-25 278.7). FY25 is sourced; 3Q26E applies the FY25 basis.</t>
  </si>
  <si>
    <t>Lease liability, beginning (curr.+LT)</t>
  </si>
  <si>
    <t>Dec-24: current 98.1 + long-term 214.0.</t>
  </si>
  <si>
    <t xml:space="preserve">  + New-lease ROU assets obtained</t>
  </si>
  <si>
    <t>3Q26E new leases not forecast (n/d); ROU asset (Balance Sheet H16) and liability (H27) move only by amortization and reduction.</t>
  </si>
  <si>
    <t xml:space="preserve">  − Lease-liability reduction</t>
  </si>
  <si>
    <t>FY25 derived from the rollforward. 3Q26E = −H20, assumed equal to ROU amortization (H99).</t>
  </si>
  <si>
    <t>Lease liability, end (curr.+LT)</t>
  </si>
  <si>
    <t>Dec-25: current 85.6 + long-term 168.1. Jun-26 and Sep-26 balances not disclosed.</t>
  </si>
  <si>
    <t>Cash paid for operating leases</t>
  </si>
  <si>
    <t>FY25 cash paid $106.8m vs $106.7m straight-line lease expense (in G&amp;A, so lease cash ≈ expense). Quarterly cash not disclosed.</t>
  </si>
  <si>
    <t xml:space="preserve">  Implied accretion (cash − reduction)</t>
  </si>
  <si>
    <t>Noncash lease expense (row 11)</t>
  </si>
  <si>
    <t>Reduction less amort. (+ = lower CFO)</t>
  </si>
  <si>
    <t>3Q26E = 0 by construction (H20 = −H11).</t>
  </si>
  <si>
    <t>3Q26E CFO sensitivity, low</t>
  </si>
  <si>
    <t>If the 3Q26 reduction exceeds amortization by the FY25 quarterly gap, CFO (H21) is lower by this amount.</t>
  </si>
  <si>
    <t>2026 scheduled lease payments</t>
  </si>
  <si>
    <t>Lease discount rate, Dec-25</t>
  </si>
  <si>
    <t>3Q26E CFO sensitivity, high</t>
  </si>
  <si>
    <t>Approx.: quarterly cash = E102/4; accretion at E103 on the Dec-25 liability (Jun-26 discounted balance n/d). Scaling the liability by undiscounted payments (258.0/278.7 → ~234.9) gives about +2.15. Positive = CFO higher than H21. No EPS effect (lease cost is in G&amp;A either way).</t>
  </si>
  <si>
    <t>Share Count: weighted shares, buybacks and EPS share basis (millions of shares)</t>
  </si>
  <si>
    <t>Shares outstanding</t>
  </si>
  <si>
    <t>Shares outstanding, EOP (m)</t>
  </si>
  <si>
    <t xml:space="preserve">  Shares repurchased (m)</t>
  </si>
  <si>
    <t xml:space="preserve">  Repurchase amount ($m)</t>
  </si>
  <si>
    <t>3Q26E: ~$100m (in line with 2Q26 $98m; $791m authorization left; shares fell ~13% on 16-Sep-26).</t>
  </si>
  <si>
    <t xml:space="preserve">  Average price paid ($/share)</t>
  </si>
  <si>
    <t>3Q26E: blend of ~$270-290 Jul-Aug and ~$230 late-Sep trading (stock $273 on 15-Sep, $237 on 16-Sep).</t>
  </si>
  <si>
    <t xml:space="preserve">    Y/Y change ($/share)</t>
  </si>
  <si>
    <t>C:G n/d (2024 buyback prices not taken from filings); 3Q26E vs 3Q25A average price (C12).</t>
  </si>
  <si>
    <t xml:space="preserve">    Q/Q change ($/share)</t>
  </si>
  <si>
    <t xml:space="preserve">  Net shares issued, equity plans (m)</t>
  </si>
  <si>
    <t>Weighted average shares</t>
  </si>
  <si>
    <t>4Q25 basic not separately reported: day-weighted back-solve, FY25 basic (S6) x 365 days less 1Q25-3Q25 basic x 90/91/92 days, / 92 (1Q/2Q days from F6/G6; 2025 and 2026 both non-leap). Ties to 9M25 basic 97.832m (S5). Affects 4Q25 basic EPS only. 3Q26E: EOP-midpoint convention = June-end count less half of Q3 buyback plus half of equity-plan issuance (H10, H15). Reported basic exceeded this midpoint by +0.093m (1Q26) and +0.018m (2Q26); each +0.1m shares is about −$0.0019 EPS (unresolved timing).</t>
  </si>
  <si>
    <t xml:space="preserve">  Dilutive effect of RSUs/PSUs (m)</t>
  </si>
  <si>
    <t>3Q26E: 2Q26 dilution was 0.8m (10-Q Note 2).</t>
  </si>
  <si>
    <t>3Q26E diluted count feeds the forecast EPS on Income Statement.</t>
  </si>
  <si>
    <t xml:space="preserve">  Q/Q change (m)</t>
  </si>
  <si>
    <t>Per-share returns</t>
  </si>
  <si>
    <t>Dividends declared per share ($)</t>
  </si>
  <si>
    <t>FY25 = sum of 1Q25-4Q25 quarterly dividends (F31+G31+C23+D23; $0.44 each); 3Q26E dividend already declared (22-Jul-26).</t>
  </si>
  <si>
    <t xml:space="preserve">  Y/Y change ($)</t>
  </si>
  <si>
    <t>Dividends paid ($m)</t>
  </si>
  <si>
    <t>Diluted shares used for forecast EPS (m)</t>
  </si>
  <si>
    <t>Wtd avg shares, basic (yr ago) (m)</t>
  </si>
  <si>
    <t>Dividends declared per share (yr ago, $)</t>
  </si>
  <si>
    <t>FY24 = 4 x $0.43: 10-K FY25 (S6) states a $0.43 quarterly dividend was paid in 2024.</t>
  </si>
  <si>
    <t>Wtd avg shares, diluted (yr ago) (m)</t>
  </si>
  <si>
    <t>Guidance: every issuer guidance item in the window, with outcome</t>
  </si>
  <si>
    <t>Reference tab: no period columns (period headers are on each statement tab)</t>
  </si>
  <si>
    <t>Metric</t>
  </si>
  <si>
    <t>Date given</t>
  </si>
  <si>
    <t>Low</t>
  </si>
  <si>
    <t>High</t>
  </si>
  <si>
    <t>Midpoint</t>
  </si>
  <si>
    <t>Actual / latest</t>
  </si>
  <si>
    <t>Beat/miss vs range</t>
  </si>
  <si>
    <t>Source</t>
  </si>
  <si>
    <t>3Q26 diluted EPS change vs 2Q26 (guided)</t>
  </si>
  <si>
    <t>3Q26</t>
  </si>
  <si>
    <t>pending</t>
  </si>
  <si>
    <t>pending (report 15-Oct-26)</t>
  </si>
  <si>
    <t>S10, S11, S12</t>
  </si>
  <si>
    <t>3Q26 diluted EPS implied by guided range ($)</t>
  </si>
  <si>
    <t>S10; CapIQ guidance_low/high</t>
  </si>
  <si>
    <t xml:space="preserve">  Shortcut 3Q26E normalized EPS vs implied range</t>
  </si>
  <si>
    <t>Model; C11 = as-of date</t>
  </si>
  <si>
    <t xml:space="preserve">  CapIQ normalized EPS guidance low / high (cross-check)</t>
  </si>
  <si>
    <t>S26; C12 = snapshot as-of date</t>
  </si>
  <si>
    <t>3Q26 driver-related cost increase vs 2Q26 ($m)</t>
  </si>
  <si>
    <t>S10</t>
  </si>
  <si>
    <t>3Q26 fuel headwind vs 2Q26 ($m, "at least")</t>
  </si>
  <si>
    <t>FY26 effective tax rate</t>
  </si>
  <si>
    <t>FY26</t>
  </si>
  <si>
    <t>S2</t>
  </si>
  <si>
    <t>FY26 effective tax rate (reiterated)</t>
  </si>
  <si>
    <t>S3</t>
  </si>
  <si>
    <t>FY26 effective tax rate (narrowed)</t>
  </si>
  <si>
    <t>S4</t>
  </si>
  <si>
    <t>FY26 net capital expenditures ($m)</t>
  </si>
  <si>
    <t>pending (1H26: 144.9)</t>
  </si>
  <si>
    <t>S25</t>
  </si>
  <si>
    <t>FY26 net capital expenditures ($m, reiterated)</t>
  </si>
  <si>
    <t>S3 call</t>
  </si>
  <si>
    <t>FY26 DCS gross new truck sales (#)</t>
  </si>
  <si>
    <t>pending (1H26 ~550)</t>
  </si>
  <si>
    <t>S9</t>
  </si>
  <si>
    <t>FY25 effective tax rate (approximately)</t>
  </si>
  <si>
    <t>FY25</t>
  </si>
  <si>
    <t>S1; S2</t>
  </si>
  <si>
    <t>Track record: no prior EPS guidance (see cell note)</t>
  </si>
  <si>
    <t>Sources: every document used, what it feeds, and when it was retrieved</t>
  </si>
  <si>
    <t>ID</t>
  </si>
  <si>
    <t>Publication date</t>
  </si>
  <si>
    <t>Publisher</t>
  </si>
  <si>
    <t>URL or file</t>
  </si>
  <si>
    <t>Feeds</t>
  </si>
  <si>
    <t>Retrieved (UTC)</t>
  </si>
  <si>
    <t>S1</t>
  </si>
  <si>
    <t>J.B. Hunt (8-K Ex.99.1)</t>
  </si>
  <si>
    <t>https://www.sec.gov/Archives/edgar/data/728535/000143774925031039/ex_870337.htm</t>
  </si>
  <si>
    <t>3Q25A and 3Q24 IS, segments, operating stats, balance sheet</t>
  </si>
  <si>
    <t>2026-10-12 04:20</t>
  </si>
  <si>
    <t>https://www.sec.gov/Archives/edgar/data/728535/000143774926001357/ex_907715.htm</t>
  </si>
  <si>
    <t>4Q25A, FY25A, 4Q24, FY24 IS, segments, stats, BS; FY26 tax guide</t>
  </si>
  <si>
    <t>https://www.sec.gov/Archives/edgar/data/728535/000143774926012396/ex_945603.htm</t>
  </si>
  <si>
    <t>1Q26A and 1Q25 IS, segments, stats, BS</t>
  </si>
  <si>
    <t>https://www.sec.gov/Archives/edgar/data/728535/000143774926023629/ex_987956.htm</t>
  </si>
  <si>
    <t>2Q26A and 2Q25 IS, segments, stats, BS; FY26 tax guide 24.0-24.5%</t>
  </si>
  <si>
    <t>S5</t>
  </si>
  <si>
    <t>J.B. Hunt (Form 10-Q)</t>
  </si>
  <si>
    <t>https://www.sec.gov/Archives/edgar/data/728535/000143774925031696/jbht20250930_10q.htm</t>
  </si>
  <si>
    <t>9M25 cash flow; 3Q25 basic shares</t>
  </si>
  <si>
    <t>S6</t>
  </si>
  <si>
    <t>J.B. Hunt (Form 10-K)</t>
  </si>
  <si>
    <t>https://www.sec.gov/Archives/edgar/data/728535/000143774926005294/jbht20251231_10k.htm</t>
  </si>
  <si>
    <t>FY25 cash flow; FY25 basic shares; dividends; geography (Item 7A)</t>
  </si>
  <si>
    <t>S7</t>
  </si>
  <si>
    <t>https://www.sec.gov/Archives/edgar/data/728535/000143774926013300/jbht20260331_10q.htm</t>
  </si>
  <si>
    <t>3M26 cash flow; 1Q26 basic shares; buyback</t>
  </si>
  <si>
    <t>S8</t>
  </si>
  <si>
    <t>https://www.sec.gov/Archives/edgar/data/728535/000143774926024397/jbht20260630_10q.htm</t>
  </si>
  <si>
    <t>6M26 and 6M25 cash flow; 2Q26 basic shares; dilution; buyback</t>
  </si>
  <si>
    <t>The Motley Fool (transcript of 15-Jul-26 call)</t>
  </si>
  <si>
    <t>https://www.fool.com/earnings/call-transcripts/2026/07/22/jb-hunt-jbht-q2-2026-earnings-call-transcript/</t>
  </si>
  <si>
    <t>DCS truck sales; Q3 volume shape; tax guide</t>
  </si>
  <si>
    <t>Equibles (Morgan Stanley Laguna transcript, 15-Sep-26)</t>
  </si>
  <si>
    <t>https://equibles.com/stocks/jbht/documents/82ff7d06-fd28-4765-9280-f5da40866feb</t>
  </si>
  <si>
    <t>3Q26 EPS -5% to -10% Q/Q; $25m driver; &gt;=$10m fuel; claims</t>
  </si>
  <si>
    <t>S11</t>
  </si>
  <si>
    <t>FreightWaves</t>
  </si>
  <si>
    <t>https://www.freightwaves.com/news/j-b-hunt-flags-q3-cost-pressures-shares-sink-12</t>
  </si>
  <si>
    <t>Guidance midpoint $1.77; 1-week surcharge lag</t>
  </si>
  <si>
    <t>S12</t>
  </si>
  <si>
    <t>CNBC</t>
  </si>
  <si>
    <t>https://www.cnbc.com/2026/09/16/jb-hunt-stock-jbht-earnings.html</t>
  </si>
  <si>
    <t>Guidance quote; stock reaction</t>
  </si>
  <si>
    <t>S13</t>
  </si>
  <si>
    <t>Investing.com (UBS note)</t>
  </si>
  <si>
    <t>https://ca.investing.com/news/stock-market-news/ubs-cuts-jb-hunt-stock-price-target-on-cost-pressures-to-264-93CH-4843592</t>
  </si>
  <si>
    <t>UBS 3Q26 EPS $1.80 (EBIT -6% Q/Q)</t>
  </si>
  <si>
    <t>S14</t>
  </si>
  <si>
    <t>Talk Business &amp; Politics (Stephens preview)</t>
  </si>
  <si>
    <t>https://talkbusiness.net/2026/10/j-b-hunt-q3-earnings-revenue-to-rise-analysts-say/</t>
  </si>
  <si>
    <t>Consensus $1.81 (18 analysts); Stephens expects in line with update</t>
  </si>
  <si>
    <t>S15</t>
  </si>
  <si>
    <t>Yahoo Finance (Zacks)</t>
  </si>
  <si>
    <t>https://finance.yahoo.com/markets/stocks/articles/j-b-hunt-gears-q3-151000039.html</t>
  </si>
  <si>
    <t>Zacks consensus $1.89 / $3.55bn (not baseline)</t>
  </si>
  <si>
    <t>S16</t>
  </si>
  <si>
    <t>MarketBeat</t>
  </si>
  <si>
    <t>https://www.marketbeat.com/instant-alerts/upcoming-jb-hunt-transport-services-jbht-expected-to-release-quarterly-earnings-on-thursday-2026-10-08/</t>
  </si>
  <si>
    <t>Report date 15-Oct-26 after close; $1.86 / $3.5835bn</t>
  </si>
  <si>
    <t>S17</t>
  </si>
  <si>
    <t>Benzinga</t>
  </si>
  <si>
    <t>https://www.benzinga.com/analyst-stock-ratings/price-target/26/10/62213177/jb-hunt-likely-to-report-higher-q3-earnings-these-most-accurate-analysts-revise-forecasts-ahead-of-earnings-call</t>
  </si>
  <si>
    <t>$1.80 / $3.58bn (not baseline)</t>
  </si>
  <si>
    <t>S18</t>
  </si>
  <si>
    <t>U.S. EIA (weekly diesel) + SMC3 / IndexBox for Sep-26 prints</t>
  </si>
  <si>
    <t>https://www.eia.gov/dnav/pet/hist/LeafHandler.ashx?n=PET&amp;s=EMD_EPD2D_PTE_NUS_DPG&amp;f=W</t>
  </si>
  <si>
    <t>Quarterly diesel averages; fuel expense and FSC drivers</t>
  </si>
  <si>
    <t>S19</t>
  </si>
  <si>
    <t>Intermodal Association of North America</t>
  </si>
  <si>
    <t>https://www.intermodal.org/article/us-intermodal-freight-moderates-picks-up-in-september-iana-index-shows</t>
  </si>
  <si>
    <t>Sep-26 intermodal index +5.2% Y/Y</t>
  </si>
  <si>
    <t>S20</t>
  </si>
  <si>
    <t>Logistics Management (IANA data)</t>
  </si>
  <si>
    <t>https://www.logisticsmgmt.com/article/intermodals_growth_run_continues_in_august_reports_iana</t>
  </si>
  <si>
    <t>Domestic containers +8.2% YTD</t>
  </si>
  <si>
    <t>S21</t>
  </si>
  <si>
    <t>DAT Freight &amp; Analytics</t>
  </si>
  <si>
    <t>https://www.dat.com/company/news-events/news-releases/dat-spot-van-rate-falls-20-cents-in-steepest-august-pullback-on-record</t>
  </si>
  <si>
    <t>Aug-26 spot pullback (ICS/JBT price)</t>
  </si>
  <si>
    <t>S22</t>
  </si>
  <si>
    <t>Cass Information Systems</t>
  </si>
  <si>
    <t>https://www.cassinfo.com/freight-audit-payment/cass-transportation-indexes/august-2026</t>
  </si>
  <si>
    <t>Aug-26 shipments +2.1% Y/Y</t>
  </si>
  <si>
    <t>S23</t>
  </si>
  <si>
    <t>StockAnalysis.com</t>
  </si>
  <si>
    <t>https://stockanalysis.com/stocks/jbht/market-cap/</t>
  </si>
  <si>
    <t>Market cap $21.53bn (prior calibration)</t>
  </si>
  <si>
    <t>S24</t>
  </si>
  <si>
    <t>J.B. Hunt (dividend release)</t>
  </si>
  <si>
    <t>https://investor.jbhunt.com/news/2026/07-22-2026-201518293</t>
  </si>
  <si>
    <t>3Q26 dividend $0.45</t>
  </si>
  <si>
    <t>FleetOwner</t>
  </si>
  <si>
    <t>https://www.fleetowner.com/news/news/55344047/jb-hunt-ceo-cautious-on-freight-rates-despite-tightening-trucking-market</t>
  </si>
  <si>
    <t>FY26 net capex guide $600-800m</t>
  </si>
  <si>
    <t>S26</t>
  </si>
  <si>
    <t>S&amp;P Capital IQ (supplied file)</t>
  </si>
  <si>
    <t>JBHT_consensus.json</t>
  </si>
  <si>
    <t>Frozen consensus (scoring baseline), summary_row</t>
  </si>
  <si>
    <t>S27</t>
  </si>
  <si>
    <t>JBHT_history.csv</t>
  </si>
  <si>
    <t>Six-quarter actual vs consensus history</t>
  </si>
  <si>
    <t>S28</t>
  </si>
  <si>
    <t>https://www.freightwaves.com/news/intermodal-hits-annual-high-21k-containers</t>
  </si>
  <si>
    <t>Domestic intermodal ~+8% Y/Y late Sep-26</t>
  </si>
  <si>
    <t>Omitted tab: Geo — FY2025 10-K (jbht20251231_10k.htm, Item 7A) says international operations are not material and customers are spread across the U.S.; one line on Revenue summary instead.</t>
  </si>
  <si>
    <t>Not used as tabs by design: Dates, Consensus and Checks (headers sit on each tab, consensus on Cover, check summary in artifacts/checks.md).</t>
  </si>
  <si>
    <t>Information cutoff 2026-10-11 22:24 UTC: every source above was published before it. Retrieval ran 2026-10-12; no 3Q26 actual results were seen (report due 15-Oct-26).</t>
  </si>
  <si>
    <t>Inputs: S&amp;P Capital IQ snapshot (raw), history and prior calibration</t>
  </si>
  <si>
    <t>A. Source files (read-only inputs)</t>
  </si>
  <si>
    <t>File</t>
  </si>
  <si>
    <t>SHA-256</t>
  </si>
  <si>
    <t>Rows</t>
  </si>
  <si>
    <t>Columns</t>
  </si>
  <si>
    <t>Workbook destination</t>
  </si>
  <si>
    <t>0f6a895bdde7742f4df2ad4c4ef9822a1e684a4c5809711b2200a9f33a7f4874</t>
  </si>
  <si>
    <t>Inputs section D; tied to Income Statement EPS/revenue (1Q25A-2Q26A; 1Q25/2Q25 via year-ago rows 100/105)</t>
  </si>
  <si>
    <t>1dd04ef56fa514304c503bd85389f7ffb9a2e3f94c9fa31dd9d37a27cbfdc1a9</t>
  </si>
  <si>
    <t>Inputs sections B-C; Cover consensus cells</t>
  </si>
  <si>
    <t>metric-targets.json</t>
  </si>
  <si>
    <t>b4855129d54b9fbaeebe54f67f26a4fb7cd46d306f8f36b676a7033bcbfc7a48</t>
  </si>
  <si>
    <t>artifacts/financial-metrics.json target manifest</t>
  </si>
  <si>
    <t>shortcut-logo.png</t>
  </si>
  <si>
    <t>707c48724ca1a565c8e78f04f026193d572be53ce1fc7e522e297445fc0d3979</t>
  </si>
  <si>
    <t>Cover logo (top left)</t>
  </si>
  <si>
    <t>B. CapIQ consensus snapshot (JBHT_consensus.json, top level)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</si>
  <si>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</si>
  <si>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</si>
  <si>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</si>
  <si>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</si>
  <si>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</si>
  <si>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</si>
  <si>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</si>
  <si>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</si>
  <si>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</si>
  <si>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</si>
  <si>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</si>
  <si>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</si>
  <si>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</si>
  <si>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</si>
  <si>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</si>
  <si>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</si>
  <si>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</si>
  <si>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</si>
  <si>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</si>
  <si>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</si>
  <si>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per-share in USD; revenue and income in USD millions</t>
  </si>
  <si>
    <t>C. CapIQ summary_row (complete raw row; blanks preserved as empty cells = unavailable)</t>
  </si>
  <si>
    <t>Field</t>
  </si>
  <si>
    <t>Raw value</t>
  </si>
  <si>
    <t>Used in model</t>
  </si>
  <si>
    <t>company_name</t>
  </si>
  <si>
    <t>exchange_ticker</t>
  </si>
  <si>
    <t>NasdaqGS:JBHT</t>
  </si>
  <si>
    <t>capiq_company_id</t>
  </si>
  <si>
    <t>sp500_member</t>
  </si>
  <si>
    <t>Y</t>
  </si>
  <si>
    <t>Prior calibration (S&amp;P 500)</t>
  </si>
  <si>
    <t>market_cap_usd_m</t>
  </si>
  <si>
    <t>fiscal_quarter</t>
  </si>
  <si>
    <t>quarter_end_date</t>
  </si>
  <si>
    <t>expected_report_date</t>
  </si>
  <si>
    <t>Cover expected report date</t>
  </si>
  <si>
    <t>fiscal_year_end</t>
  </si>
  <si>
    <t>Dec-31</t>
  </si>
  <si>
    <t>analysts_covering</t>
  </si>
  <si>
    <t>eps_normalized_mean</t>
  </si>
  <si>
    <t>Cover consensus EPS (scoring baseline)</t>
  </si>
  <si>
    <t>eps_normalized_median</t>
  </si>
  <si>
    <t>Cover consensus detail</t>
  </si>
  <si>
    <t>eps_normalized_high</t>
  </si>
  <si>
    <t>eps_normalized_low</t>
  </si>
  <si>
    <t>eps_normalized_std_dev</t>
  </si>
  <si>
    <t>eps_normalized_n_est</t>
  </si>
  <si>
    <t>Cover: primary contributor count</t>
  </si>
  <si>
    <t>eps_normalized_guidance</t>
  </si>
  <si>
    <t>eps_normalized_guidance_low</t>
  </si>
  <si>
    <t>Guidance cross-check</t>
  </si>
  <si>
    <t>eps_normalized_guidance_high</t>
  </si>
  <si>
    <t>eps_gaap_mean</t>
  </si>
  <si>
    <t>Cover GAAP EPS consensus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</si>
  <si>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</si>
  <si>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</si>
  <si>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</si>
  <si>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</si>
  <si>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</si>
  <si>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</si>
  <si>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</si>
  <si>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Cover consensus revenue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</si>
  <si>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</si>
  <si>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</si>
  <si>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</si>
  <si>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</si>
  <si>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</si>
  <si>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</si>
  <si>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</si>
  <si>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</si>
  <si>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</si>
  <si>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</si>
  <si>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Cover consensus operating income</t>
  </si>
  <si>
    <t>ebt_excl_excep_m</t>
  </si>
  <si>
    <t>ebt_gaap_m</t>
  </si>
  <si>
    <t>net_income_excl_excep_m</t>
  </si>
  <si>
    <t>Cover consensus net income (normalized)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</si>
  <si>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</si>
  <si>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</si>
  <si>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</si>
  <si>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</si>
  <si>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</si>
  <si>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</si>
  <si>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</si>
  <si>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</si>
  <si>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Income Statement interest assumption cross-check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</si>
  <si>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</si>
  <si>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</si>
  <si>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</si>
  <si>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</si>
  <si>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</si>
  <si>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</si>
  <si>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</si>
  <si>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</si>
  <si>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</si>
  <si>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</si>
  <si>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</si>
  <si>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</si>
  <si>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</si>
  <si>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</si>
  <si>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</si>
  <si>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</si>
  <si>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</si>
  <si>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Market cap cross-check</t>
  </si>
  <si>
    <t>wk52_high_low</t>
  </si>
  <si>
    <t>299.76/136.46</t>
  </si>
  <si>
    <t>units</t>
  </si>
  <si>
    <t>estimates_captured_at</t>
  </si>
  <si>
    <t>notes</t>
  </si>
  <si>
    <t>D. CapIQ history (JBHT_history.csv, all six rows) with surprise and model tie-out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</si>
  <si>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</si>
  <si>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</si>
  <si>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</si>
  <si>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</si>
  <si>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</si>
  <si>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</si>
  <si>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</si>
  <si>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EPS surprise ($)</t>
  </si>
  <si>
    <t>Strict beat?</t>
  </si>
  <si>
    <t>Model diluted EPS</t>
  </si>
  <si>
    <t>Model revenue ($m)</t>
  </si>
  <si>
    <t>Tie: EPS (=0)</t>
  </si>
  <si>
    <t>Tie: revenue (=0)</t>
  </si>
  <si>
    <t>Mean surprise, six quarters ($)</t>
  </si>
  <si>
    <t>Median surprise, six quarters ($)</t>
  </si>
  <si>
    <t>3Q25 surprise, seasonal comp ($)</t>
  </si>
  <si>
    <t>Check: history ties to model (=0)</t>
  </si>
  <si>
    <t>E. Size-aware prior calibration (playbook v2) — linked to Cover</t>
  </si>
  <si>
    <t>Market cap ($bn), 9-Oct-26 close</t>
  </si>
  <si>
    <t>CapIQ market_cap_usd_m is blank in the export; researched value used.</t>
  </si>
  <si>
    <t xml:space="preserve">  Check: CapIQ close x shares ($bn)</t>
  </si>
  <si>
    <t>Size bucket (&lt;$2bn/$2-10bn/&gt;$10bn)</t>
  </si>
  <si>
    <t>S&amp;P 500 member (CapIQ flag, C37)</t>
  </si>
  <si>
    <t>Cohort prior (0.78/0.70/0.60)</t>
  </si>
  <si>
    <t>0.78 large cap or S&amp;P 500 member; 0.70 mid; 0.60 small (playbook v2).</t>
  </si>
  <si>
    <t>Strict beats, six pairs (b)</t>
  </si>
  <si>
    <t>Valid pairs (n), none excluded</t>
  </si>
  <si>
    <t>All six pairs on the same normalized basis; none excluded.</t>
  </si>
  <si>
    <t>Pseudo-observations (fixed)</t>
  </si>
  <si>
    <t>Starting p = (8 x prior + b)/(8 + n)</t>
  </si>
  <si>
    <t>Quarter-specific update</t>
  </si>
  <si>
    <t>Guidance top ($1.81) equals consensus; model mean $1.79.</t>
  </si>
  <si>
    <t>Final P(beat consensus EPS)</t>
  </si>
  <si>
    <t>Starting p reflects the 6/6 beat record; cut to 35% because management's 15-Sep-26 range ($1.72-1.81) tops out at the $1.81 consensus, so a strict beat needs EPS above the top of guidance.</t>
  </si>
  <si>
    <t>medium</t>
  </si>
  <si>
    <t>F. Other consensus reads found (not the scoring baseline; frozen CapIQ $1.81 / $3,587.7m retained)</t>
  </si>
  <si>
    <t>Provider (publication date)</t>
  </si>
  <si>
    <t>EPS</t>
  </si>
  <si>
    <t>Revenue ($m)</t>
  </si>
  <si>
    <t>Contributors</t>
  </si>
  <si>
    <t>Source ID</t>
  </si>
  <si>
    <t>Zacks via Yahoo Finance (9-Oct-26)</t>
  </si>
  <si>
    <t>MarketBeat (8-Oct-26)</t>
  </si>
  <si>
    <t>Talk Business, n=18 (9-Oct-26)</t>
  </si>
  <si>
    <t>Benzinga (7-Oct-26)</t>
  </si>
  <si>
    <t>UBS analyst estimate (17-Sep-26)</t>
  </si>
  <si>
    <t>G. Tracked metric targets not forecast in this workbook (tracked only, not scored)</t>
  </si>
  <si>
    <t>Metric target</t>
  </si>
  <si>
    <t>Status</t>
  </si>
  <si>
    <t>Reason (issuer / source basis) and workbook reference</t>
  </si>
  <si>
    <t>gross_profit (consolidated)</t>
  </si>
  <si>
    <t>not applicable</t>
  </si>
  <si>
    <t>JBHT does not report consolidated gross profit (S1-S4 releases); only ICS discloses a gross profit margin (ICS gross profit at Segment - ICS!H53).</t>
  </si>
  <si>
    <t>gross_margin (consolidated)</t>
  </si>
  <si>
    <t>No consolidated gross margin disclosed; ICS segment margin only (Segment - ICS!H50). CapIQ gross_margin_pct (C75) is blank.</t>
  </si>
  <si>
    <t>issuer_defined_ebitda</t>
  </si>
  <si>
    <t>JBHT does not define or report EBITDA; operating income is not relabelled. CapIQ ebitda_m (C69) is recorded for reference only.</t>
  </si>
  <si>
    <t>issuer_defined_free_cash_flow</t>
  </si>
  <si>
    <t>unavailable</t>
  </si>
  <si>
    <t>JBHT does not define FCF. CFO less net capex (Cash Flow Statement!H43) is a non-issuer reference line, unscored. CapIQ fcf_m (C80) is blank.</t>
  </si>
  <si>
    <t>organic_revenue_growth</t>
  </si>
  <si>
    <t>Issuer does not disclose FX impact or an organic definition; Revenue summary H50 shows n/a (reason in I49:I50). Issuer-disclosed alternative: revenue excl. fuel surcharge % Y/Y (Income Statement H10).</t>
  </si>
</sst>
</file>

<file path=xl/styles.xml><?xml version="1.0" encoding="utf-8"?>
<styleSheet xmlns="http://schemas.openxmlformats.org/spreadsheetml/2006/main">
  <numFmts count="22">
    <numFmt numFmtId="164" formatCode="#,##0.0_);(#,##0.0);–_)"/>
    <numFmt numFmtId="165" formatCode="#,##0&quot; bp&quot;_);(#,##0&quot; bp&quot;);–_)"/>
    <numFmt numFmtId="166" formatCode="0"/>
    <numFmt numFmtId="167" formatCode="0.0"/>
    <numFmt numFmtId="168" formatCode="0.0%_);(0.0%);–_)"/>
    <numFmt numFmtId="169" formatCode="$#,##0.00_);($#,##0.00);–_)"/>
    <numFmt numFmtId="170" formatCode="0.0%"/>
    <numFmt numFmtId="171" formatCode="m/d/yy"/>
    <numFmt numFmtId="172" formatCode="$0.00"/>
    <numFmt numFmtId="173" formatCode="#,##0.000"/>
    <numFmt numFmtId="174" formatCode="#,##0.000_);(#,##0.000);–_)"/>
    <numFmt numFmtId="175" formatCode="#,##0_);(#,##0);–_)"/>
    <numFmt numFmtId="176" formatCode="$#,##0_);($#,##0);–_)"/>
    <numFmt numFmtId="177" formatCode="0.00"/>
    <numFmt numFmtId="178" formatCode="0.0x"/>
    <numFmt numFmtId="179" formatCode="yyyy-mm-dd"/>
    <numFmt numFmtId="180" formatCode="#,##0.00"/>
    <numFmt numFmtId="181" formatCode="General"/>
    <numFmt numFmtId="182" formatCode="#,##0"/>
    <numFmt numFmtId="183" formatCode="#,##0.0000_);(#,##0.0000);–_)"/>
    <numFmt numFmtId="184" formatCode="0.00%"/>
    <numFmt numFmtId="185" formatCode="0.0%_);(0.0%);0.0%_)"/>
  </numFmts>
  <fonts count="54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none"/>
    </font>
    <font>
      <b/>
      <i val="0"/>
      <strike val="0"/>
      <sz val="10"/>
      <color rgb="FF006100"/>
      <name val="Arial"/>
      <family val="2"/>
      <scheme val="none"/>
    </font>
    <font>
      <b/>
      <i/>
      <strike val="0"/>
      <sz val="10"/>
      <color rgb="FF006100"/>
      <name val="Arial"/>
      <family val="2"/>
      <scheme val="none"/>
    </font>
    <font>
      <b/>
      <i/>
      <strike val="0"/>
      <sz val="10"/>
      <color rgb="FF000000"/>
      <name val="Arial"/>
      <family val="2"/>
      <scheme val="none"/>
    </font>
    <font>
      <b val="0"/>
      <i val="0"/>
      <strike val="0"/>
      <sz val="11"/>
      <color theme="1"/>
      <name val="Calibri"/>
      <family val="2"/>
      <scheme val="none"/>
    </font>
    <font>
      <b val="0"/>
      <i val="0"/>
      <strike val="0"/>
      <sz val="10"/>
      <color rgb="FF006100"/>
      <name val="Arial"/>
      <family val="2"/>
      <scheme val="none"/>
    </font>
    <font>
      <b val="0"/>
      <i/>
      <strike val="0"/>
      <sz val="10"/>
      <color rgb="FF595959"/>
      <name val="Arial"/>
      <family val="2"/>
      <scheme val="none"/>
    </font>
    <font>
      <b val="0"/>
      <i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00FF"/>
      <name val="Arial"/>
      <family val="2"/>
      <scheme val="none"/>
    </font>
    <font>
      <b/>
      <i val="0"/>
      <strike val="0"/>
      <u/>
      <sz val="10"/>
      <color rgb="FF000000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/>
      <strike val="0"/>
      <sz val="10"/>
      <color theme="1"/>
      <name val="Arial"/>
      <family val="2"/>
      <scheme val="minor"/>
    </font>
    <font>
      <b val="0"/>
      <i val="0"/>
      <strike val="0"/>
      <sz val="10"/>
      <color theme="1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/>
      <i val="0"/>
      <strike val="0"/>
      <sz val="10"/>
      <color theme="1"/>
      <name val="Arial"/>
      <family val="2"/>
      <scheme val="minor"/>
    </font>
    <font>
      <b/>
      <i val="0"/>
      <strike val="0"/>
      <u/>
      <sz val="10"/>
      <color theme="1"/>
      <name val="Arial"/>
      <family val="2"/>
      <scheme val="minor"/>
    </font>
    <font>
      <b val="0"/>
      <i/>
      <strike val="0"/>
      <sz val="10"/>
      <color rgb="FF595959"/>
      <name val="Arial"/>
      <family val="2"/>
      <scheme val="none"/>
    </font>
    <font>
      <b val="0"/>
      <i val="0"/>
      <strike val="0"/>
      <sz val="10"/>
      <color rgb="FF006100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00FF"/>
      <name val="Arial"/>
      <family val="2"/>
      <scheme val="minor"/>
    </font>
    <font>
      <b/>
      <i val="0"/>
      <strike val="0"/>
      <u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4">
    <border/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249">
    <xf numFmtId="0" fontId="0" fillId="0" borderId="0" xfId="0"/>
    <xf numFmtId="0" fontId="1" fillId="2" borderId="0" xfId="0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top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6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4" fontId="1" fillId="4" borderId="0" xfId="0" applyNumberFormat="1" applyFont="1" applyFill="1" applyAlignment="1" applyProtection="1">
      <alignment horizontal="right" vertical="bottom"/>
      <protection locked="1" hidden="0"/>
    </xf>
    <xf numFmtId="164" fontId="6" fillId="4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7" fontId="6" fillId="2" borderId="0" xfId="0" applyNumberFormat="1" applyFont="1" applyFill="1" applyAlignment="1" applyProtection="1">
      <alignment horizontal="right" vertical="bottom"/>
      <protection locked="1" hidden="0"/>
    </xf>
    <xf numFmtId="168" fontId="7" fillId="2" borderId="0" xfId="0" applyNumberFormat="1" applyFont="1" applyFill="1" applyAlignment="1" applyProtection="1">
      <alignment horizontal="right" vertical="bottom"/>
      <protection locked="1" hidden="0"/>
    </xf>
    <xf numFmtId="164" fontId="3" fillId="2" borderId="1" xfId="0" applyNumberFormat="1" applyFont="1" applyFill="1" applyBorder="1" applyAlignment="1" applyProtection="1">
      <alignment horizontal="right" vertical="bottom"/>
      <protection locked="1" hidden="0"/>
    </xf>
    <xf numFmtId="169" fontId="6" fillId="2" borderId="0" xfId="0" applyNumberFormat="1" applyFont="1" applyFill="1" applyAlignment="1" applyProtection="1">
      <alignment horizontal="right" vertical="bottom"/>
      <protection locked="1" hidden="0"/>
    </xf>
    <xf numFmtId="168" fontId="8" fillId="2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right" vertical="bottom"/>
      <protection locked="1" hidden="0"/>
    </xf>
    <xf numFmtId="167" fontId="1" fillId="4" borderId="0" xfId="0" applyNumberFormat="1" applyFont="1" applyFill="1" applyAlignment="1" applyProtection="1">
      <alignment horizontal="right" vertical="bottom"/>
      <protection locked="1" hidden="0"/>
    </xf>
    <xf numFmtId="0" fontId="3" fillId="3" borderId="3" xfId="0" applyFont="1" applyFill="1" applyBorder="1" applyAlignment="1" applyProtection="1">
      <alignment horizontal="right" vertical="bottom" wrapText="1"/>
      <protection locked="1" hidden="0"/>
    </xf>
    <xf numFmtId="170" fontId="9" fillId="2" borderId="0" xfId="0" applyNumberFormat="1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4" fontId="3" fillId="4" borderId="1" xfId="0" applyNumberFormat="1" applyFont="1" applyFill="1" applyBorder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7" fontId="6" fillId="4" borderId="0" xfId="0" applyNumberFormat="1" applyFont="1" applyFill="1" applyAlignment="1" applyProtection="1">
      <alignment horizontal="right" vertical="bottom"/>
      <protection locked="1" hidden="0"/>
    </xf>
    <xf numFmtId="172" fontId="6" fillId="2" borderId="0" xfId="0" applyNumberFormat="1" applyFont="1" applyFill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right" vertical="bottom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73" fontId="6" fillId="2" borderId="0" xfId="0" applyNumberFormat="1" applyFont="1" applyFill="1" applyAlignment="1" applyProtection="1">
      <alignment horizontal="general" vertical="bottom"/>
      <protection locked="1" hidden="0"/>
    </xf>
    <xf numFmtId="0" fontId="10" fillId="2" borderId="0" xfId="0" applyFont="1" applyFill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right" vertical="top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0" fontId="11" fillId="2" borderId="0" xfId="0" applyFont="1" applyFill="1" applyAlignment="1" applyProtection="1">
      <alignment horizontal="general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0" fontId="3" fillId="3" borderId="3" xfId="0" applyFont="1" applyFill="1" applyBorder="1" applyAlignment="1" applyProtection="1">
      <alignment horizontal="general" vertical="bottom" wrapText="1"/>
      <protection locked="1" hidden="0"/>
    </xf>
    <xf numFmtId="164" fontId="6" fillId="2" borderId="0" xfId="0" applyNumberFormat="1" applyFont="1" applyFill="1" applyAlignment="1" applyProtection="1">
      <alignment horizontal="right" vertical="bottom"/>
      <protection locked="1" hidden="0"/>
    </xf>
    <xf numFmtId="170" fontId="8" fillId="2" borderId="0" xfId="0" applyNumberFormat="1" applyFont="1" applyFill="1" applyAlignment="1" applyProtection="1">
      <alignment horizontal="general" vertical="bottom"/>
      <protection locked="1" hidden="0"/>
    </xf>
    <xf numFmtId="169" fontId="6" fillId="4" borderId="0" xfId="0" applyNumberFormat="1" applyFont="1" applyFill="1" applyAlignment="1" applyProtection="1">
      <alignment horizontal="right" vertical="bottom"/>
      <protection locked="1" hidden="0"/>
    </xf>
    <xf numFmtId="0" fontId="12" fillId="2" borderId="0" xfId="0" applyFont="1" applyFill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general" vertical="top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bottom"/>
      <protection locked="1" hidden="0"/>
    </xf>
    <xf numFmtId="175" fontId="1" fillId="2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168" fontId="7" fillId="2" borderId="0" xfId="0" applyNumberFormat="1" applyFont="1" applyFill="1" applyAlignment="1" applyProtection="1">
      <alignment horizontal="right" vertical="top"/>
      <protection locked="1" hidden="0"/>
    </xf>
    <xf numFmtId="174" fontId="2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top" wrapText="1"/>
      <protection locked="1" hidden="0"/>
    </xf>
    <xf numFmtId="174" fontId="3" fillId="2" borderId="1" xfId="0" applyNumberFormat="1" applyFont="1" applyFill="1" applyBorder="1" applyAlignment="1" applyProtection="1">
      <alignment horizontal="right" vertical="top"/>
      <protection locked="1" hidden="0"/>
    </xf>
    <xf numFmtId="175" fontId="2" fillId="2" borderId="0" xfId="0" applyNumberFormat="1" applyFont="1" applyFill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bottom"/>
      <protection locked="1" hidden="0"/>
    </xf>
    <xf numFmtId="165" fontId="6" fillId="2" borderId="0" xfId="0" applyNumberFormat="1" applyFont="1" applyFill="1" applyAlignment="1" applyProtection="1">
      <alignment horizontal="right" vertical="bottom"/>
      <protection locked="1" hidden="0"/>
    </xf>
    <xf numFmtId="164" fontId="13" fillId="2" borderId="1" xfId="0" applyNumberFormat="1" applyFont="1" applyFill="1" applyBorder="1" applyAlignment="1" applyProtection="1">
      <alignment horizontal="right" vertical="bottom"/>
      <protection locked="1" hidden="0"/>
    </xf>
    <xf numFmtId="175" fontId="1" fillId="4" borderId="0" xfId="0" applyNumberFormat="1" applyFont="1" applyFill="1" applyAlignment="1" applyProtection="1">
      <alignment horizontal="right" vertical="bottom"/>
      <protection locked="1" hidden="0"/>
    </xf>
    <xf numFmtId="0" fontId="12" fillId="2" borderId="3" xfId="0" applyFont="1" applyFill="1" applyBorder="1" applyAlignment="1" applyProtection="1">
      <alignment horizontal="general" vertical="bottom"/>
      <protection locked="1" hidden="0"/>
    </xf>
    <xf numFmtId="176" fontId="2" fillId="2" borderId="0" xfId="0" applyNumberFormat="1" applyFont="1" applyFill="1" applyAlignment="1" applyProtection="1">
      <alignment horizontal="right" vertical="bottom"/>
      <protection locked="1" hidden="0"/>
    </xf>
    <xf numFmtId="175" fontId="2" fillId="2" borderId="0" xfId="0" applyNumberFormat="1" applyFont="1" applyFill="1" applyAlignment="1" applyProtection="1">
      <alignment horizontal="right" vertical="top"/>
      <protection locked="1" hidden="0"/>
    </xf>
    <xf numFmtId="177" fontId="1" fillId="2" borderId="0" xfId="0" applyNumberFormat="1" applyFont="1" applyFill="1" applyAlignment="1" applyProtection="1">
      <alignment horizontal="right" vertical="bottom"/>
      <protection locked="1" hidden="0"/>
    </xf>
    <xf numFmtId="168" fontId="14" fillId="2" borderId="0" xfId="0" applyNumberFormat="1" applyFont="1" applyFill="1" applyAlignment="1" applyProtection="1">
      <alignment horizontal="right" vertical="top"/>
      <protection locked="1" hidden="0"/>
    </xf>
    <xf numFmtId="172" fontId="6" fillId="2" borderId="0" xfId="0" applyNumberFormat="1" applyFont="1" applyFill="1" applyAlignment="1" applyProtection="1">
      <alignment horizontal="right" vertical="bottom"/>
      <protection locked="1" hidden="0"/>
    </xf>
    <xf numFmtId="175" fontId="13" fillId="2" borderId="1" xfId="0" applyNumberFormat="1" applyFont="1" applyFill="1" applyBorder="1" applyAlignment="1" applyProtection="1">
      <alignment horizontal="right" vertical="top"/>
      <protection locked="1" hidden="0"/>
    </xf>
    <xf numFmtId="0" fontId="1" fillId="2" borderId="0" xfId="0" applyFont="1" applyFill="1" applyAlignment="1" applyProtection="1">
      <alignment horizontal="general" vertical="top" wrapText="1"/>
      <protection locked="1" hidden="0"/>
    </xf>
    <xf numFmtId="0" fontId="1" fillId="2" borderId="0" xfId="0" applyFont="1" applyFill="1" applyAlignment="1" applyProtection="1">
      <alignment horizontal="general" vertical="top"/>
      <protection locked="1" hidden="0"/>
    </xf>
    <xf numFmtId="175" fontId="2" fillId="4" borderId="0" xfId="0" applyNumberFormat="1" applyFont="1" applyFill="1" applyAlignment="1" applyProtection="1">
      <alignment horizontal="right" vertical="bottom"/>
      <protection locked="1" hidden="0"/>
    </xf>
    <xf numFmtId="0" fontId="3" fillId="2" borderId="0" xfId="0" applyFont="1" applyFill="1" applyAlignment="1" applyProtection="1">
      <alignment horizontal="general" vertical="top" wrapText="1"/>
      <protection locked="1" hidden="0"/>
    </xf>
    <xf numFmtId="176" fontId="1" fillId="2" borderId="0" xfId="0" applyNumberFormat="1" applyFont="1" applyFill="1" applyAlignment="1" applyProtection="1">
      <alignment horizontal="right" vertical="bottom"/>
      <protection locked="1" hidden="0"/>
    </xf>
    <xf numFmtId="166" fontId="6" fillId="2" borderId="0" xfId="0" applyNumberFormat="1" applyFont="1" applyFill="1" applyAlignment="1" applyProtection="1">
      <alignment horizontal="general" vertical="bottom"/>
      <protection locked="1" hidden="0"/>
    </xf>
    <xf numFmtId="168" fontId="14" fillId="2" borderId="0" xfId="0" applyNumberFormat="1" applyFont="1" applyFill="1" applyAlignment="1" applyProtection="1">
      <alignment horizontal="right" vertical="bottom"/>
      <protection locked="1" hidden="0"/>
    </xf>
    <xf numFmtId="168" fontId="8" fillId="4" borderId="0" xfId="0" applyNumberFormat="1" applyFont="1" applyFill="1" applyAlignment="1" applyProtection="1">
      <alignment horizontal="right" vertical="bottom"/>
      <protection locked="1" hidden="0"/>
    </xf>
    <xf numFmtId="168" fontId="7" fillId="4" borderId="0" xfId="0" applyNumberFormat="1" applyFont="1" applyFill="1" applyAlignment="1" applyProtection="1">
      <alignment horizontal="right" vertical="bottom"/>
      <protection locked="1" hidden="0"/>
    </xf>
    <xf numFmtId="164" fontId="2" fillId="4" borderId="0" xfId="0" applyNumberFormat="1" applyFont="1" applyFill="1" applyAlignment="1" applyProtection="1">
      <alignment horizontal="right" vertical="top"/>
      <protection locked="1" hidden="0"/>
    </xf>
    <xf numFmtId="175" fontId="13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14" fillId="4" borderId="0" xfId="0" applyNumberFormat="1" applyFont="1" applyFill="1" applyAlignment="1" applyProtection="1">
      <alignment horizontal="right" vertical="top"/>
      <protection locked="1" hidden="0"/>
    </xf>
    <xf numFmtId="0" fontId="3" fillId="2" borderId="3" xfId="0" applyFont="1" applyFill="1" applyBorder="1" applyAlignment="1" applyProtection="1">
      <alignment horizontal="general" vertical="bottom"/>
      <protection locked="1" hidden="0"/>
    </xf>
    <xf numFmtId="168" fontId="14" fillId="4" borderId="0" xfId="0" applyNumberFormat="1" applyFont="1" applyFill="1" applyAlignment="1" applyProtection="1">
      <alignment horizontal="right" vertical="bottom"/>
      <protection locked="1" hidden="0"/>
    </xf>
    <xf numFmtId="164" fontId="3" fillId="2" borderId="1" xfId="0" applyNumberFormat="1" applyFont="1" applyFill="1" applyBorder="1" applyAlignment="1" applyProtection="1">
      <alignment horizontal="right" vertical="top"/>
      <protection locked="1" hidden="0"/>
    </xf>
    <xf numFmtId="168" fontId="7" fillId="4" borderId="0" xfId="0" applyNumberFormat="1" applyFont="1" applyFill="1" applyAlignment="1" applyProtection="1">
      <alignment horizontal="right" vertical="top"/>
      <protection locked="1" hidden="0"/>
    </xf>
    <xf numFmtId="176" fontId="2" fillId="2" borderId="0" xfId="0" applyNumberFormat="1" applyFont="1" applyFill="1" applyAlignment="1" applyProtection="1">
      <alignment horizontal="right" vertical="top"/>
      <protection locked="1" hidden="0"/>
    </xf>
    <xf numFmtId="178" fontId="1" fillId="2" borderId="0" xfId="0" applyNumberFormat="1" applyFont="1" applyFill="1" applyAlignment="1" applyProtection="1">
      <alignment horizontal="right" vertical="bottom"/>
      <protection locked="1" hidden="0"/>
    </xf>
    <xf numFmtId="176" fontId="1" fillId="4" borderId="0" xfId="0" applyNumberFormat="1" applyFont="1" applyFill="1" applyAlignment="1" applyProtection="1">
      <alignment horizontal="right" vertical="bottom"/>
      <protection locked="1" hidden="0"/>
    </xf>
    <xf numFmtId="176" fontId="2" fillId="4" borderId="0" xfId="0" applyNumberFormat="1" applyFont="1" applyFill="1" applyAlignment="1" applyProtection="1">
      <alignment horizontal="right" vertical="bottom"/>
      <protection locked="1" hidden="0"/>
    </xf>
    <xf numFmtId="178" fontId="1" fillId="4" borderId="0" xfId="0" applyNumberFormat="1" applyFont="1" applyFill="1" applyAlignment="1" applyProtection="1">
      <alignment horizontal="right" vertical="bottom"/>
      <protection locked="1" hidden="0"/>
    </xf>
    <xf numFmtId="178" fontId="1" fillId="2" borderId="0" xfId="0" applyNumberFormat="1" applyFont="1" applyFill="1" applyAlignment="1" applyProtection="1">
      <alignment horizontal="right" vertical="top"/>
      <protection locked="1" hidden="0"/>
    </xf>
    <xf numFmtId="164" fontId="2" fillId="2" borderId="0" xfId="0" applyNumberFormat="1" applyFont="1" applyFill="1" applyAlignment="1" applyProtection="1">
      <alignment horizontal="right" vertical="top"/>
      <protection locked="1" hidden="0"/>
    </xf>
    <xf numFmtId="172" fontId="2" fillId="2" borderId="0" xfId="0" applyNumberFormat="1" applyFont="1" applyFill="1" applyAlignment="1" applyProtection="1">
      <alignment horizontal="right" vertical="bottom"/>
      <protection locked="1" hidden="0"/>
    </xf>
    <xf numFmtId="174" fontId="6" fillId="2" borderId="0" xfId="0" applyNumberFormat="1" applyFont="1" applyFill="1" applyAlignment="1" applyProtection="1">
      <alignment horizontal="right" vertical="bottom"/>
      <protection locked="1" hidden="0"/>
    </xf>
    <xf numFmtId="172" fontId="3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2" fillId="4" borderId="0" xfId="0" applyNumberFormat="1" applyFont="1" applyFill="1" applyAlignment="1" applyProtection="1">
      <alignment horizontal="right" vertical="bottom"/>
      <protection locked="1" hidden="0"/>
    </xf>
    <xf numFmtId="175" fontId="13" fillId="4" borderId="1" xfId="0" applyNumberFormat="1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top"/>
      <protection locked="1" hidden="0"/>
    </xf>
    <xf numFmtId="172" fontId="3" fillId="4" borderId="1" xfId="0" applyNumberFormat="1" applyFont="1" applyFill="1" applyBorder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top"/>
      <protection locked="1" hidden="0"/>
    </xf>
    <xf numFmtId="174" fontId="13" fillId="2" borderId="1" xfId="0" applyNumberFormat="1" applyFont="1" applyFill="1" applyBorder="1" applyAlignment="1" applyProtection="1">
      <alignment horizontal="right" vertical="bottom"/>
      <protection locked="1" hidden="0"/>
    </xf>
    <xf numFmtId="175" fontId="1" fillId="4" borderId="0" xfId="0" applyNumberFormat="1" applyFont="1" applyFill="1" applyAlignment="1" applyProtection="1">
      <alignment horizontal="right" vertical="top"/>
      <protection locked="1" hidden="0"/>
    </xf>
    <xf numFmtId="172" fontId="6" fillId="4" borderId="0" xfId="0" applyNumberFormat="1" applyFont="1" applyFill="1" applyAlignment="1" applyProtection="1">
      <alignment horizontal="right" vertical="bottom"/>
      <protection locked="1" hidden="0"/>
    </xf>
    <xf numFmtId="169" fontId="2" fillId="2" borderId="0" xfId="0" applyNumberFormat="1" applyFont="1" applyFill="1" applyAlignment="1" applyProtection="1">
      <alignment horizontal="right" vertical="top"/>
      <protection locked="1" hidden="0"/>
    </xf>
    <xf numFmtId="174" fontId="1" fillId="4" borderId="0" xfId="0" applyNumberFormat="1" applyFont="1" applyFill="1" applyAlignment="1" applyProtection="1">
      <alignment horizontal="right" vertical="bottom"/>
      <protection locked="1" hidden="0"/>
    </xf>
    <xf numFmtId="164" fontId="3" fillId="4" borderId="1" xfId="0" applyNumberFormat="1" applyFont="1" applyFill="1" applyBorder="1" applyAlignment="1" applyProtection="1">
      <alignment horizontal="right" vertical="top"/>
      <protection locked="1" hidden="0"/>
    </xf>
    <xf numFmtId="179" fontId="1" fillId="2" borderId="0" xfId="0" applyNumberFormat="1" applyFont="1" applyFill="1" applyAlignment="1" applyProtection="1">
      <alignment horizontal="right" vertical="top"/>
      <protection locked="1" hidden="0"/>
    </xf>
    <xf numFmtId="176" fontId="1" fillId="4" borderId="0" xfId="0" applyNumberFormat="1" applyFont="1" applyFill="1" applyAlignment="1" applyProtection="1">
      <alignment horizontal="right" vertical="top"/>
      <protection locked="1" hidden="0"/>
    </xf>
    <xf numFmtId="174" fontId="6" fillId="4" borderId="0" xfId="0" applyNumberFormat="1" applyFont="1" applyFill="1" applyAlignment="1" applyProtection="1">
      <alignment horizontal="right" vertical="bottom"/>
      <protection locked="1" hidden="0"/>
    </xf>
    <xf numFmtId="175" fontId="13" fillId="4" borderId="1" xfId="0" applyNumberFormat="1" applyFont="1" applyFill="1" applyBorder="1" applyAlignment="1" applyProtection="1">
      <alignment horizontal="right" vertical="top"/>
      <protection locked="1" hidden="0"/>
    </xf>
    <xf numFmtId="177" fontId="1" fillId="4" borderId="0" xfId="0" applyNumberFormat="1" applyFont="1" applyFill="1" applyAlignment="1" applyProtection="1">
      <alignment horizontal="right" vertical="bottom"/>
      <protection locked="1" hidden="0"/>
    </xf>
    <xf numFmtId="171" fontId="2" fillId="2" borderId="0" xfId="0" applyNumberFormat="1" applyFont="1" applyFill="1" applyAlignment="1" applyProtection="1">
      <alignment horizontal="right" vertical="top"/>
      <protection locked="1" hidden="0"/>
    </xf>
    <xf numFmtId="168" fontId="8" fillId="2" borderId="0" xfId="0" applyNumberFormat="1" applyFont="1" applyFill="1" applyAlignment="1" applyProtection="1">
      <alignment horizontal="right" vertical="top"/>
      <protection locked="1" hidden="0"/>
    </xf>
    <xf numFmtId="172" fontId="6" fillId="2" borderId="0" xfId="0" applyNumberFormat="1" applyFont="1" applyFill="1" applyAlignment="1" applyProtection="1">
      <alignment horizontal="right" vertical="top"/>
      <protection locked="1" hidden="0"/>
    </xf>
    <xf numFmtId="172" fontId="1" fillId="4" borderId="0" xfId="0" applyNumberFormat="1" applyFont="1" applyFill="1" applyAlignment="1" applyProtection="1">
      <alignment horizontal="right" vertical="bottom"/>
      <protection locked="1" hidden="0"/>
    </xf>
    <xf numFmtId="178" fontId="1" fillId="4" borderId="0" xfId="0" applyNumberFormat="1" applyFont="1" applyFill="1" applyAlignment="1" applyProtection="1">
      <alignment horizontal="right" vertical="top"/>
      <protection locked="1" hidden="0"/>
    </xf>
    <xf numFmtId="0" fontId="7" fillId="2" borderId="0" xfId="0" applyFont="1" applyFill="1" applyAlignment="1" applyProtection="1">
      <alignment horizontal="general" vertical="top"/>
      <protection locked="1" hidden="0"/>
    </xf>
    <xf numFmtId="164" fontId="6" fillId="4" borderId="0" xfId="0" applyNumberFormat="1" applyFont="1" applyFill="1" applyAlignment="1" applyProtection="1">
      <alignment horizontal="right" vertical="top"/>
      <protection locked="1" hidden="0"/>
    </xf>
    <xf numFmtId="175" fontId="1" fillId="2" borderId="0" xfId="0" applyNumberFormat="1" applyFont="1" applyFill="1" applyAlignment="1" applyProtection="1">
      <alignment horizontal="right" vertical="top"/>
      <protection locked="1" hidden="0"/>
    </xf>
    <xf numFmtId="164" fontId="12" fillId="2" borderId="1" xfId="0" applyNumberFormat="1" applyFont="1" applyFill="1" applyBorder="1" applyAlignment="1" applyProtection="1">
      <alignment horizontal="right" vertical="top"/>
      <protection locked="1" hidden="0"/>
    </xf>
    <xf numFmtId="164" fontId="6" fillId="2" borderId="0" xfId="0" applyNumberFormat="1" applyFont="1" applyFill="1" applyAlignment="1" applyProtection="1">
      <alignment horizontal="right" vertical="top"/>
      <protection locked="1" hidden="0"/>
    </xf>
    <xf numFmtId="165" fontId="6" fillId="4" borderId="0" xfId="0" applyNumberFormat="1" applyFont="1" applyFill="1" applyAlignment="1" applyProtection="1">
      <alignment horizontal="right" vertical="bottom"/>
      <protection locked="1" hidden="0"/>
    </xf>
    <xf numFmtId="164" fontId="12" fillId="4" borderId="1" xfId="0" applyNumberFormat="1" applyFont="1" applyFill="1" applyBorder="1" applyAlignment="1" applyProtection="1">
      <alignment horizontal="right" vertical="bottom"/>
      <protection locked="1" hidden="0"/>
    </xf>
    <xf numFmtId="174" fontId="2" fillId="4" borderId="0" xfId="0" applyNumberFormat="1" applyFont="1" applyFill="1" applyAlignment="1" applyProtection="1">
      <alignment horizontal="right" vertical="top"/>
      <protection locked="1" hidden="0"/>
    </xf>
    <xf numFmtId="169" fontId="2" fillId="4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top"/>
      <protection locked="1" hidden="0"/>
    </xf>
    <xf numFmtId="168" fontId="8" fillId="4" borderId="0" xfId="0" applyNumberFormat="1" applyFont="1" applyFill="1" applyAlignment="1" applyProtection="1">
      <alignment horizontal="right" vertical="top"/>
      <protection locked="1" hidden="0"/>
    </xf>
    <xf numFmtId="174" fontId="1" fillId="2" borderId="0" xfId="0" applyNumberFormat="1" applyFont="1" applyFill="1" applyAlignment="1" applyProtection="1">
      <alignment horizontal="right" vertical="top"/>
      <protection locked="1" hidden="0"/>
    </xf>
    <xf numFmtId="174" fontId="2" fillId="4" borderId="0" xfId="0" applyNumberFormat="1" applyFont="1" applyFill="1" applyAlignment="1" applyProtection="1">
      <alignment horizontal="right" vertical="bottom"/>
      <protection locked="1" hidden="0"/>
    </xf>
    <xf numFmtId="169" fontId="2" fillId="4" borderId="0" xfId="0" applyNumberFormat="1" applyFont="1" applyFill="1" applyAlignment="1" applyProtection="1">
      <alignment horizontal="right" vertical="top"/>
      <protection locked="1" hidden="0"/>
    </xf>
    <xf numFmtId="164" fontId="12" fillId="4" borderId="1" xfId="0" applyNumberFormat="1" applyFont="1" applyFill="1" applyBorder="1" applyAlignment="1" applyProtection="1">
      <alignment horizontal="right" vertical="top"/>
      <protection locked="1" hidden="0"/>
    </xf>
    <xf numFmtId="174" fontId="3" fillId="4" borderId="1" xfId="0" applyNumberFormat="1" applyFont="1" applyFill="1" applyBorder="1" applyAlignment="1" applyProtection="1">
      <alignment horizontal="right" vertical="top"/>
      <protection locked="1" hidden="0"/>
    </xf>
    <xf numFmtId="174" fontId="3" fillId="4" borderId="1" xfId="0" applyNumberFormat="1" applyFont="1" applyFill="1" applyBorder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top"/>
      <protection locked="1" hidden="0"/>
    </xf>
    <xf numFmtId="180" fontId="2" fillId="2" borderId="0" xfId="0" applyNumberFormat="1" applyFont="1" applyFill="1" applyAlignment="1" applyProtection="1">
      <alignment horizontal="general" vertical="bottom"/>
      <protection locked="1" hidden="0"/>
    </xf>
    <xf numFmtId="179" fontId="2" fillId="2" borderId="0" xfId="0" applyNumberFormat="1" applyFont="1" applyFill="1" applyAlignment="1" applyProtection="1">
      <alignment horizontal="general" vertical="bottom"/>
      <protection locked="1" hidden="0"/>
    </xf>
    <xf numFmtId="179" fontId="1" fillId="2" borderId="0" xfId="0" applyNumberFormat="1" applyFont="1" applyFill="1" applyAlignment="1" applyProtection="1">
      <alignment horizontal="general" vertical="bottom"/>
      <protection locked="1" hidden="0"/>
    </xf>
    <xf numFmtId="180" fontId="1" fillId="2" borderId="0" xfId="0" applyNumberFormat="1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top"/>
      <protection locked="1" hidden="0"/>
    </xf>
    <xf numFmtId="168" fontId="7" fillId="2" borderId="0" xfId="0" applyNumberFormat="1" applyFont="1" applyFill="1" applyAlignment="1" applyProtection="1">
      <alignment horizontal="general" vertical="bottom"/>
      <protection locked="1" hidden="0"/>
    </xf>
    <xf numFmtId="179" fontId="2" fillId="2" borderId="0" xfId="0" applyNumberFormat="1" applyFont="1" applyFill="1" applyAlignment="1" applyProtection="1">
      <alignment horizontal="right" vertical="bottom"/>
      <protection locked="1" hidden="0"/>
    </xf>
    <xf numFmtId="175" fontId="1" fillId="2" borderId="0" xfId="0" applyNumberFormat="1" applyFont="1" applyFill="1" applyAlignment="1" applyProtection="1">
      <alignment horizontal="general" vertical="top" wrapText="1"/>
      <protection locked="1" hidden="0"/>
    </xf>
    <xf numFmtId="180" fontId="6" fillId="2" borderId="0" xfId="0" applyNumberFormat="1" applyFont="1" applyFill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168" fontId="14" fillId="2" borderId="0" xfId="0" applyNumberFormat="1" applyFont="1" applyFill="1" applyAlignment="1" applyProtection="1">
      <alignment horizontal="general" vertical="bottom"/>
      <protection locked="1" hidden="0"/>
    </xf>
    <xf numFmtId="166" fontId="2" fillId="2" borderId="0" xfId="0" applyNumberFormat="1" applyFont="1" applyFill="1" applyAlignment="1" applyProtection="1">
      <alignment horizontal="general" vertical="bottom"/>
      <protection locked="1" hidden="0"/>
    </xf>
    <xf numFmtId="181" fontId="15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81" fontId="16" fillId="3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81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1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5" fillId="3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0" fontId="1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7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81" fontId="15" fillId="3" borderId="3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0" fontId="20" fillId="0" borderId="0" xfId="0" applyFont="1" applyFill="1" applyAlignment="1" applyProtection="1">
      <alignment horizontal="general" vertical="bottom"/>
      <protection locked="1" hidden="0"/>
    </xf>
    <xf numFmtId="181" fontId="15" fillId="0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3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6" fillId="3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2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6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81" fontId="2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182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0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5" fillId="3" borderId="0" xfId="0" applyFont="1" applyFill="1" applyAlignment="1" applyProtection="1">
      <alignment horizontal="left" vertical="bottom"/>
      <protection locked="1" hidden="0"/>
    </xf>
    <xf numFmtId="166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22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81" fontId="15" fillId="3" borderId="3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3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2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2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26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9" fillId="0" borderId="0" xfId="0" applyFont="1" applyFill="1" applyAlignment="1" applyProtection="1">
      <alignment horizontal="general" vertical="bottom"/>
      <protection locked="1" hidden="0"/>
    </xf>
    <xf numFmtId="0" fontId="27" fillId="0" borderId="0" xfId="0" applyFont="1" applyFill="1" applyAlignment="1" applyProtection="1">
      <alignment horizontal="general" vertical="bottom"/>
      <protection locked="1" hidden="0"/>
    </xf>
    <xf numFmtId="0" fontId="30" fillId="0" borderId="0" xfId="0" applyFont="1" applyFill="1" applyAlignment="1" applyProtection="1">
      <alignment horizontal="general" vertical="bottom"/>
      <protection locked="1" hidden="0"/>
    </xf>
    <xf numFmtId="164" fontId="26" fillId="4" borderId="0" xfId="0" applyNumberFormat="1" applyFont="1" applyFill="1" applyAlignment="1" applyProtection="1">
      <alignment horizontal="right" vertical="bottom"/>
      <protection locked="1" hidden="0"/>
    </xf>
    <xf numFmtId="164" fontId="31" fillId="4" borderId="0" xfId="0" applyNumberFormat="1" applyFont="1" applyFill="1" applyAlignment="1" applyProtection="1">
      <alignment horizontal="right" vertical="bottom"/>
      <protection locked="1" hidden="0"/>
    </xf>
    <xf numFmtId="180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9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31" fillId="3" borderId="3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8" fontId="3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6" fillId="0" borderId="0" xfId="0" applyFont="1" applyFill="1" applyAlignment="1" applyProtection="1">
      <alignment horizontal="general" vertical="bottom"/>
      <protection locked="1" hidden="0"/>
    </xf>
    <xf numFmtId="168" fontId="3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4" fillId="4" borderId="0" xfId="0" applyNumberFormat="1" applyFont="1" applyFill="1" applyAlignment="1" applyProtection="1">
      <alignment horizontal="right" vertical="bottom"/>
      <protection locked="1" hidden="0"/>
    </xf>
    <xf numFmtId="180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31" fillId="3" borderId="3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66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35" fillId="0" borderId="0" xfId="0" applyFont="1" applyFill="1" applyAlignment="1" applyProtection="1">
      <alignment horizontal="general" vertical="bottom"/>
      <protection locked="1" hidden="0"/>
    </xf>
    <xf numFmtId="164" fontId="28" fillId="4" borderId="0" xfId="0" applyNumberFormat="1" applyFont="1" applyFill="1" applyAlignment="1" applyProtection="1">
      <alignment horizontal="right" vertical="bottom"/>
      <protection locked="1" hidden="0"/>
    </xf>
    <xf numFmtId="0" fontId="36" fillId="0" borderId="0" xfId="0" applyFont="1" applyFill="1" applyAlignment="1" applyProtection="1">
      <alignment horizontal="general" vertical="bottom"/>
      <protection locked="1" hidden="0"/>
    </xf>
    <xf numFmtId="181" fontId="37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81" fontId="37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5" fontId="3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3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39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81" fontId="40" fillId="3" borderId="3" xfId="0" applyNumberFormat="1" applyFont="1" applyFill="1" applyBorder="1" applyAlignment="1" applyProtection="1">
      <alignment horizontal="left" vertical="bottom" textRotation="0" wrapText="1" indent="0" readingOrder="0"/>
      <protection locked="1" hidden="0"/>
    </xf>
    <xf numFmtId="174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4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8" fontId="4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4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81" fontId="39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4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4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40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9" fontId="4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40" fillId="4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43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4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40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9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43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1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0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80" fontId="4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7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4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48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6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39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4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6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43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45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47" fillId="4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4" fontId="40" fillId="4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48" fillId="4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3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3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1" fontId="4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84" fontId="4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81" fontId="50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81" fontId="51" fillId="3" borderId="3" xfId="0" applyNumberFormat="1" applyFont="1" applyFill="1" applyBorder="1" applyAlignment="1" applyProtection="1">
      <alignment horizontal="left" vertical="bottom" textRotation="0" wrapText="1" indent="1" readingOrder="0"/>
      <protection locked="1" hidden="0"/>
    </xf>
    <xf numFmtId="181" fontId="52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81" fontId="51" fillId="3" borderId="3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81" fontId="51" fillId="3" borderId="1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85" fontId="5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showGridLines="0" tabSelected="1" workbookViewId="0"/>
  </sheetViews>
  <sheetFormatPr defaultColWidth="8.42578125" defaultRowHeight="15"/>
  <cols>
    <col min="1" max="1" width="9" customWidth="1"/>
    <col min="2" max="2" width="32" customWidth="1"/>
    <col min="3" max="8" width="12" customWidth="1"/>
    <col min="9" max="9" width="40" customWidth="1"/>
  </cols>
  <sheetData>
    <row r="1" ht="16.5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 ht="16.5">
      <c r="A2" s="10"/>
      <c r="B2" s="6" t="s">
        <v>1</v>
      </c>
      <c r="C2" s="10"/>
      <c r="D2" s="10"/>
      <c r="E2" s="10"/>
      <c r="F2" s="10"/>
      <c r="G2" s="10"/>
      <c r="H2" s="10"/>
      <c r="I2" s="10"/>
    </row>
    <row r="3" ht="16.5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147" t="s">
        <v>3</v>
      </c>
      <c r="C4" s="142"/>
      <c r="D4" s="142"/>
      <c r="E4" s="142"/>
      <c r="F4" s="142"/>
      <c r="G4" s="142"/>
      <c r="H4" s="142"/>
      <c r="I4" s="147"/>
      <c r="J4" s="152"/>
    </row>
    <row r="5">
      <c r="A5" s="10"/>
      <c r="B5" s="155"/>
      <c r="C5" s="145"/>
      <c r="D5" s="145"/>
      <c r="E5" s="145"/>
      <c r="F5" s="145"/>
      <c r="G5" s="145"/>
      <c r="H5" s="145"/>
      <c r="I5" s="155"/>
      <c r="J5" s="152"/>
    </row>
    <row r="6">
      <c r="A6" s="10"/>
      <c r="B6" s="143"/>
      <c r="C6" s="157"/>
      <c r="D6" s="157"/>
      <c r="E6" s="157"/>
      <c r="F6" s="157"/>
      <c r="G6" s="157"/>
      <c r="H6" s="157"/>
      <c r="I6" s="143"/>
      <c r="J6" s="152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10" t="s">
        <v>4</v>
      </c>
      <c r="C8" s="10" t="s">
        <v>5</v>
      </c>
      <c r="D8" s="10"/>
      <c r="E8" s="10"/>
      <c r="F8" s="10"/>
      <c r="G8" s="10"/>
      <c r="H8" s="10"/>
      <c r="I8" s="10"/>
    </row>
    <row r="9">
      <c r="A9" s="10"/>
      <c r="B9" s="10" t="s">
        <v>6</v>
      </c>
      <c r="C9" s="10" t="s">
        <v>7</v>
      </c>
      <c r="D9" s="10"/>
      <c r="E9" s="10"/>
      <c r="F9" s="10"/>
      <c r="G9" s="10"/>
      <c r="H9" s="10"/>
      <c r="I9" s="10"/>
    </row>
    <row r="10">
      <c r="A10" s="10"/>
      <c r="B10" s="10" t="s">
        <v>8</v>
      </c>
      <c r="C10" s="10" t="s">
        <v>9</v>
      </c>
      <c r="D10" s="10"/>
      <c r="E10" s="10"/>
      <c r="F10" s="10"/>
      <c r="G10" s="10"/>
      <c r="H10" s="10"/>
      <c r="I10" s="10"/>
    </row>
    <row r="11">
      <c r="A11" s="10"/>
      <c r="B11" s="10" t="s">
        <v>10</v>
      </c>
      <c r="C11" s="10" t="s">
        <v>11</v>
      </c>
      <c r="D11" s="10"/>
      <c r="E11" s="10"/>
      <c r="F11" s="10"/>
      <c r="G11" s="10"/>
      <c r="H11" s="10"/>
      <c r="I11" s="10"/>
    </row>
    <row r="12">
      <c r="A12" s="10"/>
      <c r="B12" s="10" t="s">
        <v>12</v>
      </c>
      <c r="C12" s="10" t="s">
        <v>13</v>
      </c>
      <c r="D12" s="10"/>
      <c r="E12" s="10"/>
      <c r="F12" s="10"/>
      <c r="G12" s="10"/>
      <c r="H12" s="10"/>
      <c r="I12" s="10"/>
    </row>
    <row r="13">
      <c r="A13" s="10"/>
      <c r="B13" s="10" t="s">
        <v>14</v>
      </c>
      <c r="C13" s="10" t="s">
        <v>15</v>
      </c>
      <c r="D13" s="10"/>
      <c r="E13" s="10"/>
      <c r="F13" s="10"/>
      <c r="G13" s="10"/>
      <c r="H13" s="10"/>
      <c r="I13" s="10"/>
    </row>
    <row r="14">
      <c r="A14" s="10"/>
      <c r="B14" s="10" t="s">
        <v>16</v>
      </c>
      <c r="C14" s="10" t="s">
        <v>17</v>
      </c>
      <c r="D14" s="10"/>
      <c r="E14" s="10"/>
      <c r="F14" s="10"/>
      <c r="G14" s="10"/>
      <c r="H14" s="10"/>
      <c r="I14" s="10"/>
    </row>
    <row r="15">
      <c r="A15" s="10"/>
      <c r="B15" s="10" t="s">
        <v>18</v>
      </c>
      <c r="C15" s="10" t="s">
        <v>19</v>
      </c>
      <c r="D15" s="10"/>
      <c r="E15" s="10"/>
      <c r="F15" s="10"/>
      <c r="G15" s="10"/>
      <c r="H15" s="10"/>
      <c r="I15" s="10"/>
    </row>
    <row r="16">
      <c r="A16" s="10"/>
      <c r="B16" s="10" t="s">
        <v>20</v>
      </c>
      <c r="C16" s="10" t="s">
        <v>21</v>
      </c>
      <c r="D16" s="10"/>
      <c r="E16" s="10"/>
      <c r="F16" s="10"/>
      <c r="G16" s="10"/>
      <c r="H16" s="10"/>
      <c r="I16" s="10"/>
    </row>
    <row r="17">
      <c r="A17" s="10"/>
      <c r="B17" s="10" t="s">
        <v>22</v>
      </c>
      <c r="C17" s="10" t="s">
        <v>23</v>
      </c>
      <c r="D17" s="10"/>
      <c r="E17" s="10"/>
      <c r="F17" s="10"/>
      <c r="G17" s="10"/>
      <c r="H17" s="10"/>
      <c r="I17" s="10"/>
    </row>
    <row r="18">
      <c r="A18" s="10"/>
      <c r="B18" s="10"/>
      <c r="C18" s="10"/>
      <c r="D18" s="10"/>
      <c r="E18" s="10"/>
      <c r="F18" s="10"/>
      <c r="G18" s="10"/>
      <c r="H18" s="10"/>
      <c r="I18" s="10"/>
    </row>
    <row r="19">
      <c r="A19" s="10"/>
      <c r="B19" s="8" t="s">
        <v>24</v>
      </c>
      <c r="C19" s="10"/>
      <c r="D19" s="10"/>
      <c r="E19" s="10"/>
      <c r="F19" s="10"/>
      <c r="G19" s="10"/>
      <c r="H19" s="10"/>
      <c r="I19" s="10"/>
    </row>
    <row r="20" ht="33">
      <c r="A20" s="10"/>
      <c r="B20" s="38" t="s">
        <v>25</v>
      </c>
      <c r="C20" s="22" t="s">
        <v>26</v>
      </c>
      <c r="D20" s="22" t="s">
        <v>27</v>
      </c>
      <c r="E20" s="22" t="s">
        <v>28</v>
      </c>
      <c r="F20" s="22" t="s">
        <v>29</v>
      </c>
      <c r="G20" s="22" t="s">
        <v>30</v>
      </c>
      <c r="H20" s="22" t="s">
        <v>31</v>
      </c>
      <c r="I20" s="244" t="s">
        <v>32</v>
      </c>
    </row>
    <row r="21" ht="28.5">
      <c r="A21" s="10"/>
      <c r="B21" s="10" t="s">
        <v>33</v>
      </c>
      <c r="C21" s="39">
        <f>'Income Statement'!H15</f>
        <v>3576.666635231292</v>
      </c>
      <c r="D21" s="39">
        <f>Inputs!C60</f>
        <v>3587.71</v>
      </c>
      <c r="E21" s="3">
        <f>C21-D21</f>
        <v>-11.043364768708216</v>
      </c>
      <c r="F21" s="16">
        <f>C21/D21-1</f>
        <v>-0.003078109648970595</v>
      </c>
      <c r="G21" s="3" t="s">
        <v>34</v>
      </c>
      <c r="H21" s="3" t="str">
        <f>IF(ISNUMBER(G21),C21-G21,"n/a")</f>
        <v>n/a</v>
      </c>
      <c r="I21" s="195" t="s">
        <v>35</v>
      </c>
    </row>
    <row r="22">
      <c r="A22" s="10"/>
      <c r="B22" s="10" t="s">
        <v>36</v>
      </c>
      <c r="C22" s="39">
        <f>'Income Statement'!H41</f>
        <v>239.92805153469362</v>
      </c>
      <c r="D22" s="39">
        <f>Inputs!C70</f>
        <v>245.68</v>
      </c>
      <c r="E22" s="3">
        <f>C22-D22</f>
        <v>-5.751948465306384</v>
      </c>
      <c r="F22" s="16">
        <f>C22/D22-1</f>
        <v>-0.023412359432214203</v>
      </c>
      <c r="G22" s="3" t="s">
        <v>34</v>
      </c>
      <c r="H22" s="3" t="str">
        <f>IF(ISNUMBER(G22),C22-G22,"n/a")</f>
        <v>n/a</v>
      </c>
      <c r="I22" s="10"/>
    </row>
    <row r="23" ht="54">
      <c r="A23" s="10"/>
      <c r="B23" s="10" t="s">
        <v>37</v>
      </c>
      <c r="C23" s="39">
        <f>'Income Statement'!H77</f>
        <v>169.51006306329776</v>
      </c>
      <c r="D23" s="39">
        <f>Inputs!C73</f>
        <v>171.81</v>
      </c>
      <c r="E23" s="3">
        <f>C23-D23</f>
        <v>-2.299936936702238</v>
      </c>
      <c r="F23" s="16">
        <f>C23/D23-1</f>
        <v>-0.013386513804215294</v>
      </c>
      <c r="G23" s="3" t="s">
        <v>34</v>
      </c>
      <c r="H23" s="3" t="str">
        <f>IF(ISNUMBER(G23),C23-G23,"n/a")</f>
        <v>n/a</v>
      </c>
      <c r="I23" s="195" t="s">
        <v>38</v>
      </c>
    </row>
    <row r="24">
      <c r="A24" s="10"/>
      <c r="B24" s="10" t="s">
        <v>39</v>
      </c>
      <c r="C24" s="62">
        <f>'Income Statement'!H78</f>
        <v>1.7929732915735719</v>
      </c>
      <c r="D24" s="62">
        <f>Inputs!C44</f>
        <v>1.81</v>
      </c>
      <c r="E24" s="172">
        <f>C24-D24</f>
        <v>-0.017026708426428172</v>
      </c>
      <c r="F24" s="16">
        <f>C24/D24-1</f>
        <v>-0.009407021230070867</v>
      </c>
      <c r="G24" s="62">
        <f>Guidance!G10</f>
        <v>1.7667499999999998</v>
      </c>
      <c r="H24" s="172">
        <f>IF(ISNUMBER(G24),C24-G24,"n/a")</f>
        <v>0.02622329157357206</v>
      </c>
      <c r="I24" s="10"/>
    </row>
    <row r="25">
      <c r="A25" s="10"/>
      <c r="B25" s="10" t="s">
        <v>40</v>
      </c>
      <c r="C25" s="62">
        <f>'Income Statement'!H66</f>
        <v>1.7929732915735719</v>
      </c>
      <c r="D25" s="62">
        <f>Inputs!C53</f>
        <v>1.81</v>
      </c>
      <c r="E25" s="172">
        <f>C25-D25</f>
        <v>-0.017026708426428172</v>
      </c>
      <c r="F25" s="16">
        <f>C25/D25-1</f>
        <v>-0.009407021230070867</v>
      </c>
      <c r="G25" s="62">
        <f>Guidance!G10</f>
        <v>1.7667499999999998</v>
      </c>
      <c r="H25" s="172">
        <f>IF(ISNUMBER(G25),C25-G25,"n/a")</f>
        <v>0.02622329157357206</v>
      </c>
      <c r="I25" s="10"/>
    </row>
    <row r="26">
      <c r="A26" s="10"/>
      <c r="B26" s="158" t="s">
        <v>41</v>
      </c>
      <c r="C26" s="154">
        <f>ROUND(ABS(C21-'Income Statement'!H15)+ABS(C22-'Income Statement'!H41)+ABS(C23-'Income Statement'!H77)+ABS(C24-'Income Statement'!H78)+ABS(C25-'Income Statement'!H66),6)</f>
        <v>0</v>
      </c>
      <c r="D26" s="10"/>
      <c r="E26" s="10"/>
      <c r="F26" s="10"/>
      <c r="G26" s="10"/>
      <c r="H26" s="10"/>
      <c r="I26" s="10"/>
    </row>
    <row r="27" ht="41.25">
      <c r="A27" s="10"/>
      <c r="B27" s="153" t="s">
        <v>42</v>
      </c>
      <c r="C27" s="150" t="str">
        <f>IF(AND(COUNT('Revenue summary'!C53:H53)=6,COUNT('Revenue summary'!C71:H71)=6,COUNT('Income Statement'!C70:H70)=6,ISNUMBER('Income Statement'!E84),COUNT('Balance Sheet'!C33:H33)=6,COUNT('Cash Flow Statement'!C39:H39)=6,ISNUMBER(Inputs!N115),SUMIF('Revenue summary'!C53:H53,"&gt;0")-SUMIF('Revenue summary'!C53:H53,"&lt;0")&lt;0.001,SUMIF('Revenue summary'!C71:H71,"&gt;0")-SUMIF('Revenue summary'!C71:H71,"&lt;0")&lt;0.001,SUMIF('Income Statement'!C70:H70,"&gt;0")-SUMIF('Income Statement'!C70:H70,"&lt;0")&lt;0.001,'Income Statement'!E84&lt;='Income Statement'!E85,SUMIF('Balance Sheet'!C33:H33,"&gt;0")-SUMIF('Balance Sheet'!C33:H33,"&lt;0")&lt;0.001,SUMIF('Cash Flow Statement'!C39:H39,"&gt;0")-SUMIF('Cash Flow Statement'!C39:H39,"&lt;0")&lt;0.001,Inputs!N115&lt;0.001,C26=0),"PASS","FAIL")</f>
        <v>PASS</v>
      </c>
      <c r="D27" s="10"/>
      <c r="E27" s="10"/>
      <c r="F27" s="10"/>
      <c r="G27" s="10"/>
      <c r="H27" s="10"/>
      <c r="I27" s="195" t="s">
        <v>43</v>
      </c>
    </row>
    <row r="28">
      <c r="A28" s="10"/>
      <c r="B28" s="149" t="s">
        <v>44</v>
      </c>
      <c r="C28" s="148">
        <f>Inputs!C128</f>
        <v>0.35</v>
      </c>
      <c r="D28" s="10"/>
      <c r="E28" s="10"/>
      <c r="F28" s="10"/>
      <c r="G28" s="10"/>
      <c r="H28" s="10"/>
      <c r="I28" s="10"/>
    </row>
    <row r="29">
      <c r="A29" s="10"/>
      <c r="B29" s="146" t="s">
        <v>45</v>
      </c>
      <c r="C29" s="144" t="str">
        <f>Inputs!C129</f>
        <v>medium</v>
      </c>
      <c r="D29" s="10"/>
      <c r="E29" s="10"/>
      <c r="F29" s="10"/>
      <c r="G29" s="10"/>
      <c r="H29" s="10"/>
      <c r="I29" s="10"/>
    </row>
    <row r="30">
      <c r="A30" s="10"/>
      <c r="B30" s="10"/>
      <c r="C30" s="10"/>
      <c r="D30" s="10"/>
      <c r="E30" s="10"/>
      <c r="F30" s="10"/>
      <c r="G30" s="10"/>
      <c r="H30" s="10"/>
      <c r="I30" s="10"/>
    </row>
    <row r="31">
      <c r="A31" s="10"/>
      <c r="B31" s="8" t="s">
        <v>46</v>
      </c>
      <c r="C31" s="10"/>
      <c r="D31" s="10"/>
      <c r="E31" s="10"/>
      <c r="F31" s="10"/>
      <c r="G31" s="10"/>
      <c r="H31" s="10"/>
      <c r="I31" s="10"/>
    </row>
    <row r="32">
      <c r="A32" s="10"/>
      <c r="B32" s="10" t="s">
        <v>47</v>
      </c>
      <c r="C32" s="69">
        <f>Inputs!C49</f>
        <v>20</v>
      </c>
      <c r="D32" s="10"/>
      <c r="E32" s="10"/>
      <c r="F32" s="10"/>
      <c r="G32" s="10"/>
      <c r="H32" s="10"/>
      <c r="I32" s="10"/>
    </row>
    <row r="33">
      <c r="A33" s="10"/>
      <c r="B33" s="10" t="s">
        <v>48</v>
      </c>
      <c r="C33" s="28">
        <f>Inputs!C45</f>
        <v>1.8</v>
      </c>
      <c r="D33" s="10"/>
      <c r="E33" s="10"/>
      <c r="F33" s="10"/>
      <c r="G33" s="10"/>
      <c r="H33" s="10"/>
      <c r="I33" s="10"/>
    </row>
    <row r="34">
      <c r="A34" s="10"/>
      <c r="B34" s="10" t="s">
        <v>49</v>
      </c>
      <c r="C34" s="28">
        <f>Inputs!C46</f>
        <v>1.96</v>
      </c>
      <c r="D34" s="10"/>
      <c r="E34" s="10"/>
      <c r="F34" s="10"/>
      <c r="G34" s="10"/>
      <c r="H34" s="10"/>
      <c r="I34" s="10"/>
    </row>
    <row r="35">
      <c r="A35" s="10"/>
      <c r="B35" s="10" t="s">
        <v>50</v>
      </c>
      <c r="C35" s="28">
        <f>Inputs!C47</f>
        <v>1.75</v>
      </c>
      <c r="D35" s="10"/>
      <c r="E35" s="10"/>
      <c r="F35" s="10"/>
      <c r="G35" s="10"/>
      <c r="H35" s="10"/>
      <c r="I35" s="10"/>
    </row>
    <row r="36">
      <c r="A36" s="10"/>
      <c r="B36" s="10" t="s">
        <v>51</v>
      </c>
      <c r="C36" s="28">
        <f>Inputs!C48</f>
        <v>0.06</v>
      </c>
      <c r="D36" s="10"/>
      <c r="E36" s="10"/>
      <c r="F36" s="10"/>
      <c r="G36" s="10"/>
      <c r="H36" s="10"/>
      <c r="I36" s="10"/>
    </row>
    <row r="37">
      <c r="A37" s="10"/>
      <c r="B37" s="10" t="s">
        <v>52</v>
      </c>
      <c r="C37" s="69">
        <f>Inputs!C65</f>
        <v>17</v>
      </c>
      <c r="D37" s="10"/>
      <c r="E37" s="10"/>
      <c r="F37" s="10"/>
      <c r="G37" s="10"/>
      <c r="H37" s="10"/>
      <c r="I37" s="10"/>
    </row>
    <row r="38">
      <c r="A38" s="10"/>
      <c r="B38" s="10" t="s">
        <v>53</v>
      </c>
      <c r="C38" s="28">
        <f>Inputs!C51</f>
        <v>1.72</v>
      </c>
      <c r="D38" s="10"/>
      <c r="E38" s="10"/>
      <c r="F38" s="10"/>
      <c r="G38" s="10"/>
      <c r="H38" s="10"/>
      <c r="I38" s="10"/>
    </row>
    <row r="39">
      <c r="A39" s="10"/>
      <c r="B39" s="10" t="s">
        <v>54</v>
      </c>
      <c r="C39" s="28">
        <f>Inputs!C52</f>
        <v>1.81</v>
      </c>
      <c r="D39" s="10"/>
      <c r="E39" s="10"/>
      <c r="F39" s="10"/>
      <c r="G39" s="10"/>
      <c r="H39" s="10"/>
      <c r="I39" s="10"/>
    </row>
    <row r="40">
      <c r="A40" s="10"/>
      <c r="B40" s="31" t="s">
        <v>55</v>
      </c>
      <c r="C40" s="40">
        <f>Inputs!C126</f>
        <v>0.8742857142857143</v>
      </c>
      <c r="D40" s="10"/>
      <c r="E40" s="10"/>
      <c r="F40" s="10"/>
      <c r="G40" s="10"/>
      <c r="H40" s="10"/>
      <c r="I40" s="10"/>
    </row>
    <row r="41">
      <c r="A41" s="10"/>
      <c r="B41" s="10" t="s">
        <v>56</v>
      </c>
      <c r="C41" s="28">
        <f>Inputs!J112</f>
        <v>0.10666666666666665</v>
      </c>
      <c r="D41" s="10"/>
      <c r="E41" s="10"/>
      <c r="F41" s="10"/>
      <c r="G41" s="10"/>
      <c r="H41" s="10"/>
      <c r="I41" s="10"/>
    </row>
    <row r="42">
      <c r="A42" s="10"/>
      <c r="B42" s="10"/>
      <c r="C42" s="10"/>
      <c r="D42" s="10"/>
      <c r="E42" s="10"/>
      <c r="F42" s="10"/>
      <c r="G42" s="10"/>
      <c r="H42" s="10"/>
      <c r="I42" s="10"/>
    </row>
    <row r="43">
      <c r="A43" s="10"/>
      <c r="B43" s="8" t="s">
        <v>57</v>
      </c>
      <c r="C43" s="10"/>
      <c r="D43" s="10"/>
      <c r="E43" s="10"/>
      <c r="F43" s="10"/>
      <c r="G43" s="10"/>
      <c r="H43" s="10"/>
      <c r="I43" s="10"/>
    </row>
    <row r="44">
      <c r="A44" s="10"/>
      <c r="B44" s="31" t="s">
        <v>58</v>
      </c>
      <c r="C44" s="10"/>
      <c r="D44" s="10"/>
      <c r="E44" s="10"/>
      <c r="F44" s="10"/>
      <c r="G44" s="10"/>
      <c r="H44" s="10"/>
      <c r="I44" s="10"/>
    </row>
    <row r="45">
      <c r="A45" s="10"/>
      <c r="B45" s="31" t="s">
        <v>59</v>
      </c>
      <c r="C45" s="10"/>
      <c r="D45" s="10"/>
      <c r="E45" s="10"/>
      <c r="F45" s="10"/>
      <c r="G45" s="10"/>
      <c r="H45" s="10"/>
      <c r="I45" s="10"/>
    </row>
    <row r="46">
      <c r="A46" s="10"/>
      <c r="B46" s="31" t="s">
        <v>60</v>
      </c>
      <c r="C46" s="10"/>
      <c r="D46" s="10"/>
      <c r="E46" s="10"/>
      <c r="F46" s="10"/>
      <c r="G46" s="10"/>
      <c r="H46" s="10"/>
      <c r="I46" s="10"/>
    </row>
    <row r="47">
      <c r="A47" s="10"/>
      <c r="B47" s="31" t="s">
        <v>61</v>
      </c>
      <c r="C47" s="10"/>
      <c r="D47" s="10"/>
      <c r="E47" s="10"/>
      <c r="F47" s="10"/>
      <c r="G47" s="10"/>
      <c r="H47" s="10"/>
      <c r="I47" s="10"/>
    </row>
    <row r="48">
      <c r="A48" s="10"/>
      <c r="B48" s="31" t="s">
        <v>62</v>
      </c>
      <c r="C48" s="10"/>
      <c r="D48" s="10"/>
      <c r="E48" s="10"/>
      <c r="F48" s="10"/>
      <c r="G48" s="10"/>
      <c r="H48" s="10"/>
      <c r="I48" s="10"/>
    </row>
    <row r="49">
      <c r="A49" s="10"/>
      <c r="B49" s="10"/>
      <c r="C49" s="10"/>
      <c r="D49" s="10"/>
      <c r="E49" s="10"/>
      <c r="F49" s="10"/>
      <c r="G49" s="10"/>
      <c r="H49" s="10"/>
      <c r="I49" s="10"/>
    </row>
    <row r="50">
      <c r="A50" s="10"/>
      <c r="B50" s="10"/>
      <c r="C50" s="10"/>
      <c r="D50" s="10"/>
      <c r="E50" s="10"/>
      <c r="F50" s="10"/>
      <c r="G50" s="10"/>
      <c r="H50" s="10"/>
      <c r="I50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6"/>
  <sheetViews>
    <sheetView showGridLines="0" workbookViewId="0"/>
  </sheetViews>
  <sheetFormatPr defaultColWidth="8.42578125" defaultRowHeight="15"/>
  <cols>
    <col min="1" max="1" width="2" customWidth="1"/>
    <col min="2" max="2" width="36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63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73</v>
      </c>
      <c r="C8" s="3"/>
      <c r="D8" s="3"/>
      <c r="E8" s="3"/>
      <c r="F8" s="3"/>
      <c r="G8" s="3"/>
      <c r="H8" s="12"/>
      <c r="I8" s="7"/>
    </row>
    <row r="9">
      <c r="A9" s="10"/>
      <c r="B9" s="10" t="s">
        <v>74</v>
      </c>
      <c r="C9" s="39">
        <f>'Segment - Intermodal'!C30</f>
        <v>1520.377</v>
      </c>
      <c r="D9" s="39">
        <f>'Segment - Intermodal'!D30</f>
        <v>1547.842</v>
      </c>
      <c r="E9" s="39">
        <f>'Segment - Intermodal'!E30</f>
        <v>5975.357</v>
      </c>
      <c r="F9" s="39">
        <f>'Segment - Intermodal'!F30</f>
        <v>1504.793</v>
      </c>
      <c r="G9" s="39">
        <f>'Segment - Intermodal'!G30</f>
        <v>1753.689</v>
      </c>
      <c r="H9" s="13">
        <f>'Segment - Intermodal'!H30</f>
        <v>1804.482</v>
      </c>
      <c r="I9" s="7"/>
    </row>
    <row r="10">
      <c r="A10" s="10"/>
      <c r="B10" s="31" t="s">
        <v>75</v>
      </c>
      <c r="C10" s="19">
        <f>IFERROR(C9/'Segment - Intermodal'!C86-1,"n/a")</f>
        <v>-0.02337975839781492</v>
      </c>
      <c r="D10" s="19">
        <f>IFERROR(D9/'Segment - Intermodal'!D86-1,"n/a")</f>
        <v>-0.030460309019080145</v>
      </c>
      <c r="E10" s="19">
        <f>IFERROR(E9/'Segment - Intermodal'!E86-1,"n/a")</f>
        <v>0.0032345034294298802</v>
      </c>
      <c r="F10" s="19">
        <f>IFERROR(F9/'Segment - Intermodal'!F86-1,"n/a")</f>
        <v>0.02418916279224881</v>
      </c>
      <c r="G10" s="19">
        <f>IFERROR(G9/'Segment - Intermodal'!G86-1,"n/a")</f>
        <v>0.21963091624156328</v>
      </c>
      <c r="H10" s="71">
        <f>IFERROR(H9/'Segment - Intermodal'!H86-1,"n/a")</f>
        <v>0.18686483681350086</v>
      </c>
      <c r="I10" s="7"/>
    </row>
    <row r="11">
      <c r="A11" s="10"/>
      <c r="B11" s="31" t="s">
        <v>76</v>
      </c>
      <c r="C11" s="19">
        <f>IFERROR(C9/'Segment - Intermodal'!G86-1,"n/a")</f>
        <v>0.05737037384769983</v>
      </c>
      <c r="D11" s="16">
        <f>IFERROR(D9/C9-1,"n/a")</f>
        <v>0.01806459845156838</v>
      </c>
      <c r="E11" s="16" t="s">
        <v>34</v>
      </c>
      <c r="F11" s="16">
        <f>IFERROR(F9/D9-1,"n/a")</f>
        <v>-0.027812270244637505</v>
      </c>
      <c r="G11" s="16">
        <f>IFERROR(G9/F9-1,"n/a")</f>
        <v>0.16540215165806882</v>
      </c>
      <c r="H11" s="72">
        <f>IFERROR(H9/G9-1,"n/a")</f>
        <v>0.02896351633613481</v>
      </c>
      <c r="I11" s="7"/>
    </row>
    <row r="12">
      <c r="A12" s="10"/>
      <c r="B12" s="31" t="s">
        <v>77</v>
      </c>
      <c r="C12" s="16">
        <f>C9/C45</f>
        <v>0.4980112332646663</v>
      </c>
      <c r="D12" s="16">
        <f>D9/D45</f>
        <v>0.499847898971332</v>
      </c>
      <c r="E12" s="16">
        <f>E9/E45</f>
        <v>0.4979839314561697</v>
      </c>
      <c r="F12" s="16">
        <f>F9/F45</f>
        <v>0.492326985422172</v>
      </c>
      <c r="G12" s="16">
        <f>G9/G45</f>
        <v>0.5017283228659318</v>
      </c>
      <c r="H12" s="72">
        <f>H9/H45</f>
        <v>0.5045150090940219</v>
      </c>
      <c r="I12" s="7"/>
    </row>
    <row r="13">
      <c r="A13" s="10"/>
      <c r="B13" s="31" t="s">
        <v>78</v>
      </c>
      <c r="C13" s="19">
        <f>'Segment - Intermodal'!C35</f>
        <v>0</v>
      </c>
      <c r="D13" s="19">
        <f>'Segment - Intermodal'!D35</f>
        <v>0</v>
      </c>
      <c r="E13" s="19">
        <f>'Segment - Intermodal'!E35</f>
        <v>0</v>
      </c>
      <c r="F13" s="19">
        <f>'Segment - Intermodal'!F35</f>
        <v>0</v>
      </c>
      <c r="G13" s="19">
        <f>'Segment - Intermodal'!G35</f>
        <v>0</v>
      </c>
      <c r="H13" s="71">
        <f>'Segment - Intermodal'!H35</f>
        <v>0</v>
      </c>
      <c r="I13" s="7"/>
    </row>
    <row r="14">
      <c r="A14" s="10"/>
      <c r="B14" s="31" t="s">
        <v>79</v>
      </c>
      <c r="C14" s="19" t="str">
        <f>'Segment - Intermodal'!C36</f>
        <v>n/d</v>
      </c>
      <c r="D14" s="19" t="str">
        <f>'Segment - Intermodal'!D36</f>
        <v>n/d</v>
      </c>
      <c r="E14" s="19" t="str">
        <f>'Segment - Intermodal'!E36</f>
        <v>n/d</v>
      </c>
      <c r="F14" s="19" t="str">
        <f>'Segment - Intermodal'!F36</f>
        <v>n/d</v>
      </c>
      <c r="G14" s="19" t="str">
        <f>'Segment - Intermodal'!G36</f>
        <v>n/d</v>
      </c>
      <c r="H14" s="71" t="str">
        <f>'Segment - Intermodal'!H36</f>
        <v>n/d</v>
      </c>
      <c r="I14" s="7"/>
    </row>
    <row r="15">
      <c r="A15" s="10"/>
      <c r="B15" s="31" t="s">
        <v>80</v>
      </c>
      <c r="C15" s="16" t="str">
        <f>IF(AND(ISNUMBER(C14),ISNUMBER(C10)),(1+C10)/((1+C13)*(1+C14))-1,"n/a")</f>
        <v>n/a</v>
      </c>
      <c r="D15" s="16" t="str">
        <f>IF(AND(ISNUMBER(D14),ISNUMBER(D10)),(1+D10)/((1+D13)*(1+D14))-1,"n/a")</f>
        <v>n/a</v>
      </c>
      <c r="E15" s="16" t="str">
        <f>IF(AND(ISNUMBER(E14),ISNUMBER(E10)),(1+E10)/((1+E13)*(1+E14))-1,"n/a")</f>
        <v>n/a</v>
      </c>
      <c r="F15" s="16" t="str">
        <f>IF(AND(ISNUMBER(F14),ISNUMBER(F10)),(1+F10)/((1+F13)*(1+F14))-1,"n/a")</f>
        <v>n/a</v>
      </c>
      <c r="G15" s="16" t="str">
        <f>IF(AND(ISNUMBER(G14),ISNUMBER(G10)),(1+G10)/((1+G13)*(1+G14))-1,"n/a")</f>
        <v>n/a</v>
      </c>
      <c r="H15" s="72" t="str">
        <f>IF(AND(ISNUMBER(H14),ISNUMBER(H10)),(1+H10)/((1+H13)*(1+H14))-1,"n/a")</f>
        <v>n/a</v>
      </c>
      <c r="I15" s="7"/>
    </row>
    <row r="16">
      <c r="A16" s="10"/>
      <c r="B16" s="206" t="s">
        <v>81</v>
      </c>
      <c r="C16" s="221">
        <f>'Segment - Dedicated'!C39</f>
        <v>864.11</v>
      </c>
      <c r="D16" s="221">
        <f>'Segment - Dedicated'!D39</f>
        <v>842.894</v>
      </c>
      <c r="E16" s="221">
        <f>'Segment - Dedicated'!E39</f>
        <v>3376.0510000000004</v>
      </c>
      <c r="F16" s="221">
        <f>'Segment - Dedicated'!F39</f>
        <v>840.556</v>
      </c>
      <c r="G16" s="221">
        <f>'Segment - Dedicated'!G39</f>
        <v>920.71</v>
      </c>
      <c r="H16" s="232">
        <f>'Segment - Dedicated'!H39</f>
        <v>943.3096352312917</v>
      </c>
      <c r="I16" s="208"/>
    </row>
    <row r="17">
      <c r="A17" s="10"/>
      <c r="B17" s="31" t="s">
        <v>75</v>
      </c>
      <c r="C17" s="19">
        <f>IFERROR(C16/'Segment - Dedicated'!C84-1,"n/a")</f>
        <v>0.021451292787036946</v>
      </c>
      <c r="D17" s="19">
        <f>IFERROR(D16/'Segment - Dedicated'!D84-1,"n/a")</f>
        <v>0.005205544471330148</v>
      </c>
      <c r="E17" s="19">
        <f>IFERROR(E16/'Segment - Dedicated'!E84-1,"n/a")</f>
        <v>-0.005733145870526868</v>
      </c>
      <c r="F17" s="19">
        <f>IFERROR(F16/'Segment - Dedicated'!F84-1,"n/a")</f>
        <v>0.02221108803198857</v>
      </c>
      <c r="G17" s="19">
        <f>IFERROR(G16/'Segment - Dedicated'!G84-1,"n/a")</f>
        <v>0.08733931302442866</v>
      </c>
      <c r="H17" s="71">
        <f>IFERROR(H16/'Segment - Dedicated'!H84-1,"n/a")</f>
        <v>0.0916545754953555</v>
      </c>
      <c r="I17" s="7"/>
    </row>
    <row r="18">
      <c r="A18" s="10"/>
      <c r="B18" s="31" t="s">
        <v>76</v>
      </c>
      <c r="C18" s="19">
        <f>IFERROR(C16/'Segment - Dedicated'!G84-1,"n/a")</f>
        <v>0.02049589314500655</v>
      </c>
      <c r="D18" s="16">
        <f>IFERROR(D16/C16-1,"n/a")</f>
        <v>-0.024552429667519138</v>
      </c>
      <c r="E18" s="16" t="s">
        <v>34</v>
      </c>
      <c r="F18" s="16">
        <f>IFERROR(F16/D16-1,"n/a")</f>
        <v>-0.002773777011106926</v>
      </c>
      <c r="G18" s="16">
        <f>IFERROR(G16/F16-1,"n/a")</f>
        <v>0.09535831045165333</v>
      </c>
      <c r="H18" s="72">
        <f>IFERROR(H16/G16-1,"n/a")</f>
        <v>0.024545877889120105</v>
      </c>
      <c r="I18" s="7"/>
    </row>
    <row r="19">
      <c r="A19" s="10"/>
      <c r="B19" s="31" t="s">
        <v>77</v>
      </c>
      <c r="C19" s="16">
        <f>C16/C45</f>
        <v>0.28304590688778564</v>
      </c>
      <c r="D19" s="16">
        <f>D16/D45</f>
        <v>0.27219754662009554</v>
      </c>
      <c r="E19" s="16">
        <f>E16/E45</f>
        <v>0.28135877902802015</v>
      </c>
      <c r="F19" s="16">
        <f>F16/F45</f>
        <v>0.27500686244454836</v>
      </c>
      <c r="G19" s="16">
        <f>G16/G45</f>
        <v>0.2634140284542425</v>
      </c>
      <c r="H19" s="72">
        <f>H16/H45</f>
        <v>0.2637398816930253</v>
      </c>
      <c r="I19" s="7"/>
    </row>
    <row r="20">
      <c r="A20" s="10"/>
      <c r="B20" s="31" t="s">
        <v>78</v>
      </c>
      <c r="C20" s="19">
        <f>'Segment - Dedicated'!C44</f>
        <v>0</v>
      </c>
      <c r="D20" s="19">
        <f>'Segment - Dedicated'!D44</f>
        <v>0</v>
      </c>
      <c r="E20" s="19">
        <f>'Segment - Dedicated'!E44</f>
        <v>0</v>
      </c>
      <c r="F20" s="19">
        <f>'Segment - Dedicated'!F44</f>
        <v>0</v>
      </c>
      <c r="G20" s="19">
        <f>'Segment - Dedicated'!G44</f>
        <v>0</v>
      </c>
      <c r="H20" s="71">
        <f>'Segment - Dedicated'!H44</f>
        <v>0</v>
      </c>
      <c r="I20" s="7"/>
    </row>
    <row r="21">
      <c r="A21" s="10"/>
      <c r="B21" s="31" t="s">
        <v>79</v>
      </c>
      <c r="C21" s="19" t="str">
        <f>'Segment - Dedicated'!C45</f>
        <v>n/d</v>
      </c>
      <c r="D21" s="19" t="str">
        <f>'Segment - Dedicated'!D45</f>
        <v>n/d</v>
      </c>
      <c r="E21" s="19" t="str">
        <f>'Segment - Dedicated'!E45</f>
        <v>n/d</v>
      </c>
      <c r="F21" s="19" t="str">
        <f>'Segment - Dedicated'!F45</f>
        <v>n/d</v>
      </c>
      <c r="G21" s="19" t="str">
        <f>'Segment - Dedicated'!G45</f>
        <v>n/d</v>
      </c>
      <c r="H21" s="71" t="str">
        <f>'Segment - Dedicated'!H45</f>
        <v>n/d</v>
      </c>
      <c r="I21" s="7"/>
    </row>
    <row r="22">
      <c r="A22" s="10"/>
      <c r="B22" s="31" t="s">
        <v>80</v>
      </c>
      <c r="C22" s="16" t="str">
        <f>IF(AND(ISNUMBER(C21),ISNUMBER(C17)),(1+C17)/((1+C20)*(1+C21))-1,"n/a")</f>
        <v>n/a</v>
      </c>
      <c r="D22" s="16" t="str">
        <f>IF(AND(ISNUMBER(D21),ISNUMBER(D17)),(1+D17)/((1+D20)*(1+D21))-1,"n/a")</f>
        <v>n/a</v>
      </c>
      <c r="E22" s="16" t="str">
        <f>IF(AND(ISNUMBER(E21),ISNUMBER(E17)),(1+E17)/((1+E20)*(1+E21))-1,"n/a")</f>
        <v>n/a</v>
      </c>
      <c r="F22" s="16" t="str">
        <f>IF(AND(ISNUMBER(F21),ISNUMBER(F17)),(1+F17)/((1+F20)*(1+F21))-1,"n/a")</f>
        <v>n/a</v>
      </c>
      <c r="G22" s="16" t="str">
        <f>IF(AND(ISNUMBER(G21),ISNUMBER(G17)),(1+G17)/((1+G20)*(1+G21))-1,"n/a")</f>
        <v>n/a</v>
      </c>
      <c r="H22" s="72" t="str">
        <f>IF(AND(ISNUMBER(H21),ISNUMBER(H17)),(1+H17)/((1+H20)*(1+H21))-1,"n/a")</f>
        <v>n/a</v>
      </c>
      <c r="I22" s="7"/>
    </row>
    <row r="23">
      <c r="A23" s="10"/>
      <c r="B23" s="206" t="s">
        <v>82</v>
      </c>
      <c r="C23" s="221">
        <f>'Segment - ICS'!C39</f>
        <v>276.343</v>
      </c>
      <c r="D23" s="221">
        <f>'Segment - ICS'!D39</f>
        <v>304.589</v>
      </c>
      <c r="E23" s="221">
        <f>'Segment - ICS'!E39</f>
        <v>1109.218</v>
      </c>
      <c r="F23" s="221">
        <f>'Segment - ICS'!F39</f>
        <v>322.737</v>
      </c>
      <c r="G23" s="221">
        <f>'Segment - ICS'!G39</f>
        <v>388.495</v>
      </c>
      <c r="H23" s="232">
        <f>'Segment - ICS'!H39</f>
        <v>383.08</v>
      </c>
      <c r="I23" s="208"/>
    </row>
    <row r="24">
      <c r="A24" s="10"/>
      <c r="B24" s="31" t="s">
        <v>75</v>
      </c>
      <c r="C24" s="19">
        <f>IFERROR(C23/'Segment - ICS'!C73-1,"n/a")</f>
        <v>-0.006592924648694876</v>
      </c>
      <c r="D24" s="19">
        <f>IFERROR(D23/'Segment - ICS'!D73-1,"n/a")</f>
        <v>-0.009898125694819182</v>
      </c>
      <c r="E24" s="19">
        <f>IFERROR(E23/'Segment - ICS'!E73-1,"n/a")</f>
        <v>-0.02825905078954849</v>
      </c>
      <c r="F24" s="19">
        <f>IFERROR(F23/'Segment - ICS'!F73-1,"n/a")</f>
        <v>0.20404935029081162</v>
      </c>
      <c r="G24" s="19">
        <f>IFERROR(G23/'Segment - ICS'!G73-1,"n/a")</f>
        <v>0.49281632935371955</v>
      </c>
      <c r="H24" s="71">
        <f>IFERROR(H23/'Segment - ICS'!H73-1,"n/a")</f>
        <v>0.38624824945810077</v>
      </c>
      <c r="I24" s="7"/>
    </row>
    <row r="25">
      <c r="A25" s="10"/>
      <c r="B25" s="31" t="s">
        <v>76</v>
      </c>
      <c r="C25" s="19">
        <f>IFERROR(C23/'Segment - ICS'!G73-1,"n/a")</f>
        <v>0.06186525670238985</v>
      </c>
      <c r="D25" s="16">
        <f>IFERROR(D23/C23-1,"n/a")</f>
        <v>0.10221355344626049</v>
      </c>
      <c r="E25" s="16" t="s">
        <v>34</v>
      </c>
      <c r="F25" s="16">
        <f>IFERROR(F23/D23-1,"n/a")</f>
        <v>0.05958192843471055</v>
      </c>
      <c r="G25" s="16">
        <f>IFERROR(G23/F23-1,"n/a")</f>
        <v>0.20375104187000548</v>
      </c>
      <c r="H25" s="72">
        <f>IFERROR(H23/G23-1,"n/a")</f>
        <v>-0.013938403325654214</v>
      </c>
      <c r="I25" s="7"/>
    </row>
    <row r="26">
      <c r="A26" s="10"/>
      <c r="B26" s="31" t="s">
        <v>77</v>
      </c>
      <c r="C26" s="16">
        <f>C23/C45</f>
        <v>0.09051828476361962</v>
      </c>
      <c r="D26" s="16">
        <f>D23/D45</f>
        <v>0.098361571594374</v>
      </c>
      <c r="E26" s="16">
        <f>E23/E45</f>
        <v>0.09244179728206192</v>
      </c>
      <c r="F26" s="16">
        <f>F23/F45</f>
        <v>0.10559069207139822</v>
      </c>
      <c r="G26" s="16">
        <f>G23/G45</f>
        <v>0.11114795427912257</v>
      </c>
      <c r="H26" s="72">
        <f>H23/H45</f>
        <v>0.10710531315011063</v>
      </c>
      <c r="I26" s="7"/>
    </row>
    <row r="27">
      <c r="A27" s="10"/>
      <c r="B27" s="31" t="s">
        <v>78</v>
      </c>
      <c r="C27" s="19">
        <f>'Segment - ICS'!C44</f>
        <v>0</v>
      </c>
      <c r="D27" s="19">
        <f>'Segment - ICS'!D44</f>
        <v>0</v>
      </c>
      <c r="E27" s="19">
        <f>'Segment - ICS'!E44</f>
        <v>0</v>
      </c>
      <c r="F27" s="19">
        <f>'Segment - ICS'!F44</f>
        <v>0</v>
      </c>
      <c r="G27" s="19">
        <f>'Segment - ICS'!G44</f>
        <v>0</v>
      </c>
      <c r="H27" s="71">
        <f>'Segment - ICS'!H44</f>
        <v>0</v>
      </c>
      <c r="I27" s="7"/>
    </row>
    <row r="28">
      <c r="A28" s="10"/>
      <c r="B28" s="31" t="s">
        <v>79</v>
      </c>
      <c r="C28" s="19" t="str">
        <f>'Segment - ICS'!C45</f>
        <v>n/d</v>
      </c>
      <c r="D28" s="19" t="str">
        <f>'Segment - ICS'!D45</f>
        <v>n/d</v>
      </c>
      <c r="E28" s="19" t="str">
        <f>'Segment - ICS'!E45</f>
        <v>n/d</v>
      </c>
      <c r="F28" s="19" t="str">
        <f>'Segment - ICS'!F45</f>
        <v>n/d</v>
      </c>
      <c r="G28" s="19" t="str">
        <f>'Segment - ICS'!G45</f>
        <v>n/d</v>
      </c>
      <c r="H28" s="71" t="str">
        <f>'Segment - ICS'!H45</f>
        <v>n/d</v>
      </c>
      <c r="I28" s="7"/>
    </row>
    <row r="29">
      <c r="A29" s="10"/>
      <c r="B29" s="31" t="s">
        <v>80</v>
      </c>
      <c r="C29" s="16" t="str">
        <f>IF(AND(ISNUMBER(C28),ISNUMBER(C24)),(1+C24)/((1+C27)*(1+C28))-1,"n/a")</f>
        <v>n/a</v>
      </c>
      <c r="D29" s="16" t="str">
        <f>IF(AND(ISNUMBER(D28),ISNUMBER(D24)),(1+D24)/((1+D27)*(1+D28))-1,"n/a")</f>
        <v>n/a</v>
      </c>
      <c r="E29" s="16" t="str">
        <f>IF(AND(ISNUMBER(E28),ISNUMBER(E24)),(1+E24)/((1+E27)*(1+E28))-1,"n/a")</f>
        <v>n/a</v>
      </c>
      <c r="F29" s="16" t="str">
        <f>IF(AND(ISNUMBER(F28),ISNUMBER(F24)),(1+F24)/((1+F27)*(1+F28))-1,"n/a")</f>
        <v>n/a</v>
      </c>
      <c r="G29" s="16" t="str">
        <f>IF(AND(ISNUMBER(G28),ISNUMBER(G24)),(1+G24)/((1+G27)*(1+G28))-1,"n/a")</f>
        <v>n/a</v>
      </c>
      <c r="H29" s="72" t="str">
        <f>IF(AND(ISNUMBER(H28),ISNUMBER(H24)),(1+H24)/((1+H27)*(1+H28))-1,"n/a")</f>
        <v>n/a</v>
      </c>
      <c r="I29" s="7"/>
    </row>
    <row r="30">
      <c r="A30" s="10"/>
      <c r="B30" s="10" t="s">
        <v>83</v>
      </c>
      <c r="C30" s="39">
        <f>'Segment - Final Mile'!C24</f>
        <v>206.481</v>
      </c>
      <c r="D30" s="39">
        <f>'Segment - Final Mile'!D24</f>
        <v>205.778</v>
      </c>
      <c r="E30" s="39">
        <f>'Segment - Final Mile'!E24</f>
        <v>823.589</v>
      </c>
      <c r="F30" s="39">
        <f>'Segment - Final Mile'!F24</f>
        <v>188.027</v>
      </c>
      <c r="G30" s="39">
        <f>'Segment - Final Mile'!G24</f>
        <v>198.037</v>
      </c>
      <c r="H30" s="13">
        <f>'Segment - Final Mile'!H24</f>
        <v>198.36</v>
      </c>
      <c r="I30" s="7"/>
    </row>
    <row r="31">
      <c r="A31" s="10"/>
      <c r="B31" s="31" t="s">
        <v>75</v>
      </c>
      <c r="C31" s="19">
        <f>IFERROR(C30/'Segment - Final Mile'!C57-1,"n/a")</f>
        <v>-0.054219074927399524</v>
      </c>
      <c r="D31" s="19">
        <f>IFERROR(D30/'Segment - Final Mile'!D57-1,"n/a")</f>
        <v>-0.09565225034389113</v>
      </c>
      <c r="E31" s="19">
        <f>IFERROR(E30/'Segment - Final Mile'!E57-1,"n/a")</f>
        <v>-0.09538459848642933</v>
      </c>
      <c r="F31" s="19">
        <f>IFERROR(F30/'Segment - Final Mile'!F57-1,"n/a")</f>
        <v>-0.06315799963129609</v>
      </c>
      <c r="G31" s="19">
        <f>IFERROR(G30/'Segment - Final Mile'!G57-1,"n/a")</f>
        <v>-0.05977391312604752</v>
      </c>
      <c r="H31" s="71">
        <f>IFERROR(H30/'Segment - Final Mile'!H57-1,"n/a")</f>
        <v>-0.03933049529980959</v>
      </c>
      <c r="I31" s="7"/>
    </row>
    <row r="32">
      <c r="A32" s="10"/>
      <c r="B32" s="31" t="s">
        <v>76</v>
      </c>
      <c r="C32" s="19">
        <f>IFERROR(C30/'Segment - Final Mile'!G57-1,"n/a")</f>
        <v>-0.0196840860858295</v>
      </c>
      <c r="D32" s="16">
        <f>IFERROR(D30/C30-1,"n/a")</f>
        <v>-0.003404671616274668</v>
      </c>
      <c r="E32" s="16" t="s">
        <v>34</v>
      </c>
      <c r="F32" s="16">
        <f>IFERROR(F30/D30-1,"n/a")</f>
        <v>-0.0862628658068404</v>
      </c>
      <c r="G32" s="16">
        <f>IFERROR(G30/F30-1,"n/a")</f>
        <v>0.053237035106660224</v>
      </c>
      <c r="H32" s="72">
        <f>IFERROR(H30/G30-1,"n/a")</f>
        <v>0.0016310083469250891</v>
      </c>
      <c r="I32" s="7"/>
    </row>
    <row r="33">
      <c r="A33" s="10"/>
      <c r="B33" s="31" t="s">
        <v>77</v>
      </c>
      <c r="C33" s="16">
        <f>C30/C45</f>
        <v>0.06763444688766113</v>
      </c>
      <c r="D33" s="16">
        <f>D30/D45</f>
        <v>0.06645232585401013</v>
      </c>
      <c r="E33" s="16">
        <f>E30/E45</f>
        <v>0.06863758736491483</v>
      </c>
      <c r="F33" s="16">
        <f>F30/F45</f>
        <v>0.061517275856529594</v>
      </c>
      <c r="G33" s="16">
        <f>G30/G45</f>
        <v>0.05665814855165342</v>
      </c>
      <c r="H33" s="72">
        <f>H30/H45</f>
        <v>0.055459459946893455</v>
      </c>
      <c r="I33" s="7"/>
    </row>
    <row r="34">
      <c r="A34" s="10"/>
      <c r="B34" s="31" t="s">
        <v>78</v>
      </c>
      <c r="C34" s="19">
        <f>'Segment - Final Mile'!C29</f>
        <v>0</v>
      </c>
      <c r="D34" s="19">
        <f>'Segment - Final Mile'!D29</f>
        <v>0</v>
      </c>
      <c r="E34" s="19">
        <f>'Segment - Final Mile'!E29</f>
        <v>0</v>
      </c>
      <c r="F34" s="19">
        <f>'Segment - Final Mile'!F29</f>
        <v>0</v>
      </c>
      <c r="G34" s="19">
        <f>'Segment - Final Mile'!G29</f>
        <v>0</v>
      </c>
      <c r="H34" s="71">
        <f>'Segment - Final Mile'!H29</f>
        <v>0</v>
      </c>
      <c r="I34" s="7"/>
    </row>
    <row r="35">
      <c r="A35" s="10"/>
      <c r="B35" s="31" t="s">
        <v>79</v>
      </c>
      <c r="C35" s="19" t="str">
        <f>'Segment - Final Mile'!C30</f>
        <v>n/d</v>
      </c>
      <c r="D35" s="19" t="str">
        <f>'Segment - Final Mile'!D30</f>
        <v>n/d</v>
      </c>
      <c r="E35" s="19" t="str">
        <f>'Segment - Final Mile'!E30</f>
        <v>n/d</v>
      </c>
      <c r="F35" s="19" t="str">
        <f>'Segment - Final Mile'!F30</f>
        <v>n/d</v>
      </c>
      <c r="G35" s="19" t="str">
        <f>'Segment - Final Mile'!G30</f>
        <v>n/d</v>
      </c>
      <c r="H35" s="71" t="str">
        <f>'Segment - Final Mile'!H30</f>
        <v>n/d</v>
      </c>
      <c r="I35" s="7"/>
    </row>
    <row r="36">
      <c r="A36" s="10"/>
      <c r="B36" s="31" t="s">
        <v>80</v>
      </c>
      <c r="C36" s="16" t="str">
        <f>IF(AND(ISNUMBER(C35),ISNUMBER(C31)),(1+C31)/((1+C34)*(1+C35))-1,"n/a")</f>
        <v>n/a</v>
      </c>
      <c r="D36" s="16" t="str">
        <f>IF(AND(ISNUMBER(D35),ISNUMBER(D31)),(1+D31)/((1+D34)*(1+D35))-1,"n/a")</f>
        <v>n/a</v>
      </c>
      <c r="E36" s="16" t="str">
        <f>IF(AND(ISNUMBER(E35),ISNUMBER(E31)),(1+E31)/((1+E34)*(1+E35))-1,"n/a")</f>
        <v>n/a</v>
      </c>
      <c r="F36" s="16" t="str">
        <f>IF(AND(ISNUMBER(F35),ISNUMBER(F31)),(1+F31)/((1+F34)*(1+F35))-1,"n/a")</f>
        <v>n/a</v>
      </c>
      <c r="G36" s="16" t="str">
        <f>IF(AND(ISNUMBER(G35),ISNUMBER(G31)),(1+G31)/((1+G34)*(1+G35))-1,"n/a")</f>
        <v>n/a</v>
      </c>
      <c r="H36" s="72" t="str">
        <f>IF(AND(ISNUMBER(H35),ISNUMBER(H31)),(1+H31)/((1+H34)*(1+H35))-1,"n/a")</f>
        <v>n/a</v>
      </c>
      <c r="I36" s="7"/>
    </row>
    <row r="37">
      <c r="A37" s="10"/>
      <c r="B37" s="10" t="s">
        <v>84</v>
      </c>
      <c r="C37" s="39">
        <f>'Segment - Truckload'!C24</f>
        <v>189.743</v>
      </c>
      <c r="D37" s="39">
        <f>'Segment - Truckload'!D24</f>
        <v>200.301</v>
      </c>
      <c r="E37" s="39">
        <f>'Segment - Truckload'!E24</f>
        <v>733.6409999999998</v>
      </c>
      <c r="F37" s="39">
        <f>'Segment - Truckload'!F24</f>
        <v>205.384</v>
      </c>
      <c r="G37" s="39">
        <f>'Segment - Truckload'!G24</f>
        <v>239.653</v>
      </c>
      <c r="H37" s="13">
        <f>'Segment - Truckload'!H24</f>
        <v>252.735</v>
      </c>
      <c r="I37" s="7"/>
    </row>
    <row r="38">
      <c r="A38" s="10"/>
      <c r="B38" s="31" t="s">
        <v>75</v>
      </c>
      <c r="C38" s="19">
        <f>IFERROR(C37/'Segment - Truckload'!C74-1,"n/a")</f>
        <v>0.0953683979610096</v>
      </c>
      <c r="D38" s="19">
        <f>IFERROR(D37/'Segment - Truckload'!D74-1,"n/a")</f>
        <v>0.10085737840065945</v>
      </c>
      <c r="E38" s="19">
        <f>IFERROR(E37/'Segment - Truckload'!E74-1,"n/a")</f>
        <v>0.04569679053452114</v>
      </c>
      <c r="F38" s="19">
        <f>IFERROR(F37/'Segment - Truckload'!F74-1,"n/a")</f>
        <v>0.232582563659387</v>
      </c>
      <c r="G38" s="19">
        <f>IFERROR(G37/'Segment - Truckload'!G74-1,"n/a")</f>
        <v>0.35421658152886404</v>
      </c>
      <c r="H38" s="71">
        <f>IFERROR(H37/'Segment - Truckload'!H74-1,"n/a")</f>
        <v>0.33198589671292233</v>
      </c>
      <c r="I38" s="7"/>
    </row>
    <row r="39">
      <c r="A39" s="10"/>
      <c r="B39" s="31" t="s">
        <v>76</v>
      </c>
      <c r="C39" s="19">
        <f>IFERROR(C37/'Segment - Truckload'!G74-1,"n/a")</f>
        <v>0.07218819221554185</v>
      </c>
      <c r="D39" s="16">
        <f>IFERROR(D37/C37-1,"n/a")</f>
        <v>0.05564368646010642</v>
      </c>
      <c r="E39" s="16" t="s">
        <v>34</v>
      </c>
      <c r="F39" s="16">
        <f>IFERROR(F37/D37-1,"n/a")</f>
        <v>0.025376807904104348</v>
      </c>
      <c r="G39" s="16">
        <f>IFERROR(G37/F37-1,"n/a")</f>
        <v>0.16685330892377204</v>
      </c>
      <c r="H39" s="72">
        <f>IFERROR(H37/G37-1,"n/a")</f>
        <v>0.05458725740967152</v>
      </c>
      <c r="I39" s="7"/>
    </row>
    <row r="40">
      <c r="A40" s="10"/>
      <c r="B40" s="31" t="s">
        <v>77</v>
      </c>
      <c r="C40" s="16">
        <f>C37/C45</f>
        <v>0.06215178566456713</v>
      </c>
      <c r="D40" s="16">
        <f>D37/D45</f>
        <v>0.0646836266310494</v>
      </c>
      <c r="E40" s="16">
        <f>E37/E45</f>
        <v>0.06114135598215065</v>
      </c>
      <c r="F40" s="16">
        <f>F37/F45</f>
        <v>0.06719601006513679</v>
      </c>
      <c r="G40" s="16">
        <f>G37/G45</f>
        <v>0.06856443631669534</v>
      </c>
      <c r="H40" s="72">
        <f>H37/H45</f>
        <v>0.07066216278321293</v>
      </c>
      <c r="I40" s="7"/>
    </row>
    <row r="41">
      <c r="A41" s="10"/>
      <c r="B41" s="31" t="s">
        <v>78</v>
      </c>
      <c r="C41" s="19">
        <f>'Segment - Truckload'!C29</f>
        <v>0</v>
      </c>
      <c r="D41" s="19">
        <f>'Segment - Truckload'!D29</f>
        <v>0</v>
      </c>
      <c r="E41" s="19">
        <f>'Segment - Truckload'!E29</f>
        <v>0</v>
      </c>
      <c r="F41" s="19">
        <f>'Segment - Truckload'!F29</f>
        <v>0</v>
      </c>
      <c r="G41" s="19">
        <f>'Segment - Truckload'!G29</f>
        <v>0</v>
      </c>
      <c r="H41" s="71">
        <f>'Segment - Truckload'!H29</f>
        <v>0</v>
      </c>
      <c r="I41" s="7"/>
    </row>
    <row r="42">
      <c r="A42" s="10"/>
      <c r="B42" s="31" t="s">
        <v>79</v>
      </c>
      <c r="C42" s="19" t="str">
        <f>'Segment - Truckload'!C30</f>
        <v>n/d</v>
      </c>
      <c r="D42" s="19" t="str">
        <f>'Segment - Truckload'!D30</f>
        <v>n/d</v>
      </c>
      <c r="E42" s="19" t="str">
        <f>'Segment - Truckload'!E30</f>
        <v>n/d</v>
      </c>
      <c r="F42" s="19" t="str">
        <f>'Segment - Truckload'!F30</f>
        <v>n/d</v>
      </c>
      <c r="G42" s="19" t="str">
        <f>'Segment - Truckload'!G30</f>
        <v>n/d</v>
      </c>
      <c r="H42" s="71" t="str">
        <f>'Segment - Truckload'!H30</f>
        <v>n/d</v>
      </c>
      <c r="I42" s="7"/>
    </row>
    <row r="43">
      <c r="A43" s="10"/>
      <c r="B43" s="31" t="s">
        <v>80</v>
      </c>
      <c r="C43" s="16" t="str">
        <f>IF(AND(ISNUMBER(C42),ISNUMBER(C38)),(1+C38)/((1+C41)*(1+C42))-1,"n/a")</f>
        <v>n/a</v>
      </c>
      <c r="D43" s="16" t="str">
        <f>IF(AND(ISNUMBER(D42),ISNUMBER(D38)),(1+D38)/((1+D41)*(1+D42))-1,"n/a")</f>
        <v>n/a</v>
      </c>
      <c r="E43" s="16" t="str">
        <f>IF(AND(ISNUMBER(E42),ISNUMBER(E38)),(1+E38)/((1+E41)*(1+E42))-1,"n/a")</f>
        <v>n/a</v>
      </c>
      <c r="F43" s="16" t="str">
        <f>IF(AND(ISNUMBER(F42),ISNUMBER(F38)),(1+F38)/((1+F41)*(1+F42))-1,"n/a")</f>
        <v>n/a</v>
      </c>
      <c r="G43" s="16" t="str">
        <f>IF(AND(ISNUMBER(G42),ISNUMBER(G38)),(1+G38)/((1+G41)*(1+G42))-1,"n/a")</f>
        <v>n/a</v>
      </c>
      <c r="H43" s="72" t="str">
        <f>IF(AND(ISNUMBER(H42),ISNUMBER(H38)),(1+H38)/((1+H41)*(1+H42))-1,"n/a")</f>
        <v>n/a</v>
      </c>
      <c r="I43" s="7"/>
    </row>
    <row r="44">
      <c r="A44" s="10"/>
      <c r="B44" s="10" t="s">
        <v>85</v>
      </c>
      <c r="C44" s="2">
        <v>-4.157</v>
      </c>
      <c r="D44" s="2">
        <v>-4.778</v>
      </c>
      <c r="E44" s="3">
        <f>F82+G82+C44+D44</f>
        <v>-18.759999999999998</v>
      </c>
      <c r="F44" s="2">
        <v>-5.006</v>
      </c>
      <c r="G44" s="2">
        <v>-5.288</v>
      </c>
      <c r="H44" s="90">
        <v>-5.3</v>
      </c>
      <c r="I44" s="7" t="s">
        <v>86</v>
      </c>
    </row>
    <row r="45">
      <c r="A45" s="10"/>
      <c r="B45" s="6" t="s">
        <v>87</v>
      </c>
      <c r="C45" s="17">
        <f>SUM(C9,C16,C23,C30,C37,C44)</f>
        <v>3052.897</v>
      </c>
      <c r="D45" s="17">
        <f>SUM(D9,D16,D23,D30,D37,D44)</f>
        <v>3096.626</v>
      </c>
      <c r="E45" s="17">
        <f>SUM(E9,E16,E23,E30,E37,E44)</f>
        <v>11999.096</v>
      </c>
      <c r="F45" s="17">
        <f>SUM(F9,F16,F23,F30,F37,F44)</f>
        <v>3056.491</v>
      </c>
      <c r="G45" s="17">
        <f>SUM(G9,G16,G23,G30,G37,G44)</f>
        <v>3495.2960000000003</v>
      </c>
      <c r="H45" s="25">
        <f>SUM(H9,H16,H23,H30,H37,H44)</f>
        <v>3576.666635231292</v>
      </c>
      <c r="I45" s="7"/>
    </row>
    <row r="46">
      <c r="A46" s="10"/>
      <c r="B46" s="31" t="s">
        <v>75</v>
      </c>
      <c r="C46" s="16">
        <f>IF(N(C83)&lt;=0,"n/a",IFERROR(C45/C83-1,"n/a"))</f>
        <v>-0.004978210145392792</v>
      </c>
      <c r="D46" s="16">
        <f>IF(N(D83)&lt;=0,"n/a",IFERROR(D45/D83-1,"n/a"))</f>
        <v>-0.015803083447857524</v>
      </c>
      <c r="E46" s="16">
        <f>IF(N(E83)&lt;=0,"n/a",IFERROR(E45/E83-1,"n/a"))</f>
        <v>-0.007289361543000417</v>
      </c>
      <c r="F46" s="16">
        <f>IF(N(F83)&lt;=0,"n/a",IFERROR(F45/F83-1,"n/a"))</f>
        <v>0.0462447353864186</v>
      </c>
      <c r="G46" s="16">
        <f>IF(N(G83)&lt;=0,"n/a",IFERROR(G45/G83-1,"n/a"))</f>
        <v>0.19367484455366668</v>
      </c>
      <c r="H46" s="72">
        <f>IF(N(H83)&lt;=0,"n/a",IFERROR(H45/H83-1,"n/a"))</f>
        <v>0.171564790830248</v>
      </c>
      <c r="I46" s="7"/>
    </row>
    <row r="47">
      <c r="A47" s="10"/>
      <c r="B47" s="31" t="s">
        <v>76</v>
      </c>
      <c r="C47" s="16">
        <f>IFERROR(C45/G83-1,"n/a")</f>
        <v>0.04259162941088679</v>
      </c>
      <c r="D47" s="16">
        <f>IFERROR(D45/C45-1,"n/a")</f>
        <v>0.01432377181411626</v>
      </c>
      <c r="E47" s="16" t="s">
        <v>34</v>
      </c>
      <c r="F47" s="16">
        <f>IFERROR(F45/D45-1,"n/a")</f>
        <v>-0.012960880648809403</v>
      </c>
      <c r="G47" s="16">
        <f>IFERROR(G45/F45-1,"n/a")</f>
        <v>0.1435649573317901</v>
      </c>
      <c r="H47" s="72">
        <f>IFERROR(H45/G45-1,"n/a")</f>
        <v>0.023280041298731735</v>
      </c>
      <c r="I47" s="7"/>
    </row>
    <row r="48" ht="41.25">
      <c r="A48" s="10"/>
      <c r="B48" s="31" t="s">
        <v>78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7">
        <v>0</v>
      </c>
      <c r="I48" s="195" t="s">
        <v>88</v>
      </c>
    </row>
    <row r="49" ht="28.5">
      <c r="A49" s="10"/>
      <c r="B49" s="31" t="s">
        <v>79</v>
      </c>
      <c r="C49" s="16" t="s">
        <v>89</v>
      </c>
      <c r="D49" s="16" t="s">
        <v>89</v>
      </c>
      <c r="E49" s="16" t="s">
        <v>89</v>
      </c>
      <c r="F49" s="16" t="s">
        <v>89</v>
      </c>
      <c r="G49" s="16" t="s">
        <v>89</v>
      </c>
      <c r="H49" s="72" t="s">
        <v>89</v>
      </c>
      <c r="I49" s="195" t="s">
        <v>90</v>
      </c>
    </row>
    <row r="50" ht="28.5">
      <c r="A50" s="10"/>
      <c r="B50" s="31" t="s">
        <v>80</v>
      </c>
      <c r="C50" s="16" t="str">
        <f>IF(AND(ISNUMBER(C49),ISNUMBER(C46)),(1+C46)/((1+C48)*(1+C49))-1,"n/a")</f>
        <v>n/a</v>
      </c>
      <c r="D50" s="16" t="str">
        <f>IF(AND(ISNUMBER(D49),ISNUMBER(D46)),(1+D46)/((1+D48)*(1+D49))-1,"n/a")</f>
        <v>n/a</v>
      </c>
      <c r="E50" s="16" t="str">
        <f>IF(AND(ISNUMBER(E49),ISNUMBER(E46)),(1+E46)/((1+E48)*(1+E49))-1,"n/a")</f>
        <v>n/a</v>
      </c>
      <c r="F50" s="16" t="str">
        <f>IF(AND(ISNUMBER(F49),ISNUMBER(F46)),(1+F46)/((1+F48)*(1+F49))-1,"n/a")</f>
        <v>n/a</v>
      </c>
      <c r="G50" s="16" t="str">
        <f>IF(AND(ISNUMBER(G49),ISNUMBER(G46)),(1+G46)/((1+G48)*(1+G49))-1,"n/a")</f>
        <v>n/a</v>
      </c>
      <c r="H50" s="72" t="str">
        <f>IF(AND(ISNUMBER(H49),ISNUMBER(H46)),(1+H46)/((1+H48)*(1+H49))-1,"n/a")</f>
        <v>n/a</v>
      </c>
      <c r="I50" s="195" t="s">
        <v>91</v>
      </c>
    </row>
    <row r="51">
      <c r="A51" s="10"/>
      <c r="B51" s="31" t="s">
        <v>92</v>
      </c>
      <c r="C51" s="16">
        <f>C46</f>
        <v>-0.004978210145392792</v>
      </c>
      <c r="D51" s="16">
        <f>D46</f>
        <v>-0.015803083447857524</v>
      </c>
      <c r="E51" s="16">
        <f>E46</f>
        <v>-0.007289361543000417</v>
      </c>
      <c r="F51" s="16">
        <f>F46</f>
        <v>0.0462447353864186</v>
      </c>
      <c r="G51" s="16">
        <f>G46</f>
        <v>0.19367484455366668</v>
      </c>
      <c r="H51" s="72">
        <f>H46</f>
        <v>0.171564790830248</v>
      </c>
      <c r="I51" s="7"/>
    </row>
    <row r="52" ht="25.5">
      <c r="A52" s="10"/>
      <c r="B52" s="202" t="s">
        <v>93</v>
      </c>
      <c r="C52" s="220">
        <f>'Income Statement'!C10</f>
        <v>-0.004184456580662799</v>
      </c>
      <c r="D52" s="220">
        <f>'Income Statement'!D10</f>
        <v>-0.022151426618883252</v>
      </c>
      <c r="E52" s="220">
        <f>'Income Statement'!E10</f>
        <v>-0.003247579564847114</v>
      </c>
      <c r="F52" s="220">
        <f>'Income Statement'!F10</f>
        <v>0.03467710839702187</v>
      </c>
      <c r="G52" s="220">
        <f>'Income Statement'!G10</f>
        <v>0.10771841530493687</v>
      </c>
      <c r="H52" s="235">
        <f>'Income Statement'!H10</f>
        <v>0.09286901982153428</v>
      </c>
      <c r="I52" s="208"/>
    </row>
    <row r="53">
      <c r="A53" s="10"/>
      <c r="B53" s="158" t="s">
        <v>94</v>
      </c>
      <c r="C53" s="39">
        <f>ROUND(C45-'Income Statement'!C15,3)</f>
        <v>0</v>
      </c>
      <c r="D53" s="39">
        <f>ROUND(D45-'Income Statement'!D15,3)</f>
        <v>0</v>
      </c>
      <c r="E53" s="39">
        <f>ROUND(E45-'Income Statement'!E15,3)</f>
        <v>0</v>
      </c>
      <c r="F53" s="39">
        <f>ROUND(F45-'Income Statement'!F15,3)</f>
        <v>0</v>
      </c>
      <c r="G53" s="39">
        <f>ROUND(G45-'Income Statement'!G15,3)</f>
        <v>0</v>
      </c>
      <c r="H53" s="13">
        <f>ROUND(H45-'Income Statement'!H15,3)</f>
        <v>0</v>
      </c>
      <c r="I53" s="173" t="s">
        <v>95</v>
      </c>
    </row>
    <row r="54">
      <c r="A54" s="10"/>
      <c r="B54" s="31" t="s">
        <v>96</v>
      </c>
      <c r="C54" s="3"/>
      <c r="D54" s="3"/>
      <c r="E54" s="3"/>
      <c r="F54" s="3"/>
      <c r="G54" s="3"/>
      <c r="H54" s="12"/>
      <c r="I54" s="7"/>
    </row>
    <row r="55">
      <c r="A55" s="10"/>
      <c r="B55" s="10"/>
      <c r="C55" s="1"/>
      <c r="D55" s="1"/>
      <c r="E55" s="1"/>
      <c r="F55" s="1"/>
      <c r="G55" s="1"/>
      <c r="H55" s="20"/>
      <c r="I55" s="7"/>
    </row>
    <row r="56">
      <c r="A56" s="10"/>
      <c r="B56" s="8" t="s">
        <v>97</v>
      </c>
      <c r="C56" s="3"/>
      <c r="D56" s="3"/>
      <c r="E56" s="3"/>
      <c r="F56" s="3"/>
      <c r="G56" s="3"/>
      <c r="H56" s="12"/>
      <c r="I56" s="7"/>
    </row>
    <row r="57">
      <c r="A57" s="10"/>
      <c r="B57" s="10" t="s">
        <v>74</v>
      </c>
      <c r="C57" s="39">
        <f>'Segment - Intermodal'!C41</f>
        <v>125.003</v>
      </c>
      <c r="D57" s="39">
        <f>'Segment - Intermodal'!D41</f>
        <v>135.454</v>
      </c>
      <c r="E57" s="39">
        <f>'Segment - Intermodal'!E41</f>
        <v>450.591</v>
      </c>
      <c r="F57" s="39">
        <f>'Segment - Intermodal'!F41</f>
        <v>114.489</v>
      </c>
      <c r="G57" s="39">
        <f>'Segment - Intermodal'!G41</f>
        <v>150.863</v>
      </c>
      <c r="H57" s="13">
        <f>'Segment - Intermodal'!H41</f>
        <v>140.02159999999998</v>
      </c>
      <c r="I57" s="7"/>
    </row>
    <row r="58">
      <c r="A58" s="10"/>
      <c r="B58" s="31" t="s">
        <v>98</v>
      </c>
      <c r="C58" s="19">
        <f>'Segment - Intermodal'!C43</f>
        <v>0.08221842345681367</v>
      </c>
      <c r="D58" s="19">
        <f>'Segment - Intermodal'!D43</f>
        <v>0.08751151603329022</v>
      </c>
      <c r="E58" s="19">
        <f>'Segment - Intermodal'!E43</f>
        <v>0.07540821410335818</v>
      </c>
      <c r="F58" s="19">
        <f>'Segment - Intermodal'!F43</f>
        <v>0.07608288980610622</v>
      </c>
      <c r="G58" s="19">
        <f>'Segment - Intermodal'!G43</f>
        <v>0.08602608558301957</v>
      </c>
      <c r="H58" s="71">
        <f>'Segment - Intermodal'!H43</f>
        <v>0.07759656233755725</v>
      </c>
      <c r="I58" s="7"/>
    </row>
    <row r="59">
      <c r="A59" s="10"/>
      <c r="B59" s="206" t="s">
        <v>81</v>
      </c>
      <c r="C59" s="221">
        <f>'Segment - Dedicated'!C50</f>
        <v>104.282</v>
      </c>
      <c r="D59" s="221">
        <f>'Segment - Dedicated'!D50</f>
        <v>98.368</v>
      </c>
      <c r="E59" s="221">
        <f>'Segment - Dedicated'!E50</f>
        <v>376.60999999999996</v>
      </c>
      <c r="F59" s="221">
        <f>'Segment - Dedicated'!F50</f>
        <v>87.396</v>
      </c>
      <c r="G59" s="221">
        <f>'Segment - Dedicated'!G50</f>
        <v>102.473</v>
      </c>
      <c r="H59" s="232">
        <f>'Segment - Dedicated'!H50</f>
        <v>92.86294528469375</v>
      </c>
      <c r="I59" s="208"/>
    </row>
    <row r="60">
      <c r="A60" s="10"/>
      <c r="B60" s="31" t="s">
        <v>98</v>
      </c>
      <c r="C60" s="19">
        <f>'Segment - Dedicated'!C52</f>
        <v>0.12068139472983763</v>
      </c>
      <c r="D60" s="19">
        <f>'Segment - Dedicated'!D52</f>
        <v>0.11670269333985056</v>
      </c>
      <c r="E60" s="19">
        <f>'Segment - Dedicated'!E52</f>
        <v>0.11155340959008021</v>
      </c>
      <c r="F60" s="19">
        <f>'Segment - Dedicated'!F52</f>
        <v>0.10397403623315996</v>
      </c>
      <c r="G60" s="19">
        <f>'Segment - Dedicated'!G52</f>
        <v>0.11129780278263514</v>
      </c>
      <c r="H60" s="71">
        <f>'Segment - Dedicated'!H52</f>
        <v>0.0984437578249951</v>
      </c>
      <c r="I60" s="7"/>
    </row>
    <row r="61">
      <c r="A61" s="10"/>
      <c r="B61" s="206" t="s">
        <v>82</v>
      </c>
      <c r="C61" s="221">
        <f>'Segment - ICS'!C61</f>
        <v>-0.752</v>
      </c>
      <c r="D61" s="221">
        <f>'Segment - ICS'!D61</f>
        <v>-3.344</v>
      </c>
      <c r="E61" s="221">
        <f>'Segment - ICS'!E61</f>
        <v>-10.315999999999999</v>
      </c>
      <c r="F61" s="221">
        <f>'Segment - ICS'!F61</f>
        <v>-4.651</v>
      </c>
      <c r="G61" s="221">
        <f>'Segment - ICS'!G61</f>
        <v>1.695</v>
      </c>
      <c r="H61" s="232">
        <f>'Segment - ICS'!H61</f>
        <v>2.464856249999997</v>
      </c>
      <c r="I61" s="208"/>
    </row>
    <row r="62">
      <c r="A62" s="10"/>
      <c r="B62" s="31" t="s">
        <v>98</v>
      </c>
      <c r="C62" s="19">
        <f>'Segment - ICS'!C63</f>
        <v>-0.002721255830616299</v>
      </c>
      <c r="D62" s="19">
        <f>'Segment - ICS'!D63</f>
        <v>-0.010978728713118334</v>
      </c>
      <c r="E62" s="19">
        <f>'Segment - ICS'!E63</f>
        <v>-0.009300245758723713</v>
      </c>
      <c r="F62" s="19">
        <f>'Segment - ICS'!F63</f>
        <v>-0.014411114932592171</v>
      </c>
      <c r="G62" s="19">
        <f>'Segment - ICS'!G63</f>
        <v>0.0043629905146784385</v>
      </c>
      <c r="H62" s="71">
        <f>'Segment - ICS'!H63</f>
        <v>0.0064343120235981965</v>
      </c>
      <c r="I62" s="7"/>
    </row>
    <row r="63">
      <c r="A63" s="10"/>
      <c r="B63" s="10" t="s">
        <v>83</v>
      </c>
      <c r="C63" s="39">
        <f>'Segment - Final Mile'!C35</f>
        <v>6.913</v>
      </c>
      <c r="D63" s="39">
        <f>'Segment - Final Mile'!D35</f>
        <v>7.499</v>
      </c>
      <c r="E63" s="39">
        <f>'Segment - Final Mile'!E35</f>
        <v>27.081</v>
      </c>
      <c r="F63" s="39">
        <f>'Segment - Final Mile'!F35</f>
        <v>7.165</v>
      </c>
      <c r="G63" s="39">
        <f>'Segment - Final Mile'!G35</f>
        <v>5.557</v>
      </c>
      <c r="H63" s="13">
        <f>'Segment - Final Mile'!H35</f>
        <v>4.055450000000001</v>
      </c>
      <c r="I63" s="7"/>
    </row>
    <row r="64">
      <c r="A64" s="10"/>
      <c r="B64" s="31" t="s">
        <v>98</v>
      </c>
      <c r="C64" s="19">
        <f>'Segment - Final Mile'!C37</f>
        <v>0.033480078070137205</v>
      </c>
      <c r="D64" s="19">
        <f>'Segment - Final Mile'!D37</f>
        <v>0.0364421852676185</v>
      </c>
      <c r="E64" s="19">
        <f>'Segment - Final Mile'!E37</f>
        <v>0.032881692203271286</v>
      </c>
      <c r="F64" s="19">
        <f>'Segment - Final Mile'!F37</f>
        <v>0.03810622942449755</v>
      </c>
      <c r="G64" s="19">
        <f>'Segment - Final Mile'!G37</f>
        <v>0.028060412953135022</v>
      </c>
      <c r="H64" s="71">
        <f>'Segment - Final Mile'!H37</f>
        <v>0.020444898164952617</v>
      </c>
      <c r="I64" s="7"/>
    </row>
    <row r="65">
      <c r="A65" s="10"/>
      <c r="B65" s="10" t="s">
        <v>84</v>
      </c>
      <c r="C65" s="39">
        <f>'Segment - Truckload'!C35</f>
        <v>7.436</v>
      </c>
      <c r="D65" s="39">
        <f>'Segment - Truckload'!D35</f>
        <v>8.41</v>
      </c>
      <c r="E65" s="39">
        <f>'Segment - Truckload'!E35</f>
        <v>21.255000000000003</v>
      </c>
      <c r="F65" s="39">
        <f>'Segment - Truckload'!F35</f>
        <v>2.717</v>
      </c>
      <c r="G65" s="39">
        <f>'Segment - Truckload'!G35</f>
        <v>-1.335</v>
      </c>
      <c r="H65" s="13">
        <f>'Segment - Truckload'!H35</f>
        <v>0.5232000000000023</v>
      </c>
      <c r="I65" s="7"/>
    </row>
    <row r="66">
      <c r="A66" s="10"/>
      <c r="B66" s="31" t="s">
        <v>98</v>
      </c>
      <c r="C66" s="19">
        <f>'Segment - Truckload'!C37</f>
        <v>0.03918985153602505</v>
      </c>
      <c r="D66" s="19">
        <f>'Segment - Truckload'!D37</f>
        <v>0.041986809851173985</v>
      </c>
      <c r="E66" s="19">
        <f>'Segment - Truckload'!E37</f>
        <v>0.028971935865089338</v>
      </c>
      <c r="F66" s="19">
        <f>'Segment - Truckload'!F37</f>
        <v>0.013228878588400265</v>
      </c>
      <c r="G66" s="19">
        <f>'Segment - Truckload'!G37</f>
        <v>-0.005570554092792496</v>
      </c>
      <c r="H66" s="71">
        <f>'Segment - Truckload'!H37</f>
        <v>0.002070152531307505</v>
      </c>
      <c r="I66" s="7"/>
    </row>
    <row r="67">
      <c r="A67" s="10"/>
      <c r="B67" s="10" t="s">
        <v>99</v>
      </c>
      <c r="C67" s="2">
        <v>-0.225</v>
      </c>
      <c r="D67" s="2">
        <v>0.07</v>
      </c>
      <c r="E67" s="3">
        <f>F84+G84+C67+D67</f>
        <v>-0.153</v>
      </c>
      <c r="F67" s="2">
        <v>-0.068</v>
      </c>
      <c r="G67" s="2">
        <v>0.199</v>
      </c>
      <c r="H67" s="90">
        <v>0</v>
      </c>
      <c r="I67" s="7"/>
    </row>
    <row r="68">
      <c r="A68" s="10"/>
      <c r="B68" s="6" t="s">
        <v>100</v>
      </c>
      <c r="C68" s="17">
        <f>SUM(C57,C59,C61,C63,C65,C67)</f>
        <v>242.657</v>
      </c>
      <c r="D68" s="17">
        <f>SUM(D57,D59,D61,D63,D65,D67)</f>
        <v>246.457</v>
      </c>
      <c r="E68" s="17">
        <f>SUM(E57,E59,E61,E63,E65,E67)</f>
        <v>865.068</v>
      </c>
      <c r="F68" s="17">
        <f>SUM(F57,F59,F61,F63,F65,F67)</f>
        <v>207.048</v>
      </c>
      <c r="G68" s="17">
        <f>SUM(G57,G59,G61,G63,G65,G67)</f>
        <v>259.452</v>
      </c>
      <c r="H68" s="25">
        <f>SUM(H57,H59,H61,H63,H65,H67)</f>
        <v>239.92805153469374</v>
      </c>
      <c r="I68" s="7"/>
    </row>
    <row r="69">
      <c r="A69" s="10"/>
      <c r="B69" s="31" t="s">
        <v>101</v>
      </c>
      <c r="C69" s="16">
        <f>C68/C45</f>
        <v>0.07948417519490504</v>
      </c>
      <c r="D69" s="16">
        <f>D68/D45</f>
        <v>0.07958888157627042</v>
      </c>
      <c r="E69" s="16">
        <f>E68/E45</f>
        <v>0.07209443111381057</v>
      </c>
      <c r="F69" s="16">
        <f>F68/F45</f>
        <v>0.06774042521309567</v>
      </c>
      <c r="G69" s="16">
        <f>G68/G45</f>
        <v>0.07422890650748891</v>
      </c>
      <c r="H69" s="72">
        <f>H68/H45</f>
        <v>0.06708146886582242</v>
      </c>
      <c r="I69" s="7"/>
    </row>
    <row r="70">
      <c r="A70" s="10"/>
      <c r="B70" s="31" t="s">
        <v>102</v>
      </c>
      <c r="C70" s="16">
        <f>(C57+C59)/C68</f>
        <v>0.9448934092154769</v>
      </c>
      <c r="D70" s="16">
        <f>(D57+D59)/D68</f>
        <v>0.948733450459918</v>
      </c>
      <c r="E70" s="16">
        <f>(E57+E59)/E68</f>
        <v>0.9562265625361244</v>
      </c>
      <c r="F70" s="16">
        <f>(F57+F59)/F68</f>
        <v>0.9750637533325606</v>
      </c>
      <c r="G70" s="16">
        <f>(G57+G59)/G68</f>
        <v>0.9764272389497866</v>
      </c>
      <c r="H70" s="72">
        <f>(H57+H59)/H68</f>
        <v>0.97064325657235</v>
      </c>
      <c r="I70" s="7"/>
    </row>
    <row r="71">
      <c r="A71" s="10"/>
      <c r="B71" s="158" t="s">
        <v>103</v>
      </c>
      <c r="C71" s="39">
        <f>ROUND(C68-'Income Statement'!C41,3)</f>
        <v>0</v>
      </c>
      <c r="D71" s="39">
        <f>ROUND(D68-'Income Statement'!D41,3)</f>
        <v>0</v>
      </c>
      <c r="E71" s="39">
        <f>ROUND(E68-'Income Statement'!E41,3)</f>
        <v>0</v>
      </c>
      <c r="F71" s="39">
        <f>ROUND(F68-'Income Statement'!F41,3)</f>
        <v>0</v>
      </c>
      <c r="G71" s="39">
        <f>ROUND(G68-'Income Statement'!G41,3)</f>
        <v>0</v>
      </c>
      <c r="H71" s="13">
        <f>ROUND(H68-'Income Statement'!H41,3)</f>
        <v>0</v>
      </c>
      <c r="I71" s="173" t="s">
        <v>104</v>
      </c>
    </row>
    <row r="72">
      <c r="A72" s="10"/>
      <c r="B72" s="10"/>
      <c r="C72" s="1"/>
      <c r="D72" s="1"/>
      <c r="E72" s="1"/>
      <c r="F72" s="1"/>
      <c r="G72" s="1"/>
      <c r="H72" s="20"/>
      <c r="I72" s="7"/>
    </row>
    <row r="73">
      <c r="A73" s="10"/>
      <c r="B73" s="8" t="s">
        <v>105</v>
      </c>
      <c r="C73" s="3"/>
      <c r="D73" s="3"/>
      <c r="E73" s="3"/>
      <c r="F73" s="3"/>
      <c r="G73" s="3"/>
      <c r="H73" s="12"/>
      <c r="I73" s="7"/>
    </row>
    <row r="74" ht="54">
      <c r="A74" s="10"/>
      <c r="B74" s="206" t="s">
        <v>106</v>
      </c>
      <c r="C74" s="211">
        <v>3.756</v>
      </c>
      <c r="D74" s="211">
        <v>3.698</v>
      </c>
      <c r="E74" s="216">
        <f>AVERAGE(F85,G85,C74,D74)</f>
        <v>3.66</v>
      </c>
      <c r="F74" s="211">
        <v>4.122</v>
      </c>
      <c r="G74" s="211">
        <v>5.348</v>
      </c>
      <c r="H74" s="233">
        <v>5.561</v>
      </c>
      <c r="I74" s="205" t="s">
        <v>107</v>
      </c>
    </row>
    <row r="75">
      <c r="A75" s="10"/>
      <c r="B75" s="31" t="s">
        <v>75</v>
      </c>
      <c r="C75" s="16">
        <f>C74/C85-1</f>
        <v>0.018438177874186445</v>
      </c>
      <c r="D75" s="16">
        <f>D74/D85-1</f>
        <v>0.04729538374398179</v>
      </c>
      <c r="E75" s="16">
        <f>E74/E85-1</f>
        <v>-0.02659574468085102</v>
      </c>
      <c r="F75" s="16">
        <f>F74/F85-1</f>
        <v>0.13616317530319733</v>
      </c>
      <c r="G75" s="16">
        <f>G74/G85-1</f>
        <v>0.5030916245081507</v>
      </c>
      <c r="H75" s="72">
        <f>H74/H85-1</f>
        <v>0.48056443024494144</v>
      </c>
      <c r="I75" s="7"/>
    </row>
    <row r="76">
      <c r="A76" s="10"/>
      <c r="B76" s="10" t="s">
        <v>108</v>
      </c>
      <c r="C76" s="47">
        <f>C74-G85</f>
        <v>0.19799999999999995</v>
      </c>
      <c r="D76" s="47">
        <f>D74-C74</f>
        <v>-0.05799999999999983</v>
      </c>
      <c r="E76" s="47" t="s">
        <v>34</v>
      </c>
      <c r="F76" s="47">
        <f>F74-D74</f>
        <v>0.42399999999999993</v>
      </c>
      <c r="G76" s="47">
        <f>G74-F74</f>
        <v>1.226</v>
      </c>
      <c r="H76" s="53">
        <f>H74-G74</f>
        <v>0.21300000000000008</v>
      </c>
      <c r="I76" s="7"/>
    </row>
    <row r="77" ht="25.5">
      <c r="A77" s="10"/>
      <c r="B77" s="202" t="s">
        <v>109</v>
      </c>
      <c r="C77" s="220">
        <f>'Income Statement'!C13</f>
        <v>0.12631313798008909</v>
      </c>
      <c r="D77" s="220">
        <f>'Income Statement'!D13</f>
        <v>0.12159298539765538</v>
      </c>
      <c r="E77" s="220">
        <f>'Income Statement'!E13</f>
        <v>0.12298209798471486</v>
      </c>
      <c r="F77" s="220">
        <f>'Income Statement'!F13</f>
        <v>0.13348575212555835</v>
      </c>
      <c r="G77" s="220">
        <f>'Income Statement'!G13</f>
        <v>0.18352093785476253</v>
      </c>
      <c r="H77" s="235">
        <f>'Income Statement'!H13</f>
        <v>0.185</v>
      </c>
      <c r="I77" s="208"/>
    </row>
    <row r="78">
      <c r="A78" s="10"/>
      <c r="B78" s="10" t="s">
        <v>110</v>
      </c>
      <c r="C78" s="54">
        <f>'Income Statement'!C14</f>
        <v>-6.964061424516721</v>
      </c>
      <c r="D78" s="54">
        <f>'Income Statement'!D14</f>
        <v>57.02753293641463</v>
      </c>
      <c r="E78" s="54">
        <f>'Income Statement'!E14</f>
        <v>-35.562644024840075</v>
      </c>
      <c r="F78" s="54">
        <f>'Income Statement'!F14</f>
        <v>96.8757646135443</v>
      </c>
      <c r="G78" s="54">
        <f>'Income Statement'!G14</f>
        <v>633.5691793932698</v>
      </c>
      <c r="H78" s="116">
        <f>'Income Statement'!H14</f>
        <v>586.8686201991092</v>
      </c>
      <c r="I78" s="7"/>
    </row>
    <row r="79">
      <c r="A79" s="10"/>
      <c r="B79" s="10" t="s">
        <v>111</v>
      </c>
      <c r="C79" s="54">
        <f>(C77-'Income Statement'!G88/'Income Statement'!G100)*10000</f>
        <v>61.49118064653528</v>
      </c>
      <c r="D79" s="4">
        <f>IFERROR((D77-C77)*10000,"n/a")</f>
        <v>-47.20152582433704</v>
      </c>
      <c r="E79" s="4" t="s">
        <v>34</v>
      </c>
      <c r="F79" s="4">
        <f>IFERROR((F77-D77)*10000,"n/a")</f>
        <v>118.92766727902973</v>
      </c>
      <c r="G79" s="4">
        <f>IFERROR((G77-F77)*10000,"n/a")</f>
        <v>500.3518572920418</v>
      </c>
      <c r="H79" s="30">
        <f>IFERROR((H77-G77)*10000,"n/a")</f>
        <v>14.79062145237464</v>
      </c>
      <c r="I79" s="7"/>
    </row>
    <row r="80">
      <c r="A80" s="10"/>
      <c r="B80" s="10"/>
      <c r="C80" s="1"/>
      <c r="D80" s="1"/>
      <c r="E80" s="1"/>
      <c r="F80" s="1"/>
      <c r="G80" s="1"/>
      <c r="H80" s="20"/>
      <c r="I80" s="7"/>
    </row>
    <row r="81">
      <c r="A81" s="10"/>
      <c r="B81" s="8" t="s">
        <v>112</v>
      </c>
      <c r="C81" s="3"/>
      <c r="D81" s="3"/>
      <c r="E81" s="3"/>
      <c r="F81" s="3"/>
      <c r="G81" s="3"/>
      <c r="H81" s="12"/>
      <c r="I81" s="7"/>
    </row>
    <row r="82">
      <c r="A82" s="10"/>
      <c r="B82" s="10" t="s">
        <v>113</v>
      </c>
      <c r="C82" s="2">
        <v>-4.284</v>
      </c>
      <c r="D82" s="2">
        <v>-5.779</v>
      </c>
      <c r="E82" s="2">
        <v>-17.892</v>
      </c>
      <c r="F82" s="2">
        <v>-5.528</v>
      </c>
      <c r="G82" s="2">
        <v>-4.297</v>
      </c>
      <c r="H82" s="12">
        <f>C44</f>
        <v>-4.157</v>
      </c>
      <c r="I82" s="7"/>
    </row>
    <row r="83" ht="25.5">
      <c r="A83" s="10"/>
      <c r="B83" s="215" t="s">
        <v>114</v>
      </c>
      <c r="C83" s="226">
        <f>SUM('Segment - Intermodal'!C86,'Segment - Dedicated'!C84,'Segment - ICS'!C73,'Segment - Final Mile'!C57,'Segment - Truckload'!C74,C82)</f>
        <v>3068.171</v>
      </c>
      <c r="D83" s="226">
        <f>SUM('Segment - Intermodal'!D86,'Segment - Dedicated'!D84,'Segment - ICS'!D73,'Segment - Final Mile'!D57,'Segment - Truckload'!D74,D82)</f>
        <v>3146.348</v>
      </c>
      <c r="E83" s="226">
        <f>SUM('Segment - Intermodal'!E86,'Segment - Dedicated'!E84,'Segment - ICS'!E73,'Segment - Final Mile'!E57,'Segment - Truckload'!E74,E82)</f>
        <v>12087.204</v>
      </c>
      <c r="F83" s="226">
        <f>SUM('Segment - Intermodal'!F86,'Segment - Dedicated'!F84,'Segment - ICS'!F73,'Segment - Final Mile'!F57,'Segment - Truckload'!F74,F82)</f>
        <v>2921.392</v>
      </c>
      <c r="G83" s="226">
        <f>SUM('Segment - Intermodal'!G86,'Segment - Dedicated'!G84,'Segment - ICS'!G73,'Segment - Final Mile'!G57,'Segment - Truckload'!G74,G82)</f>
        <v>2928.181</v>
      </c>
      <c r="H83" s="236">
        <f>SUM('Segment - Intermodal'!H86,'Segment - Dedicated'!H84,'Segment - ICS'!H73,'Segment - Final Mile'!H57,'Segment - Truckload'!H74,H82)</f>
        <v>3052.897</v>
      </c>
      <c r="I83" s="208"/>
    </row>
    <row r="84" ht="25.5">
      <c r="A84" s="10"/>
      <c r="B84" s="206" t="s">
        <v>115</v>
      </c>
      <c r="C84" s="219">
        <v>-0.104</v>
      </c>
      <c r="D84" s="219">
        <v>-0.139</v>
      </c>
      <c r="E84" s="219">
        <v>-0.171</v>
      </c>
      <c r="F84" s="219">
        <v>-0.03</v>
      </c>
      <c r="G84" s="219">
        <v>0.032</v>
      </c>
      <c r="H84" s="207">
        <f>C67</f>
        <v>-0.225</v>
      </c>
      <c r="I84" s="208"/>
    </row>
    <row r="85" ht="41.25">
      <c r="A85" s="10"/>
      <c r="B85" s="10" t="s">
        <v>116</v>
      </c>
      <c r="C85" s="45">
        <v>3.688</v>
      </c>
      <c r="D85" s="45">
        <v>3.531</v>
      </c>
      <c r="E85" s="45">
        <v>3.76</v>
      </c>
      <c r="F85" s="45">
        <v>3.628</v>
      </c>
      <c r="G85" s="45">
        <v>3.558</v>
      </c>
      <c r="H85" s="53">
        <f>C74</f>
        <v>3.756</v>
      </c>
      <c r="I85" s="195" t="s">
        <v>117</v>
      </c>
    </row>
    <row r="86">
      <c r="A86" s="10"/>
      <c r="B86" s="10"/>
      <c r="C86" s="1"/>
      <c r="D86" s="1"/>
      <c r="E86" s="1"/>
      <c r="F86" s="1"/>
      <c r="G86" s="1"/>
      <c r="H86" s="20"/>
      <c r="I86" s="7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118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119</v>
      </c>
      <c r="C8" s="3"/>
      <c r="D8" s="3"/>
      <c r="E8" s="3"/>
      <c r="F8" s="3"/>
      <c r="G8" s="3"/>
      <c r="H8" s="12"/>
      <c r="I8" s="7"/>
    </row>
    <row r="9" ht="41.25">
      <c r="A9" s="10"/>
      <c r="B9" s="10" t="s">
        <v>120</v>
      </c>
      <c r="C9" s="52">
        <v>539907</v>
      </c>
      <c r="D9" s="52">
        <v>551302</v>
      </c>
      <c r="E9" s="46">
        <f>F83+G83+C9+D9</f>
        <v>2138191</v>
      </c>
      <c r="F9" s="52">
        <v>536852</v>
      </c>
      <c r="G9" s="52">
        <v>578072</v>
      </c>
      <c r="H9" s="66">
        <v>589700</v>
      </c>
      <c r="I9" s="195" t="s">
        <v>121</v>
      </c>
    </row>
    <row r="10">
      <c r="A10" s="10"/>
      <c r="B10" s="31" t="s">
        <v>75</v>
      </c>
      <c r="C10" s="16">
        <f>IF(N(C83)&lt;=0,"n/a",IFERROR(C9/C83-1,"n/a"))</f>
        <v>-0.014746673284816492</v>
      </c>
      <c r="D10" s="16">
        <f>IF(N(D83)&lt;=0,"n/a",IFERROR(D9/D83-1,"n/a"))</f>
        <v>-0.015764141309548507</v>
      </c>
      <c r="E10" s="16">
        <f>IF(N(E83)&lt;=0,"n/a",IFERROR(E9/E83-1,"n/a"))</f>
        <v>0.022699705175029505</v>
      </c>
      <c r="F10" s="16">
        <f>IF(N(F83)&lt;=0,"n/a",IFERROR(F9/F83-1,"n/a"))</f>
        <v>0.028804896698293003</v>
      </c>
      <c r="G10" s="16">
        <f>IF(N(G83)&lt;=0,"n/a",IFERROR(G9/G83-1,"n/a"))</f>
        <v>0.10075195987516206</v>
      </c>
      <c r="H10" s="72">
        <f>IF(N(H83)&lt;=0,"n/a",IFERROR(H9/H83-1,"n/a"))</f>
        <v>0.09222514247824165</v>
      </c>
      <c r="I10" s="7"/>
    </row>
    <row r="11">
      <c r="A11" s="10"/>
      <c r="B11" s="10" t="s">
        <v>122</v>
      </c>
      <c r="C11" s="46">
        <f>C9-G83</f>
        <v>14746</v>
      </c>
      <c r="D11" s="46">
        <f>D9-C9</f>
        <v>11395</v>
      </c>
      <c r="E11" s="46" t="s">
        <v>34</v>
      </c>
      <c r="F11" s="46">
        <f>F9-D9</f>
        <v>-14450</v>
      </c>
      <c r="G11" s="46">
        <f>G9-F9</f>
        <v>41220</v>
      </c>
      <c r="H11" s="56">
        <f>H9-G9</f>
        <v>11628</v>
      </c>
      <c r="I11" s="7"/>
    </row>
    <row r="12" ht="28.5">
      <c r="A12" s="10"/>
      <c r="B12" s="31" t="s">
        <v>123</v>
      </c>
      <c r="C12" s="70">
        <v>-0.06</v>
      </c>
      <c r="D12" s="70">
        <v>-0.06</v>
      </c>
      <c r="E12" s="16" t="s">
        <v>89</v>
      </c>
      <c r="F12" s="248">
        <v>0</v>
      </c>
      <c r="G12" s="70">
        <v>0.05</v>
      </c>
      <c r="H12" s="77">
        <v>0.04</v>
      </c>
      <c r="I12" s="195" t="s">
        <v>124</v>
      </c>
    </row>
    <row r="13">
      <c r="A13" s="10"/>
      <c r="B13" s="10" t="s">
        <v>111</v>
      </c>
      <c r="C13" s="4" t="s">
        <v>34</v>
      </c>
      <c r="D13" s="4">
        <f>IFERROR((D12-C12)*10000,"n/a")</f>
        <v>0</v>
      </c>
      <c r="E13" s="4" t="s">
        <v>34</v>
      </c>
      <c r="F13" s="4">
        <f>IFERROR((F12-D12)*10000,"n/a")</f>
        <v>600</v>
      </c>
      <c r="G13" s="4">
        <f>IFERROR((G12-F12)*10000,"n/a")</f>
        <v>500</v>
      </c>
      <c r="H13" s="30">
        <f>IFERROR((H12-G12)*10000,"n/a")</f>
        <v>-100.00000000000001</v>
      </c>
      <c r="I13" s="7"/>
    </row>
    <row r="14" ht="28.5">
      <c r="A14" s="10"/>
      <c r="B14" s="10" t="s">
        <v>110</v>
      </c>
      <c r="C14" s="4" t="s">
        <v>89</v>
      </c>
      <c r="D14" s="4" t="s">
        <v>89</v>
      </c>
      <c r="E14" s="4" t="s">
        <v>89</v>
      </c>
      <c r="F14" s="4" t="s">
        <v>89</v>
      </c>
      <c r="G14" s="4" t="s">
        <v>89</v>
      </c>
      <c r="H14" s="30">
        <f>IFERROR((H12-C12)*10000,"n/a")</f>
        <v>1000</v>
      </c>
      <c r="I14" s="195" t="s">
        <v>125</v>
      </c>
    </row>
    <row r="15" ht="25.5">
      <c r="A15" s="10"/>
      <c r="B15" s="202" t="s">
        <v>126</v>
      </c>
      <c r="C15" s="218">
        <v>0.06</v>
      </c>
      <c r="D15" s="218">
        <v>0.05</v>
      </c>
      <c r="E15" s="203" t="s">
        <v>89</v>
      </c>
      <c r="F15" s="218">
        <v>0.07</v>
      </c>
      <c r="G15" s="218">
        <v>0.16</v>
      </c>
      <c r="H15" s="214">
        <v>0.15</v>
      </c>
      <c r="I15" s="208" t="s">
        <v>127</v>
      </c>
    </row>
    <row r="16">
      <c r="A16" s="10"/>
      <c r="B16" s="10" t="s">
        <v>111</v>
      </c>
      <c r="C16" s="4" t="s">
        <v>34</v>
      </c>
      <c r="D16" s="4">
        <f>IFERROR((D15-C15)*10000,"n/a")</f>
        <v>-99.99999999999994</v>
      </c>
      <c r="E16" s="4" t="s">
        <v>34</v>
      </c>
      <c r="F16" s="4">
        <f>IFERROR((F15-D15)*10000,"n/a")</f>
        <v>200.00000000000003</v>
      </c>
      <c r="G16" s="4">
        <f>IFERROR((G15-F15)*10000,"n/a")</f>
        <v>900</v>
      </c>
      <c r="H16" s="30">
        <f>IFERROR((H15-G15)*10000,"n/a")</f>
        <v>-100.00000000000009</v>
      </c>
      <c r="I16" s="7"/>
    </row>
    <row r="17" ht="28.5">
      <c r="A17" s="10"/>
      <c r="B17" s="10" t="s">
        <v>110</v>
      </c>
      <c r="C17" s="4" t="s">
        <v>89</v>
      </c>
      <c r="D17" s="4" t="s">
        <v>89</v>
      </c>
      <c r="E17" s="4" t="s">
        <v>89</v>
      </c>
      <c r="F17" s="4" t="s">
        <v>89</v>
      </c>
      <c r="G17" s="4" t="s">
        <v>89</v>
      </c>
      <c r="H17" s="30">
        <f>IFERROR((H15-C15)*10000,"n/a")</f>
        <v>900</v>
      </c>
      <c r="I17" s="195" t="s">
        <v>125</v>
      </c>
    </row>
    <row r="18">
      <c r="A18" s="10"/>
      <c r="B18" s="10" t="s">
        <v>128</v>
      </c>
      <c r="C18" s="52">
        <v>1643</v>
      </c>
      <c r="D18" s="52">
        <v>1638</v>
      </c>
      <c r="E18" s="52">
        <v>1643</v>
      </c>
      <c r="F18" s="52">
        <v>1614</v>
      </c>
      <c r="G18" s="52">
        <v>1587</v>
      </c>
      <c r="H18" s="66">
        <v>1590</v>
      </c>
      <c r="I18" s="7" t="s">
        <v>129</v>
      </c>
    </row>
    <row r="19">
      <c r="A19" s="10"/>
      <c r="B19" s="10" t="s">
        <v>130</v>
      </c>
      <c r="C19" s="46">
        <f>C18-C84</f>
        <v>-54</v>
      </c>
      <c r="D19" s="46">
        <f>D18-D84</f>
        <v>-55</v>
      </c>
      <c r="E19" s="46">
        <f>E18-E84</f>
        <v>-49</v>
      </c>
      <c r="F19" s="46">
        <f>F18-F84</f>
        <v>-44</v>
      </c>
      <c r="G19" s="46">
        <f>G18-G84</f>
        <v>-44</v>
      </c>
      <c r="H19" s="56">
        <f>H18-H84</f>
        <v>-53</v>
      </c>
      <c r="I19" s="7"/>
    </row>
    <row r="20">
      <c r="A20" s="10"/>
      <c r="B20" s="10" t="s">
        <v>131</v>
      </c>
      <c r="C20" s="46">
        <f>C18-G84</f>
        <v>12</v>
      </c>
      <c r="D20" s="46">
        <f>D18-C18</f>
        <v>-5</v>
      </c>
      <c r="E20" s="46" t="s">
        <v>34</v>
      </c>
      <c r="F20" s="46">
        <f>F18-D18</f>
        <v>-24</v>
      </c>
      <c r="G20" s="46">
        <f>G18-F18</f>
        <v>-27</v>
      </c>
      <c r="H20" s="56">
        <f>H18-G18</f>
        <v>3</v>
      </c>
      <c r="I20" s="7"/>
    </row>
    <row r="21">
      <c r="A21" s="10"/>
      <c r="B21" s="8" t="s">
        <v>132</v>
      </c>
      <c r="C21" s="3"/>
      <c r="D21" s="3"/>
      <c r="E21" s="3"/>
      <c r="F21" s="3"/>
      <c r="G21" s="3"/>
      <c r="H21" s="12"/>
      <c r="I21" s="7"/>
    </row>
    <row r="22" ht="28.5">
      <c r="A22" s="10"/>
      <c r="B22" s="10" t="s">
        <v>133</v>
      </c>
      <c r="C22" s="58">
        <v>2816</v>
      </c>
      <c r="D22" s="58">
        <v>2808</v>
      </c>
      <c r="E22" s="58">
        <v>2795</v>
      </c>
      <c r="F22" s="58">
        <v>2803</v>
      </c>
      <c r="G22" s="58">
        <v>3034</v>
      </c>
      <c r="H22" s="83">
        <v>3060</v>
      </c>
      <c r="I22" s="195" t="s">
        <v>134</v>
      </c>
    </row>
    <row r="23">
      <c r="A23" s="10"/>
      <c r="B23" s="31" t="s">
        <v>75</v>
      </c>
      <c r="C23" s="16">
        <f>IF(N(C85)&lt;=0,"n/a",IFERROR(C22/C85-1,"n/a"))</f>
        <v>-0.008799718409010948</v>
      </c>
      <c r="D23" s="16">
        <f>IF(N(D85)&lt;=0,"n/a",IFERROR(D22/D85-1,"n/a"))</f>
        <v>-0.01473684210526316</v>
      </c>
      <c r="E23" s="16">
        <f>IF(N(E85)&lt;=0,"n/a",IFERROR(E22/E85-1,"n/a"))</f>
        <v>-0.018954018954018936</v>
      </c>
      <c r="F23" s="16">
        <f>IF(N(F85)&lt;=0,"n/a",IFERROR(F22/F85-1,"n/a"))</f>
        <v>-0.004616477272727293</v>
      </c>
      <c r="G23" s="16">
        <f>IF(N(G85)&lt;=0,"n/a",IFERROR(G22/G85-1,"n/a"))</f>
        <v>0.10810810810810811</v>
      </c>
      <c r="H23" s="72">
        <f>IF(N(H85)&lt;=0,"n/a",IFERROR(H22/H85-1,"n/a"))</f>
        <v>0.08664772727272729</v>
      </c>
      <c r="I23" s="7"/>
    </row>
    <row r="24">
      <c r="A24" s="10"/>
      <c r="B24" s="10" t="s">
        <v>135</v>
      </c>
      <c r="C24" s="68">
        <f>C22-G85</f>
        <v>78</v>
      </c>
      <c r="D24" s="68">
        <f>D22-C22</f>
        <v>-8</v>
      </c>
      <c r="E24" s="68" t="s">
        <v>34</v>
      </c>
      <c r="F24" s="68">
        <f>F22-D22</f>
        <v>-5</v>
      </c>
      <c r="G24" s="68">
        <f>G22-F22</f>
        <v>231</v>
      </c>
      <c r="H24" s="82">
        <f>H22-G22</f>
        <v>26</v>
      </c>
      <c r="I24" s="7"/>
    </row>
    <row r="25" ht="28.5">
      <c r="A25" s="10"/>
      <c r="B25" s="202" t="s">
        <v>136</v>
      </c>
      <c r="C25" s="218">
        <v>-0.01</v>
      </c>
      <c r="D25" s="218">
        <v>-0.02</v>
      </c>
      <c r="E25" s="203" t="s">
        <v>89</v>
      </c>
      <c r="F25" s="218">
        <v>-0.02</v>
      </c>
      <c r="G25" s="218">
        <v>0.01</v>
      </c>
      <c r="H25" s="214">
        <v>0.015</v>
      </c>
      <c r="I25" s="205" t="s">
        <v>137</v>
      </c>
    </row>
    <row r="26">
      <c r="A26" s="10"/>
      <c r="B26" s="10" t="s">
        <v>111</v>
      </c>
      <c r="C26" s="4" t="s">
        <v>34</v>
      </c>
      <c r="D26" s="4">
        <f>IFERROR((D25-C25)*10000,"n/a")</f>
        <v>-100</v>
      </c>
      <c r="E26" s="4" t="s">
        <v>34</v>
      </c>
      <c r="F26" s="4">
        <f>IFERROR((F25-D25)*10000,"n/a")</f>
        <v>0</v>
      </c>
      <c r="G26" s="4">
        <f>IFERROR((G25-F25)*10000,"n/a")</f>
        <v>300</v>
      </c>
      <c r="H26" s="30">
        <f>IFERROR((H25-G25)*10000,"n/a")</f>
        <v>49.99999999999999</v>
      </c>
      <c r="I26" s="7"/>
    </row>
    <row r="27" ht="28.5">
      <c r="A27" s="10"/>
      <c r="B27" s="10" t="s">
        <v>110</v>
      </c>
      <c r="C27" s="4" t="s">
        <v>89</v>
      </c>
      <c r="D27" s="4" t="s">
        <v>89</v>
      </c>
      <c r="E27" s="4" t="s">
        <v>89</v>
      </c>
      <c r="F27" s="4" t="s">
        <v>89</v>
      </c>
      <c r="G27" s="4" t="s">
        <v>89</v>
      </c>
      <c r="H27" s="30">
        <f>IFERROR((H25-C25)*10000,"n/a")</f>
        <v>250</v>
      </c>
      <c r="I27" s="195" t="s">
        <v>125</v>
      </c>
    </row>
    <row r="28">
      <c r="A28" s="10"/>
      <c r="B28" s="8" t="s">
        <v>138</v>
      </c>
      <c r="C28" s="3"/>
      <c r="D28" s="3"/>
      <c r="E28" s="3"/>
      <c r="F28" s="3"/>
      <c r="G28" s="3"/>
      <c r="H28" s="12"/>
      <c r="I28" s="7"/>
    </row>
    <row r="29">
      <c r="A29" s="10"/>
      <c r="B29" s="10" t="s">
        <v>139</v>
      </c>
      <c r="C29" s="3">
        <f>C9*C22/1000000</f>
        <v>1520.378112</v>
      </c>
      <c r="D29" s="3">
        <f>D9*D22/1000000</f>
        <v>1548.056016</v>
      </c>
      <c r="E29" s="3">
        <f>E9*E22/1000000</f>
        <v>5976.243845</v>
      </c>
      <c r="F29" s="3">
        <f>F9*F22/1000000</f>
        <v>1504.796156</v>
      </c>
      <c r="G29" s="3">
        <f>G9*G22/1000000</f>
        <v>1753.870448</v>
      </c>
      <c r="H29" s="12">
        <f>H9*H22/1000000</f>
        <v>1804.482</v>
      </c>
      <c r="I29" s="7"/>
    </row>
    <row r="30" ht="28.5">
      <c r="A30" s="10"/>
      <c r="B30" s="6" t="s">
        <v>140</v>
      </c>
      <c r="C30" s="55">
        <v>1520.377</v>
      </c>
      <c r="D30" s="55">
        <v>1547.842</v>
      </c>
      <c r="E30" s="17">
        <f>F86+G86+C30+D30</f>
        <v>5975.357</v>
      </c>
      <c r="F30" s="55">
        <v>1504.793</v>
      </c>
      <c r="G30" s="55">
        <v>1753.689</v>
      </c>
      <c r="H30" s="25">
        <f>H29</f>
        <v>1804.482</v>
      </c>
      <c r="I30" s="195" t="s">
        <v>141</v>
      </c>
    </row>
    <row r="31">
      <c r="A31" s="10"/>
      <c r="B31" s="10" t="s">
        <v>142</v>
      </c>
      <c r="C31" s="3">
        <f>C30-C29</f>
        <v>-0.0011120000001483277</v>
      </c>
      <c r="D31" s="3">
        <f>D30-D29</f>
        <v>-0.2140159999999014</v>
      </c>
      <c r="E31" s="3">
        <f>E30-E29</f>
        <v>-0.8868449999999939</v>
      </c>
      <c r="F31" s="3">
        <f>F30-F29</f>
        <v>-0.0031560000002173183</v>
      </c>
      <c r="G31" s="3">
        <f>G30-G29</f>
        <v>-0.18144799999981842</v>
      </c>
      <c r="H31" s="12">
        <f>H30-H29</f>
        <v>0</v>
      </c>
      <c r="I31" s="7"/>
    </row>
    <row r="32">
      <c r="A32" s="10"/>
      <c r="B32" s="31" t="s">
        <v>75</v>
      </c>
      <c r="C32" s="16">
        <f>IF(N(C86)&lt;=0,"n/a",IFERROR(C30/C86-1,"n/a"))</f>
        <v>-0.02337975839781492</v>
      </c>
      <c r="D32" s="16">
        <f>IF(N(D86)&lt;=0,"n/a",IFERROR(D30/D86-1,"n/a"))</f>
        <v>-0.030460309019080145</v>
      </c>
      <c r="E32" s="16">
        <f>IF(N(E86)&lt;=0,"n/a",IFERROR(E30/E86-1,"n/a"))</f>
        <v>0.0032345034294298802</v>
      </c>
      <c r="F32" s="16">
        <f>IF(N(F86)&lt;=0,"n/a",IFERROR(F30/F86-1,"n/a"))</f>
        <v>0.02418916279224881</v>
      </c>
      <c r="G32" s="16">
        <f>IF(N(G86)&lt;=0,"n/a",IFERROR(G30/G86-1,"n/a"))</f>
        <v>0.21963091624156328</v>
      </c>
      <c r="H32" s="72">
        <f>IF(N(H86)&lt;=0,"n/a",IFERROR(H30/H86-1,"n/a"))</f>
        <v>0.18686483681350086</v>
      </c>
      <c r="I32" s="7"/>
    </row>
    <row r="33">
      <c r="A33" s="10"/>
      <c r="B33" s="31" t="s">
        <v>76</v>
      </c>
      <c r="C33" s="16">
        <f>IFERROR(C30/G86-1,"n/a")</f>
        <v>0.05737037384769983</v>
      </c>
      <c r="D33" s="16">
        <f>IFERROR(D30/C30-1,"n/a")</f>
        <v>0.01806459845156838</v>
      </c>
      <c r="E33" s="16" t="s">
        <v>34</v>
      </c>
      <c r="F33" s="16">
        <f>IFERROR(F30/D30-1,"n/a")</f>
        <v>-0.027812270244637505</v>
      </c>
      <c r="G33" s="16">
        <f>IFERROR(G30/F30-1,"n/a")</f>
        <v>0.16540215165806882</v>
      </c>
      <c r="H33" s="72">
        <f>IFERROR(H30/G30-1,"n/a")</f>
        <v>0.02896351633613481</v>
      </c>
      <c r="I33" s="7"/>
    </row>
    <row r="34">
      <c r="A34" s="10"/>
      <c r="B34" s="31" t="s">
        <v>77</v>
      </c>
      <c r="C34" s="19">
        <f>C30/'Revenue summary'!C45</f>
        <v>0.4980112332646663</v>
      </c>
      <c r="D34" s="19">
        <f>D30/'Revenue summary'!D45</f>
        <v>0.499847898971332</v>
      </c>
      <c r="E34" s="19">
        <f>E30/'Revenue summary'!E45</f>
        <v>0.4979839314561697</v>
      </c>
      <c r="F34" s="19">
        <f>F30/'Revenue summary'!F45</f>
        <v>0.492326985422172</v>
      </c>
      <c r="G34" s="19">
        <f>G30/'Revenue summary'!G45</f>
        <v>0.5017283228659318</v>
      </c>
      <c r="H34" s="71">
        <f>H30/'Revenue summary'!H45</f>
        <v>0.5045150090940219</v>
      </c>
      <c r="I34" s="7"/>
    </row>
    <row r="35" ht="41.25">
      <c r="A35" s="10"/>
      <c r="B35" s="31" t="s">
        <v>78</v>
      </c>
      <c r="C35" s="70">
        <v>0</v>
      </c>
      <c r="D35" s="70">
        <v>0</v>
      </c>
      <c r="E35" s="70">
        <v>0</v>
      </c>
      <c r="F35" s="70">
        <v>0</v>
      </c>
      <c r="G35" s="70">
        <v>0</v>
      </c>
      <c r="H35" s="77">
        <v>0</v>
      </c>
      <c r="I35" s="195" t="s">
        <v>88</v>
      </c>
    </row>
    <row r="36" ht="28.5">
      <c r="A36" s="10"/>
      <c r="B36" s="31" t="s">
        <v>79</v>
      </c>
      <c r="C36" s="16" t="s">
        <v>89</v>
      </c>
      <c r="D36" s="16" t="s">
        <v>89</v>
      </c>
      <c r="E36" s="16" t="s">
        <v>89</v>
      </c>
      <c r="F36" s="16" t="s">
        <v>89</v>
      </c>
      <c r="G36" s="16" t="s">
        <v>89</v>
      </c>
      <c r="H36" s="72" t="s">
        <v>89</v>
      </c>
      <c r="I36" s="195" t="s">
        <v>90</v>
      </c>
    </row>
    <row r="37" ht="28.5">
      <c r="A37" s="10"/>
      <c r="B37" s="31" t="s">
        <v>80</v>
      </c>
      <c r="C37" s="16" t="str">
        <f>IF(AND(ISNUMBER(C36),ISNUMBER(C32)),(1+C32)/((1+C35)*(1+C36))-1,"n/a")</f>
        <v>n/a</v>
      </c>
      <c r="D37" s="16" t="str">
        <f>IF(AND(ISNUMBER(D36),ISNUMBER(D32)),(1+D32)/((1+D35)*(1+D36))-1,"n/a")</f>
        <v>n/a</v>
      </c>
      <c r="E37" s="16" t="str">
        <f>IF(AND(ISNUMBER(E36),ISNUMBER(E32)),(1+E32)/((1+E35)*(1+E36))-1,"n/a")</f>
        <v>n/a</v>
      </c>
      <c r="F37" s="16" t="str">
        <f>IF(AND(ISNUMBER(F36),ISNUMBER(F32)),(1+F32)/((1+F35)*(1+F36))-1,"n/a")</f>
        <v>n/a</v>
      </c>
      <c r="G37" s="16" t="str">
        <f>IF(AND(ISNUMBER(G36),ISNUMBER(G32)),(1+G32)/((1+G35)*(1+G36))-1,"n/a")</f>
        <v>n/a</v>
      </c>
      <c r="H37" s="72" t="str">
        <f>IF(AND(ISNUMBER(H36),ISNUMBER(H32)),(1+H32)/((1+H35)*(1+H36))-1,"n/a")</f>
        <v>n/a</v>
      </c>
      <c r="I37" s="195" t="s">
        <v>91</v>
      </c>
    </row>
    <row r="38">
      <c r="A38" s="10"/>
      <c r="B38" s="31" t="s">
        <v>92</v>
      </c>
      <c r="C38" s="16">
        <f>C32</f>
        <v>-0.02337975839781492</v>
      </c>
      <c r="D38" s="16">
        <f>D32</f>
        <v>-0.030460309019080145</v>
      </c>
      <c r="E38" s="16">
        <f>E32</f>
        <v>0.0032345034294298802</v>
      </c>
      <c r="F38" s="16">
        <f>F32</f>
        <v>0.02418916279224881</v>
      </c>
      <c r="G38" s="16">
        <f>G32</f>
        <v>0.21963091624156328</v>
      </c>
      <c r="H38" s="72">
        <f>H32</f>
        <v>0.18686483681350086</v>
      </c>
      <c r="I38" s="7"/>
    </row>
    <row r="39">
      <c r="A39" s="10"/>
      <c r="B39" s="10"/>
      <c r="C39" s="1"/>
      <c r="D39" s="1"/>
      <c r="E39" s="1"/>
      <c r="F39" s="1"/>
      <c r="G39" s="1"/>
      <c r="H39" s="20"/>
      <c r="I39" s="7"/>
    </row>
    <row r="40">
      <c r="A40" s="10"/>
      <c r="B40" s="8" t="s">
        <v>143</v>
      </c>
      <c r="C40" s="3"/>
      <c r="D40" s="3"/>
      <c r="E40" s="3"/>
      <c r="F40" s="3"/>
      <c r="G40" s="3"/>
      <c r="H40" s="12"/>
      <c r="I40" s="7"/>
    </row>
    <row r="41">
      <c r="A41" s="10"/>
      <c r="B41" s="6" t="s">
        <v>144</v>
      </c>
      <c r="C41" s="55">
        <v>125.003</v>
      </c>
      <c r="D41" s="55">
        <v>135.454</v>
      </c>
      <c r="E41" s="17">
        <f>F87+G87+C41+D41</f>
        <v>450.591</v>
      </c>
      <c r="F41" s="55">
        <v>114.489</v>
      </c>
      <c r="G41" s="55">
        <v>150.863</v>
      </c>
      <c r="H41" s="25">
        <f>H58</f>
        <v>140.02159999999998</v>
      </c>
      <c r="I41" s="7"/>
    </row>
    <row r="42">
      <c r="A42" s="10"/>
      <c r="B42" s="31" t="s">
        <v>75</v>
      </c>
      <c r="C42" s="16">
        <f>IF(N(C87)&lt;=0,"n/a",IFERROR(C41/C87-1,"n/a"))</f>
        <v>0.11824484501498422</v>
      </c>
      <c r="D42" s="16">
        <f>IF(N(D87)&lt;=0,"n/a",IFERROR(D41/D87-1,"n/a"))</f>
        <v>0.1581323369727854</v>
      </c>
      <c r="E42" s="16">
        <f>IF(N(E87)&lt;=0,"n/a",IFERROR(E41/E87-1,"n/a"))</f>
        <v>0.04818587642511685</v>
      </c>
      <c r="F42" s="16">
        <f>IF(N(F87)&lt;=0,"n/a",IFERROR(F41/F87-1,"n/a"))</f>
        <v>0.2129742443344953</v>
      </c>
      <c r="G42" s="16">
        <f>IF(N(G87)&lt;=0,"n/a",IFERROR(G41/G87-1,"n/a"))</f>
        <v>0.575642056670183</v>
      </c>
      <c r="H42" s="72">
        <f>IF(N(H87)&lt;=0,"n/a",IFERROR(H41/H87-1,"n/a"))</f>
        <v>0.12014591649800388</v>
      </c>
      <c r="I42" s="7"/>
    </row>
    <row r="43">
      <c r="A43" s="10"/>
      <c r="B43" s="31" t="s">
        <v>98</v>
      </c>
      <c r="C43" s="16">
        <f>C41/C30</f>
        <v>0.08221842345681367</v>
      </c>
      <c r="D43" s="16">
        <f>D41/D30</f>
        <v>0.08751151603329022</v>
      </c>
      <c r="E43" s="16">
        <f>E41/E30</f>
        <v>0.07540821410335818</v>
      </c>
      <c r="F43" s="16">
        <f>F41/F30</f>
        <v>0.07608288980610622</v>
      </c>
      <c r="G43" s="16">
        <f>G41/G30</f>
        <v>0.08602608558301957</v>
      </c>
      <c r="H43" s="72">
        <f>H41/H30</f>
        <v>0.07759656233755725</v>
      </c>
      <c r="I43" s="7"/>
    </row>
    <row r="44">
      <c r="A44" s="10"/>
      <c r="B44" s="10" t="s">
        <v>110</v>
      </c>
      <c r="C44" s="4">
        <f>IFERROR((C41/C30-C87/C86)*10000,"n/a")</f>
        <v>104.12881997359693</v>
      </c>
      <c r="D44" s="4">
        <f>IFERROR((D41/D30-D87/D86)*10000,"n/a")</f>
        <v>142.50554825726778</v>
      </c>
      <c r="E44" s="4">
        <f>IFERROR((E41/E30-E87/E86)*10000,"n/a")</f>
        <v>32.3387562772684</v>
      </c>
      <c r="F44" s="4">
        <f>IFERROR((F41/F30-F87/F86)*10000,"n/a")</f>
        <v>118.41401104024277</v>
      </c>
      <c r="G44" s="4">
        <f>IFERROR((G41/G30-G87/G86)*10000,"n/a")</f>
        <v>194.37311098272875</v>
      </c>
      <c r="H44" s="30">
        <f>IFERROR((H41/H30-H87/H86)*10000,"n/a")</f>
        <v>-46.218611192564154</v>
      </c>
      <c r="I44" s="7"/>
    </row>
    <row r="45">
      <c r="A45" s="10"/>
      <c r="B45" s="10" t="s">
        <v>111</v>
      </c>
      <c r="C45" s="4">
        <f>(C43-G87/G86)*10000</f>
        <v>156.2964897206698</v>
      </c>
      <c r="D45" s="4">
        <f>IFERROR((D43-C43)*10000,"n/a")</f>
        <v>52.93092576476546</v>
      </c>
      <c r="E45" s="4" t="s">
        <v>34</v>
      </c>
      <c r="F45" s="4">
        <f>IFERROR((F43-D43)*10000,"n/a")</f>
        <v>-114.28626227183992</v>
      </c>
      <c r="G45" s="4">
        <f>IFERROR((G43-F43)*10000,"n/a")</f>
        <v>99.4319577691334</v>
      </c>
      <c r="H45" s="30">
        <f>IFERROR((H43-G43)*10000,"n/a")</f>
        <v>-84.29523245462312</v>
      </c>
      <c r="I45" s="7"/>
    </row>
    <row r="46">
      <c r="A46" s="10"/>
      <c r="B46" s="10"/>
      <c r="C46" s="1"/>
      <c r="D46" s="1"/>
      <c r="E46" s="1"/>
      <c r="F46" s="1"/>
      <c r="G46" s="1"/>
      <c r="H46" s="20"/>
      <c r="I46" s="7"/>
    </row>
    <row r="47">
      <c r="A47" s="10"/>
      <c r="B47" s="8" t="s">
        <v>145</v>
      </c>
      <c r="C47" s="3"/>
      <c r="D47" s="3"/>
      <c r="E47" s="3"/>
      <c r="F47" s="3"/>
      <c r="G47" s="3"/>
      <c r="H47" s="12"/>
      <c r="I47" s="7"/>
    </row>
    <row r="48">
      <c r="A48" s="10"/>
      <c r="B48" s="10" t="s">
        <v>146</v>
      </c>
      <c r="C48" s="3"/>
      <c r="D48" s="3"/>
      <c r="E48" s="3"/>
      <c r="F48" s="3"/>
      <c r="G48" s="3"/>
      <c r="H48" s="12">
        <f>G41</f>
        <v>150.863</v>
      </c>
      <c r="I48" s="7"/>
    </row>
    <row r="49">
      <c r="A49" s="10"/>
      <c r="B49" s="10" t="s">
        <v>147</v>
      </c>
      <c r="C49" s="3"/>
      <c r="D49" s="3"/>
      <c r="E49" s="3"/>
      <c r="F49" s="3"/>
      <c r="G49" s="3"/>
      <c r="H49" s="12">
        <f>H30-G30</f>
        <v>50.79299999999989</v>
      </c>
      <c r="I49" s="7"/>
    </row>
    <row r="50" ht="25.5">
      <c r="A50" s="10"/>
      <c r="B50" s="202" t="s">
        <v>148</v>
      </c>
      <c r="C50" s="203"/>
      <c r="D50" s="203"/>
      <c r="E50" s="203"/>
      <c r="F50" s="203"/>
      <c r="G50" s="203"/>
      <c r="H50" s="214">
        <v>0.2</v>
      </c>
      <c r="I50" s="208" t="s">
        <v>149</v>
      </c>
    </row>
    <row r="51">
      <c r="A51" s="10"/>
      <c r="B51" s="10" t="s">
        <v>150</v>
      </c>
      <c r="C51" s="3"/>
      <c r="D51" s="3"/>
      <c r="E51" s="3"/>
      <c r="F51" s="3"/>
      <c r="G51" s="3"/>
      <c r="H51" s="12">
        <f>H49*H50</f>
        <v>10.158599999999979</v>
      </c>
      <c r="I51" s="7"/>
    </row>
    <row r="52" ht="28.5">
      <c r="A52" s="10"/>
      <c r="B52" s="202" t="s">
        <v>151</v>
      </c>
      <c r="C52" s="203"/>
      <c r="D52" s="203"/>
      <c r="E52" s="203"/>
      <c r="F52" s="203"/>
      <c r="G52" s="203"/>
      <c r="H52" s="214">
        <v>0.6</v>
      </c>
      <c r="I52" s="205" t="s">
        <v>152</v>
      </c>
    </row>
    <row r="53">
      <c r="A53" s="10"/>
      <c r="B53" s="10" t="s">
        <v>153</v>
      </c>
      <c r="C53" s="3"/>
      <c r="D53" s="3"/>
      <c r="E53" s="3"/>
      <c r="F53" s="3"/>
      <c r="G53" s="3"/>
      <c r="H53" s="13">
        <f>-H52*'Income Statement'!H24</f>
        <v>-15</v>
      </c>
      <c r="I53" s="7"/>
    </row>
    <row r="54">
      <c r="A54" s="10"/>
      <c r="B54" s="31" t="s">
        <v>154</v>
      </c>
      <c r="C54" s="16"/>
      <c r="D54" s="16"/>
      <c r="E54" s="16"/>
      <c r="F54" s="16"/>
      <c r="G54" s="16"/>
      <c r="H54" s="77">
        <v>0.5</v>
      </c>
      <c r="I54" s="7" t="s">
        <v>155</v>
      </c>
    </row>
    <row r="55">
      <c r="A55" s="10"/>
      <c r="B55" s="10" t="s">
        <v>156</v>
      </c>
      <c r="C55" s="3"/>
      <c r="D55" s="3"/>
      <c r="E55" s="3"/>
      <c r="F55" s="3"/>
      <c r="G55" s="3"/>
      <c r="H55" s="13">
        <f>-H54*'Income Statement'!H25</f>
        <v>-5</v>
      </c>
      <c r="I55" s="7"/>
    </row>
    <row r="56" ht="25.5">
      <c r="A56" s="10"/>
      <c r="B56" s="206" t="s">
        <v>157</v>
      </c>
      <c r="C56" s="204"/>
      <c r="D56" s="204"/>
      <c r="E56" s="204"/>
      <c r="F56" s="204"/>
      <c r="G56" s="204"/>
      <c r="H56" s="213">
        <v>-3</v>
      </c>
      <c r="I56" s="208" t="s">
        <v>158</v>
      </c>
    </row>
    <row r="57" ht="25.5">
      <c r="A57" s="10"/>
      <c r="B57" s="206" t="s">
        <v>159</v>
      </c>
      <c r="C57" s="204"/>
      <c r="D57" s="204"/>
      <c r="E57" s="204"/>
      <c r="F57" s="204"/>
      <c r="G57" s="204"/>
      <c r="H57" s="213">
        <v>2</v>
      </c>
      <c r="I57" s="208" t="s">
        <v>160</v>
      </c>
    </row>
    <row r="58">
      <c r="A58" s="10"/>
      <c r="B58" s="6" t="s">
        <v>161</v>
      </c>
      <c r="C58" s="17"/>
      <c r="D58" s="17"/>
      <c r="E58" s="17"/>
      <c r="F58" s="17"/>
      <c r="G58" s="17"/>
      <c r="H58" s="25">
        <f>H48+H51+H53+H55+H56+H57</f>
        <v>140.02159999999998</v>
      </c>
      <c r="I58" s="7"/>
    </row>
    <row r="59">
      <c r="A59" s="10"/>
      <c r="B59" s="10"/>
      <c r="C59" s="1"/>
      <c r="D59" s="1"/>
      <c r="E59" s="1"/>
      <c r="F59" s="1"/>
      <c r="G59" s="1"/>
      <c r="H59" s="20"/>
      <c r="I59" s="7"/>
    </row>
    <row r="60">
      <c r="A60" s="10"/>
      <c r="B60" s="8" t="s">
        <v>162</v>
      </c>
      <c r="C60" s="3"/>
      <c r="D60" s="3"/>
      <c r="E60" s="3"/>
      <c r="F60" s="3"/>
      <c r="G60" s="3"/>
      <c r="H60" s="12"/>
      <c r="I60" s="7"/>
    </row>
    <row r="61">
      <c r="A61" s="10"/>
      <c r="B61" s="10" t="s">
        <v>163</v>
      </c>
      <c r="C61" s="52">
        <v>6361</v>
      </c>
      <c r="D61" s="52">
        <v>6232</v>
      </c>
      <c r="E61" s="52">
        <v>6350</v>
      </c>
      <c r="F61" s="52">
        <v>6184</v>
      </c>
      <c r="G61" s="52">
        <v>6212</v>
      </c>
      <c r="H61" s="66">
        <v>6240</v>
      </c>
      <c r="I61" s="7"/>
    </row>
    <row r="62">
      <c r="A62" s="10"/>
      <c r="B62" s="10" t="s">
        <v>130</v>
      </c>
      <c r="C62" s="46">
        <f>C61-C88</f>
        <v>-13</v>
      </c>
      <c r="D62" s="46">
        <f>D61-D88</f>
        <v>-314</v>
      </c>
      <c r="E62" s="46">
        <f>E61-E88</f>
        <v>-18</v>
      </c>
      <c r="F62" s="46">
        <f>F61-F88</f>
        <v>-246</v>
      </c>
      <c r="G62" s="46">
        <f>G61-G88</f>
        <v>-164</v>
      </c>
      <c r="H62" s="56">
        <f>H61-H88</f>
        <v>-121</v>
      </c>
      <c r="I62" s="7"/>
    </row>
    <row r="63">
      <c r="A63" s="10"/>
      <c r="B63" s="10" t="s">
        <v>131</v>
      </c>
      <c r="C63" s="46">
        <f>C61-G88</f>
        <v>-15</v>
      </c>
      <c r="D63" s="46">
        <f>D61-C61</f>
        <v>-129</v>
      </c>
      <c r="E63" s="46" t="s">
        <v>34</v>
      </c>
      <c r="F63" s="46">
        <f>F61-D61</f>
        <v>-48</v>
      </c>
      <c r="G63" s="46">
        <f>G61-F61</f>
        <v>28</v>
      </c>
      <c r="H63" s="56">
        <f>H61-G61</f>
        <v>28</v>
      </c>
      <c r="I63" s="7"/>
    </row>
    <row r="64">
      <c r="A64" s="10"/>
      <c r="B64" s="10" t="s">
        <v>164</v>
      </c>
      <c r="C64" s="46">
        <f>G89</f>
        <v>6363</v>
      </c>
      <c r="D64" s="46">
        <f>C66</f>
        <v>6388</v>
      </c>
      <c r="E64" s="46">
        <f>E89</f>
        <v>6502</v>
      </c>
      <c r="F64" s="46">
        <f>D66</f>
        <v>6188</v>
      </c>
      <c r="G64" s="46">
        <f>F66</f>
        <v>6184</v>
      </c>
      <c r="H64" s="56">
        <f>G66</f>
        <v>6232</v>
      </c>
      <c r="I64" s="7"/>
    </row>
    <row r="65">
      <c r="A65" s="10"/>
      <c r="B65" s="10" t="s">
        <v>165</v>
      </c>
      <c r="C65" s="46">
        <f>C66-C64</f>
        <v>25</v>
      </c>
      <c r="D65" s="46">
        <f>D66-D64</f>
        <v>-200</v>
      </c>
      <c r="E65" s="46">
        <f>E66-E64</f>
        <v>-314</v>
      </c>
      <c r="F65" s="46">
        <f>F66-F64</f>
        <v>-4</v>
      </c>
      <c r="G65" s="46">
        <f>G66-G64</f>
        <v>48</v>
      </c>
      <c r="H65" s="56">
        <f>H66-H64</f>
        <v>28</v>
      </c>
      <c r="I65" s="7"/>
    </row>
    <row r="66">
      <c r="A66" s="10"/>
      <c r="B66" s="6" t="s">
        <v>166</v>
      </c>
      <c r="C66" s="74">
        <v>6388</v>
      </c>
      <c r="D66" s="74">
        <v>6188</v>
      </c>
      <c r="E66" s="74">
        <v>6188</v>
      </c>
      <c r="F66" s="74">
        <v>6184</v>
      </c>
      <c r="G66" s="74">
        <v>6232</v>
      </c>
      <c r="H66" s="91">
        <v>6260</v>
      </c>
      <c r="I66" s="7"/>
    </row>
    <row r="67">
      <c r="A67" s="10"/>
      <c r="B67" s="10" t="s">
        <v>167</v>
      </c>
      <c r="C67" s="46">
        <f>C66-C89</f>
        <v>-126</v>
      </c>
      <c r="D67" s="46">
        <f>D66-D89</f>
        <v>-314</v>
      </c>
      <c r="E67" s="46">
        <f>E66-E89</f>
        <v>-314</v>
      </c>
      <c r="F67" s="46">
        <f>F66-F89</f>
        <v>-233</v>
      </c>
      <c r="G67" s="46">
        <f>G66-G89</f>
        <v>-131</v>
      </c>
      <c r="H67" s="56">
        <f>H66-H89</f>
        <v>-128</v>
      </c>
      <c r="I67" s="7"/>
    </row>
    <row r="68">
      <c r="A68" s="10"/>
      <c r="B68" s="10" t="s">
        <v>168</v>
      </c>
      <c r="C68" s="46">
        <f>G90</f>
        <v>125265</v>
      </c>
      <c r="D68" s="46">
        <f>C70</f>
        <v>125105</v>
      </c>
      <c r="E68" s="46">
        <f>E90</f>
        <v>122272</v>
      </c>
      <c r="F68" s="46">
        <f>D70</f>
        <v>124838</v>
      </c>
      <c r="G68" s="46">
        <f>F70</f>
        <v>124188</v>
      </c>
      <c r="H68" s="56">
        <f>G70</f>
        <v>124199</v>
      </c>
      <c r="I68" s="7"/>
    </row>
    <row r="69" ht="25.5">
      <c r="A69" s="10"/>
      <c r="B69" s="206" t="s">
        <v>169</v>
      </c>
      <c r="C69" s="239">
        <f>C70-C68</f>
        <v>-160</v>
      </c>
      <c r="D69" s="239">
        <f>D70-D68</f>
        <v>-267</v>
      </c>
      <c r="E69" s="239">
        <f>E70-E68</f>
        <v>2566</v>
      </c>
      <c r="F69" s="239">
        <f>F70-F68</f>
        <v>-650</v>
      </c>
      <c r="G69" s="239">
        <f>G70-G68</f>
        <v>11</v>
      </c>
      <c r="H69" s="225">
        <f>H70-H68</f>
        <v>1</v>
      </c>
      <c r="I69" s="208"/>
    </row>
    <row r="70" ht="25.5">
      <c r="A70" s="10"/>
      <c r="B70" s="215" t="s">
        <v>170</v>
      </c>
      <c r="C70" s="228">
        <v>125105</v>
      </c>
      <c r="D70" s="228">
        <v>124838</v>
      </c>
      <c r="E70" s="228">
        <v>124838</v>
      </c>
      <c r="F70" s="228">
        <v>124188</v>
      </c>
      <c r="G70" s="228">
        <v>124199</v>
      </c>
      <c r="H70" s="238">
        <v>124200</v>
      </c>
      <c r="I70" s="208" t="s">
        <v>171</v>
      </c>
    </row>
    <row r="71">
      <c r="A71" s="10"/>
      <c r="B71" s="10" t="s">
        <v>167</v>
      </c>
      <c r="C71" s="46">
        <f>C70-C90</f>
        <v>3628</v>
      </c>
      <c r="D71" s="46">
        <f>D70-D90</f>
        <v>2566</v>
      </c>
      <c r="E71" s="46">
        <f>E70-E90</f>
        <v>2566</v>
      </c>
      <c r="F71" s="46">
        <f>F70-F90</f>
        <v>-783</v>
      </c>
      <c r="G71" s="46">
        <f>G70-G90</f>
        <v>-1066</v>
      </c>
      <c r="H71" s="56">
        <f>H70-H90</f>
        <v>-905</v>
      </c>
      <c r="I71" s="7"/>
    </row>
    <row r="72">
      <c r="A72" s="10"/>
      <c r="B72" s="10" t="s">
        <v>172</v>
      </c>
      <c r="C72" s="52">
        <v>104573</v>
      </c>
      <c r="D72" s="52">
        <v>107617</v>
      </c>
      <c r="E72" s="52">
        <v>105630</v>
      </c>
      <c r="F72" s="52">
        <v>108084</v>
      </c>
      <c r="G72" s="52">
        <v>112301</v>
      </c>
      <c r="H72" s="66">
        <v>114000</v>
      </c>
      <c r="I72" s="7"/>
    </row>
    <row r="73">
      <c r="A73" s="10"/>
      <c r="B73" s="10" t="s">
        <v>130</v>
      </c>
      <c r="C73" s="46">
        <f>C72-C91</f>
        <v>-4059</v>
      </c>
      <c r="D73" s="46">
        <f>D72-D91</f>
        <v>-5703</v>
      </c>
      <c r="E73" s="46">
        <f>E72-E91</f>
        <v>1527</v>
      </c>
      <c r="F73" s="46">
        <f>F72-F91</f>
        <v>359</v>
      </c>
      <c r="G73" s="46">
        <f>G72-G91</f>
        <v>9698</v>
      </c>
      <c r="H73" s="56">
        <f>H72-H91</f>
        <v>9427</v>
      </c>
      <c r="I73" s="7"/>
    </row>
    <row r="74">
      <c r="A74" s="10"/>
      <c r="B74" s="10" t="s">
        <v>131</v>
      </c>
      <c r="C74" s="46">
        <f>C72-G91</f>
        <v>1970</v>
      </c>
      <c r="D74" s="46">
        <f>D72-C72</f>
        <v>3044</v>
      </c>
      <c r="E74" s="46" t="s">
        <v>34</v>
      </c>
      <c r="F74" s="46">
        <f>F72-D72</f>
        <v>467</v>
      </c>
      <c r="G74" s="46">
        <f>G72-F72</f>
        <v>4217</v>
      </c>
      <c r="H74" s="56">
        <f>H72-G72</f>
        <v>1699</v>
      </c>
      <c r="I74" s="7"/>
    </row>
    <row r="75" ht="25.5">
      <c r="A75" s="10"/>
      <c r="B75" s="206" t="s">
        <v>173</v>
      </c>
      <c r="C75" s="234">
        <f>C9/C72/3</f>
        <v>1.7209891654633607</v>
      </c>
      <c r="D75" s="234">
        <f>D9/D72/3</f>
        <v>1.7076050562023968</v>
      </c>
      <c r="E75" s="234">
        <f>E9/E72/12</f>
        <v>1.6868558490327874</v>
      </c>
      <c r="F75" s="234">
        <f>F9/F72/3</f>
        <v>1.6556628794887926</v>
      </c>
      <c r="G75" s="234">
        <f>G9/G72/3</f>
        <v>1.7158410581087138</v>
      </c>
      <c r="H75" s="230">
        <f>H9/H72/3</f>
        <v>1.724269005847953</v>
      </c>
      <c r="I75" s="208"/>
    </row>
    <row r="76">
      <c r="A76" s="10"/>
      <c r="B76" s="10" t="s">
        <v>174</v>
      </c>
      <c r="C76" s="81">
        <f>C75-C83/C91/3</f>
        <v>0.039507956734195604</v>
      </c>
      <c r="D76" s="81">
        <f>D75-D83/D91/3</f>
        <v>0.05996415727311111</v>
      </c>
      <c r="E76" s="81">
        <f>E75-E83/E91/12</f>
        <v>0.013247339511768264</v>
      </c>
      <c r="F76" s="81">
        <f>F75-F83/F91/3</f>
        <v>0.0409928090934959</v>
      </c>
      <c r="G76" s="81">
        <f>G75-G83/G91/3</f>
        <v>0.009714856470684818</v>
      </c>
      <c r="H76" s="84">
        <f>H75-H83/H91/3</f>
        <v>0.003279840384592392</v>
      </c>
      <c r="I76" s="7"/>
    </row>
    <row r="77">
      <c r="A77" s="10"/>
      <c r="B77" s="10" t="s">
        <v>175</v>
      </c>
      <c r="C77" s="81">
        <f>C75-G83/G91/3</f>
        <v>0.014862963825331699</v>
      </c>
      <c r="D77" s="81">
        <f>D75-C75</f>
        <v>-0.013384109260963895</v>
      </c>
      <c r="E77" s="81" t="s">
        <v>34</v>
      </c>
      <c r="F77" s="81">
        <f>F75-D75</f>
        <v>-0.05194217671360413</v>
      </c>
      <c r="G77" s="81">
        <f>G75-F75</f>
        <v>0.06017817861992114</v>
      </c>
      <c r="H77" s="84">
        <f>H75-G75</f>
        <v>0.008427947739239272</v>
      </c>
      <c r="I77" s="7"/>
    </row>
    <row r="78" ht="25.5">
      <c r="A78" s="10"/>
      <c r="B78" s="202" t="s">
        <v>176</v>
      </c>
      <c r="C78" s="203">
        <f>C72/C70</f>
        <v>0.8358818592382399</v>
      </c>
      <c r="D78" s="203">
        <f>D72/D70</f>
        <v>0.8620532209743828</v>
      </c>
      <c r="E78" s="203">
        <f>E72/E70</f>
        <v>0.8461365930245598</v>
      </c>
      <c r="F78" s="203">
        <f>F72/F70</f>
        <v>0.8703256353270847</v>
      </c>
      <c r="G78" s="203">
        <f>G72/G70</f>
        <v>0.9042021272312981</v>
      </c>
      <c r="H78" s="222">
        <f>H72/H70</f>
        <v>0.9178743961352657</v>
      </c>
      <c r="I78" s="208"/>
    </row>
    <row r="79">
      <c r="A79" s="10"/>
      <c r="B79" s="10" t="s">
        <v>110</v>
      </c>
      <c r="C79" s="4">
        <f>IFERROR((C72/C70-C91/C90)*10000,"n/a")</f>
        <v>-583.7795949287794</v>
      </c>
      <c r="D79" s="4">
        <f>IFERROR((D72/D70-D91/D90)*10000,"n/a")</f>
        <v>-647.3296065346334</v>
      </c>
      <c r="E79" s="4">
        <f>IFERROR((E72/E70-E91/E90)*10000,"n/a")</f>
        <v>-52.6847109478068</v>
      </c>
      <c r="F79" s="4">
        <f>IFERROR((F72/F70-F91/F90)*10000,"n/a")</f>
        <v>83.25651330797545</v>
      </c>
      <c r="G79" s="4">
        <f>IFERROR((G72/G70-G91/G90)*10000,"n/a")</f>
        <v>851.1459280428335</v>
      </c>
      <c r="H79" s="30">
        <f>IFERROR((H72/H70-H91/H90)*10000,"n/a")</f>
        <v>819.9253689702579</v>
      </c>
      <c r="I79" s="7"/>
    </row>
    <row r="80">
      <c r="A80" s="10"/>
      <c r="B80" s="10" t="s">
        <v>111</v>
      </c>
      <c r="C80" s="4">
        <f>(C78-G91/G90)*10000</f>
        <v>167.94324811225115</v>
      </c>
      <c r="D80" s="4">
        <f>IFERROR((D78-C78)*10000,"n/a")</f>
        <v>261.7136173614287</v>
      </c>
      <c r="E80" s="4" t="s">
        <v>34</v>
      </c>
      <c r="F80" s="4">
        <f>IFERROR((F78-D78)*10000,"n/a")</f>
        <v>82.72414352701985</v>
      </c>
      <c r="G80" s="4">
        <f>IFERROR((G78-F78)*10000,"n/a")</f>
        <v>338.7649190421338</v>
      </c>
      <c r="H80" s="30">
        <f>IFERROR((H78-G78)*10000,"n/a")</f>
        <v>136.72268903967554</v>
      </c>
      <c r="I80" s="7"/>
    </row>
    <row r="81">
      <c r="A81" s="10"/>
      <c r="B81" s="10"/>
      <c r="C81" s="1"/>
      <c r="D81" s="1"/>
      <c r="E81" s="1"/>
      <c r="F81" s="1"/>
      <c r="G81" s="1"/>
      <c r="H81" s="20"/>
      <c r="I81" s="7"/>
    </row>
    <row r="82">
      <c r="A82" s="10"/>
      <c r="B82" s="8" t="s">
        <v>112</v>
      </c>
      <c r="C82" s="3"/>
      <c r="D82" s="3"/>
      <c r="E82" s="3"/>
      <c r="F82" s="3"/>
      <c r="G82" s="3"/>
      <c r="H82" s="12"/>
      <c r="I82" s="7"/>
    </row>
    <row r="83">
      <c r="A83" s="10"/>
      <c r="B83" s="10" t="s">
        <v>177</v>
      </c>
      <c r="C83" s="52">
        <v>547988</v>
      </c>
      <c r="D83" s="52">
        <v>560132</v>
      </c>
      <c r="E83" s="52">
        <v>2090732</v>
      </c>
      <c r="F83" s="52">
        <v>521821</v>
      </c>
      <c r="G83" s="52">
        <v>525161</v>
      </c>
      <c r="H83" s="56">
        <f>C9</f>
        <v>539907</v>
      </c>
      <c r="I83" s="7"/>
    </row>
    <row r="84">
      <c r="A84" s="10"/>
      <c r="B84" s="10" t="s">
        <v>178</v>
      </c>
      <c r="C84" s="52">
        <v>1697</v>
      </c>
      <c r="D84" s="52">
        <v>1693</v>
      </c>
      <c r="E84" s="52">
        <v>1692</v>
      </c>
      <c r="F84" s="52">
        <v>1658</v>
      </c>
      <c r="G84" s="52">
        <v>1631</v>
      </c>
      <c r="H84" s="56">
        <f>C18</f>
        <v>1643</v>
      </c>
      <c r="I84" s="7"/>
    </row>
    <row r="85">
      <c r="A85" s="10"/>
      <c r="B85" s="10" t="s">
        <v>179</v>
      </c>
      <c r="C85" s="58">
        <v>2841</v>
      </c>
      <c r="D85" s="58">
        <v>2850</v>
      </c>
      <c r="E85" s="58">
        <v>2849</v>
      </c>
      <c r="F85" s="58">
        <v>2816</v>
      </c>
      <c r="G85" s="58">
        <v>2738</v>
      </c>
      <c r="H85" s="82">
        <f>C22</f>
        <v>2816</v>
      </c>
      <c r="I85" s="7"/>
    </row>
    <row r="86">
      <c r="A86" s="10"/>
      <c r="B86" s="10" t="s">
        <v>180</v>
      </c>
      <c r="C86" s="2">
        <v>1556.774</v>
      </c>
      <c r="D86" s="2">
        <v>1596.471</v>
      </c>
      <c r="E86" s="2">
        <v>5956.092</v>
      </c>
      <c r="F86" s="2">
        <v>1469.253</v>
      </c>
      <c r="G86" s="2">
        <v>1437.885</v>
      </c>
      <c r="H86" s="12">
        <f>C30</f>
        <v>1520.377</v>
      </c>
      <c r="I86" s="7"/>
    </row>
    <row r="87">
      <c r="A87" s="10"/>
      <c r="B87" s="10" t="s">
        <v>181</v>
      </c>
      <c r="C87" s="2">
        <v>111.785</v>
      </c>
      <c r="D87" s="2">
        <v>116.959</v>
      </c>
      <c r="E87" s="2">
        <v>429.877</v>
      </c>
      <c r="F87" s="2">
        <v>94.387</v>
      </c>
      <c r="G87" s="2">
        <v>95.747</v>
      </c>
      <c r="H87" s="12">
        <f>C41</f>
        <v>125.003</v>
      </c>
      <c r="I87" s="7"/>
    </row>
    <row r="88">
      <c r="A88" s="10"/>
      <c r="B88" s="10" t="s">
        <v>182</v>
      </c>
      <c r="C88" s="52">
        <v>6374</v>
      </c>
      <c r="D88" s="52">
        <v>6546</v>
      </c>
      <c r="E88" s="52">
        <v>6368</v>
      </c>
      <c r="F88" s="52">
        <v>6430</v>
      </c>
      <c r="G88" s="52">
        <v>6376</v>
      </c>
      <c r="H88" s="56">
        <f>C61</f>
        <v>6361</v>
      </c>
      <c r="I88" s="7"/>
    </row>
    <row r="89">
      <c r="A89" s="10"/>
      <c r="B89" s="10" t="s">
        <v>183</v>
      </c>
      <c r="C89" s="52">
        <v>6514</v>
      </c>
      <c r="D89" s="52">
        <v>6502</v>
      </c>
      <c r="E89" s="52">
        <v>6502</v>
      </c>
      <c r="F89" s="52">
        <v>6417</v>
      </c>
      <c r="G89" s="52">
        <v>6363</v>
      </c>
      <c r="H89" s="56">
        <f>C66</f>
        <v>6388</v>
      </c>
      <c r="I89" s="7"/>
    </row>
    <row r="90">
      <c r="A90" s="10"/>
      <c r="B90" s="10" t="s">
        <v>184</v>
      </c>
      <c r="C90" s="52">
        <v>121477</v>
      </c>
      <c r="D90" s="52">
        <v>122272</v>
      </c>
      <c r="E90" s="52">
        <v>122272</v>
      </c>
      <c r="F90" s="52">
        <v>124971</v>
      </c>
      <c r="G90" s="52">
        <v>125265</v>
      </c>
      <c r="H90" s="56">
        <f>C70</f>
        <v>125105</v>
      </c>
      <c r="I90" s="7"/>
    </row>
    <row r="91" ht="25.5">
      <c r="A91" s="10"/>
      <c r="B91" s="206" t="s">
        <v>185</v>
      </c>
      <c r="C91" s="227">
        <v>108632</v>
      </c>
      <c r="D91" s="227">
        <v>113320</v>
      </c>
      <c r="E91" s="227">
        <v>104103</v>
      </c>
      <c r="F91" s="227">
        <v>107725</v>
      </c>
      <c r="G91" s="227">
        <v>102603</v>
      </c>
      <c r="H91" s="225">
        <f>C72</f>
        <v>104573</v>
      </c>
      <c r="I91" s="208"/>
    </row>
    <row r="92">
      <c r="A92" s="10"/>
      <c r="B92" s="10"/>
      <c r="C92" s="1"/>
      <c r="D92" s="1"/>
      <c r="E92" s="1"/>
      <c r="F92" s="1"/>
      <c r="G92" s="1"/>
      <c r="H92" s="20"/>
      <c r="I92" s="7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186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187</v>
      </c>
      <c r="C8" s="3"/>
      <c r="D8" s="3"/>
      <c r="E8" s="3"/>
      <c r="F8" s="3"/>
      <c r="G8" s="3"/>
      <c r="H8" s="12"/>
      <c r="I8" s="7"/>
    </row>
    <row r="9">
      <c r="A9" s="10"/>
      <c r="B9" s="10" t="s">
        <v>188</v>
      </c>
      <c r="C9" s="46">
        <f>G79</f>
        <v>12739</v>
      </c>
      <c r="D9" s="46">
        <f>C11</f>
        <v>12702</v>
      </c>
      <c r="E9" s="46">
        <f>E79</f>
        <v>12647</v>
      </c>
      <c r="F9" s="46">
        <f>D11</f>
        <v>12639</v>
      </c>
      <c r="G9" s="46">
        <f>F11</f>
        <v>12605</v>
      </c>
      <c r="H9" s="56">
        <f>G11</f>
        <v>12744</v>
      </c>
      <c r="I9" s="7"/>
    </row>
    <row r="10">
      <c r="A10" s="10"/>
      <c r="B10" s="10" t="s">
        <v>189</v>
      </c>
      <c r="C10" s="46">
        <f>C11-C9</f>
        <v>-37</v>
      </c>
      <c r="D10" s="46">
        <f>D11-D9</f>
        <v>-63</v>
      </c>
      <c r="E10" s="46">
        <f>E11-E9</f>
        <v>-8</v>
      </c>
      <c r="F10" s="46">
        <f>F11-F9</f>
        <v>-34</v>
      </c>
      <c r="G10" s="46">
        <f>G11-G9</f>
        <v>139</v>
      </c>
      <c r="H10" s="56">
        <f>H11-H9</f>
        <v>116</v>
      </c>
      <c r="I10" s="7"/>
    </row>
    <row r="11" ht="28.5">
      <c r="A11" s="10"/>
      <c r="B11" s="6" t="s">
        <v>190</v>
      </c>
      <c r="C11" s="74">
        <v>12702</v>
      </c>
      <c r="D11" s="74">
        <v>12639</v>
      </c>
      <c r="E11" s="74">
        <v>12639</v>
      </c>
      <c r="F11" s="74">
        <v>12605</v>
      </c>
      <c r="G11" s="74">
        <v>12744</v>
      </c>
      <c r="H11" s="91">
        <v>12860</v>
      </c>
      <c r="I11" s="195" t="s">
        <v>191</v>
      </c>
    </row>
    <row r="12">
      <c r="A12" s="10"/>
      <c r="B12" s="10" t="s">
        <v>167</v>
      </c>
      <c r="C12" s="46">
        <f>C11-C79</f>
        <v>-59</v>
      </c>
      <c r="D12" s="46">
        <f>D11-D79</f>
        <v>-8</v>
      </c>
      <c r="E12" s="46">
        <f>E11-E79</f>
        <v>-8</v>
      </c>
      <c r="F12" s="46">
        <f>F11-F79</f>
        <v>-19</v>
      </c>
      <c r="G12" s="46">
        <f>G11-G79</f>
        <v>5</v>
      </c>
      <c r="H12" s="56">
        <f>H11-H79</f>
        <v>158</v>
      </c>
      <c r="I12" s="7"/>
    </row>
    <row r="13" ht="28.5">
      <c r="A13" s="10"/>
      <c r="B13" s="10" t="s">
        <v>192</v>
      </c>
      <c r="C13" s="46" t="s">
        <v>89</v>
      </c>
      <c r="D13" s="46" t="s">
        <v>89</v>
      </c>
      <c r="E13" s="46" t="s">
        <v>89</v>
      </c>
      <c r="F13" s="52">
        <v>300</v>
      </c>
      <c r="G13" s="52">
        <v>250</v>
      </c>
      <c r="H13" s="66">
        <v>275</v>
      </c>
      <c r="I13" s="195" t="s">
        <v>193</v>
      </c>
    </row>
    <row r="14">
      <c r="A14" s="10"/>
      <c r="B14" s="10" t="s">
        <v>194</v>
      </c>
      <c r="C14" s="46" t="s">
        <v>89</v>
      </c>
      <c r="D14" s="46" t="s">
        <v>89</v>
      </c>
      <c r="E14" s="46" t="s">
        <v>89</v>
      </c>
      <c r="F14" s="46" t="s">
        <v>89</v>
      </c>
      <c r="G14" s="46" t="s">
        <v>89</v>
      </c>
      <c r="H14" s="56" t="s">
        <v>89</v>
      </c>
      <c r="I14" s="7" t="s">
        <v>195</v>
      </c>
    </row>
    <row r="15">
      <c r="A15" s="10"/>
      <c r="B15" s="10" t="s">
        <v>196</v>
      </c>
      <c r="C15" s="52">
        <v>12718</v>
      </c>
      <c r="D15" s="52">
        <v>12605</v>
      </c>
      <c r="E15" s="52">
        <v>12659</v>
      </c>
      <c r="F15" s="52">
        <v>12640</v>
      </c>
      <c r="G15" s="52">
        <v>12658</v>
      </c>
      <c r="H15" s="66">
        <v>12800</v>
      </c>
      <c r="I15" s="7"/>
    </row>
    <row r="16">
      <c r="A16" s="10"/>
      <c r="B16" s="10" t="s">
        <v>130</v>
      </c>
      <c r="C16" s="46">
        <f>C15-C80</f>
        <v>-82</v>
      </c>
      <c r="D16" s="46">
        <f>D15-D80</f>
        <v>-106</v>
      </c>
      <c r="E16" s="46">
        <f>E15-E80</f>
        <v>-329</v>
      </c>
      <c r="F16" s="46">
        <f>F15-F80</f>
        <v>16</v>
      </c>
      <c r="G16" s="46">
        <f>G15-G80</f>
        <v>-31</v>
      </c>
      <c r="H16" s="56">
        <f>H15-H80</f>
        <v>82</v>
      </c>
      <c r="I16" s="7"/>
    </row>
    <row r="17">
      <c r="A17" s="10"/>
      <c r="B17" s="10" t="s">
        <v>131</v>
      </c>
      <c r="C17" s="46">
        <f>C15-G80</f>
        <v>29</v>
      </c>
      <c r="D17" s="46">
        <f>D15-C15</f>
        <v>-113</v>
      </c>
      <c r="E17" s="46" t="s">
        <v>34</v>
      </c>
      <c r="F17" s="46">
        <f>F15-D15</f>
        <v>35</v>
      </c>
      <c r="G17" s="46">
        <f>G15-F15</f>
        <v>18</v>
      </c>
      <c r="H17" s="56">
        <f>H15-G15</f>
        <v>142</v>
      </c>
      <c r="I17" s="7"/>
    </row>
    <row r="18">
      <c r="A18" s="10"/>
      <c r="B18" s="31" t="s">
        <v>197</v>
      </c>
      <c r="C18" s="16" t="s">
        <v>89</v>
      </c>
      <c r="D18" s="16" t="s">
        <v>89</v>
      </c>
      <c r="E18" s="16" t="s">
        <v>89</v>
      </c>
      <c r="F18" s="16" t="s">
        <v>89</v>
      </c>
      <c r="G18" s="70">
        <v>0.96</v>
      </c>
      <c r="H18" s="77">
        <v>0.96</v>
      </c>
      <c r="I18" s="7"/>
    </row>
    <row r="19">
      <c r="A19" s="10"/>
      <c r="B19" s="10" t="s">
        <v>111</v>
      </c>
      <c r="C19" s="4" t="s">
        <v>34</v>
      </c>
      <c r="D19" s="4" t="str">
        <f>IFERROR((D18-C18)*10000,"n/a")</f>
        <v>n/a</v>
      </c>
      <c r="E19" s="4" t="s">
        <v>34</v>
      </c>
      <c r="F19" s="4" t="str">
        <f>IFERROR((F18-D18)*10000,"n/a")</f>
        <v>n/a</v>
      </c>
      <c r="G19" s="4" t="str">
        <f>IFERROR((G18-F18)*10000,"n/a")</f>
        <v>n/a</v>
      </c>
      <c r="H19" s="30">
        <f>IFERROR((H18-G18)*10000,"n/a")</f>
        <v>0</v>
      </c>
      <c r="I19" s="7"/>
    </row>
    <row r="20">
      <c r="A20" s="10"/>
      <c r="B20" s="10" t="s">
        <v>110</v>
      </c>
      <c r="C20" s="4" t="s">
        <v>89</v>
      </c>
      <c r="D20" s="4" t="s">
        <v>89</v>
      </c>
      <c r="E20" s="4" t="s">
        <v>89</v>
      </c>
      <c r="F20" s="4" t="s">
        <v>89</v>
      </c>
      <c r="G20" s="4" t="s">
        <v>89</v>
      </c>
      <c r="H20" s="30" t="s">
        <v>89</v>
      </c>
      <c r="I20" s="7" t="s">
        <v>198</v>
      </c>
    </row>
    <row r="21">
      <c r="A21" s="10"/>
      <c r="B21" s="8" t="s">
        <v>199</v>
      </c>
      <c r="C21" s="3"/>
      <c r="D21" s="3"/>
      <c r="E21" s="3"/>
      <c r="F21" s="3"/>
      <c r="G21" s="3"/>
      <c r="H21" s="12"/>
      <c r="I21" s="7"/>
    </row>
    <row r="22">
      <c r="A22" s="10"/>
      <c r="B22" s="10" t="s">
        <v>200</v>
      </c>
      <c r="C22" s="58">
        <v>5209</v>
      </c>
      <c r="D22" s="58">
        <v>5259</v>
      </c>
      <c r="E22" s="58">
        <v>5190</v>
      </c>
      <c r="F22" s="58">
        <v>5238</v>
      </c>
      <c r="G22" s="58">
        <v>5635</v>
      </c>
      <c r="H22" s="83">
        <v>5650</v>
      </c>
      <c r="I22" s="7" t="s">
        <v>201</v>
      </c>
    </row>
    <row r="23">
      <c r="A23" s="10"/>
      <c r="B23" s="31" t="s">
        <v>75</v>
      </c>
      <c r="C23" s="16">
        <f>IF(N(C81)&lt;=0,"n/a",IFERROR(C22/C81-1,"n/a"))</f>
        <v>0.026808594520007833</v>
      </c>
      <c r="D23" s="16">
        <f>IF(N(D81)&lt;=0,"n/a",IFERROR(D22/D81-1,"n/a"))</f>
        <v>0.009404990403071078</v>
      </c>
      <c r="E23" s="16">
        <f>IF(N(E81)&lt;=0,"n/a",IFERROR(E22/E81-1,"n/a"))</f>
        <v>0.022660098522167438</v>
      </c>
      <c r="F23" s="16">
        <f>IF(N(F81)&lt;=0,"n/a",IFERROR(F22/F81-1,"n/a"))</f>
        <v>0.021650087770626048</v>
      </c>
      <c r="G23" s="16">
        <f>IF(N(G81)&lt;=0,"n/a",IFERROR(G22/G81-1,"n/a"))</f>
        <v>0.09141971721867126</v>
      </c>
      <c r="H23" s="72">
        <f>IF(N(H81)&lt;=0,"n/a",IFERROR(H22/H81-1,"n/a"))</f>
        <v>0.08466116337108853</v>
      </c>
      <c r="I23" s="7"/>
    </row>
    <row r="24">
      <c r="A24" s="10"/>
      <c r="B24" s="10" t="s">
        <v>135</v>
      </c>
      <c r="C24" s="68">
        <f>C22-G81</f>
        <v>46</v>
      </c>
      <c r="D24" s="68">
        <f>D22-C22</f>
        <v>50</v>
      </c>
      <c r="E24" s="68" t="s">
        <v>34</v>
      </c>
      <c r="F24" s="68">
        <f>F22-D22</f>
        <v>-21</v>
      </c>
      <c r="G24" s="68">
        <f>G22-F22</f>
        <v>397</v>
      </c>
      <c r="H24" s="82">
        <f>H22-G22</f>
        <v>15</v>
      </c>
      <c r="I24" s="7"/>
    </row>
    <row r="25" ht="25.5">
      <c r="A25" s="10"/>
      <c r="B25" s="202" t="s">
        <v>202</v>
      </c>
      <c r="C25" s="218">
        <v>0.03</v>
      </c>
      <c r="D25" s="218">
        <v>0.01</v>
      </c>
      <c r="E25" s="203" t="s">
        <v>89</v>
      </c>
      <c r="F25" s="218">
        <v>0.01</v>
      </c>
      <c r="G25" s="218">
        <v>0.02</v>
      </c>
      <c r="H25" s="214">
        <v>0.02</v>
      </c>
      <c r="I25" s="208"/>
    </row>
    <row r="26">
      <c r="A26" s="10"/>
      <c r="B26" s="10" t="s">
        <v>111</v>
      </c>
      <c r="C26" s="4" t="s">
        <v>34</v>
      </c>
      <c r="D26" s="4">
        <f>IFERROR((D25-C25)*10000,"n/a")</f>
        <v>-199.99999999999997</v>
      </c>
      <c r="E26" s="4" t="s">
        <v>34</v>
      </c>
      <c r="F26" s="4">
        <f>IFERROR((F25-D25)*10000,"n/a")</f>
        <v>0</v>
      </c>
      <c r="G26" s="4">
        <f>IFERROR((G25-F25)*10000,"n/a")</f>
        <v>100</v>
      </c>
      <c r="H26" s="30">
        <f>IFERROR((H25-G25)*10000,"n/a")</f>
        <v>0</v>
      </c>
      <c r="I26" s="7"/>
    </row>
    <row r="27" ht="28.5">
      <c r="A27" s="10"/>
      <c r="B27" s="10" t="s">
        <v>110</v>
      </c>
      <c r="C27" s="4" t="s">
        <v>89</v>
      </c>
      <c r="D27" s="4" t="s">
        <v>89</v>
      </c>
      <c r="E27" s="4" t="s">
        <v>89</v>
      </c>
      <c r="F27" s="4" t="s">
        <v>89</v>
      </c>
      <c r="G27" s="4" t="s">
        <v>89</v>
      </c>
      <c r="H27" s="30">
        <f>IFERROR((H25-C25)*10000,"n/a")</f>
        <v>-99.99999999999999</v>
      </c>
      <c r="I27" s="195" t="s">
        <v>125</v>
      </c>
    </row>
    <row r="28">
      <c r="A28" s="10"/>
      <c r="B28" s="10" t="s">
        <v>203</v>
      </c>
      <c r="C28" s="52">
        <v>992032</v>
      </c>
      <c r="D28" s="52">
        <v>957765</v>
      </c>
      <c r="E28" s="46">
        <f>F82+G82+C28+D28</f>
        <v>3885463</v>
      </c>
      <c r="F28" s="52">
        <v>942231</v>
      </c>
      <c r="G28" s="52">
        <v>995594</v>
      </c>
      <c r="H28" s="56">
        <f>G28*H15/G15</f>
        <v>1006762.7745299415</v>
      </c>
      <c r="I28" s="7" t="s">
        <v>204</v>
      </c>
    </row>
    <row r="29">
      <c r="A29" s="10"/>
      <c r="B29" s="31" t="s">
        <v>75</v>
      </c>
      <c r="C29" s="16">
        <f>IF(N(C82)&lt;=0,"n/a",IFERROR(C28/C82-1,"n/a"))</f>
        <v>-0.013409049094245229</v>
      </c>
      <c r="D29" s="16">
        <f>IF(N(D82)&lt;=0,"n/a",IFERROR(D28/D82-1,"n/a"))</f>
        <v>-0.010134656784876794</v>
      </c>
      <c r="E29" s="16">
        <f>IF(N(E82)&lt;=0,"n/a",IFERROR(E28/E82-1,"n/a"))</f>
        <v>-0.025031986933723327</v>
      </c>
      <c r="F29" s="16">
        <f>IF(N(F82)&lt;=0,"n/a",IFERROR(F28/F82-1,"n/a"))</f>
        <v>-0.000703154331239797</v>
      </c>
      <c r="G29" s="16">
        <f>IF(N(G82)&lt;=0,"n/a",IFERROR(G28/G82-1,"n/a"))</f>
        <v>0.002842545921923678</v>
      </c>
      <c r="H29" s="72">
        <f>IF(N(H82)&lt;=0,"n/a",IFERROR(H28/H82-1,"n/a"))</f>
        <v>0.014849092095760463</v>
      </c>
      <c r="I29" s="7"/>
    </row>
    <row r="30">
      <c r="A30" s="10"/>
      <c r="B30" s="10" t="s">
        <v>122</v>
      </c>
      <c r="C30" s="46">
        <f>C28-G82</f>
        <v>-740</v>
      </c>
      <c r="D30" s="46">
        <f>D28-C28</f>
        <v>-34267</v>
      </c>
      <c r="E30" s="46" t="s">
        <v>34</v>
      </c>
      <c r="F30" s="46">
        <f>F28-D28</f>
        <v>-15534</v>
      </c>
      <c r="G30" s="46">
        <f>G28-F28</f>
        <v>53363</v>
      </c>
      <c r="H30" s="56">
        <f>H28-G28</f>
        <v>11168.774529941496</v>
      </c>
      <c r="I30" s="7"/>
    </row>
    <row r="31">
      <c r="A31" s="10"/>
      <c r="B31" s="10" t="s">
        <v>128</v>
      </c>
      <c r="C31" s="52">
        <v>175</v>
      </c>
      <c r="D31" s="52">
        <v>173</v>
      </c>
      <c r="E31" s="52">
        <v>177</v>
      </c>
      <c r="F31" s="52">
        <v>172</v>
      </c>
      <c r="G31" s="52">
        <v>172</v>
      </c>
      <c r="H31" s="66">
        <v>172</v>
      </c>
      <c r="I31" s="7"/>
    </row>
    <row r="32">
      <c r="A32" s="10"/>
      <c r="B32" s="10" t="s">
        <v>130</v>
      </c>
      <c r="C32" s="46">
        <f>C31-C83</f>
        <v>-5</v>
      </c>
      <c r="D32" s="46">
        <f>D31-D83</f>
        <v>-8</v>
      </c>
      <c r="E32" s="46">
        <f>E31-E83</f>
        <v>-4</v>
      </c>
      <c r="F32" s="46">
        <f>F31-F83</f>
        <v>-8</v>
      </c>
      <c r="G32" s="46">
        <f>G31-G83</f>
        <v>-5</v>
      </c>
      <c r="H32" s="56">
        <f>H31-H83</f>
        <v>-3</v>
      </c>
      <c r="I32" s="7"/>
    </row>
    <row r="33">
      <c r="A33" s="10"/>
      <c r="B33" s="10" t="s">
        <v>131</v>
      </c>
      <c r="C33" s="46">
        <f>C31-G83</f>
        <v>-2</v>
      </c>
      <c r="D33" s="46">
        <f>D31-C31</f>
        <v>-2</v>
      </c>
      <c r="E33" s="46" t="s">
        <v>34</v>
      </c>
      <c r="F33" s="46">
        <f>F31-D31</f>
        <v>-1</v>
      </c>
      <c r="G33" s="46">
        <f>G31-F31</f>
        <v>0</v>
      </c>
      <c r="H33" s="56">
        <f>H31-G31</f>
        <v>0</v>
      </c>
      <c r="I33" s="7"/>
    </row>
    <row r="34">
      <c r="A34" s="10"/>
      <c r="B34" s="8" t="s">
        <v>138</v>
      </c>
      <c r="C34" s="3"/>
      <c r="D34" s="3"/>
      <c r="E34" s="3"/>
      <c r="F34" s="3"/>
      <c r="G34" s="3"/>
      <c r="H34" s="12"/>
      <c r="I34" s="7"/>
    </row>
    <row r="35" ht="41.25">
      <c r="A35" s="10"/>
      <c r="B35" s="10" t="s">
        <v>205</v>
      </c>
      <c r="C35" s="60">
        <f>C39*1000000/(C15*C22)</f>
        <v>13.0435513721141</v>
      </c>
      <c r="D35" s="60">
        <f>D39*1000000/(D15*D22)</f>
        <v>12.71530967218962</v>
      </c>
      <c r="E35" s="60">
        <f>E39*1000000/(E15*E22)</f>
        <v>51.385695723042595</v>
      </c>
      <c r="F35" s="60">
        <f>F39*1000000/(F15*F22)</f>
        <v>12.695624960730012</v>
      </c>
      <c r="G35" s="60">
        <f>G39*1000000/(G15*G22)</f>
        <v>12.908145390095283</v>
      </c>
      <c r="H35" s="105">
        <f>C35</f>
        <v>13.0435513721141</v>
      </c>
      <c r="I35" s="195" t="s">
        <v>206</v>
      </c>
    </row>
    <row r="36">
      <c r="A36" s="10"/>
      <c r="B36" s="10" t="s">
        <v>207</v>
      </c>
      <c r="C36" s="60">
        <f>C35-C84*1000000/(C80*C81)</f>
        <v>0.0155877657667709</v>
      </c>
      <c r="D36" s="60">
        <f>D35-D84*1000000/(D80*D81)</f>
        <v>0.053358192438453855</v>
      </c>
      <c r="E36" s="60">
        <f>E35-E84*1000000/(E80*E81)</f>
        <v>-0.1285933289204877</v>
      </c>
      <c r="F36" s="60">
        <f>F35-F84*1000000/(F80*F81)</f>
        <v>-0.009114455314128023</v>
      </c>
      <c r="G36" s="60">
        <f>G35-G84*1000000/(G80*G81)</f>
        <v>-0.016786028799506525</v>
      </c>
      <c r="H36" s="105">
        <f>H35-H84*1000000/(H80*H81)</f>
        <v>0</v>
      </c>
      <c r="I36" s="7"/>
    </row>
    <row r="37">
      <c r="A37" s="10"/>
      <c r="B37" s="10" t="s">
        <v>208</v>
      </c>
      <c r="C37" s="60">
        <f>C35-G84*1000000/(G80*G81)</f>
        <v>0.1186199532193104</v>
      </c>
      <c r="D37" s="60">
        <f>D35-C35</f>
        <v>-0.3282416999244795</v>
      </c>
      <c r="E37" s="60" t="s">
        <v>34</v>
      </c>
      <c r="F37" s="60">
        <f>F35-D35</f>
        <v>-0.01968471145960926</v>
      </c>
      <c r="G37" s="60">
        <f>G35-F35</f>
        <v>0.21252042936527182</v>
      </c>
      <c r="H37" s="105">
        <f>H35-G35</f>
        <v>0.13540598201881693</v>
      </c>
      <c r="I37" s="7"/>
    </row>
    <row r="38">
      <c r="A38" s="10"/>
      <c r="B38" s="159" t="s">
        <v>139</v>
      </c>
      <c r="C38" s="3">
        <f>C39</f>
        <v>864.11</v>
      </c>
      <c r="D38" s="3">
        <f>D39</f>
        <v>842.894</v>
      </c>
      <c r="E38" s="3">
        <f>E39</f>
        <v>3376.0510000000004</v>
      </c>
      <c r="F38" s="3">
        <f>F39</f>
        <v>840.556</v>
      </c>
      <c r="G38" s="3">
        <f>G39</f>
        <v>920.71</v>
      </c>
      <c r="H38" s="12">
        <f>H15*H22*H35/1000000</f>
        <v>943.3096352312917</v>
      </c>
      <c r="I38" s="173" t="s">
        <v>209</v>
      </c>
    </row>
    <row r="39" ht="28.5">
      <c r="A39" s="10"/>
      <c r="B39" s="6" t="s">
        <v>210</v>
      </c>
      <c r="C39" s="55">
        <v>864.11</v>
      </c>
      <c r="D39" s="55">
        <v>842.894</v>
      </c>
      <c r="E39" s="17">
        <f>F84+G84+C39+D39</f>
        <v>3376.0510000000004</v>
      </c>
      <c r="F39" s="55">
        <v>840.556</v>
      </c>
      <c r="G39" s="55">
        <v>920.71</v>
      </c>
      <c r="H39" s="25">
        <f>H38</f>
        <v>943.3096352312917</v>
      </c>
      <c r="I39" s="195" t="s">
        <v>141</v>
      </c>
    </row>
    <row r="40">
      <c r="A40" s="10"/>
      <c r="B40" s="159" t="s">
        <v>211</v>
      </c>
      <c r="C40" s="3">
        <f>C39-C38</f>
        <v>0</v>
      </c>
      <c r="D40" s="3">
        <f>D39-D38</f>
        <v>0</v>
      </c>
      <c r="E40" s="3">
        <f>E39-E38</f>
        <v>0</v>
      </c>
      <c r="F40" s="3">
        <f>F39-F38</f>
        <v>0</v>
      </c>
      <c r="G40" s="3">
        <f>G39-G38</f>
        <v>0</v>
      </c>
      <c r="H40" s="12">
        <f>H39-H38</f>
        <v>0</v>
      </c>
      <c r="I40" s="173" t="s">
        <v>212</v>
      </c>
    </row>
    <row r="41">
      <c r="A41" s="10"/>
      <c r="B41" s="31" t="s">
        <v>75</v>
      </c>
      <c r="C41" s="16">
        <f>IF(N(C84)&lt;=0,"n/a",IFERROR(C39/C84-1,"n/a"))</f>
        <v>0.021451292787036946</v>
      </c>
      <c r="D41" s="16">
        <f>IF(N(D84)&lt;=0,"n/a",IFERROR(D39/D84-1,"n/a"))</f>
        <v>0.005205544471330148</v>
      </c>
      <c r="E41" s="16">
        <f>IF(N(E84)&lt;=0,"n/a",IFERROR(E39/E84-1,"n/a"))</f>
        <v>-0.005733145870526868</v>
      </c>
      <c r="F41" s="16">
        <f>IF(N(F84)&lt;=0,"n/a",IFERROR(F39/F84-1,"n/a"))</f>
        <v>0.02221108803198857</v>
      </c>
      <c r="G41" s="16">
        <f>IF(N(G84)&lt;=0,"n/a",IFERROR(G39/G84-1,"n/a"))</f>
        <v>0.08733931302442866</v>
      </c>
      <c r="H41" s="72">
        <f>IF(N(H84)&lt;=0,"n/a",IFERROR(H39/H84-1,"n/a"))</f>
        <v>0.0916545754953555</v>
      </c>
      <c r="I41" s="7"/>
    </row>
    <row r="42">
      <c r="A42" s="10"/>
      <c r="B42" s="31" t="s">
        <v>76</v>
      </c>
      <c r="C42" s="16">
        <f>IFERROR(C39/G84-1,"n/a")</f>
        <v>0.02049589314500655</v>
      </c>
      <c r="D42" s="16">
        <f>IFERROR(D39/C39-1,"n/a")</f>
        <v>-0.024552429667519138</v>
      </c>
      <c r="E42" s="16" t="s">
        <v>34</v>
      </c>
      <c r="F42" s="16">
        <f>IFERROR(F39/D39-1,"n/a")</f>
        <v>-0.002773777011106926</v>
      </c>
      <c r="G42" s="16">
        <f>IFERROR(G39/F39-1,"n/a")</f>
        <v>0.09535831045165333</v>
      </c>
      <c r="H42" s="72">
        <f>IFERROR(H39/G39-1,"n/a")</f>
        <v>0.024545877889120105</v>
      </c>
      <c r="I42" s="7"/>
    </row>
    <row r="43">
      <c r="A43" s="10"/>
      <c r="B43" s="31" t="s">
        <v>77</v>
      </c>
      <c r="C43" s="19">
        <f>C39/'Revenue summary'!C45</f>
        <v>0.28304590688778564</v>
      </c>
      <c r="D43" s="19">
        <f>D39/'Revenue summary'!D45</f>
        <v>0.27219754662009554</v>
      </c>
      <c r="E43" s="19">
        <f>E39/'Revenue summary'!E45</f>
        <v>0.28135877902802015</v>
      </c>
      <c r="F43" s="19">
        <f>F39/'Revenue summary'!F45</f>
        <v>0.27500686244454836</v>
      </c>
      <c r="G43" s="19">
        <f>G39/'Revenue summary'!G45</f>
        <v>0.2634140284542425</v>
      </c>
      <c r="H43" s="71">
        <f>H39/'Revenue summary'!H45</f>
        <v>0.2637398816930253</v>
      </c>
      <c r="I43" s="7"/>
    </row>
    <row r="44" ht="41.25">
      <c r="A44" s="10"/>
      <c r="B44" s="31" t="s">
        <v>78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7">
        <v>0</v>
      </c>
      <c r="I44" s="195" t="s">
        <v>88</v>
      </c>
    </row>
    <row r="45" ht="28.5">
      <c r="A45" s="10"/>
      <c r="B45" s="31" t="s">
        <v>79</v>
      </c>
      <c r="C45" s="16" t="s">
        <v>89</v>
      </c>
      <c r="D45" s="16" t="s">
        <v>89</v>
      </c>
      <c r="E45" s="16" t="s">
        <v>89</v>
      </c>
      <c r="F45" s="16" t="s">
        <v>89</v>
      </c>
      <c r="G45" s="16" t="s">
        <v>89</v>
      </c>
      <c r="H45" s="72" t="s">
        <v>89</v>
      </c>
      <c r="I45" s="195" t="s">
        <v>90</v>
      </c>
    </row>
    <row r="46" ht="28.5">
      <c r="A46" s="10"/>
      <c r="B46" s="31" t="s">
        <v>80</v>
      </c>
      <c r="C46" s="16" t="str">
        <f>IF(AND(ISNUMBER(C45),ISNUMBER(C41)),(1+C41)/((1+C44)*(1+C45))-1,"n/a")</f>
        <v>n/a</v>
      </c>
      <c r="D46" s="16" t="str">
        <f>IF(AND(ISNUMBER(D45),ISNUMBER(D41)),(1+D41)/((1+D44)*(1+D45))-1,"n/a")</f>
        <v>n/a</v>
      </c>
      <c r="E46" s="16" t="str">
        <f>IF(AND(ISNUMBER(E45),ISNUMBER(E41)),(1+E41)/((1+E44)*(1+E45))-1,"n/a")</f>
        <v>n/a</v>
      </c>
      <c r="F46" s="16" t="str">
        <f>IF(AND(ISNUMBER(F45),ISNUMBER(F41)),(1+F41)/((1+F44)*(1+F45))-1,"n/a")</f>
        <v>n/a</v>
      </c>
      <c r="G46" s="16" t="str">
        <f>IF(AND(ISNUMBER(G45),ISNUMBER(G41)),(1+G41)/((1+G44)*(1+G45))-1,"n/a")</f>
        <v>n/a</v>
      </c>
      <c r="H46" s="72" t="str">
        <f>IF(AND(ISNUMBER(H45),ISNUMBER(H41)),(1+H41)/((1+H44)*(1+H45))-1,"n/a")</f>
        <v>n/a</v>
      </c>
      <c r="I46" s="195" t="s">
        <v>91</v>
      </c>
    </row>
    <row r="47">
      <c r="A47" s="10"/>
      <c r="B47" s="31" t="s">
        <v>92</v>
      </c>
      <c r="C47" s="16">
        <f>C41</f>
        <v>0.021451292787036946</v>
      </c>
      <c r="D47" s="16">
        <f>D41</f>
        <v>0.005205544471330148</v>
      </c>
      <c r="E47" s="16">
        <f>E41</f>
        <v>-0.005733145870526868</v>
      </c>
      <c r="F47" s="16">
        <f>F41</f>
        <v>0.02221108803198857</v>
      </c>
      <c r="G47" s="16">
        <f>G41</f>
        <v>0.08733931302442866</v>
      </c>
      <c r="H47" s="72">
        <f>H41</f>
        <v>0.0916545754953555</v>
      </c>
      <c r="I47" s="7"/>
    </row>
    <row r="48">
      <c r="A48" s="10"/>
      <c r="B48" s="10"/>
      <c r="C48" s="1"/>
      <c r="D48" s="1"/>
      <c r="E48" s="1"/>
      <c r="F48" s="1"/>
      <c r="G48" s="1"/>
      <c r="H48" s="20"/>
      <c r="I48" s="7"/>
    </row>
    <row r="49">
      <c r="A49" s="10"/>
      <c r="B49" s="8" t="s">
        <v>143</v>
      </c>
      <c r="C49" s="3"/>
      <c r="D49" s="3"/>
      <c r="E49" s="3"/>
      <c r="F49" s="3"/>
      <c r="G49" s="3"/>
      <c r="H49" s="12"/>
      <c r="I49" s="7"/>
    </row>
    <row r="50">
      <c r="A50" s="10"/>
      <c r="B50" s="6" t="s">
        <v>213</v>
      </c>
      <c r="C50" s="55">
        <v>104.282</v>
      </c>
      <c r="D50" s="55">
        <v>98.368</v>
      </c>
      <c r="E50" s="17">
        <f>F85+G85+C50+D50</f>
        <v>376.60999999999996</v>
      </c>
      <c r="F50" s="55">
        <v>87.396</v>
      </c>
      <c r="G50" s="55">
        <v>102.473</v>
      </c>
      <c r="H50" s="25">
        <f>H67</f>
        <v>92.86294528469375</v>
      </c>
      <c r="I50" s="7"/>
    </row>
    <row r="51">
      <c r="A51" s="10"/>
      <c r="B51" s="31" t="s">
        <v>75</v>
      </c>
      <c r="C51" s="16">
        <f>IF(N(C85)&lt;=0,"n/a",IFERROR(C50/C85-1,"n/a"))</f>
        <v>0.09184378599099552</v>
      </c>
      <c r="D51" s="16">
        <f>IF(N(D85)&lt;=0,"n/a",IFERROR(D50/D85-1,"n/a"))</f>
        <v>0.08923806043694427</v>
      </c>
      <c r="E51" s="16">
        <f>IF(N(E85)&lt;=0,"n/a",IFERROR(E50/E85-1,"n/a"))</f>
        <v>0.001947440392893407</v>
      </c>
      <c r="F51" s="16">
        <f>IF(N(F85)&lt;=0,"n/a",IFERROR(F50/F85-1,"n/a"))</f>
        <v>0.0887346928606132</v>
      </c>
      <c r="G51" s="16">
        <f>IF(N(G85)&lt;=0,"n/a",IFERROR(G50/G85-1,"n/a"))</f>
        <v>0.09378035373104066</v>
      </c>
      <c r="H51" s="72">
        <f>IF(N(H85)&lt;=0,"n/a",IFERROR(H50/H85-1,"n/a"))</f>
        <v>-0.10950168500130653</v>
      </c>
      <c r="I51" s="7"/>
    </row>
    <row r="52">
      <c r="A52" s="10"/>
      <c r="B52" s="31" t="s">
        <v>98</v>
      </c>
      <c r="C52" s="16">
        <f>C50/C39</f>
        <v>0.12068139472983763</v>
      </c>
      <c r="D52" s="16">
        <f>D50/D39</f>
        <v>0.11670269333985056</v>
      </c>
      <c r="E52" s="16">
        <f>E50/E39</f>
        <v>0.11155340959008021</v>
      </c>
      <c r="F52" s="16">
        <f>F50/F39</f>
        <v>0.10397403623315996</v>
      </c>
      <c r="G52" s="16">
        <f>G50/G39</f>
        <v>0.11129780278263514</v>
      </c>
      <c r="H52" s="72">
        <f>H50/H39</f>
        <v>0.0984437578249951</v>
      </c>
      <c r="I52" s="7"/>
    </row>
    <row r="53">
      <c r="A53" s="10"/>
      <c r="B53" s="10" t="s">
        <v>110</v>
      </c>
      <c r="C53" s="4">
        <f>IFERROR((C50/C39-C85/C84)*10000,"n/a")</f>
        <v>77.80475895325948</v>
      </c>
      <c r="D53" s="4">
        <f>IFERROR((D50/D39-D85/D84)*10000,"n/a")</f>
        <v>90.03377037134733</v>
      </c>
      <c r="E53" s="4">
        <f>IFERROR((E50/E39-E85/E84)*10000,"n/a")</f>
        <v>8.551302701060582</v>
      </c>
      <c r="F53" s="4">
        <f>IFERROR((F50/F39-F85/F84)*10000,"n/a")</f>
        <v>63.5299650518012</v>
      </c>
      <c r="G53" s="4">
        <f>IFERROR((G50/G39-G85/G84)*10000,"n/a")</f>
        <v>6.554091740943041</v>
      </c>
      <c r="H53" s="30">
        <f>IFERROR((H50/H39-H85/H84)*10000,"n/a")</f>
        <v>-222.37636904842526</v>
      </c>
      <c r="I53" s="7"/>
    </row>
    <row r="54">
      <c r="A54" s="10"/>
      <c r="B54" s="10" t="s">
        <v>111</v>
      </c>
      <c r="C54" s="4">
        <f>(C52-G85/G84)*10000</f>
        <v>100.39001121296798</v>
      </c>
      <c r="D54" s="4">
        <f>IFERROR((D52-C52)*10000,"n/a")</f>
        <v>-39.787013899870715</v>
      </c>
      <c r="E54" s="4" t="s">
        <v>34</v>
      </c>
      <c r="F54" s="4">
        <f>IFERROR((F52-D52)*10000,"n/a")</f>
        <v>-127.28657106690605</v>
      </c>
      <c r="G54" s="4">
        <f>IFERROR((G52-F52)*10000,"n/a")</f>
        <v>73.23766549475182</v>
      </c>
      <c r="H54" s="30">
        <f>IFERROR((H52-G52)*10000,"n/a")</f>
        <v>-128.5404495764003</v>
      </c>
      <c r="I54" s="7"/>
    </row>
    <row r="55">
      <c r="A55" s="10"/>
      <c r="B55" s="10"/>
      <c r="C55" s="1"/>
      <c r="D55" s="1"/>
      <c r="E55" s="1"/>
      <c r="F55" s="1"/>
      <c r="G55" s="1"/>
      <c r="H55" s="20"/>
      <c r="I55" s="7"/>
    </row>
    <row r="56">
      <c r="A56" s="10"/>
      <c r="B56" s="8" t="s">
        <v>145</v>
      </c>
      <c r="C56" s="3"/>
      <c r="D56" s="3"/>
      <c r="E56" s="3"/>
      <c r="F56" s="3"/>
      <c r="G56" s="3"/>
      <c r="H56" s="12"/>
      <c r="I56" s="7"/>
    </row>
    <row r="57">
      <c r="A57" s="10"/>
      <c r="B57" s="10" t="s">
        <v>146</v>
      </c>
      <c r="C57" s="3"/>
      <c r="D57" s="3"/>
      <c r="E57" s="3"/>
      <c r="F57" s="3"/>
      <c r="G57" s="3"/>
      <c r="H57" s="12">
        <f>G50</f>
        <v>102.473</v>
      </c>
      <c r="I57" s="7"/>
    </row>
    <row r="58">
      <c r="A58" s="10"/>
      <c r="B58" s="10" t="s">
        <v>147</v>
      </c>
      <c r="C58" s="3"/>
      <c r="D58" s="3"/>
      <c r="E58" s="3"/>
      <c r="F58" s="3"/>
      <c r="G58" s="3"/>
      <c r="H58" s="12">
        <f>H39-G39</f>
        <v>22.5996352312917</v>
      </c>
      <c r="I58" s="7"/>
    </row>
    <row r="59" ht="25.5">
      <c r="A59" s="10"/>
      <c r="B59" s="202" t="s">
        <v>148</v>
      </c>
      <c r="C59" s="203"/>
      <c r="D59" s="203"/>
      <c r="E59" s="203"/>
      <c r="F59" s="203"/>
      <c r="G59" s="203"/>
      <c r="H59" s="214">
        <v>0.15</v>
      </c>
      <c r="I59" s="208" t="s">
        <v>214</v>
      </c>
    </row>
    <row r="60">
      <c r="A60" s="10"/>
      <c r="B60" s="10" t="s">
        <v>150</v>
      </c>
      <c r="C60" s="3"/>
      <c r="D60" s="3"/>
      <c r="E60" s="3"/>
      <c r="F60" s="3"/>
      <c r="G60" s="3"/>
      <c r="H60" s="12">
        <f>H58*H59</f>
        <v>3.389945284693755</v>
      </c>
      <c r="I60" s="7"/>
    </row>
    <row r="61" ht="25.5">
      <c r="A61" s="10"/>
      <c r="B61" s="202" t="s">
        <v>151</v>
      </c>
      <c r="C61" s="203"/>
      <c r="D61" s="203"/>
      <c r="E61" s="203"/>
      <c r="F61" s="203"/>
      <c r="G61" s="203"/>
      <c r="H61" s="214">
        <v>0.34</v>
      </c>
      <c r="I61" s="208" t="s">
        <v>215</v>
      </c>
    </row>
    <row r="62">
      <c r="A62" s="10"/>
      <c r="B62" s="10" t="s">
        <v>153</v>
      </c>
      <c r="C62" s="3"/>
      <c r="D62" s="3"/>
      <c r="E62" s="3"/>
      <c r="F62" s="3"/>
      <c r="G62" s="3"/>
      <c r="H62" s="13">
        <f>-H61*'Income Statement'!H24</f>
        <v>-8.5</v>
      </c>
      <c r="I62" s="7"/>
    </row>
    <row r="63">
      <c r="A63" s="10"/>
      <c r="B63" s="31" t="s">
        <v>154</v>
      </c>
      <c r="C63" s="16"/>
      <c r="D63" s="16"/>
      <c r="E63" s="16"/>
      <c r="F63" s="16"/>
      <c r="G63" s="16"/>
      <c r="H63" s="77">
        <v>0.35</v>
      </c>
      <c r="I63" s="7" t="s">
        <v>216</v>
      </c>
    </row>
    <row r="64">
      <c r="A64" s="10"/>
      <c r="B64" s="10" t="s">
        <v>156</v>
      </c>
      <c r="C64" s="3"/>
      <c r="D64" s="3"/>
      <c r="E64" s="3"/>
      <c r="F64" s="3"/>
      <c r="G64" s="3"/>
      <c r="H64" s="13">
        <f>-H63*'Income Statement'!H25</f>
        <v>-3.5</v>
      </c>
      <c r="I64" s="7"/>
    </row>
    <row r="65" ht="25.5">
      <c r="A65" s="10"/>
      <c r="B65" s="206" t="s">
        <v>157</v>
      </c>
      <c r="C65" s="204"/>
      <c r="D65" s="204"/>
      <c r="E65" s="204"/>
      <c r="F65" s="204"/>
      <c r="G65" s="204"/>
      <c r="H65" s="213">
        <v>-2</v>
      </c>
      <c r="I65" s="208" t="s">
        <v>217</v>
      </c>
    </row>
    <row r="66" ht="25.5">
      <c r="A66" s="10"/>
      <c r="B66" s="206" t="s">
        <v>159</v>
      </c>
      <c r="C66" s="204"/>
      <c r="D66" s="204"/>
      <c r="E66" s="204"/>
      <c r="F66" s="204"/>
      <c r="G66" s="204"/>
      <c r="H66" s="213">
        <v>1</v>
      </c>
      <c r="I66" s="208" t="s">
        <v>218</v>
      </c>
    </row>
    <row r="67">
      <c r="A67" s="10"/>
      <c r="B67" s="6" t="s">
        <v>161</v>
      </c>
      <c r="C67" s="17"/>
      <c r="D67" s="17"/>
      <c r="E67" s="17"/>
      <c r="F67" s="17"/>
      <c r="G67" s="17"/>
      <c r="H67" s="25">
        <f>H57+H60+H62+H64+H65+H66</f>
        <v>92.86294528469375</v>
      </c>
      <c r="I67" s="7"/>
    </row>
    <row r="68">
      <c r="A68" s="10"/>
      <c r="B68" s="10"/>
      <c r="C68" s="1"/>
      <c r="D68" s="1"/>
      <c r="E68" s="1"/>
      <c r="F68" s="1"/>
      <c r="G68" s="1"/>
      <c r="H68" s="20"/>
      <c r="I68" s="7"/>
    </row>
    <row r="69">
      <c r="A69" s="10"/>
      <c r="B69" s="8" t="s">
        <v>219</v>
      </c>
      <c r="C69" s="3"/>
      <c r="D69" s="3"/>
      <c r="E69" s="3"/>
      <c r="F69" s="3"/>
      <c r="G69" s="3"/>
      <c r="H69" s="12"/>
      <c r="I69" s="7"/>
    </row>
    <row r="70">
      <c r="A70" s="10"/>
      <c r="B70" s="10" t="s">
        <v>168</v>
      </c>
      <c r="C70" s="46">
        <f>G86</f>
        <v>32345</v>
      </c>
      <c r="D70" s="46">
        <f>C72</f>
        <v>32240</v>
      </c>
      <c r="E70" s="46">
        <f>E86</f>
        <v>32046</v>
      </c>
      <c r="F70" s="46">
        <f>D72</f>
        <v>32090</v>
      </c>
      <c r="G70" s="46">
        <f>F72</f>
        <v>32608</v>
      </c>
      <c r="H70" s="56">
        <f>G72</f>
        <v>34343</v>
      </c>
      <c r="I70" s="7"/>
    </row>
    <row r="71">
      <c r="A71" s="10"/>
      <c r="B71" s="10" t="s">
        <v>220</v>
      </c>
      <c r="C71" s="46">
        <f>C72-C70</f>
        <v>-105</v>
      </c>
      <c r="D71" s="46">
        <f>D72-D70</f>
        <v>-150</v>
      </c>
      <c r="E71" s="46">
        <f>E72-E70</f>
        <v>44</v>
      </c>
      <c r="F71" s="46">
        <f>F72-F70</f>
        <v>518</v>
      </c>
      <c r="G71" s="46">
        <f>G72-G70</f>
        <v>1735</v>
      </c>
      <c r="H71" s="56">
        <f>H72-H70</f>
        <v>157</v>
      </c>
      <c r="I71" s="7"/>
    </row>
    <row r="72" ht="25.5">
      <c r="A72" s="10"/>
      <c r="B72" s="215" t="s">
        <v>170</v>
      </c>
      <c r="C72" s="228">
        <v>32240</v>
      </c>
      <c r="D72" s="228">
        <v>32090</v>
      </c>
      <c r="E72" s="228">
        <v>32090</v>
      </c>
      <c r="F72" s="228">
        <v>32608</v>
      </c>
      <c r="G72" s="228">
        <v>34343</v>
      </c>
      <c r="H72" s="238">
        <v>34500</v>
      </c>
      <c r="I72" s="208"/>
    </row>
    <row r="73">
      <c r="A73" s="10"/>
      <c r="B73" s="10" t="s">
        <v>167</v>
      </c>
      <c r="C73" s="46">
        <f>C72-C86</f>
        <v>273</v>
      </c>
      <c r="D73" s="46">
        <f>D72-D86</f>
        <v>44</v>
      </c>
      <c r="E73" s="46">
        <f>E72-E86</f>
        <v>44</v>
      </c>
      <c r="F73" s="46">
        <f>F72-F86</f>
        <v>245</v>
      </c>
      <c r="G73" s="46">
        <f>G72-G86</f>
        <v>1998</v>
      </c>
      <c r="H73" s="56">
        <f>H72-H86</f>
        <v>2260</v>
      </c>
      <c r="I73" s="7"/>
    </row>
    <row r="74">
      <c r="A74" s="10"/>
      <c r="B74" s="10" t="s">
        <v>172</v>
      </c>
      <c r="C74" s="52">
        <v>33152</v>
      </c>
      <c r="D74" s="52">
        <v>33054</v>
      </c>
      <c r="E74" s="52">
        <v>33038</v>
      </c>
      <c r="F74" s="52">
        <v>33349</v>
      </c>
      <c r="G74" s="52">
        <v>35645</v>
      </c>
      <c r="H74" s="66">
        <v>35800</v>
      </c>
      <c r="I74" s="7"/>
    </row>
    <row r="75">
      <c r="A75" s="10"/>
      <c r="B75" s="10" t="s">
        <v>130</v>
      </c>
      <c r="C75" s="46">
        <f>C74-C87</f>
        <v>627</v>
      </c>
      <c r="D75" s="46">
        <f>D74-D87</f>
        <v>481</v>
      </c>
      <c r="E75" s="46">
        <f>E74-E87</f>
        <v>399</v>
      </c>
      <c r="F75" s="46">
        <f>F74-F87</f>
        <v>431</v>
      </c>
      <c r="G75" s="46">
        <f>G74-G87</f>
        <v>2618</v>
      </c>
      <c r="H75" s="56">
        <f>H74-H87</f>
        <v>2648</v>
      </c>
      <c r="I75" s="7"/>
    </row>
    <row r="76">
      <c r="A76" s="10"/>
      <c r="B76" s="10" t="s">
        <v>131</v>
      </c>
      <c r="C76" s="46">
        <f>C74-G87</f>
        <v>125</v>
      </c>
      <c r="D76" s="46">
        <f>D74-C74</f>
        <v>-98</v>
      </c>
      <c r="E76" s="46" t="s">
        <v>34</v>
      </c>
      <c r="F76" s="46">
        <f>F74-D74</f>
        <v>295</v>
      </c>
      <c r="G76" s="46">
        <f>G74-F74</f>
        <v>2296</v>
      </c>
      <c r="H76" s="56">
        <f>H74-G74</f>
        <v>155</v>
      </c>
      <c r="I76" s="7"/>
    </row>
    <row r="77">
      <c r="A77" s="10"/>
      <c r="B77" s="10"/>
      <c r="C77" s="1"/>
      <c r="D77" s="1"/>
      <c r="E77" s="1"/>
      <c r="F77" s="1"/>
      <c r="G77" s="1"/>
      <c r="H77" s="20"/>
      <c r="I77" s="7"/>
    </row>
    <row r="78">
      <c r="A78" s="10"/>
      <c r="B78" s="8" t="s">
        <v>112</v>
      </c>
      <c r="C78" s="3"/>
      <c r="D78" s="3"/>
      <c r="E78" s="3"/>
      <c r="F78" s="3"/>
      <c r="G78" s="3"/>
      <c r="H78" s="12"/>
      <c r="I78" s="7"/>
    </row>
    <row r="79">
      <c r="A79" s="10"/>
      <c r="B79" s="10" t="s">
        <v>221</v>
      </c>
      <c r="C79" s="52">
        <v>12761</v>
      </c>
      <c r="D79" s="52">
        <v>12647</v>
      </c>
      <c r="E79" s="52">
        <v>12647</v>
      </c>
      <c r="F79" s="52">
        <v>12624</v>
      </c>
      <c r="G79" s="52">
        <v>12739</v>
      </c>
      <c r="H79" s="56">
        <f>C11</f>
        <v>12702</v>
      </c>
      <c r="I79" s="7"/>
    </row>
    <row r="80">
      <c r="A80" s="10"/>
      <c r="B80" s="10" t="s">
        <v>222</v>
      </c>
      <c r="C80" s="52">
        <v>12800</v>
      </c>
      <c r="D80" s="52">
        <v>12711</v>
      </c>
      <c r="E80" s="52">
        <v>12988</v>
      </c>
      <c r="F80" s="52">
        <v>12624</v>
      </c>
      <c r="G80" s="52">
        <v>12689</v>
      </c>
      <c r="H80" s="56">
        <f>C15</f>
        <v>12718</v>
      </c>
      <c r="I80" s="7"/>
    </row>
    <row r="81" ht="25.5">
      <c r="A81" s="10"/>
      <c r="B81" s="206" t="s">
        <v>223</v>
      </c>
      <c r="C81" s="231">
        <v>5073</v>
      </c>
      <c r="D81" s="231">
        <v>5210</v>
      </c>
      <c r="E81" s="231">
        <v>5075</v>
      </c>
      <c r="F81" s="231">
        <v>5127</v>
      </c>
      <c r="G81" s="231">
        <v>5163</v>
      </c>
      <c r="H81" s="229">
        <f>C22</f>
        <v>5209</v>
      </c>
      <c r="I81" s="208"/>
    </row>
    <row r="82">
      <c r="A82" s="10"/>
      <c r="B82" s="10" t="s">
        <v>177</v>
      </c>
      <c r="C82" s="52">
        <v>1005515</v>
      </c>
      <c r="D82" s="52">
        <v>967571</v>
      </c>
      <c r="E82" s="52">
        <v>3985221</v>
      </c>
      <c r="F82" s="52">
        <v>942894</v>
      </c>
      <c r="G82" s="52">
        <v>992772</v>
      </c>
      <c r="H82" s="56">
        <f>C28</f>
        <v>992032</v>
      </c>
      <c r="I82" s="7"/>
    </row>
    <row r="83">
      <c r="A83" s="10"/>
      <c r="B83" s="10" t="s">
        <v>178</v>
      </c>
      <c r="C83" s="52">
        <v>180</v>
      </c>
      <c r="D83" s="52">
        <v>181</v>
      </c>
      <c r="E83" s="52">
        <v>181</v>
      </c>
      <c r="F83" s="52">
        <v>180</v>
      </c>
      <c r="G83" s="52">
        <v>177</v>
      </c>
      <c r="H83" s="56">
        <f>C31</f>
        <v>175</v>
      </c>
      <c r="I83" s="7"/>
    </row>
    <row r="84">
      <c r="A84" s="10"/>
      <c r="B84" s="10" t="s">
        <v>180</v>
      </c>
      <c r="C84" s="2">
        <v>845.963</v>
      </c>
      <c r="D84" s="2">
        <v>838.529</v>
      </c>
      <c r="E84" s="2">
        <v>3395.518</v>
      </c>
      <c r="F84" s="2">
        <v>822.292</v>
      </c>
      <c r="G84" s="2">
        <v>846.755</v>
      </c>
      <c r="H84" s="12">
        <f>C39</f>
        <v>864.11</v>
      </c>
      <c r="I84" s="7"/>
    </row>
    <row r="85">
      <c r="A85" s="10"/>
      <c r="B85" s="10" t="s">
        <v>181</v>
      </c>
      <c r="C85" s="2">
        <v>95.51</v>
      </c>
      <c r="D85" s="2">
        <v>90.309</v>
      </c>
      <c r="E85" s="2">
        <v>375.878</v>
      </c>
      <c r="F85" s="2">
        <v>80.273</v>
      </c>
      <c r="G85" s="2">
        <v>93.687</v>
      </c>
      <c r="H85" s="12">
        <f>C50</f>
        <v>104.282</v>
      </c>
      <c r="I85" s="7"/>
    </row>
    <row r="86">
      <c r="A86" s="10"/>
      <c r="B86" s="10" t="s">
        <v>184</v>
      </c>
      <c r="C86" s="52">
        <v>31967</v>
      </c>
      <c r="D86" s="52">
        <v>32046</v>
      </c>
      <c r="E86" s="52">
        <v>32046</v>
      </c>
      <c r="F86" s="52">
        <v>32363</v>
      </c>
      <c r="G86" s="52">
        <v>32345</v>
      </c>
      <c r="H86" s="56">
        <f>C72</f>
        <v>32240</v>
      </c>
      <c r="I86" s="7"/>
    </row>
    <row r="87" ht="25.5">
      <c r="A87" s="10"/>
      <c r="B87" s="206" t="s">
        <v>185</v>
      </c>
      <c r="C87" s="227">
        <v>32525</v>
      </c>
      <c r="D87" s="227">
        <v>32573</v>
      </c>
      <c r="E87" s="227">
        <v>32639</v>
      </c>
      <c r="F87" s="227">
        <v>32918</v>
      </c>
      <c r="G87" s="227">
        <v>33027</v>
      </c>
      <c r="H87" s="225">
        <f>C74</f>
        <v>33152</v>
      </c>
      <c r="I87" s="208"/>
    </row>
    <row r="88">
      <c r="A88" s="10"/>
      <c r="B88" s="10"/>
      <c r="C88" s="1"/>
      <c r="D88" s="1"/>
      <c r="E88" s="1"/>
      <c r="F88" s="1"/>
      <c r="G88" s="1"/>
      <c r="H88" s="20"/>
      <c r="I88" s="7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224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119</v>
      </c>
      <c r="C8" s="3"/>
      <c r="D8" s="3"/>
      <c r="E8" s="3"/>
      <c r="F8" s="3"/>
      <c r="G8" s="3"/>
      <c r="H8" s="12"/>
      <c r="I8" s="7"/>
    </row>
    <row r="9" ht="28.5">
      <c r="A9" s="10"/>
      <c r="B9" s="10" t="s">
        <v>225</v>
      </c>
      <c r="C9" s="52">
        <v>135309</v>
      </c>
      <c r="D9" s="52">
        <v>147759</v>
      </c>
      <c r="E9" s="46">
        <f>F71+G71+C9+D9</f>
        <v>553127</v>
      </c>
      <c r="F9" s="52">
        <v>151819</v>
      </c>
      <c r="G9" s="52">
        <v>156856</v>
      </c>
      <c r="H9" s="66">
        <v>157000</v>
      </c>
      <c r="I9" s="195" t="s">
        <v>226</v>
      </c>
    </row>
    <row r="10">
      <c r="A10" s="10"/>
      <c r="B10" s="31" t="s">
        <v>75</v>
      </c>
      <c r="C10" s="16">
        <f>IF(N(C71)&lt;=0,"n/a",IFERROR(C9/C71-1,"n/a"))</f>
        <v>-0.08454382463380805</v>
      </c>
      <c r="D10" s="16">
        <f>IF(N(D71)&lt;=0,"n/a",IFERROR(D9/D71-1,"n/a"))</f>
        <v>-0.06741353193637967</v>
      </c>
      <c r="E10" s="16">
        <f>IF(N(E71)&lt;=0,"n/a",IFERROR(E9/E71-1,"n/a"))</f>
        <v>-0.0930173451350651</v>
      </c>
      <c r="F10" s="16">
        <f>IF(N(F71)&lt;=0,"n/a",IFERROR(F9/F71-1,"n/a"))</f>
        <v>0.10218230921129057</v>
      </c>
      <c r="G10" s="16">
        <f>IF(N(G71)&lt;=0,"n/a",IFERROR(G9/G71-1,"n/a"))</f>
        <v>0.18547405811888296</v>
      </c>
      <c r="H10" s="72">
        <f>IF(N(H71)&lt;=0,"n/a",IFERROR(H9/H71-1,"n/a"))</f>
        <v>0.1603071488223251</v>
      </c>
      <c r="I10" s="7"/>
    </row>
    <row r="11">
      <c r="A11" s="10"/>
      <c r="B11" s="10" t="s">
        <v>122</v>
      </c>
      <c r="C11" s="46">
        <f>C9-G71</f>
        <v>2994</v>
      </c>
      <c r="D11" s="46">
        <f>D9-C9</f>
        <v>12450</v>
      </c>
      <c r="E11" s="46" t="s">
        <v>34</v>
      </c>
      <c r="F11" s="46">
        <f>F9-D9</f>
        <v>4060</v>
      </c>
      <c r="G11" s="46">
        <f>G9-F9</f>
        <v>5037</v>
      </c>
      <c r="H11" s="56">
        <f>H9-G9</f>
        <v>144</v>
      </c>
      <c r="I11" s="7"/>
    </row>
    <row r="12" ht="25.5">
      <c r="A12" s="10"/>
      <c r="B12" s="202" t="s">
        <v>227</v>
      </c>
      <c r="C12" s="218">
        <v>0.63</v>
      </c>
      <c r="D12" s="218">
        <v>0.65</v>
      </c>
      <c r="E12" s="203" t="s">
        <v>89</v>
      </c>
      <c r="F12" s="218">
        <v>0.67</v>
      </c>
      <c r="G12" s="218">
        <v>0.65</v>
      </c>
      <c r="H12" s="214">
        <v>0.65</v>
      </c>
      <c r="I12" s="208"/>
    </row>
    <row r="13">
      <c r="A13" s="10"/>
      <c r="B13" s="10" t="s">
        <v>110</v>
      </c>
      <c r="C13" s="4">
        <f>IFERROR((C12-C77)*10000,"n/a")</f>
        <v>100.00000000000009</v>
      </c>
      <c r="D13" s="4">
        <f>IFERROR((D12-D77)*10000,"n/a")</f>
        <v>200.00000000000017</v>
      </c>
      <c r="E13" s="4" t="str">
        <f>IFERROR((E12-E77)*10000,"n/a")</f>
        <v>n/a</v>
      </c>
      <c r="F13" s="4">
        <f>IFERROR((F12-F77)*10000,"n/a")</f>
        <v>200.00000000000017</v>
      </c>
      <c r="G13" s="4">
        <f>IFERROR((G12-G77)*10000,"n/a")</f>
        <v>300.0000000000003</v>
      </c>
      <c r="H13" s="30">
        <f>IFERROR((H12-H77)*10000,"n/a")</f>
        <v>200.00000000000017</v>
      </c>
      <c r="I13" s="7"/>
    </row>
    <row r="14">
      <c r="A14" s="10"/>
      <c r="B14" s="10" t="s">
        <v>111</v>
      </c>
      <c r="C14" s="4">
        <f>(C12-G77)*10000</f>
        <v>100.00000000000009</v>
      </c>
      <c r="D14" s="4">
        <f>IFERROR((D12-C12)*10000,"n/a")</f>
        <v>200.00000000000017</v>
      </c>
      <c r="E14" s="4" t="s">
        <v>34</v>
      </c>
      <c r="F14" s="4">
        <f>IFERROR((F12-D12)*10000,"n/a")</f>
        <v>200.00000000000017</v>
      </c>
      <c r="G14" s="4">
        <f>IFERROR((G12-F12)*10000,"n/a")</f>
        <v>-200.00000000000017</v>
      </c>
      <c r="H14" s="30">
        <f>IFERROR((H12-G12)*10000,"n/a")</f>
        <v>0</v>
      </c>
      <c r="I14" s="7"/>
    </row>
    <row r="15" ht="25.5">
      <c r="A15" s="10"/>
      <c r="B15" s="202" t="s">
        <v>228</v>
      </c>
      <c r="C15" s="203">
        <f>IF(ISNUMBER(C12),1-C12,"n/a")</f>
        <v>0.37</v>
      </c>
      <c r="D15" s="203">
        <f>IF(ISNUMBER(D12),1-D12,"n/a")</f>
        <v>0.35</v>
      </c>
      <c r="E15" s="203" t="str">
        <f>IF(ISNUMBER(E12),1-E12,"n/a")</f>
        <v>n/a</v>
      </c>
      <c r="F15" s="203">
        <f>IF(ISNUMBER(F12),1-F12,"n/a")</f>
        <v>0.32999999999999996</v>
      </c>
      <c r="G15" s="203">
        <f>IF(ISNUMBER(G12),1-G12,"n/a")</f>
        <v>0.35</v>
      </c>
      <c r="H15" s="222">
        <f>IF(ISNUMBER(H12),1-H12,"n/a")</f>
        <v>0.35</v>
      </c>
      <c r="I15" s="208"/>
    </row>
    <row r="16">
      <c r="A16" s="10"/>
      <c r="B16" s="10" t="s">
        <v>111</v>
      </c>
      <c r="C16" s="4">
        <f>IFERROR((C15-(1-G77))*10000,"n/a")</f>
        <v>-100.00000000000009</v>
      </c>
      <c r="D16" s="4">
        <f>IFERROR((D15-C15)*10000,"n/a")</f>
        <v>-200.00000000000017</v>
      </c>
      <c r="E16" s="4" t="s">
        <v>34</v>
      </c>
      <c r="F16" s="4">
        <f>IFERROR((F15-D15)*10000,"n/a")</f>
        <v>-200.00000000000017</v>
      </c>
      <c r="G16" s="4">
        <f>IFERROR((G15-F15)*10000,"n/a")</f>
        <v>200.00000000000017</v>
      </c>
      <c r="H16" s="30">
        <f>IFERROR((H15-G15)*10000,"n/a")</f>
        <v>0</v>
      </c>
      <c r="I16" s="7"/>
    </row>
    <row r="17">
      <c r="A17" s="10"/>
      <c r="B17" s="10" t="s">
        <v>110</v>
      </c>
      <c r="C17" s="4">
        <f>IFERROR((C15-(1-C77))*10000,"n/a")</f>
        <v>-100.00000000000009</v>
      </c>
      <c r="D17" s="4">
        <f>IFERROR((D15-(1-D77))*10000,"n/a")</f>
        <v>-200.00000000000017</v>
      </c>
      <c r="E17" s="4" t="str">
        <f>IFERROR((E15-(1-E77))*10000,"n/a")</f>
        <v>n/a</v>
      </c>
      <c r="F17" s="4">
        <f>IFERROR((F15-(1-F77))*10000,"n/a")</f>
        <v>-200.00000000000017</v>
      </c>
      <c r="G17" s="4">
        <f>IFERROR((G15-(1-G77))*10000,"n/a")</f>
        <v>-300.0000000000003</v>
      </c>
      <c r="H17" s="30">
        <f>IFERROR((H15-(1-H77))*10000,"n/a")</f>
        <v>-200.00000000000017</v>
      </c>
      <c r="I17" s="7"/>
    </row>
    <row r="18">
      <c r="A18" s="10"/>
      <c r="B18" s="10" t="s">
        <v>229</v>
      </c>
      <c r="C18" s="46">
        <f>IF(ISNUMBER(C12),C9*C12,"n/a")</f>
        <v>85244.67</v>
      </c>
      <c r="D18" s="46">
        <f>IF(ISNUMBER(D12),D9*D12,"n/a")</f>
        <v>96043.35</v>
      </c>
      <c r="E18" s="46" t="str">
        <f>IF(ISNUMBER(E12),E9*E12,"n/a")</f>
        <v>n/a</v>
      </c>
      <c r="F18" s="46">
        <f>IF(ISNUMBER(F12),F9*F12,"n/a")</f>
        <v>101718.73000000001</v>
      </c>
      <c r="G18" s="46">
        <f>IF(ISNUMBER(G12),G9*G12,"n/a")</f>
        <v>101956.40000000001</v>
      </c>
      <c r="H18" s="56">
        <f>IF(ISNUMBER(H12),H9*H12,"n/a")</f>
        <v>102050</v>
      </c>
      <c r="I18" s="7"/>
    </row>
    <row r="19">
      <c r="A19" s="10"/>
      <c r="B19" s="10" t="s">
        <v>230</v>
      </c>
      <c r="C19" s="46">
        <f>IFERROR(C18-C71*C77,"n/a")</f>
        <v>-6394.430000000008</v>
      </c>
      <c r="D19" s="46">
        <f>IFERROR(D18-D71*D77,"n/a")</f>
        <v>-3773.8499999999913</v>
      </c>
      <c r="E19" s="46" t="str">
        <f>IFERROR(E18-E71*E77,"n/a")</f>
        <v>n/a</v>
      </c>
      <c r="F19" s="46">
        <f>IFERROR(F18-F71*F77,"n/a")</f>
        <v>12185.130000000005</v>
      </c>
      <c r="G19" s="46">
        <f>IFERROR(G18-G71*G77,"n/a")</f>
        <v>19921.100000000006</v>
      </c>
      <c r="H19" s="56">
        <f>IFERROR(H18-H71*H77,"n/a")</f>
        <v>16805.33</v>
      </c>
      <c r="I19" s="7"/>
    </row>
    <row r="20">
      <c r="A20" s="10"/>
      <c r="B20" s="10" t="s">
        <v>231</v>
      </c>
      <c r="C20" s="46">
        <f>IFERROR(C18-G71*G77,"n/a")</f>
        <v>3209.3699999999953</v>
      </c>
      <c r="D20" s="46">
        <f>IFERROR(D18-C18,"n/a")</f>
        <v>10798.680000000008</v>
      </c>
      <c r="E20" s="46" t="s">
        <v>34</v>
      </c>
      <c r="F20" s="46">
        <f>IFERROR(F18-D18,"n/a")</f>
        <v>5675.380000000005</v>
      </c>
      <c r="G20" s="46">
        <f>IFERROR(G18-F18,"n/a")</f>
        <v>237.66999999999825</v>
      </c>
      <c r="H20" s="56">
        <f>IFERROR(H18-G18,"n/a")</f>
        <v>93.59999999999127</v>
      </c>
      <c r="I20" s="7"/>
    </row>
    <row r="21">
      <c r="A21" s="10"/>
      <c r="B21" s="10" t="s">
        <v>232</v>
      </c>
      <c r="C21" s="46">
        <f>IF(ISNUMBER(C12),C9-C18,"n/a")</f>
        <v>50064.33</v>
      </c>
      <c r="D21" s="46">
        <f>IF(ISNUMBER(D12),D9-D18,"n/a")</f>
        <v>51715.649999999994</v>
      </c>
      <c r="E21" s="46" t="str">
        <f>IF(ISNUMBER(E12),E9-E18,"n/a")</f>
        <v>n/a</v>
      </c>
      <c r="F21" s="46">
        <f>IF(ISNUMBER(F12),F9-F18,"n/a")</f>
        <v>50100.26999999999</v>
      </c>
      <c r="G21" s="46">
        <f>IF(ISNUMBER(G12),G9-G18,"n/a")</f>
        <v>54899.59999999999</v>
      </c>
      <c r="H21" s="56">
        <f>IF(ISNUMBER(H12),H9-H18,"n/a")</f>
        <v>54950</v>
      </c>
      <c r="I21" s="7"/>
    </row>
    <row r="22">
      <c r="A22" s="10"/>
      <c r="B22" s="10" t="s">
        <v>233</v>
      </c>
      <c r="C22" s="46">
        <f>IFERROR(C21-C71*(1-C77),"n/a")</f>
        <v>-6101.57</v>
      </c>
      <c r="D22" s="46">
        <f>IFERROR(D21-D71*(1-D77),"n/a")</f>
        <v>-6907.150000000009</v>
      </c>
      <c r="E22" s="46" t="str">
        <f>IFERROR(E21-E71*(1-E77),"n/a")</f>
        <v>n/a</v>
      </c>
      <c r="F22" s="46">
        <f>IFERROR(F21-F71*(1-F77),"n/a")</f>
        <v>1889.8699999999953</v>
      </c>
      <c r="G22" s="46">
        <f>IFERROR(G21-G71*(1-G77),"n/a")</f>
        <v>4619.899999999994</v>
      </c>
      <c r="H22" s="56">
        <f>IFERROR(H21-H71*(1-H77),"n/a")</f>
        <v>4885.669999999998</v>
      </c>
      <c r="I22" s="7"/>
    </row>
    <row r="23">
      <c r="A23" s="10"/>
      <c r="B23" s="10" t="s">
        <v>234</v>
      </c>
      <c r="C23" s="46">
        <f>IFERROR(C21-G71*(1-G77),"n/a")</f>
        <v>-215.36999999999534</v>
      </c>
      <c r="D23" s="46">
        <f>IFERROR(D21-C21,"n/a")</f>
        <v>1651.3199999999924</v>
      </c>
      <c r="E23" s="46" t="s">
        <v>34</v>
      </c>
      <c r="F23" s="46">
        <f>IFERROR(F21-D21,"n/a")</f>
        <v>-1615.3800000000047</v>
      </c>
      <c r="G23" s="46">
        <f>IFERROR(G21-F21,"n/a")</f>
        <v>4799.330000000002</v>
      </c>
      <c r="H23" s="56">
        <f>IFERROR(H21-G21,"n/a")</f>
        <v>50.40000000000873</v>
      </c>
      <c r="I23" s="7"/>
    </row>
    <row r="24" ht="25.5">
      <c r="A24" s="10"/>
      <c r="B24" s="202" t="s">
        <v>235</v>
      </c>
      <c r="C24" s="218">
        <v>0.64</v>
      </c>
      <c r="D24" s="218">
        <v>0.66</v>
      </c>
      <c r="E24" s="203" t="s">
        <v>89</v>
      </c>
      <c r="F24" s="218">
        <v>0.66</v>
      </c>
      <c r="G24" s="218">
        <v>0.63</v>
      </c>
      <c r="H24" s="214">
        <v>0.63</v>
      </c>
      <c r="I24" s="208"/>
    </row>
    <row r="25">
      <c r="A25" s="10"/>
      <c r="B25" s="10" t="s">
        <v>110</v>
      </c>
      <c r="C25" s="4">
        <f>IFERROR((C24-C78)*10000,"n/a")</f>
        <v>300.0000000000003</v>
      </c>
      <c r="D25" s="4">
        <f>IFERROR((D24-D78)*10000,"n/a")</f>
        <v>300.0000000000003</v>
      </c>
      <c r="E25" s="4" t="str">
        <f>IFERROR((E24-E78)*10000,"n/a")</f>
        <v>n/a</v>
      </c>
      <c r="F25" s="4">
        <f>IFERROR((F24-F78)*10000,"n/a")</f>
        <v>300.0000000000003</v>
      </c>
      <c r="G25" s="4">
        <f>IFERROR((G24-G78)*10000,"n/a")</f>
        <v>0</v>
      </c>
      <c r="H25" s="30">
        <f>IFERROR((H24-H78)*10000,"n/a")</f>
        <v>-100.00000000000009</v>
      </c>
      <c r="I25" s="7"/>
    </row>
    <row r="26">
      <c r="A26" s="10"/>
      <c r="B26" s="10" t="s">
        <v>111</v>
      </c>
      <c r="C26" s="4">
        <f>(C24-G78)*10000</f>
        <v>100.00000000000009</v>
      </c>
      <c r="D26" s="4">
        <f>IFERROR((D24-C24)*10000,"n/a")</f>
        <v>200.00000000000017</v>
      </c>
      <c r="E26" s="4" t="s">
        <v>34</v>
      </c>
      <c r="F26" s="4">
        <f>IFERROR((F24-D24)*10000,"n/a")</f>
        <v>0</v>
      </c>
      <c r="G26" s="4">
        <f>IFERROR((G24-F24)*10000,"n/a")</f>
        <v>-300.0000000000003</v>
      </c>
      <c r="H26" s="30">
        <f>IFERROR((H24-G24)*10000,"n/a")</f>
        <v>0</v>
      </c>
      <c r="I26" s="7"/>
    </row>
    <row r="27">
      <c r="A27" s="10"/>
      <c r="B27" s="10" t="s">
        <v>236</v>
      </c>
      <c r="C27" s="52">
        <v>563</v>
      </c>
      <c r="D27" s="52">
        <v>575</v>
      </c>
      <c r="E27" s="52">
        <v>575</v>
      </c>
      <c r="F27" s="52">
        <v>654</v>
      </c>
      <c r="G27" s="52">
        <v>710</v>
      </c>
      <c r="H27" s="66">
        <v>720</v>
      </c>
      <c r="I27" s="7"/>
    </row>
    <row r="28">
      <c r="A28" s="10"/>
      <c r="B28" s="10" t="s">
        <v>167</v>
      </c>
      <c r="C28" s="46">
        <f>C27-C76</f>
        <v>-77</v>
      </c>
      <c r="D28" s="46">
        <f>D27-D76</f>
        <v>-15</v>
      </c>
      <c r="E28" s="46">
        <f>E27-E76</f>
        <v>-15</v>
      </c>
      <c r="F28" s="46">
        <f>F27-F76</f>
        <v>101</v>
      </c>
      <c r="G28" s="46">
        <f>G27-G76</f>
        <v>150</v>
      </c>
      <c r="H28" s="56">
        <f>H27-H76</f>
        <v>157</v>
      </c>
      <c r="I28" s="7"/>
    </row>
    <row r="29">
      <c r="A29" s="10"/>
      <c r="B29" s="10" t="s">
        <v>122</v>
      </c>
      <c r="C29" s="46">
        <f>C27-G76</f>
        <v>3</v>
      </c>
      <c r="D29" s="46">
        <f>D27-C27</f>
        <v>12</v>
      </c>
      <c r="E29" s="46" t="s">
        <v>34</v>
      </c>
      <c r="F29" s="46">
        <f>F27-D27</f>
        <v>79</v>
      </c>
      <c r="G29" s="46">
        <f>G27-F27</f>
        <v>56</v>
      </c>
      <c r="H29" s="56">
        <f>H27-G27</f>
        <v>10</v>
      </c>
      <c r="I29" s="7"/>
    </row>
    <row r="30">
      <c r="A30" s="10"/>
      <c r="B30" s="10" t="s">
        <v>237</v>
      </c>
      <c r="C30" s="46">
        <f>C9*4/C27</f>
        <v>961.3428063943162</v>
      </c>
      <c r="D30" s="46">
        <f>D9*4/D27</f>
        <v>1027.888695652174</v>
      </c>
      <c r="E30" s="46">
        <f>E9*1/E27</f>
        <v>961.96</v>
      </c>
      <c r="F30" s="46">
        <f>F9*4/F27</f>
        <v>928.5565749235474</v>
      </c>
      <c r="G30" s="46">
        <f>G9*4/G27</f>
        <v>883.6957746478873</v>
      </c>
      <c r="H30" s="56">
        <f>H9*4/H27</f>
        <v>872.2222222222222</v>
      </c>
      <c r="I30" s="7"/>
    </row>
    <row r="31">
      <c r="A31" s="10"/>
      <c r="B31" s="10" t="s">
        <v>167</v>
      </c>
      <c r="C31" s="46">
        <f>C30-C71*4/C76</f>
        <v>37.5615563943162</v>
      </c>
      <c r="D31" s="46">
        <f>D30-D71*4/D76</f>
        <v>-46.28079587324987</v>
      </c>
      <c r="E31" s="46">
        <f>E30-E71*1/E76</f>
        <v>-71.69084745762711</v>
      </c>
      <c r="F31" s="46">
        <f>F30-F71*4/F76</f>
        <v>-67.7833889100873</v>
      </c>
      <c r="G31" s="46">
        <f>G30-G71*4/G76</f>
        <v>-61.411368209255556</v>
      </c>
      <c r="H31" s="56">
        <f>H30-H71*4/H76</f>
        <v>-89.12058417209403</v>
      </c>
      <c r="I31" s="7"/>
    </row>
    <row r="32">
      <c r="A32" s="10"/>
      <c r="B32" s="10" t="s">
        <v>122</v>
      </c>
      <c r="C32" s="46">
        <f>C30-G71*4/G76</f>
        <v>16.23566353717331</v>
      </c>
      <c r="D32" s="46">
        <f>D30-C30</f>
        <v>66.54588925785777</v>
      </c>
      <c r="E32" s="46" t="s">
        <v>34</v>
      </c>
      <c r="F32" s="46">
        <f>F30-D30</f>
        <v>-99.33212072862659</v>
      </c>
      <c r="G32" s="46">
        <f>G30-F30</f>
        <v>-44.86080027566004</v>
      </c>
      <c r="H32" s="56">
        <f>H30-G30</f>
        <v>-11.473552425665162</v>
      </c>
      <c r="I32" s="7"/>
    </row>
    <row r="33">
      <c r="A33" s="10"/>
      <c r="B33" s="8" t="s">
        <v>132</v>
      </c>
      <c r="C33" s="3"/>
      <c r="D33" s="3"/>
      <c r="E33" s="3"/>
      <c r="F33" s="3"/>
      <c r="G33" s="3"/>
      <c r="H33" s="12"/>
      <c r="I33" s="7"/>
    </row>
    <row r="34" ht="28.5">
      <c r="A34" s="10"/>
      <c r="B34" s="10" t="s">
        <v>238</v>
      </c>
      <c r="C34" s="58">
        <v>2042</v>
      </c>
      <c r="D34" s="58">
        <v>2061</v>
      </c>
      <c r="E34" s="58">
        <v>2005</v>
      </c>
      <c r="F34" s="58">
        <v>2126</v>
      </c>
      <c r="G34" s="58">
        <v>2477</v>
      </c>
      <c r="H34" s="83">
        <v>2440</v>
      </c>
      <c r="I34" s="195" t="s">
        <v>239</v>
      </c>
    </row>
    <row r="35">
      <c r="A35" s="10"/>
      <c r="B35" s="31" t="s">
        <v>75</v>
      </c>
      <c r="C35" s="16">
        <f>IF(N(C72)&lt;=0,"n/a",IFERROR(C34/C72-1,"n/a"))</f>
        <v>0.08501594048884176</v>
      </c>
      <c r="D35" s="16">
        <f>IF(N(D72)&lt;=0,"n/a",IFERROR(D34/D72-1,"n/a"))</f>
        <v>0.06127703398558193</v>
      </c>
      <c r="E35" s="16">
        <f>IF(N(E72)&lt;=0,"n/a",IFERROR(E34/E72-1,"n/a"))</f>
        <v>0.07104700854700852</v>
      </c>
      <c r="F35" s="16">
        <f>IF(N(F72)&lt;=0,"n/a",IFERROR(F34/F72-1,"n/a"))</f>
        <v>0.09249743062692706</v>
      </c>
      <c r="G35" s="16">
        <f>IF(N(G72)&lt;=0,"n/a",IFERROR(G34/G72-1,"n/a"))</f>
        <v>0.2592780884595831</v>
      </c>
      <c r="H35" s="72">
        <f>IF(N(H72)&lt;=0,"n/a",IFERROR(H34/H72-1,"n/a"))</f>
        <v>0.19490695396669921</v>
      </c>
      <c r="I35" s="7"/>
    </row>
    <row r="36">
      <c r="A36" s="10"/>
      <c r="B36" s="10" t="s">
        <v>135</v>
      </c>
      <c r="C36" s="68">
        <f>C34-G72</f>
        <v>75</v>
      </c>
      <c r="D36" s="68">
        <f>D34-C34</f>
        <v>19</v>
      </c>
      <c r="E36" s="68" t="s">
        <v>34</v>
      </c>
      <c r="F36" s="68">
        <f>F34-D34</f>
        <v>65</v>
      </c>
      <c r="G36" s="68">
        <f>G34-F34</f>
        <v>351</v>
      </c>
      <c r="H36" s="82">
        <f>H34-G34</f>
        <v>-37</v>
      </c>
      <c r="I36" s="7"/>
    </row>
    <row r="37">
      <c r="A37" s="10"/>
      <c r="B37" s="8" t="s">
        <v>138</v>
      </c>
      <c r="C37" s="3"/>
      <c r="D37" s="3"/>
      <c r="E37" s="3"/>
      <c r="F37" s="3"/>
      <c r="G37" s="3"/>
      <c r="H37" s="12"/>
      <c r="I37" s="7"/>
    </row>
    <row r="38">
      <c r="A38" s="10"/>
      <c r="B38" s="10" t="s">
        <v>139</v>
      </c>
      <c r="C38" s="3">
        <f>C9*C34/1000000</f>
        <v>276.300978</v>
      </c>
      <c r="D38" s="3">
        <f>D9*D34/1000000</f>
        <v>304.531299</v>
      </c>
      <c r="E38" s="3">
        <f>E9*E34/1000000</f>
        <v>1109.019635</v>
      </c>
      <c r="F38" s="3">
        <f>F9*F34/1000000</f>
        <v>322.767194</v>
      </c>
      <c r="G38" s="3">
        <f>G9*G34/1000000</f>
        <v>388.532312</v>
      </c>
      <c r="H38" s="12">
        <f>H9*H34/1000000</f>
        <v>383.08</v>
      </c>
      <c r="I38" s="7"/>
    </row>
    <row r="39" ht="28.5">
      <c r="A39" s="10"/>
      <c r="B39" s="6" t="s">
        <v>240</v>
      </c>
      <c r="C39" s="55">
        <v>276.343</v>
      </c>
      <c r="D39" s="55">
        <v>304.589</v>
      </c>
      <c r="E39" s="17">
        <f>F73+G73+C39+D39</f>
        <v>1109.218</v>
      </c>
      <c r="F39" s="55">
        <v>322.737</v>
      </c>
      <c r="G39" s="55">
        <v>388.495</v>
      </c>
      <c r="H39" s="25">
        <f>H38</f>
        <v>383.08</v>
      </c>
      <c r="I39" s="195" t="s">
        <v>141</v>
      </c>
    </row>
    <row r="40">
      <c r="A40" s="10"/>
      <c r="B40" s="10" t="s">
        <v>142</v>
      </c>
      <c r="C40" s="3">
        <f>C39-C38</f>
        <v>0.04202200000003131</v>
      </c>
      <c r="D40" s="3">
        <f>D39-D38</f>
        <v>0.05770100000000866</v>
      </c>
      <c r="E40" s="3">
        <f>E39-E38</f>
        <v>0.19836499999996704</v>
      </c>
      <c r="F40" s="3">
        <f>F39-F38</f>
        <v>-0.030193999999994503</v>
      </c>
      <c r="G40" s="3">
        <f>G39-G38</f>
        <v>-0.0373119999999858</v>
      </c>
      <c r="H40" s="12">
        <f>H39-H38</f>
        <v>0</v>
      </c>
      <c r="I40" s="7"/>
    </row>
    <row r="41">
      <c r="A41" s="10"/>
      <c r="B41" s="31" t="s">
        <v>75</v>
      </c>
      <c r="C41" s="16">
        <f>IF(N(C73)&lt;=0,"n/a",IFERROR(C39/C73-1,"n/a"))</f>
        <v>-0.006592924648694876</v>
      </c>
      <c r="D41" s="16">
        <f>IF(N(D73)&lt;=0,"n/a",IFERROR(D39/D73-1,"n/a"))</f>
        <v>-0.009898125694819182</v>
      </c>
      <c r="E41" s="16">
        <f>IF(N(E73)&lt;=0,"n/a",IFERROR(E39/E73-1,"n/a"))</f>
        <v>-0.02825905078954849</v>
      </c>
      <c r="F41" s="16">
        <f>IF(N(F73)&lt;=0,"n/a",IFERROR(F39/F73-1,"n/a"))</f>
        <v>0.20404935029081162</v>
      </c>
      <c r="G41" s="16">
        <f>IF(N(G73)&lt;=0,"n/a",IFERROR(G39/G73-1,"n/a"))</f>
        <v>0.49281632935371955</v>
      </c>
      <c r="H41" s="72">
        <f>IF(N(H73)&lt;=0,"n/a",IFERROR(H39/H73-1,"n/a"))</f>
        <v>0.38624824945810077</v>
      </c>
      <c r="I41" s="7"/>
    </row>
    <row r="42">
      <c r="A42" s="10"/>
      <c r="B42" s="31" t="s">
        <v>76</v>
      </c>
      <c r="C42" s="16">
        <f>IFERROR(C39/G73-1,"n/a")</f>
        <v>0.06186525670238985</v>
      </c>
      <c r="D42" s="16">
        <f>IFERROR(D39/C39-1,"n/a")</f>
        <v>0.10221355344626049</v>
      </c>
      <c r="E42" s="16" t="s">
        <v>34</v>
      </c>
      <c r="F42" s="16">
        <f>IFERROR(F39/D39-1,"n/a")</f>
        <v>0.05958192843471055</v>
      </c>
      <c r="G42" s="16">
        <f>IFERROR(G39/F39-1,"n/a")</f>
        <v>0.20375104187000548</v>
      </c>
      <c r="H42" s="72">
        <f>IFERROR(H39/G39-1,"n/a")</f>
        <v>-0.013938403325654214</v>
      </c>
      <c r="I42" s="7"/>
    </row>
    <row r="43">
      <c r="A43" s="10"/>
      <c r="B43" s="31" t="s">
        <v>77</v>
      </c>
      <c r="C43" s="19">
        <f>C39/'Revenue summary'!C45</f>
        <v>0.09051828476361962</v>
      </c>
      <c r="D43" s="19">
        <f>D39/'Revenue summary'!D45</f>
        <v>0.098361571594374</v>
      </c>
      <c r="E43" s="19">
        <f>E39/'Revenue summary'!E45</f>
        <v>0.09244179728206192</v>
      </c>
      <c r="F43" s="19">
        <f>F39/'Revenue summary'!F45</f>
        <v>0.10559069207139822</v>
      </c>
      <c r="G43" s="19">
        <f>G39/'Revenue summary'!G45</f>
        <v>0.11114795427912257</v>
      </c>
      <c r="H43" s="71">
        <f>H39/'Revenue summary'!H45</f>
        <v>0.10710531315011063</v>
      </c>
      <c r="I43" s="7"/>
    </row>
    <row r="44" ht="41.25">
      <c r="A44" s="10"/>
      <c r="B44" s="31" t="s">
        <v>78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7">
        <v>0</v>
      </c>
      <c r="I44" s="195" t="s">
        <v>88</v>
      </c>
    </row>
    <row r="45" ht="28.5">
      <c r="A45" s="10"/>
      <c r="B45" s="31" t="s">
        <v>79</v>
      </c>
      <c r="C45" s="16" t="s">
        <v>89</v>
      </c>
      <c r="D45" s="16" t="s">
        <v>89</v>
      </c>
      <c r="E45" s="16" t="s">
        <v>89</v>
      </c>
      <c r="F45" s="16" t="s">
        <v>89</v>
      </c>
      <c r="G45" s="16" t="s">
        <v>89</v>
      </c>
      <c r="H45" s="72" t="s">
        <v>89</v>
      </c>
      <c r="I45" s="195" t="s">
        <v>90</v>
      </c>
    </row>
    <row r="46" ht="28.5">
      <c r="A46" s="10"/>
      <c r="B46" s="31" t="s">
        <v>80</v>
      </c>
      <c r="C46" s="16" t="str">
        <f>IF(AND(ISNUMBER(C45),ISNUMBER(C41)),(1+C41)/((1+C44)*(1+C45))-1,"n/a")</f>
        <v>n/a</v>
      </c>
      <c r="D46" s="16" t="str">
        <f>IF(AND(ISNUMBER(D45),ISNUMBER(D41)),(1+D41)/((1+D44)*(1+D45))-1,"n/a")</f>
        <v>n/a</v>
      </c>
      <c r="E46" s="16" t="str">
        <f>IF(AND(ISNUMBER(E45),ISNUMBER(E41)),(1+E41)/((1+E44)*(1+E45))-1,"n/a")</f>
        <v>n/a</v>
      </c>
      <c r="F46" s="16" t="str">
        <f>IF(AND(ISNUMBER(F45),ISNUMBER(F41)),(1+F41)/((1+F44)*(1+F45))-1,"n/a")</f>
        <v>n/a</v>
      </c>
      <c r="G46" s="16" t="str">
        <f>IF(AND(ISNUMBER(G45),ISNUMBER(G41)),(1+G41)/((1+G44)*(1+G45))-1,"n/a")</f>
        <v>n/a</v>
      </c>
      <c r="H46" s="72" t="str">
        <f>IF(AND(ISNUMBER(H45),ISNUMBER(H41)),(1+H41)/((1+H44)*(1+H45))-1,"n/a")</f>
        <v>n/a</v>
      </c>
      <c r="I46" s="195" t="s">
        <v>91</v>
      </c>
    </row>
    <row r="47">
      <c r="A47" s="10"/>
      <c r="B47" s="31" t="s">
        <v>92</v>
      </c>
      <c r="C47" s="16">
        <f>C41</f>
        <v>-0.006592924648694876</v>
      </c>
      <c r="D47" s="16">
        <f>D41</f>
        <v>-0.009898125694819182</v>
      </c>
      <c r="E47" s="16">
        <f>E41</f>
        <v>-0.02825905078954849</v>
      </c>
      <c r="F47" s="16">
        <f>F41</f>
        <v>0.20404935029081162</v>
      </c>
      <c r="G47" s="16">
        <f>G41</f>
        <v>0.49281632935371955</v>
      </c>
      <c r="H47" s="72">
        <f>H41</f>
        <v>0.38624824945810077</v>
      </c>
      <c r="I47" s="7"/>
    </row>
    <row r="48">
      <c r="A48" s="10"/>
      <c r="B48" s="10"/>
      <c r="C48" s="1"/>
      <c r="D48" s="1"/>
      <c r="E48" s="1"/>
      <c r="F48" s="1"/>
      <c r="G48" s="1"/>
      <c r="H48" s="20"/>
      <c r="I48" s="7"/>
    </row>
    <row r="49">
      <c r="A49" s="10"/>
      <c r="B49" s="8" t="s">
        <v>241</v>
      </c>
      <c r="C49" s="3"/>
      <c r="D49" s="3"/>
      <c r="E49" s="3"/>
      <c r="F49" s="3"/>
      <c r="G49" s="3"/>
      <c r="H49" s="12"/>
      <c r="I49" s="7"/>
    </row>
    <row r="50">
      <c r="A50" s="10"/>
      <c r="B50" s="31" t="s">
        <v>242</v>
      </c>
      <c r="C50" s="70">
        <v>0.15</v>
      </c>
      <c r="D50" s="70">
        <v>0.124</v>
      </c>
      <c r="E50" s="70">
        <v>0.145</v>
      </c>
      <c r="F50" s="70">
        <v>0.12</v>
      </c>
      <c r="G50" s="70">
        <v>0.125</v>
      </c>
      <c r="H50" s="77">
        <v>0.13</v>
      </c>
      <c r="I50" s="7" t="s">
        <v>243</v>
      </c>
    </row>
    <row r="51">
      <c r="A51" s="10"/>
      <c r="B51" s="10" t="s">
        <v>110</v>
      </c>
      <c r="C51" s="4">
        <f>IFERROR((C53/C39-C79/C73)*10000,"n/a")</f>
        <v>-290</v>
      </c>
      <c r="D51" s="4">
        <f>IFERROR((D53/D39-D79/D73)*10000,"n/a")</f>
        <v>-489.9999999999999</v>
      </c>
      <c r="E51" s="4">
        <f>IFERROR((E53/E39-E79/E73)*10000,"n/a")</f>
        <v>-162.41503473618386</v>
      </c>
      <c r="F51" s="4">
        <f>IFERROR((F53/F39-F79/F73)*10000,"n/a")</f>
        <v>-330.00000000000017</v>
      </c>
      <c r="G51" s="4">
        <f>IFERROR((G53/G39-G79/G73)*10000,"n/a")</f>
        <v>-300</v>
      </c>
      <c r="H51" s="30">
        <f>IFERROR((H53/H39-H79/H73)*10000,"n/a")</f>
        <v>-199.9999999999999</v>
      </c>
      <c r="I51" s="7"/>
    </row>
    <row r="52">
      <c r="A52" s="10"/>
      <c r="B52" s="10" t="s">
        <v>111</v>
      </c>
      <c r="C52" s="4">
        <f>(C50-G75)*10000</f>
        <v>-50.00000000000004</v>
      </c>
      <c r="D52" s="4">
        <f>IFERROR((D50-C50)*10000,"n/a")</f>
        <v>-259.99999999999994</v>
      </c>
      <c r="E52" s="4" t="s">
        <v>34</v>
      </c>
      <c r="F52" s="4">
        <f>IFERROR((F50-D50)*10000,"n/a")</f>
        <v>-40.000000000000036</v>
      </c>
      <c r="G52" s="4">
        <f>IFERROR((G50-F50)*10000,"n/a")</f>
        <v>50.00000000000004</v>
      </c>
      <c r="H52" s="30">
        <f>IFERROR((H50-G50)*10000,"n/a")</f>
        <v>50.00000000000004</v>
      </c>
      <c r="I52" s="7"/>
    </row>
    <row r="53" ht="66.75">
      <c r="A53" s="10"/>
      <c r="B53" s="6" t="s">
        <v>244</v>
      </c>
      <c r="C53" s="17">
        <f>C39*C50</f>
        <v>41.45145</v>
      </c>
      <c r="D53" s="17">
        <f>D39*D50</f>
        <v>37.769036</v>
      </c>
      <c r="E53" s="17">
        <f>F79+G79+C53+D53</f>
        <v>160.56873</v>
      </c>
      <c r="F53" s="17">
        <f>F39*F50</f>
        <v>38.72844</v>
      </c>
      <c r="G53" s="17">
        <f>G39*G50</f>
        <v>48.561875</v>
      </c>
      <c r="H53" s="25">
        <f>H39*H50</f>
        <v>49.800399999999996</v>
      </c>
      <c r="I53" s="195" t="s">
        <v>245</v>
      </c>
    </row>
    <row r="54">
      <c r="A54" s="10"/>
      <c r="B54" s="31" t="s">
        <v>75</v>
      </c>
      <c r="C54" s="16">
        <f>IF(N(C79)&lt;=0,"n/a",IFERROR(C53/C79-1,"n/a"))</f>
        <v>-0.16753597037600132</v>
      </c>
      <c r="D54" s="16">
        <f>IF(N(D79)&lt;=0,"n/a",IFERROR(D53/D79-1,"n/a"))</f>
        <v>-0.29033160454426343</v>
      </c>
      <c r="E54" s="16">
        <f>IF(N(E79)&lt;=0,"n/a",IFERROR(E53/E79-1,"n/a"))</f>
        <v>-0.12628721229301898</v>
      </c>
      <c r="F54" s="16">
        <f>IF(N(F79)&lt;=0,"n/a",IFERROR(F53/F79-1,"n/a"))</f>
        <v>-0.05564756839936347</v>
      </c>
      <c r="G54" s="16">
        <f>IF(N(G79)&lt;=0,"n/a",IFERROR(G53/G79-1,"n/a"))</f>
        <v>0.20388413657558013</v>
      </c>
      <c r="H54" s="72">
        <f>IF(N(H79)&lt;=0,"n/a",IFERROR(H53/H79-1,"n/a"))</f>
        <v>0.201415149530354</v>
      </c>
      <c r="I54" s="7"/>
    </row>
    <row r="55">
      <c r="A55" s="10"/>
      <c r="B55" s="10" t="s">
        <v>246</v>
      </c>
      <c r="C55" s="3">
        <f>C53-G79</f>
        <v>1.113785</v>
      </c>
      <c r="D55" s="3">
        <f>D53-C53</f>
        <v>-3.6824140000000014</v>
      </c>
      <c r="E55" s="3" t="s">
        <v>34</v>
      </c>
      <c r="F55" s="3">
        <f>F53-D53</f>
        <v>0.9594039999999993</v>
      </c>
      <c r="G55" s="3">
        <f>G53-F53</f>
        <v>9.833435000000001</v>
      </c>
      <c r="H55" s="12">
        <f>H53-G53</f>
        <v>1.2385249999999957</v>
      </c>
      <c r="I55" s="7"/>
    </row>
    <row r="56">
      <c r="A56" s="10"/>
      <c r="B56" s="10" t="s">
        <v>247</v>
      </c>
      <c r="C56" s="3">
        <f>C39-C53</f>
        <v>234.89155000000002</v>
      </c>
      <c r="D56" s="3">
        <f>D39-D53</f>
        <v>266.819964</v>
      </c>
      <c r="E56" s="3">
        <f>E39-E53</f>
        <v>948.6492700000001</v>
      </c>
      <c r="F56" s="3">
        <f>F39-F53</f>
        <v>284.00856000000005</v>
      </c>
      <c r="G56" s="3">
        <f>G39-G53</f>
        <v>339.933125</v>
      </c>
      <c r="H56" s="12">
        <f>H39-H53</f>
        <v>333.27959999999996</v>
      </c>
      <c r="I56" s="7"/>
    </row>
    <row r="57">
      <c r="A57" s="10"/>
      <c r="B57" s="10" t="s">
        <v>248</v>
      </c>
      <c r="C57" s="3">
        <f>C53-C61</f>
        <v>42.203450000000004</v>
      </c>
      <c r="D57" s="3">
        <f>D53-D61</f>
        <v>41.113036</v>
      </c>
      <c r="E57" s="3">
        <f>E53-E61</f>
        <v>170.88473</v>
      </c>
      <c r="F57" s="3">
        <f>F53-F61</f>
        <v>43.37944</v>
      </c>
      <c r="G57" s="3">
        <f>G53-G61</f>
        <v>46.866875</v>
      </c>
      <c r="H57" s="12">
        <f>G57*(1+H60)</f>
        <v>47.33554375</v>
      </c>
      <c r="I57" s="7" t="s">
        <v>249</v>
      </c>
    </row>
    <row r="58">
      <c r="A58" s="10"/>
      <c r="B58" s="10" t="s">
        <v>250</v>
      </c>
      <c r="C58" s="3">
        <f>C57-(C79-C74)</f>
        <v>-10.845233</v>
      </c>
      <c r="D58" s="3">
        <f>D57-(D79-D74)</f>
        <v>-33.91864599999999</v>
      </c>
      <c r="E58" s="3">
        <f>E57-(E79-E74)</f>
        <v>-68.787745</v>
      </c>
      <c r="F58" s="3">
        <f>F57-(F79-F74)</f>
        <v>-0.29713899999999427</v>
      </c>
      <c r="G58" s="3">
        <f>G57-(G79-G74)</f>
        <v>2.975209999999997</v>
      </c>
      <c r="H58" s="12">
        <f>H57-(H79-H74)</f>
        <v>5.132093749999996</v>
      </c>
      <c r="I58" s="7"/>
    </row>
    <row r="59">
      <c r="A59" s="10"/>
      <c r="B59" s="10" t="s">
        <v>246</v>
      </c>
      <c r="C59" s="3">
        <f>C57-(G79-G74)</f>
        <v>-1.6882149999999996</v>
      </c>
      <c r="D59" s="3">
        <f>D57-C57</f>
        <v>-1.0904140000000027</v>
      </c>
      <c r="E59" s="3" t="s">
        <v>34</v>
      </c>
      <c r="F59" s="3">
        <f>F57-D57</f>
        <v>2.2664040000000014</v>
      </c>
      <c r="G59" s="3">
        <f>G57-F57</f>
        <v>3.487434999999998</v>
      </c>
      <c r="H59" s="12">
        <f>H57-G57</f>
        <v>0.4686687499999991</v>
      </c>
      <c r="I59" s="7"/>
    </row>
    <row r="60" ht="25.5">
      <c r="A60" s="10"/>
      <c r="B60" s="202" t="s">
        <v>251</v>
      </c>
      <c r="C60" s="203"/>
      <c r="D60" s="203"/>
      <c r="E60" s="203"/>
      <c r="F60" s="203"/>
      <c r="G60" s="203"/>
      <c r="H60" s="214">
        <v>0.01</v>
      </c>
      <c r="I60" s="208" t="s">
        <v>252</v>
      </c>
    </row>
    <row r="61">
      <c r="A61" s="10"/>
      <c r="B61" s="6" t="s">
        <v>253</v>
      </c>
      <c r="C61" s="55">
        <v>-0.752</v>
      </c>
      <c r="D61" s="55">
        <v>-3.344</v>
      </c>
      <c r="E61" s="17">
        <f>F74+G74+C61+D61</f>
        <v>-10.315999999999999</v>
      </c>
      <c r="F61" s="55">
        <v>-4.651</v>
      </c>
      <c r="G61" s="55">
        <v>1.695</v>
      </c>
      <c r="H61" s="25">
        <f>H68</f>
        <v>2.464856249999997</v>
      </c>
      <c r="I61" s="7"/>
    </row>
    <row r="62">
      <c r="A62" s="10"/>
      <c r="B62" s="31" t="s">
        <v>75</v>
      </c>
      <c r="C62" s="16" t="str">
        <f>IF(N(C74)&lt;=0,"n/a",IFERROR(C61/C74-1,"n/a"))</f>
        <v>n/a</v>
      </c>
      <c r="D62" s="16" t="str">
        <f>IF(N(D74)&lt;=0,"n/a",IFERROR(D61/D74-1,"n/a"))</f>
        <v>n/a</v>
      </c>
      <c r="E62" s="16" t="str">
        <f>IF(N(E74)&lt;=0,"n/a",IFERROR(E61/E74-1,"n/a"))</f>
        <v>n/a</v>
      </c>
      <c r="F62" s="16" t="str">
        <f>IF(N(F74)&lt;=0,"n/a",IFERROR(F61/F74-1,"n/a"))</f>
        <v>n/a</v>
      </c>
      <c r="G62" s="16" t="str">
        <f>IF(N(G74)&lt;=0,"n/a",IFERROR(G61/G74-1,"n/a"))</f>
        <v>n/a</v>
      </c>
      <c r="H62" s="72" t="str">
        <f>IF(N(H74)&lt;=0,"n/a",IFERROR(H61/H74-1,"n/a"))</f>
        <v>n/a</v>
      </c>
      <c r="I62" s="7"/>
    </row>
    <row r="63">
      <c r="A63" s="10"/>
      <c r="B63" s="31" t="s">
        <v>98</v>
      </c>
      <c r="C63" s="16">
        <f>C61/C39</f>
        <v>-0.002721255830616299</v>
      </c>
      <c r="D63" s="16">
        <f>D61/D39</f>
        <v>-0.010978728713118334</v>
      </c>
      <c r="E63" s="16">
        <f>E61/E39</f>
        <v>-0.009300245758723713</v>
      </c>
      <c r="F63" s="16">
        <f>F61/F39</f>
        <v>-0.014411114932592171</v>
      </c>
      <c r="G63" s="16">
        <f>G61/G39</f>
        <v>0.0043629905146784385</v>
      </c>
      <c r="H63" s="72">
        <f>H61/H39</f>
        <v>0.0064343120235981965</v>
      </c>
      <c r="I63" s="7"/>
    </row>
    <row r="64">
      <c r="A64" s="10"/>
      <c r="B64" s="10" t="s">
        <v>110</v>
      </c>
      <c r="C64" s="4">
        <f>IFERROR((C61/C39-C74/C73)*10000,"n/a")</f>
        <v>89.7992722909029</v>
      </c>
      <c r="D64" s="4">
        <f>IFERROR((D61/D39-D74/D73)*10000,"n/a")</f>
        <v>599.2045668251413</v>
      </c>
      <c r="E64" s="4">
        <f>IFERROR((E61/E39-E74/E73)*10000,"n/a")</f>
        <v>396.67099123993825</v>
      </c>
      <c r="F64" s="4">
        <f>IFERROR((F61/F39-F74/F73)*10000,"n/a")</f>
        <v>-44.649495785258466</v>
      </c>
      <c r="G64" s="4">
        <f>IFERROR((G61/G39-G74/G73)*10000,"n/a")</f>
        <v>180.19457739541355</v>
      </c>
      <c r="H64" s="30">
        <f>IFERROR((H61/H39-H74/H73)*10000,"n/a")</f>
        <v>91.55567854214496</v>
      </c>
      <c r="I64" s="7"/>
    </row>
    <row r="65">
      <c r="A65" s="10"/>
      <c r="B65" s="10" t="s">
        <v>111</v>
      </c>
      <c r="C65" s="4">
        <f>(C63-G74/G73)*10000</f>
        <v>109.35211394246618</v>
      </c>
      <c r="D65" s="4">
        <f>IFERROR((D63-C63)*10000,"n/a")</f>
        <v>-82.57472882502034</v>
      </c>
      <c r="E65" s="4" t="s">
        <v>34</v>
      </c>
      <c r="F65" s="4">
        <f>IFERROR((F63-D63)*10000,"n/a")</f>
        <v>-34.323862194738375</v>
      </c>
      <c r="G65" s="4">
        <f>IFERROR((G63-F63)*10000,"n/a")</f>
        <v>187.74105447270608</v>
      </c>
      <c r="H65" s="30">
        <f>IFERROR((H63-G63)*10000,"n/a")</f>
        <v>20.71321508919758</v>
      </c>
      <c r="I65" s="7"/>
    </row>
    <row r="66">
      <c r="A66" s="10"/>
      <c r="B66" s="10"/>
      <c r="C66" s="1"/>
      <c r="D66" s="1"/>
      <c r="E66" s="1"/>
      <c r="F66" s="1"/>
      <c r="G66" s="1"/>
      <c r="H66" s="20"/>
      <c r="I66" s="7"/>
    </row>
    <row r="67">
      <c r="A67" s="10"/>
      <c r="B67" s="8" t="s">
        <v>254</v>
      </c>
      <c r="C67" s="3"/>
      <c r="D67" s="3"/>
      <c r="E67" s="3"/>
      <c r="F67" s="3"/>
      <c r="G67" s="3"/>
      <c r="H67" s="12"/>
      <c r="I67" s="7"/>
    </row>
    <row r="68" ht="25.5">
      <c r="A68" s="10"/>
      <c r="B68" s="215" t="s">
        <v>255</v>
      </c>
      <c r="C68" s="223"/>
      <c r="D68" s="223"/>
      <c r="E68" s="223"/>
      <c r="F68" s="223"/>
      <c r="G68" s="223"/>
      <c r="H68" s="237">
        <f>H53-H57</f>
        <v>2.464856249999997</v>
      </c>
      <c r="I68" s="208"/>
    </row>
    <row r="69">
      <c r="A69" s="10"/>
      <c r="B69" s="10"/>
      <c r="C69" s="1"/>
      <c r="D69" s="1"/>
      <c r="E69" s="1"/>
      <c r="F69" s="1"/>
      <c r="G69" s="1"/>
      <c r="H69" s="20"/>
      <c r="I69" s="7"/>
    </row>
    <row r="70">
      <c r="A70" s="10"/>
      <c r="B70" s="8" t="s">
        <v>112</v>
      </c>
      <c r="C70" s="3"/>
      <c r="D70" s="3"/>
      <c r="E70" s="3"/>
      <c r="F70" s="3"/>
      <c r="G70" s="3"/>
      <c r="H70" s="12"/>
      <c r="I70" s="7"/>
    </row>
    <row r="71">
      <c r="A71" s="10"/>
      <c r="B71" s="10" t="s">
        <v>177</v>
      </c>
      <c r="C71" s="52">
        <v>147805</v>
      </c>
      <c r="D71" s="52">
        <v>158440</v>
      </c>
      <c r="E71" s="52">
        <v>609854</v>
      </c>
      <c r="F71" s="52">
        <v>137744</v>
      </c>
      <c r="G71" s="52">
        <v>132315</v>
      </c>
      <c r="H71" s="56">
        <f>C9</f>
        <v>135309</v>
      </c>
      <c r="I71" s="7"/>
    </row>
    <row r="72">
      <c r="A72" s="10"/>
      <c r="B72" s="10" t="s">
        <v>179</v>
      </c>
      <c r="C72" s="58">
        <v>1882</v>
      </c>
      <c r="D72" s="58">
        <v>1942</v>
      </c>
      <c r="E72" s="58">
        <v>1872</v>
      </c>
      <c r="F72" s="58">
        <v>1946</v>
      </c>
      <c r="G72" s="58">
        <v>1967</v>
      </c>
      <c r="H72" s="82">
        <f>C34</f>
        <v>2042</v>
      </c>
      <c r="I72" s="7"/>
    </row>
    <row r="73">
      <c r="A73" s="10"/>
      <c r="B73" s="10" t="s">
        <v>180</v>
      </c>
      <c r="C73" s="2">
        <v>278.177</v>
      </c>
      <c r="D73" s="2">
        <v>307.634</v>
      </c>
      <c r="E73" s="2">
        <v>1141.475</v>
      </c>
      <c r="F73" s="2">
        <v>268.043</v>
      </c>
      <c r="G73" s="2">
        <v>260.243</v>
      </c>
      <c r="H73" s="12">
        <f>C39</f>
        <v>276.343</v>
      </c>
      <c r="I73" s="7"/>
    </row>
    <row r="74">
      <c r="A74" s="10"/>
      <c r="B74" s="10" t="s">
        <v>181</v>
      </c>
      <c r="C74" s="2">
        <v>-3.255</v>
      </c>
      <c r="D74" s="2">
        <v>-21.811</v>
      </c>
      <c r="E74" s="2">
        <v>-55.895</v>
      </c>
      <c r="F74" s="2">
        <v>-2.666</v>
      </c>
      <c r="G74" s="2">
        <v>-3.554</v>
      </c>
      <c r="H74" s="12">
        <f>C61</f>
        <v>-0.752</v>
      </c>
      <c r="I74" s="7"/>
    </row>
    <row r="75">
      <c r="A75" s="10"/>
      <c r="B75" s="31" t="s">
        <v>256</v>
      </c>
      <c r="C75" s="70">
        <v>0.179</v>
      </c>
      <c r="D75" s="70">
        <v>0.173</v>
      </c>
      <c r="E75" s="70">
        <v>0.161</v>
      </c>
      <c r="F75" s="70">
        <v>0.153</v>
      </c>
      <c r="G75" s="70">
        <v>0.155</v>
      </c>
      <c r="H75" s="72">
        <f>C50</f>
        <v>0.15</v>
      </c>
      <c r="I75" s="7"/>
    </row>
    <row r="76">
      <c r="A76" s="10"/>
      <c r="B76" s="10" t="s">
        <v>257</v>
      </c>
      <c r="C76" s="52">
        <v>640</v>
      </c>
      <c r="D76" s="52">
        <v>590</v>
      </c>
      <c r="E76" s="52">
        <v>590</v>
      </c>
      <c r="F76" s="52">
        <v>553</v>
      </c>
      <c r="G76" s="52">
        <v>560</v>
      </c>
      <c r="H76" s="56">
        <f>C27</f>
        <v>563</v>
      </c>
      <c r="I76" s="7"/>
    </row>
    <row r="77">
      <c r="A77" s="10"/>
      <c r="B77" s="31" t="s">
        <v>258</v>
      </c>
      <c r="C77" s="70">
        <v>0.62</v>
      </c>
      <c r="D77" s="70">
        <v>0.63</v>
      </c>
      <c r="E77" s="16" t="s">
        <v>89</v>
      </c>
      <c r="F77" s="70">
        <v>0.65</v>
      </c>
      <c r="G77" s="70">
        <v>0.62</v>
      </c>
      <c r="H77" s="72">
        <f>C12</f>
        <v>0.63</v>
      </c>
      <c r="I77" s="7"/>
    </row>
    <row r="78">
      <c r="A78" s="10"/>
      <c r="B78" s="31" t="s">
        <v>259</v>
      </c>
      <c r="C78" s="70">
        <v>0.61</v>
      </c>
      <c r="D78" s="70">
        <v>0.63</v>
      </c>
      <c r="E78" s="16" t="s">
        <v>89</v>
      </c>
      <c r="F78" s="70">
        <v>0.63</v>
      </c>
      <c r="G78" s="70">
        <v>0.63</v>
      </c>
      <c r="H78" s="72">
        <f>C24</f>
        <v>0.64</v>
      </c>
      <c r="I78" s="7"/>
    </row>
    <row r="79">
      <c r="A79" s="10"/>
      <c r="B79" s="10" t="s">
        <v>260</v>
      </c>
      <c r="C79" s="3">
        <f>C73*C75</f>
        <v>49.793683</v>
      </c>
      <c r="D79" s="3">
        <f>D73*D75</f>
        <v>53.220682</v>
      </c>
      <c r="E79" s="3">
        <f>E73*E75</f>
        <v>183.77747499999998</v>
      </c>
      <c r="F79" s="3">
        <f>F73*F75</f>
        <v>41.010579</v>
      </c>
      <c r="G79" s="3">
        <f>G73*G75</f>
        <v>40.337665</v>
      </c>
      <c r="H79" s="12">
        <f>H73*H75</f>
        <v>41.45145</v>
      </c>
      <c r="I79" s="7"/>
    </row>
    <row r="80">
      <c r="A80" s="10"/>
      <c r="B80" s="10"/>
      <c r="C80" s="1"/>
      <c r="D80" s="1"/>
      <c r="E80" s="1"/>
      <c r="F80" s="1"/>
      <c r="G80" s="1"/>
      <c r="H80" s="20"/>
      <c r="I80" s="7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6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261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119</v>
      </c>
      <c r="C8" s="3"/>
      <c r="D8" s="3"/>
      <c r="E8" s="3"/>
      <c r="F8" s="3"/>
      <c r="G8" s="3"/>
      <c r="H8" s="12"/>
      <c r="I8" s="7"/>
    </row>
    <row r="9" ht="28.5">
      <c r="A9" s="10"/>
      <c r="B9" s="10" t="s">
        <v>262</v>
      </c>
      <c r="C9" s="52">
        <v>971244</v>
      </c>
      <c r="D9" s="52">
        <v>941115</v>
      </c>
      <c r="E9" s="46">
        <f>F55+G55+C9+D9</f>
        <v>3831619</v>
      </c>
      <c r="F9" s="52">
        <v>804736</v>
      </c>
      <c r="G9" s="52">
        <v>861905</v>
      </c>
      <c r="H9" s="66">
        <v>870000</v>
      </c>
      <c r="I9" s="195" t="s">
        <v>263</v>
      </c>
    </row>
    <row r="10">
      <c r="A10" s="10"/>
      <c r="B10" s="31" t="s">
        <v>75</v>
      </c>
      <c r="C10" s="16">
        <f>IF(N(C55)&lt;=0,"n/a",IFERROR(C9/C55-1,"n/a"))</f>
        <v>-0.0762619979684771</v>
      </c>
      <c r="D10" s="16">
        <f>IF(N(D55)&lt;=0,"n/a",IFERROR(D9/D55-1,"n/a"))</f>
        <v>-0.13654421344294176</v>
      </c>
      <c r="E10" s="16">
        <f>IF(N(E55)&lt;=0,"n/a",IFERROR(E9/E55-1,"n/a"))</f>
        <v>-0.1123480219748143</v>
      </c>
      <c r="F10" s="16">
        <f>IF(N(F55)&lt;=0,"n/a",IFERROR(F9/F55-1,"n/a"))</f>
        <v>-0.12561390088923274</v>
      </c>
      <c r="G10" s="16">
        <f>IF(N(G55)&lt;=0,"n/a",IFERROR(G9/G55-1,"n/a"))</f>
        <v>-0.1371596810943062</v>
      </c>
      <c r="H10" s="72">
        <f>IF(N(H55)&lt;=0,"n/a",IFERROR(H9/H55-1,"n/a"))</f>
        <v>-0.10424157060429717</v>
      </c>
      <c r="I10" s="7"/>
    </row>
    <row r="11">
      <c r="A11" s="10"/>
      <c r="B11" s="10" t="s">
        <v>122</v>
      </c>
      <c r="C11" s="46">
        <f>C9-G55</f>
        <v>-27672</v>
      </c>
      <c r="D11" s="46">
        <f>D9-C9</f>
        <v>-30129</v>
      </c>
      <c r="E11" s="46" t="s">
        <v>34</v>
      </c>
      <c r="F11" s="46">
        <f>F9-D9</f>
        <v>-136379</v>
      </c>
      <c r="G11" s="46">
        <f>G9-F9</f>
        <v>57169</v>
      </c>
      <c r="H11" s="56">
        <f>H9-G9</f>
        <v>8095</v>
      </c>
      <c r="I11" s="7"/>
    </row>
    <row r="12">
      <c r="A12" s="10"/>
      <c r="B12" s="10" t="s">
        <v>196</v>
      </c>
      <c r="C12" s="52">
        <v>1296</v>
      </c>
      <c r="D12" s="52">
        <v>1319</v>
      </c>
      <c r="E12" s="52">
        <v>1321</v>
      </c>
      <c r="F12" s="52">
        <v>1229</v>
      </c>
      <c r="G12" s="52">
        <v>1199</v>
      </c>
      <c r="H12" s="66">
        <v>1190</v>
      </c>
      <c r="I12" s="7"/>
    </row>
    <row r="13">
      <c r="A13" s="10"/>
      <c r="B13" s="10" t="s">
        <v>130</v>
      </c>
      <c r="C13" s="46">
        <f>C12-C56</f>
        <v>-38</v>
      </c>
      <c r="D13" s="46">
        <f>D12-D56</f>
        <v>-57</v>
      </c>
      <c r="E13" s="46">
        <f>E12-E56</f>
        <v>-52</v>
      </c>
      <c r="F13" s="46">
        <f>F12-F56</f>
        <v>-124</v>
      </c>
      <c r="G13" s="46">
        <f>G12-G56</f>
        <v>-118</v>
      </c>
      <c r="H13" s="56">
        <f>H12-H56</f>
        <v>-106</v>
      </c>
      <c r="I13" s="7"/>
    </row>
    <row r="14">
      <c r="A14" s="10"/>
      <c r="B14" s="10" t="s">
        <v>131</v>
      </c>
      <c r="C14" s="46">
        <f>C12-G56</f>
        <v>-21</v>
      </c>
      <c r="D14" s="46">
        <f>D12-C12</f>
        <v>23</v>
      </c>
      <c r="E14" s="46" t="s">
        <v>34</v>
      </c>
      <c r="F14" s="46">
        <f>F12-D12</f>
        <v>-90</v>
      </c>
      <c r="G14" s="46">
        <f>G12-F12</f>
        <v>-30</v>
      </c>
      <c r="H14" s="56">
        <f>H12-G12</f>
        <v>-9</v>
      </c>
      <c r="I14" s="7"/>
    </row>
    <row r="15">
      <c r="A15" s="10"/>
      <c r="B15" s="10" t="s">
        <v>264</v>
      </c>
      <c r="C15" s="46">
        <f>C9/C12/1</f>
        <v>749.4166666666666</v>
      </c>
      <c r="D15" s="46">
        <f>D9/D12/1</f>
        <v>713.5064442759666</v>
      </c>
      <c r="E15" s="46">
        <f>E9/E12/4</f>
        <v>725.1360711582134</v>
      </c>
      <c r="F15" s="46">
        <f>F9/F12/1</f>
        <v>654.7892595606183</v>
      </c>
      <c r="G15" s="46">
        <f>G9/G12/1</f>
        <v>718.8532110091743</v>
      </c>
      <c r="H15" s="56">
        <f>H9/H12/1</f>
        <v>731.09243697479</v>
      </c>
      <c r="I15" s="7"/>
    </row>
    <row r="16">
      <c r="A16" s="10"/>
      <c r="B16" s="10" t="s">
        <v>167</v>
      </c>
      <c r="C16" s="46">
        <f>C15-C55/C56/1</f>
        <v>-38.76024487756126</v>
      </c>
      <c r="D16" s="46">
        <f>D15-D55/D56/1</f>
        <v>-78.60111386356823</v>
      </c>
      <c r="E16" s="46">
        <f>E15-E55/E56/4</f>
        <v>-60.83952971578515</v>
      </c>
      <c r="F16" s="46">
        <f>F15-F55/F56/1</f>
        <v>-25.435426322604144</v>
      </c>
      <c r="G16" s="46">
        <f>G15-G55/G56/1</f>
        <v>-39.62514889970953</v>
      </c>
      <c r="H16" s="56">
        <f>H15-H55/H56/1</f>
        <v>-18.324229691876667</v>
      </c>
      <c r="I16" s="7"/>
    </row>
    <row r="17">
      <c r="A17" s="10"/>
      <c r="B17" s="10" t="s">
        <v>122</v>
      </c>
      <c r="C17" s="46">
        <f>C15-G55/G56</f>
        <v>-9.061693242217189</v>
      </c>
      <c r="D17" s="46">
        <f>D15-C15</f>
        <v>-35.91022239070003</v>
      </c>
      <c r="E17" s="46" t="s">
        <v>34</v>
      </c>
      <c r="F17" s="46">
        <f>F15-D15</f>
        <v>-58.71718471534825</v>
      </c>
      <c r="G17" s="46">
        <f>G15-F15</f>
        <v>64.06395144855594</v>
      </c>
      <c r="H17" s="56">
        <f>H15-G15</f>
        <v>12.239225965615674</v>
      </c>
      <c r="I17" s="7"/>
    </row>
    <row r="18">
      <c r="A18" s="10"/>
      <c r="B18" s="8" t="s">
        <v>132</v>
      </c>
      <c r="C18" s="3"/>
      <c r="D18" s="3"/>
      <c r="E18" s="3"/>
      <c r="F18" s="3"/>
      <c r="G18" s="3"/>
      <c r="H18" s="12"/>
      <c r="I18" s="7"/>
    </row>
    <row r="19" ht="28.5">
      <c r="A19" s="10"/>
      <c r="B19" s="10" t="s">
        <v>265</v>
      </c>
      <c r="C19" s="47">
        <f>C24*1000000/C9</f>
        <v>212.59436351730358</v>
      </c>
      <c r="D19" s="47">
        <f>D24*1000000/D9</f>
        <v>218.65340580056636</v>
      </c>
      <c r="E19" s="47">
        <f>E24*1000000/E9</f>
        <v>214.94543168305617</v>
      </c>
      <c r="F19" s="47">
        <f>F24*1000000/F9</f>
        <v>233.65053881024335</v>
      </c>
      <c r="G19" s="47">
        <f>G24*1000000/G9</f>
        <v>229.76662161143048</v>
      </c>
      <c r="H19" s="119">
        <v>228</v>
      </c>
      <c r="I19" s="195" t="s">
        <v>266</v>
      </c>
    </row>
    <row r="20">
      <c r="A20" s="10"/>
      <c r="B20" s="10" t="s">
        <v>130</v>
      </c>
      <c r="C20" s="47">
        <f>C19-C59</f>
        <v>4.954848495828031</v>
      </c>
      <c r="D20" s="47">
        <f>D19-D59</f>
        <v>9.886868192991642</v>
      </c>
      <c r="E20" s="47">
        <f>E19-E59</f>
        <v>4.030674669514411</v>
      </c>
      <c r="F20" s="47">
        <f>F19-F59</f>
        <v>15.576644701084177</v>
      </c>
      <c r="G20" s="47">
        <f>G19-G59</f>
        <v>18.911054176330822</v>
      </c>
      <c r="H20" s="53">
        <f>H19-H59</f>
        <v>15.405636482696423</v>
      </c>
      <c r="I20" s="7"/>
    </row>
    <row r="21">
      <c r="A21" s="10"/>
      <c r="B21" s="10" t="s">
        <v>135</v>
      </c>
      <c r="C21" s="47">
        <f>C19-G59</f>
        <v>1.738796082203919</v>
      </c>
      <c r="D21" s="47">
        <f>D19-C19</f>
        <v>6.059042283262784</v>
      </c>
      <c r="E21" s="47" t="s">
        <v>34</v>
      </c>
      <c r="F21" s="47">
        <f>F19-D19</f>
        <v>14.997133009676986</v>
      </c>
      <c r="G21" s="47">
        <f>G19-F19</f>
        <v>-3.883917198812867</v>
      </c>
      <c r="H21" s="53">
        <f>H19-G19</f>
        <v>-1.7666216114304802</v>
      </c>
      <c r="I21" s="7"/>
    </row>
    <row r="22">
      <c r="A22" s="10"/>
      <c r="B22" s="8" t="s">
        <v>138</v>
      </c>
      <c r="C22" s="3"/>
      <c r="D22" s="3"/>
      <c r="E22" s="3"/>
      <c r="F22" s="3"/>
      <c r="G22" s="3"/>
      <c r="H22" s="12"/>
      <c r="I22" s="7"/>
    </row>
    <row r="23">
      <c r="A23" s="10"/>
      <c r="B23" s="10" t="s">
        <v>139</v>
      </c>
      <c r="C23" s="3">
        <f>C9*C19/1000000</f>
        <v>206.481</v>
      </c>
      <c r="D23" s="3">
        <f>D9*D19/1000000</f>
        <v>205.778</v>
      </c>
      <c r="E23" s="3">
        <f>E9*E19/1000000</f>
        <v>823.589</v>
      </c>
      <c r="F23" s="3">
        <f>F9*F19/1000000</f>
        <v>188.027</v>
      </c>
      <c r="G23" s="3">
        <f>G9*G19/1000000</f>
        <v>198.037</v>
      </c>
      <c r="H23" s="12">
        <f>H9*H19/1000000</f>
        <v>198.36</v>
      </c>
      <c r="I23" s="7"/>
    </row>
    <row r="24" ht="28.5">
      <c r="A24" s="10"/>
      <c r="B24" s="6" t="s">
        <v>267</v>
      </c>
      <c r="C24" s="55">
        <v>206.481</v>
      </c>
      <c r="D24" s="55">
        <v>205.778</v>
      </c>
      <c r="E24" s="17">
        <f>F57+G57+C24+D24</f>
        <v>823.589</v>
      </c>
      <c r="F24" s="55">
        <v>188.027</v>
      </c>
      <c r="G24" s="55">
        <v>198.037</v>
      </c>
      <c r="H24" s="25">
        <f>H23</f>
        <v>198.36</v>
      </c>
      <c r="I24" s="195" t="s">
        <v>141</v>
      </c>
    </row>
    <row r="25" ht="25.5">
      <c r="A25" s="10"/>
      <c r="B25" s="10" t="s">
        <v>142</v>
      </c>
      <c r="C25" s="3">
        <f>C24-C23</f>
        <v>0</v>
      </c>
      <c r="D25" s="3">
        <f>D24-D23</f>
        <v>0</v>
      </c>
      <c r="E25" s="3">
        <f>E24-E23</f>
        <v>0</v>
      </c>
      <c r="F25" s="3">
        <f>F24-F23</f>
        <v>0</v>
      </c>
      <c r="G25" s="3">
        <f>G24-G23</f>
        <v>0</v>
      </c>
      <c r="H25" s="12">
        <f>H24-H23</f>
        <v>0</v>
      </c>
      <c r="I25" s="243" t="s">
        <v>268</v>
      </c>
    </row>
    <row r="26">
      <c r="A26" s="10"/>
      <c r="B26" s="31" t="s">
        <v>75</v>
      </c>
      <c r="C26" s="16">
        <f>IF(N(C57)&lt;=0,"n/a",IFERROR(C24/C57-1,"n/a"))</f>
        <v>-0.054219074927399524</v>
      </c>
      <c r="D26" s="16">
        <f>IF(N(D57)&lt;=0,"n/a",IFERROR(D24/D57-1,"n/a"))</f>
        <v>-0.09565225034389113</v>
      </c>
      <c r="E26" s="16">
        <f>IF(N(E57)&lt;=0,"n/a",IFERROR(E24/E57-1,"n/a"))</f>
        <v>-0.09538459848642933</v>
      </c>
      <c r="F26" s="16">
        <f>IF(N(F57)&lt;=0,"n/a",IFERROR(F24/F57-1,"n/a"))</f>
        <v>-0.06315799963129609</v>
      </c>
      <c r="G26" s="16">
        <f>IF(N(G57)&lt;=0,"n/a",IFERROR(G24/G57-1,"n/a"))</f>
        <v>-0.05977391312604752</v>
      </c>
      <c r="H26" s="72">
        <f>IF(N(H57)&lt;=0,"n/a",IFERROR(H24/H57-1,"n/a"))</f>
        <v>-0.03933049529980959</v>
      </c>
      <c r="I26" s="7"/>
    </row>
    <row r="27">
      <c r="A27" s="10"/>
      <c r="B27" s="31" t="s">
        <v>76</v>
      </c>
      <c r="C27" s="16">
        <f>IFERROR(C24/G57-1,"n/a")</f>
        <v>-0.0196840860858295</v>
      </c>
      <c r="D27" s="16">
        <f>IFERROR(D24/C24-1,"n/a")</f>
        <v>-0.003404671616274668</v>
      </c>
      <c r="E27" s="16" t="s">
        <v>34</v>
      </c>
      <c r="F27" s="16">
        <f>IFERROR(F24/D24-1,"n/a")</f>
        <v>-0.0862628658068404</v>
      </c>
      <c r="G27" s="16">
        <f>IFERROR(G24/F24-1,"n/a")</f>
        <v>0.053237035106660224</v>
      </c>
      <c r="H27" s="72">
        <f>IFERROR(H24/G24-1,"n/a")</f>
        <v>0.0016310083469250891</v>
      </c>
      <c r="I27" s="7"/>
    </row>
    <row r="28">
      <c r="A28" s="10"/>
      <c r="B28" s="31" t="s">
        <v>77</v>
      </c>
      <c r="C28" s="19">
        <f>C24/'Revenue summary'!C45</f>
        <v>0.06763444688766113</v>
      </c>
      <c r="D28" s="19">
        <f>D24/'Revenue summary'!D45</f>
        <v>0.06645232585401013</v>
      </c>
      <c r="E28" s="19">
        <f>E24/'Revenue summary'!E45</f>
        <v>0.06863758736491483</v>
      </c>
      <c r="F28" s="19">
        <f>F24/'Revenue summary'!F45</f>
        <v>0.061517275856529594</v>
      </c>
      <c r="G28" s="19">
        <f>G24/'Revenue summary'!G45</f>
        <v>0.05665814855165342</v>
      </c>
      <c r="H28" s="71">
        <f>H24/'Revenue summary'!H45</f>
        <v>0.055459459946893455</v>
      </c>
      <c r="I28" s="7"/>
    </row>
    <row r="29" ht="41.25">
      <c r="A29" s="10"/>
      <c r="B29" s="31" t="s">
        <v>78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7">
        <v>0</v>
      </c>
      <c r="I29" s="195" t="s">
        <v>88</v>
      </c>
    </row>
    <row r="30" ht="28.5">
      <c r="A30" s="10"/>
      <c r="B30" s="31" t="s">
        <v>79</v>
      </c>
      <c r="C30" s="16" t="s">
        <v>89</v>
      </c>
      <c r="D30" s="16" t="s">
        <v>89</v>
      </c>
      <c r="E30" s="16" t="s">
        <v>89</v>
      </c>
      <c r="F30" s="16" t="s">
        <v>89</v>
      </c>
      <c r="G30" s="16" t="s">
        <v>89</v>
      </c>
      <c r="H30" s="72" t="s">
        <v>89</v>
      </c>
      <c r="I30" s="195" t="s">
        <v>90</v>
      </c>
    </row>
    <row r="31" ht="28.5">
      <c r="A31" s="10"/>
      <c r="B31" s="31" t="s">
        <v>80</v>
      </c>
      <c r="C31" s="16" t="str">
        <f>IF(AND(ISNUMBER(C30),ISNUMBER(C26)),(1+C26)/((1+C29)*(1+C30))-1,"n/a")</f>
        <v>n/a</v>
      </c>
      <c r="D31" s="16" t="str">
        <f>IF(AND(ISNUMBER(D30),ISNUMBER(D26)),(1+D26)/((1+D29)*(1+D30))-1,"n/a")</f>
        <v>n/a</v>
      </c>
      <c r="E31" s="16" t="str">
        <f>IF(AND(ISNUMBER(E30),ISNUMBER(E26)),(1+E26)/((1+E29)*(1+E30))-1,"n/a")</f>
        <v>n/a</v>
      </c>
      <c r="F31" s="16" t="str">
        <f>IF(AND(ISNUMBER(F30),ISNUMBER(F26)),(1+F26)/((1+F29)*(1+F30))-1,"n/a")</f>
        <v>n/a</v>
      </c>
      <c r="G31" s="16" t="str">
        <f>IF(AND(ISNUMBER(G30),ISNUMBER(G26)),(1+G26)/((1+G29)*(1+G30))-1,"n/a")</f>
        <v>n/a</v>
      </c>
      <c r="H31" s="72" t="str">
        <f>IF(AND(ISNUMBER(H30),ISNUMBER(H26)),(1+H26)/((1+H29)*(1+H30))-1,"n/a")</f>
        <v>n/a</v>
      </c>
      <c r="I31" s="195" t="s">
        <v>91</v>
      </c>
    </row>
    <row r="32">
      <c r="A32" s="10"/>
      <c r="B32" s="31" t="s">
        <v>92</v>
      </c>
      <c r="C32" s="16">
        <f>C26</f>
        <v>-0.054219074927399524</v>
      </c>
      <c r="D32" s="16">
        <f>D26</f>
        <v>-0.09565225034389113</v>
      </c>
      <c r="E32" s="16">
        <f>E26</f>
        <v>-0.09538459848642933</v>
      </c>
      <c r="F32" s="16">
        <f>F26</f>
        <v>-0.06315799963129609</v>
      </c>
      <c r="G32" s="16">
        <f>G26</f>
        <v>-0.05977391312604752</v>
      </c>
      <c r="H32" s="72">
        <f>H26</f>
        <v>-0.03933049529980959</v>
      </c>
      <c r="I32" s="7"/>
    </row>
    <row r="33">
      <c r="A33" s="10"/>
      <c r="B33" s="10"/>
      <c r="C33" s="1"/>
      <c r="D33" s="1"/>
      <c r="E33" s="1"/>
      <c r="F33" s="1"/>
      <c r="G33" s="1"/>
      <c r="H33" s="20"/>
      <c r="I33" s="7"/>
    </row>
    <row r="34">
      <c r="A34" s="10"/>
      <c r="B34" s="8" t="s">
        <v>143</v>
      </c>
      <c r="C34" s="3"/>
      <c r="D34" s="3"/>
      <c r="E34" s="3"/>
      <c r="F34" s="3"/>
      <c r="G34" s="3"/>
      <c r="H34" s="12"/>
      <c r="I34" s="7"/>
    </row>
    <row r="35">
      <c r="A35" s="10"/>
      <c r="B35" s="6" t="s">
        <v>269</v>
      </c>
      <c r="C35" s="55">
        <v>6.913</v>
      </c>
      <c r="D35" s="55">
        <v>7.499</v>
      </c>
      <c r="E35" s="17">
        <f>F58+G58+C35+D35</f>
        <v>27.081</v>
      </c>
      <c r="F35" s="55">
        <v>7.165</v>
      </c>
      <c r="G35" s="55">
        <v>5.557</v>
      </c>
      <c r="H35" s="25">
        <f>H52</f>
        <v>4.055450000000001</v>
      </c>
      <c r="I35" s="7"/>
    </row>
    <row r="36">
      <c r="A36" s="10"/>
      <c r="B36" s="31" t="s">
        <v>75</v>
      </c>
      <c r="C36" s="16">
        <f>IF(N(C58)&lt;=0,"n/a",IFERROR(C35/C58-1,"n/a"))</f>
        <v>-0.4249230513268447</v>
      </c>
      <c r="D36" s="16">
        <f>IF(N(D58)&lt;=0,"n/a",IFERROR(D35/D58-1,"n/a"))</f>
        <v>-0.4306430794928251</v>
      </c>
      <c r="E36" s="16">
        <f>IF(N(E58)&lt;=0,"n/a",IFERROR(E35/E58-1,"n/a"))</f>
        <v>-0.549078375543234</v>
      </c>
      <c r="F36" s="16">
        <f>IF(N(F58)&lt;=0,"n/a",IFERROR(F35/F58-1,"n/a"))</f>
        <v>0.5322925577416595</v>
      </c>
      <c r="G36" s="16">
        <f>IF(N(G58)&lt;=0,"n/a",IFERROR(G35/G58-1,"n/a"))</f>
        <v>-0.3047666708369824</v>
      </c>
      <c r="H36" s="72">
        <f>IF(N(H58)&lt;=0,"n/a",IFERROR(H35/H58-1,"n/a"))</f>
        <v>-0.4133588890496165</v>
      </c>
      <c r="I36" s="7"/>
    </row>
    <row r="37">
      <c r="A37" s="10"/>
      <c r="B37" s="31" t="s">
        <v>98</v>
      </c>
      <c r="C37" s="16">
        <f>C35/C24</f>
        <v>0.033480078070137205</v>
      </c>
      <c r="D37" s="16">
        <f>D35/D24</f>
        <v>0.0364421852676185</v>
      </c>
      <c r="E37" s="16">
        <f>E35/E24</f>
        <v>0.032881692203271286</v>
      </c>
      <c r="F37" s="16">
        <f>F35/F24</f>
        <v>0.03810622942449755</v>
      </c>
      <c r="G37" s="16">
        <f>G35/G24</f>
        <v>0.028060412953135022</v>
      </c>
      <c r="H37" s="72">
        <f>H35/H24</f>
        <v>0.020444898164952617</v>
      </c>
      <c r="I37" s="7"/>
    </row>
    <row r="38">
      <c r="A38" s="10"/>
      <c r="B38" s="10" t="s">
        <v>110</v>
      </c>
      <c r="C38" s="4">
        <f>IFERROR((C35/C24-C58/C57)*10000,"n/a")</f>
        <v>-215.81804138384308</v>
      </c>
      <c r="D38" s="4">
        <f>IFERROR((D35/D24-D58/D57)*10000,"n/a")</f>
        <v>-214.41379597044437</v>
      </c>
      <c r="E38" s="4">
        <f>IFERROR((E35/E24-E58/E57)*10000,"n/a")</f>
        <v>-330.83840566958173</v>
      </c>
      <c r="F38" s="4">
        <f>IFERROR((F35/F24-F58/F57)*10000,"n/a")</f>
        <v>148.0812227114159</v>
      </c>
      <c r="G38" s="4">
        <f>IFERROR((G35/G24-G58/G57)*10000,"n/a")</f>
        <v>-98.88188128397736</v>
      </c>
      <c r="H38" s="30">
        <f>IFERROR((H35/H24-H58/H57)*10000,"n/a")</f>
        <v>-130.3517990518459</v>
      </c>
      <c r="I38" s="7"/>
    </row>
    <row r="39">
      <c r="A39" s="10"/>
      <c r="B39" s="10" t="s">
        <v>111</v>
      </c>
      <c r="C39" s="4">
        <f>(C37-G58/G57)*10000</f>
        <v>-44.685230113955534</v>
      </c>
      <c r="D39" s="4">
        <f>IFERROR((D37-C37)*10000,"n/a")</f>
        <v>29.62107197481294</v>
      </c>
      <c r="E39" s="4" t="s">
        <v>34</v>
      </c>
      <c r="F39" s="4">
        <f>IFERROR((F37-D37)*10000,"n/a")</f>
        <v>16.64044156879048</v>
      </c>
      <c r="G39" s="4">
        <f>IFERROR((G37-F37)*10000,"n/a")</f>
        <v>-100.45816471362525</v>
      </c>
      <c r="H39" s="30">
        <f>IFERROR((H37-G37)*10000,"n/a")</f>
        <v>-76.15514788182405</v>
      </c>
      <c r="I39" s="7"/>
    </row>
    <row r="40">
      <c r="A40" s="10"/>
      <c r="B40" s="10"/>
      <c r="C40" s="1"/>
      <c r="D40" s="1"/>
      <c r="E40" s="1"/>
      <c r="F40" s="1"/>
      <c r="G40" s="1"/>
      <c r="H40" s="20"/>
      <c r="I40" s="7"/>
    </row>
    <row r="41">
      <c r="A41" s="10"/>
      <c r="B41" s="8" t="s">
        <v>145</v>
      </c>
      <c r="C41" s="3"/>
      <c r="D41" s="3"/>
      <c r="E41" s="3"/>
      <c r="F41" s="3"/>
      <c r="G41" s="3"/>
      <c r="H41" s="12"/>
      <c r="I41" s="7"/>
    </row>
    <row r="42">
      <c r="A42" s="10"/>
      <c r="B42" s="10" t="s">
        <v>146</v>
      </c>
      <c r="C42" s="3"/>
      <c r="D42" s="3"/>
      <c r="E42" s="3"/>
      <c r="F42" s="3"/>
      <c r="G42" s="3"/>
      <c r="H42" s="12">
        <f>G35</f>
        <v>5.557</v>
      </c>
      <c r="I42" s="7"/>
    </row>
    <row r="43">
      <c r="A43" s="10"/>
      <c r="B43" s="10" t="s">
        <v>147</v>
      </c>
      <c r="C43" s="3"/>
      <c r="D43" s="3"/>
      <c r="E43" s="3"/>
      <c r="F43" s="3"/>
      <c r="G43" s="3"/>
      <c r="H43" s="12">
        <f>H24-G24</f>
        <v>0.3230000000000075</v>
      </c>
      <c r="I43" s="7"/>
    </row>
    <row r="44" ht="25.5">
      <c r="A44" s="10"/>
      <c r="B44" s="202" t="s">
        <v>148</v>
      </c>
      <c r="C44" s="203"/>
      <c r="D44" s="203"/>
      <c r="E44" s="203"/>
      <c r="F44" s="203"/>
      <c r="G44" s="203"/>
      <c r="H44" s="214">
        <v>0.15</v>
      </c>
      <c r="I44" s="208" t="s">
        <v>270</v>
      </c>
    </row>
    <row r="45">
      <c r="A45" s="10"/>
      <c r="B45" s="10" t="s">
        <v>150</v>
      </c>
      <c r="C45" s="3"/>
      <c r="D45" s="3"/>
      <c r="E45" s="3"/>
      <c r="F45" s="3"/>
      <c r="G45" s="3"/>
      <c r="H45" s="12">
        <f>H43*H44</f>
        <v>0.048450000000001124</v>
      </c>
      <c r="I45" s="7"/>
    </row>
    <row r="46" ht="25.5">
      <c r="A46" s="10"/>
      <c r="B46" s="202" t="s">
        <v>151</v>
      </c>
      <c r="C46" s="203"/>
      <c r="D46" s="203"/>
      <c r="E46" s="203"/>
      <c r="F46" s="203"/>
      <c r="G46" s="203"/>
      <c r="H46" s="214">
        <v>0.03</v>
      </c>
      <c r="I46" s="208" t="s">
        <v>271</v>
      </c>
    </row>
    <row r="47">
      <c r="A47" s="10"/>
      <c r="B47" s="10" t="s">
        <v>153</v>
      </c>
      <c r="C47" s="3"/>
      <c r="D47" s="3"/>
      <c r="E47" s="3"/>
      <c r="F47" s="3"/>
      <c r="G47" s="3"/>
      <c r="H47" s="13">
        <f>-H46*'Income Statement'!H24</f>
        <v>-0.75</v>
      </c>
      <c r="I47" s="7"/>
    </row>
    <row r="48">
      <c r="A48" s="10"/>
      <c r="B48" s="31" t="s">
        <v>154</v>
      </c>
      <c r="C48" s="16"/>
      <c r="D48" s="16"/>
      <c r="E48" s="16"/>
      <c r="F48" s="16"/>
      <c r="G48" s="16"/>
      <c r="H48" s="77">
        <v>0.05</v>
      </c>
      <c r="I48" s="7" t="s">
        <v>272</v>
      </c>
    </row>
    <row r="49">
      <c r="A49" s="10"/>
      <c r="B49" s="10" t="s">
        <v>156</v>
      </c>
      <c r="C49" s="3"/>
      <c r="D49" s="3"/>
      <c r="E49" s="3"/>
      <c r="F49" s="3"/>
      <c r="G49" s="3"/>
      <c r="H49" s="13">
        <f>-H48*'Income Statement'!H25</f>
        <v>-0.5</v>
      </c>
      <c r="I49" s="7"/>
    </row>
    <row r="50" ht="25.5">
      <c r="A50" s="10"/>
      <c r="B50" s="206" t="s">
        <v>157</v>
      </c>
      <c r="C50" s="204"/>
      <c r="D50" s="204"/>
      <c r="E50" s="204"/>
      <c r="F50" s="204"/>
      <c r="G50" s="204"/>
      <c r="H50" s="213">
        <v>-0.3</v>
      </c>
      <c r="I50" s="208" t="s">
        <v>273</v>
      </c>
    </row>
    <row r="51" ht="25.5">
      <c r="A51" s="10"/>
      <c r="B51" s="206" t="s">
        <v>159</v>
      </c>
      <c r="C51" s="204"/>
      <c r="D51" s="204"/>
      <c r="E51" s="204"/>
      <c r="F51" s="204"/>
      <c r="G51" s="204"/>
      <c r="H51" s="213">
        <v>0</v>
      </c>
      <c r="I51" s="208"/>
    </row>
    <row r="52">
      <c r="A52" s="10"/>
      <c r="B52" s="6" t="s">
        <v>161</v>
      </c>
      <c r="C52" s="17"/>
      <c r="D52" s="17"/>
      <c r="E52" s="17"/>
      <c r="F52" s="17"/>
      <c r="G52" s="17"/>
      <c r="H52" s="25">
        <f>H42+H45+H47+H49+H50+H51</f>
        <v>4.055450000000001</v>
      </c>
      <c r="I52" s="7"/>
    </row>
    <row r="53">
      <c r="A53" s="10"/>
      <c r="B53" s="10"/>
      <c r="C53" s="1"/>
      <c r="D53" s="1"/>
      <c r="E53" s="1"/>
      <c r="F53" s="1"/>
      <c r="G53" s="1"/>
      <c r="H53" s="20"/>
      <c r="I53" s="7"/>
    </row>
    <row r="54">
      <c r="A54" s="10"/>
      <c r="B54" s="8" t="s">
        <v>112</v>
      </c>
      <c r="C54" s="3"/>
      <c r="D54" s="3"/>
      <c r="E54" s="3"/>
      <c r="F54" s="3"/>
      <c r="G54" s="3"/>
      <c r="H54" s="12"/>
      <c r="I54" s="7"/>
    </row>
    <row r="55">
      <c r="A55" s="10"/>
      <c r="B55" s="10" t="s">
        <v>274</v>
      </c>
      <c r="C55" s="52">
        <v>1051428</v>
      </c>
      <c r="D55" s="52">
        <v>1089940</v>
      </c>
      <c r="E55" s="52">
        <v>4316578</v>
      </c>
      <c r="F55" s="52">
        <v>920344</v>
      </c>
      <c r="G55" s="52">
        <v>998916</v>
      </c>
      <c r="H55" s="56">
        <f>C9</f>
        <v>971244</v>
      </c>
      <c r="I55" s="7"/>
    </row>
    <row r="56">
      <c r="A56" s="10"/>
      <c r="B56" s="10" t="s">
        <v>222</v>
      </c>
      <c r="C56" s="52">
        <v>1334</v>
      </c>
      <c r="D56" s="52">
        <v>1376</v>
      </c>
      <c r="E56" s="52">
        <v>1373</v>
      </c>
      <c r="F56" s="52">
        <v>1353</v>
      </c>
      <c r="G56" s="52">
        <v>1317</v>
      </c>
      <c r="H56" s="56">
        <f>C12</f>
        <v>1296</v>
      </c>
      <c r="I56" s="7"/>
    </row>
    <row r="57">
      <c r="A57" s="10"/>
      <c r="B57" s="10" t="s">
        <v>180</v>
      </c>
      <c r="C57" s="2">
        <v>218.318</v>
      </c>
      <c r="D57" s="2">
        <v>227.543</v>
      </c>
      <c r="E57" s="2">
        <v>910.43</v>
      </c>
      <c r="F57" s="2">
        <v>200.703</v>
      </c>
      <c r="G57" s="2">
        <v>210.627</v>
      </c>
      <c r="H57" s="12">
        <f>C24</f>
        <v>206.481</v>
      </c>
      <c r="I57" s="7"/>
    </row>
    <row r="58">
      <c r="A58" s="10"/>
      <c r="B58" s="10" t="s">
        <v>181</v>
      </c>
      <c r="C58" s="2">
        <v>12.021</v>
      </c>
      <c r="D58" s="2">
        <v>13.171</v>
      </c>
      <c r="E58" s="2">
        <v>60.057</v>
      </c>
      <c r="F58" s="2">
        <v>4.676</v>
      </c>
      <c r="G58" s="2">
        <v>7.993</v>
      </c>
      <c r="H58" s="12">
        <f>C35</f>
        <v>6.913</v>
      </c>
      <c r="I58" s="7"/>
    </row>
    <row r="59">
      <c r="A59" s="10"/>
      <c r="B59" s="10" t="s">
        <v>275</v>
      </c>
      <c r="C59" s="47">
        <f>C57*1000000/C55</f>
        <v>207.63951502147555</v>
      </c>
      <c r="D59" s="47">
        <f>D57*1000000/D55</f>
        <v>208.76653760757472</v>
      </c>
      <c r="E59" s="47">
        <f>E57*1000000/E55</f>
        <v>210.91475701354176</v>
      </c>
      <c r="F59" s="47">
        <f>F57*1000000/F55</f>
        <v>218.07389410915917</v>
      </c>
      <c r="G59" s="47">
        <f>G57*1000000/G55</f>
        <v>210.85556743509966</v>
      </c>
      <c r="H59" s="53">
        <f>H57*1000000/H55</f>
        <v>212.59436351730358</v>
      </c>
      <c r="I59" s="7"/>
    </row>
    <row r="60">
      <c r="A60" s="10"/>
      <c r="B60" s="10"/>
      <c r="C60" s="1"/>
      <c r="D60" s="1"/>
      <c r="E60" s="1"/>
      <c r="F60" s="1"/>
      <c r="G60" s="1"/>
      <c r="H60" s="20"/>
      <c r="I60" s="7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276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119</v>
      </c>
      <c r="C8" s="3"/>
      <c r="D8" s="3"/>
      <c r="E8" s="3"/>
      <c r="F8" s="3"/>
      <c r="G8" s="3"/>
      <c r="H8" s="12"/>
      <c r="I8" s="7"/>
    </row>
    <row r="9">
      <c r="A9" s="10"/>
      <c r="B9" s="10" t="s">
        <v>277</v>
      </c>
      <c r="C9" s="52">
        <v>115269</v>
      </c>
      <c r="D9" s="52">
        <v>118025</v>
      </c>
      <c r="E9" s="46">
        <f>F71+G71+C9+D9</f>
        <v>432794</v>
      </c>
      <c r="F9" s="52">
        <v>113421</v>
      </c>
      <c r="G9" s="52">
        <v>118714</v>
      </c>
      <c r="H9" s="66">
        <v>124500</v>
      </c>
      <c r="I9" s="7" t="s">
        <v>278</v>
      </c>
    </row>
    <row r="10">
      <c r="A10" s="10"/>
      <c r="B10" s="31" t="s">
        <v>75</v>
      </c>
      <c r="C10" s="16">
        <f>IF(N(C71)&lt;=0,"n/a",IFERROR(C9/C71-1,"n/a"))</f>
        <v>0.14245361560418646</v>
      </c>
      <c r="D10" s="16">
        <f>IF(N(D71)&lt;=0,"n/a",IFERROR(D9/D71-1,"n/a"))</f>
        <v>0.15008331465655855</v>
      </c>
      <c r="E10" s="16">
        <f>IF(N(E71)&lt;=0,"n/a",IFERROR(E9/E71-1,"n/a"))</f>
        <v>0.1102064479057645</v>
      </c>
      <c r="F10" s="16">
        <f>IF(N(F71)&lt;=0,"n/a",IFERROR(F9/F71-1,"n/a"))</f>
        <v>0.19211082265642254</v>
      </c>
      <c r="G10" s="16">
        <f>IF(N(G71)&lt;=0,"n/a",IFERROR(G9/G71-1,"n/a"))</f>
        <v>0.13757582145903013</v>
      </c>
      <c r="H10" s="72">
        <f>IF(N(H71)&lt;=0,"n/a",IFERROR(H9/H71-1,"n/a"))</f>
        <v>0.08008224240689166</v>
      </c>
      <c r="I10" s="7"/>
    </row>
    <row r="11">
      <c r="A11" s="10"/>
      <c r="B11" s="10" t="s">
        <v>122</v>
      </c>
      <c r="C11" s="46">
        <f>C9-G71</f>
        <v>10912</v>
      </c>
      <c r="D11" s="46">
        <f>D9-C9</f>
        <v>2756</v>
      </c>
      <c r="E11" s="46" t="s">
        <v>34</v>
      </c>
      <c r="F11" s="46">
        <f>F9-D9</f>
        <v>-4604</v>
      </c>
      <c r="G11" s="46">
        <f>G9-F9</f>
        <v>5293</v>
      </c>
      <c r="H11" s="56">
        <f>H9-G9</f>
        <v>5786</v>
      </c>
      <c r="I11" s="7"/>
    </row>
    <row r="12">
      <c r="A12" s="10"/>
      <c r="B12" s="10" t="s">
        <v>128</v>
      </c>
      <c r="C12" s="52">
        <v>576</v>
      </c>
      <c r="D12" s="52">
        <v>576</v>
      </c>
      <c r="E12" s="52">
        <v>596</v>
      </c>
      <c r="F12" s="52">
        <v>595</v>
      </c>
      <c r="G12" s="52">
        <v>584</v>
      </c>
      <c r="H12" s="66">
        <v>584</v>
      </c>
      <c r="I12" s="7"/>
    </row>
    <row r="13">
      <c r="A13" s="10"/>
      <c r="B13" s="10" t="s">
        <v>130</v>
      </c>
      <c r="C13" s="46">
        <f>C12-C72</f>
        <v>-25</v>
      </c>
      <c r="D13" s="46">
        <f>D12-D72</f>
        <v>-15</v>
      </c>
      <c r="E13" s="46">
        <f>E12-E72</f>
        <v>-33</v>
      </c>
      <c r="F13" s="46">
        <f>F12-F72</f>
        <v>-26</v>
      </c>
      <c r="G13" s="46">
        <f>G12-G72</f>
        <v>-27</v>
      </c>
      <c r="H13" s="56">
        <f>H12-H72</f>
        <v>8</v>
      </c>
      <c r="I13" s="7"/>
    </row>
    <row r="14">
      <c r="A14" s="10"/>
      <c r="B14" s="10" t="s">
        <v>131</v>
      </c>
      <c r="C14" s="46">
        <f>C12-G72</f>
        <v>-35</v>
      </c>
      <c r="D14" s="46">
        <f>D12-C12</f>
        <v>0</v>
      </c>
      <c r="E14" s="46" t="s">
        <v>34</v>
      </c>
      <c r="F14" s="46">
        <f>F12-D12</f>
        <v>19</v>
      </c>
      <c r="G14" s="46">
        <f>G12-F12</f>
        <v>-11</v>
      </c>
      <c r="H14" s="56">
        <f>H12-G12</f>
        <v>0</v>
      </c>
      <c r="I14" s="7"/>
    </row>
    <row r="15">
      <c r="A15" s="10"/>
      <c r="B15" s="8" t="s">
        <v>132</v>
      </c>
      <c r="C15" s="3"/>
      <c r="D15" s="3"/>
      <c r="E15" s="3"/>
      <c r="F15" s="3"/>
      <c r="G15" s="3"/>
      <c r="H15" s="12"/>
      <c r="I15" s="7"/>
    </row>
    <row r="16" ht="28.5">
      <c r="A16" s="10"/>
      <c r="B16" s="10" t="s">
        <v>238</v>
      </c>
      <c r="C16" s="58">
        <v>1646</v>
      </c>
      <c r="D16" s="58">
        <v>1697</v>
      </c>
      <c r="E16" s="58">
        <v>1695</v>
      </c>
      <c r="F16" s="58">
        <v>1811</v>
      </c>
      <c r="G16" s="58">
        <v>2019</v>
      </c>
      <c r="H16" s="83">
        <v>2030</v>
      </c>
      <c r="I16" s="195" t="s">
        <v>279</v>
      </c>
    </row>
    <row r="17">
      <c r="A17" s="10"/>
      <c r="B17" s="31" t="s">
        <v>75</v>
      </c>
      <c r="C17" s="16">
        <f>IF(N(C73)&lt;=0,"n/a",IFERROR(C16/C73-1,"n/a"))</f>
        <v>-0.04135119394292375</v>
      </c>
      <c r="D17" s="16">
        <f>IF(N(D73)&lt;=0,"n/a",IFERROR(D16/D73-1,"n/a"))</f>
        <v>-0.04286520022560636</v>
      </c>
      <c r="E17" s="16">
        <f>IF(N(E73)&lt;=0,"n/a",IFERROR(E16/E73-1,"n/a"))</f>
        <v>-0.05833333333333335</v>
      </c>
      <c r="F17" s="16">
        <f>IF(N(F73)&lt;=0,"n/a",IFERROR(F16/F73-1,"n/a"))</f>
        <v>0.03426613363792108</v>
      </c>
      <c r="G17" s="16">
        <f>IF(N(G73)&lt;=0,"n/a",IFERROR(G16/G73-1,"n/a"))</f>
        <v>0.19044811320754707</v>
      </c>
      <c r="H17" s="72">
        <f>IF(N(H73)&lt;=0,"n/a",IFERROR(H16/H73-1,"n/a"))</f>
        <v>0.23329283110571075</v>
      </c>
      <c r="I17" s="7"/>
    </row>
    <row r="18">
      <c r="A18" s="10"/>
      <c r="B18" s="10" t="s">
        <v>135</v>
      </c>
      <c r="C18" s="68">
        <f>C16-G73</f>
        <v>-50</v>
      </c>
      <c r="D18" s="68">
        <f>D16-C16</f>
        <v>51</v>
      </c>
      <c r="E18" s="68" t="s">
        <v>34</v>
      </c>
      <c r="F18" s="68">
        <f>F16-D16</f>
        <v>114</v>
      </c>
      <c r="G18" s="68">
        <f>G16-F16</f>
        <v>208</v>
      </c>
      <c r="H18" s="82">
        <f>H16-G16</f>
        <v>11</v>
      </c>
      <c r="I18" s="7"/>
    </row>
    <row r="19" ht="25.5">
      <c r="A19" s="10"/>
      <c r="B19" s="202" t="s">
        <v>136</v>
      </c>
      <c r="C19" s="218">
        <v>-0.04</v>
      </c>
      <c r="D19" s="218">
        <v>-0.04</v>
      </c>
      <c r="E19" s="203" t="s">
        <v>89</v>
      </c>
      <c r="F19" s="218">
        <v>0.03</v>
      </c>
      <c r="G19" s="218">
        <v>0.13</v>
      </c>
      <c r="H19" s="214">
        <v>0.18</v>
      </c>
      <c r="I19" s="208"/>
    </row>
    <row r="20">
      <c r="A20" s="10"/>
      <c r="B20" s="10" t="s">
        <v>111</v>
      </c>
      <c r="C20" s="4" t="s">
        <v>34</v>
      </c>
      <c r="D20" s="4">
        <f>IFERROR((D19-C19)*10000,"n/a")</f>
        <v>0</v>
      </c>
      <c r="E20" s="4" t="s">
        <v>34</v>
      </c>
      <c r="F20" s="4">
        <f>IFERROR((F19-D19)*10000,"n/a")</f>
        <v>700.0000000000001</v>
      </c>
      <c r="G20" s="4">
        <f>IFERROR((G19-F19)*10000,"n/a")</f>
        <v>1000</v>
      </c>
      <c r="H20" s="30">
        <f>IFERROR((H19-G19)*10000,"n/a")</f>
        <v>499.9999999999999</v>
      </c>
      <c r="I20" s="7"/>
    </row>
    <row r="21" ht="28.5">
      <c r="A21" s="10"/>
      <c r="B21" s="10" t="s">
        <v>110</v>
      </c>
      <c r="C21" s="4" t="s">
        <v>89</v>
      </c>
      <c r="D21" s="4" t="s">
        <v>89</v>
      </c>
      <c r="E21" s="4" t="s">
        <v>89</v>
      </c>
      <c r="F21" s="4" t="s">
        <v>89</v>
      </c>
      <c r="G21" s="4" t="s">
        <v>89</v>
      </c>
      <c r="H21" s="30">
        <f>IFERROR((H19-C19)*10000,"n/a")</f>
        <v>2200</v>
      </c>
      <c r="I21" s="195" t="s">
        <v>125</v>
      </c>
    </row>
    <row r="22">
      <c r="A22" s="10"/>
      <c r="B22" s="8" t="s">
        <v>138</v>
      </c>
      <c r="C22" s="3"/>
      <c r="D22" s="3"/>
      <c r="E22" s="3"/>
      <c r="F22" s="3"/>
      <c r="G22" s="3"/>
      <c r="H22" s="12"/>
      <c r="I22" s="7"/>
    </row>
    <row r="23">
      <c r="A23" s="10"/>
      <c r="B23" s="10" t="s">
        <v>139</v>
      </c>
      <c r="C23" s="3">
        <f>C9*C16/1000000</f>
        <v>189.732774</v>
      </c>
      <c r="D23" s="3">
        <f>D9*D16/1000000</f>
        <v>200.288425</v>
      </c>
      <c r="E23" s="3">
        <f>E9*E16/1000000</f>
        <v>733.58583</v>
      </c>
      <c r="F23" s="3">
        <f>F9*F16/1000000</f>
        <v>205.405431</v>
      </c>
      <c r="G23" s="3">
        <f>G9*G16/1000000</f>
        <v>239.683566</v>
      </c>
      <c r="H23" s="12">
        <f>H9*H16/1000000</f>
        <v>252.735</v>
      </c>
      <c r="I23" s="7"/>
    </row>
    <row r="24" ht="28.5">
      <c r="A24" s="10"/>
      <c r="B24" s="6" t="s">
        <v>280</v>
      </c>
      <c r="C24" s="55">
        <v>189.743</v>
      </c>
      <c r="D24" s="55">
        <v>200.301</v>
      </c>
      <c r="E24" s="17">
        <f>F74+G74+C24+D24</f>
        <v>733.6409999999998</v>
      </c>
      <c r="F24" s="55">
        <v>205.384</v>
      </c>
      <c r="G24" s="55">
        <v>239.653</v>
      </c>
      <c r="H24" s="25">
        <f>H23</f>
        <v>252.735</v>
      </c>
      <c r="I24" s="195" t="s">
        <v>141</v>
      </c>
    </row>
    <row r="25">
      <c r="A25" s="10"/>
      <c r="B25" s="10" t="s">
        <v>142</v>
      </c>
      <c r="C25" s="3">
        <f>C24-C23</f>
        <v>0.010225999999988744</v>
      </c>
      <c r="D25" s="3">
        <f>D24-D23</f>
        <v>0.012574999999998226</v>
      </c>
      <c r="E25" s="3">
        <f>E24-E23</f>
        <v>0.05516999999986183</v>
      </c>
      <c r="F25" s="3">
        <f>F24-F23</f>
        <v>-0.02143100000000686</v>
      </c>
      <c r="G25" s="3">
        <f>G24-G23</f>
        <v>-0.03056600000002163</v>
      </c>
      <c r="H25" s="12">
        <f>H24-H23</f>
        <v>0</v>
      </c>
      <c r="I25" s="7"/>
    </row>
    <row r="26">
      <c r="A26" s="10"/>
      <c r="B26" s="31" t="s">
        <v>75</v>
      </c>
      <c r="C26" s="16">
        <f>IF(N(C74)&lt;=0,"n/a",IFERROR(C24/C74-1,"n/a"))</f>
        <v>0.0953683979610096</v>
      </c>
      <c r="D26" s="16">
        <f>IF(N(D74)&lt;=0,"n/a",IFERROR(D24/D74-1,"n/a"))</f>
        <v>0.10085737840065945</v>
      </c>
      <c r="E26" s="16">
        <f>IF(N(E74)&lt;=0,"n/a",IFERROR(E24/E74-1,"n/a"))</f>
        <v>0.04569679053452114</v>
      </c>
      <c r="F26" s="16">
        <f>IF(N(F74)&lt;=0,"n/a",IFERROR(F24/F74-1,"n/a"))</f>
        <v>0.232582563659387</v>
      </c>
      <c r="G26" s="16">
        <f>IF(N(G74)&lt;=0,"n/a",IFERROR(G24/G74-1,"n/a"))</f>
        <v>0.35421658152886404</v>
      </c>
      <c r="H26" s="72">
        <f>IF(N(H74)&lt;=0,"n/a",IFERROR(H24/H74-1,"n/a"))</f>
        <v>0.33198589671292233</v>
      </c>
      <c r="I26" s="7"/>
    </row>
    <row r="27">
      <c r="A27" s="10"/>
      <c r="B27" s="31" t="s">
        <v>76</v>
      </c>
      <c r="C27" s="16">
        <f>IFERROR(C24/G74-1,"n/a")</f>
        <v>0.07218819221554185</v>
      </c>
      <c r="D27" s="16">
        <f>IFERROR(D24/C24-1,"n/a")</f>
        <v>0.05564368646010642</v>
      </c>
      <c r="E27" s="16" t="s">
        <v>34</v>
      </c>
      <c r="F27" s="16">
        <f>IFERROR(F24/D24-1,"n/a")</f>
        <v>0.025376807904104348</v>
      </c>
      <c r="G27" s="16">
        <f>IFERROR(G24/F24-1,"n/a")</f>
        <v>0.16685330892377204</v>
      </c>
      <c r="H27" s="72">
        <f>IFERROR(H24/G24-1,"n/a")</f>
        <v>0.05458725740967152</v>
      </c>
      <c r="I27" s="7"/>
    </row>
    <row r="28">
      <c r="A28" s="10"/>
      <c r="B28" s="31" t="s">
        <v>77</v>
      </c>
      <c r="C28" s="19">
        <f>C24/'Revenue summary'!C45</f>
        <v>0.06215178566456713</v>
      </c>
      <c r="D28" s="19">
        <f>D24/'Revenue summary'!D45</f>
        <v>0.0646836266310494</v>
      </c>
      <c r="E28" s="19">
        <f>E24/'Revenue summary'!E45</f>
        <v>0.06114135598215065</v>
      </c>
      <c r="F28" s="19">
        <f>F24/'Revenue summary'!F45</f>
        <v>0.06719601006513679</v>
      </c>
      <c r="G28" s="19">
        <f>G24/'Revenue summary'!G45</f>
        <v>0.06856443631669534</v>
      </c>
      <c r="H28" s="71">
        <f>H24/'Revenue summary'!H45</f>
        <v>0.07066216278321293</v>
      </c>
      <c r="I28" s="7"/>
    </row>
    <row r="29" ht="41.25">
      <c r="A29" s="10"/>
      <c r="B29" s="31" t="s">
        <v>78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7">
        <v>0</v>
      </c>
      <c r="I29" s="195" t="s">
        <v>88</v>
      </c>
    </row>
    <row r="30" ht="28.5">
      <c r="A30" s="10"/>
      <c r="B30" s="31" t="s">
        <v>79</v>
      </c>
      <c r="C30" s="16" t="s">
        <v>89</v>
      </c>
      <c r="D30" s="16" t="s">
        <v>89</v>
      </c>
      <c r="E30" s="16" t="s">
        <v>89</v>
      </c>
      <c r="F30" s="16" t="s">
        <v>89</v>
      </c>
      <c r="G30" s="16" t="s">
        <v>89</v>
      </c>
      <c r="H30" s="72" t="s">
        <v>89</v>
      </c>
      <c r="I30" s="195" t="s">
        <v>90</v>
      </c>
    </row>
    <row r="31" ht="28.5">
      <c r="A31" s="10"/>
      <c r="B31" s="31" t="s">
        <v>80</v>
      </c>
      <c r="C31" s="16" t="str">
        <f>IF(AND(ISNUMBER(C30),ISNUMBER(C26)),(1+C26)/((1+C29)*(1+C30))-1,"n/a")</f>
        <v>n/a</v>
      </c>
      <c r="D31" s="16" t="str">
        <f>IF(AND(ISNUMBER(D30),ISNUMBER(D26)),(1+D26)/((1+D29)*(1+D30))-1,"n/a")</f>
        <v>n/a</v>
      </c>
      <c r="E31" s="16" t="str">
        <f>IF(AND(ISNUMBER(E30),ISNUMBER(E26)),(1+E26)/((1+E29)*(1+E30))-1,"n/a")</f>
        <v>n/a</v>
      </c>
      <c r="F31" s="16" t="str">
        <f>IF(AND(ISNUMBER(F30),ISNUMBER(F26)),(1+F26)/((1+F29)*(1+F30))-1,"n/a")</f>
        <v>n/a</v>
      </c>
      <c r="G31" s="16" t="str">
        <f>IF(AND(ISNUMBER(G30),ISNUMBER(G26)),(1+G26)/((1+G29)*(1+G30))-1,"n/a")</f>
        <v>n/a</v>
      </c>
      <c r="H31" s="72" t="str">
        <f>IF(AND(ISNUMBER(H30),ISNUMBER(H26)),(1+H26)/((1+H29)*(1+H30))-1,"n/a")</f>
        <v>n/a</v>
      </c>
      <c r="I31" s="195" t="s">
        <v>91</v>
      </c>
    </row>
    <row r="32">
      <c r="A32" s="10"/>
      <c r="B32" s="31" t="s">
        <v>92</v>
      </c>
      <c r="C32" s="16">
        <f>C26</f>
        <v>0.0953683979610096</v>
      </c>
      <c r="D32" s="16">
        <f>D26</f>
        <v>0.10085737840065945</v>
      </c>
      <c r="E32" s="16">
        <f>E26</f>
        <v>0.04569679053452114</v>
      </c>
      <c r="F32" s="16">
        <f>F26</f>
        <v>0.232582563659387</v>
      </c>
      <c r="G32" s="16">
        <f>G26</f>
        <v>0.35421658152886404</v>
      </c>
      <c r="H32" s="72">
        <f>H26</f>
        <v>0.33198589671292233</v>
      </c>
      <c r="I32" s="7"/>
    </row>
    <row r="33">
      <c r="A33" s="10"/>
      <c r="B33" s="10"/>
      <c r="C33" s="1"/>
      <c r="D33" s="1"/>
      <c r="E33" s="1"/>
      <c r="F33" s="1"/>
      <c r="G33" s="1"/>
      <c r="H33" s="20"/>
      <c r="I33" s="7"/>
    </row>
    <row r="34">
      <c r="A34" s="10"/>
      <c r="B34" s="8" t="s">
        <v>143</v>
      </c>
      <c r="C34" s="3"/>
      <c r="D34" s="3"/>
      <c r="E34" s="3"/>
      <c r="F34" s="3"/>
      <c r="G34" s="3"/>
      <c r="H34" s="12"/>
      <c r="I34" s="7"/>
    </row>
    <row r="35">
      <c r="A35" s="10"/>
      <c r="B35" s="6" t="s">
        <v>281</v>
      </c>
      <c r="C35" s="55">
        <v>7.436</v>
      </c>
      <c r="D35" s="55">
        <v>8.41</v>
      </c>
      <c r="E35" s="17">
        <f>F75+G75+C35+D35</f>
        <v>21.255000000000003</v>
      </c>
      <c r="F35" s="55">
        <v>2.717</v>
      </c>
      <c r="G35" s="55">
        <v>-1.335</v>
      </c>
      <c r="H35" s="25">
        <f>H52</f>
        <v>0.5232000000000023</v>
      </c>
      <c r="I35" s="7"/>
    </row>
    <row r="36">
      <c r="A36" s="10"/>
      <c r="B36" s="31" t="s">
        <v>75</v>
      </c>
      <c r="C36" s="16">
        <f>IF(N(C75)&lt;=0,"n/a",IFERROR(C35/C75-1,"n/a"))</f>
        <v>-0.08771929824561397</v>
      </c>
      <c r="D36" s="16">
        <f>IF(N(D75)&lt;=0,"n/a",IFERROR(D35/D75-1,"n/a"))</f>
        <v>-0.01637426900584804</v>
      </c>
      <c r="E36" s="16">
        <f>IF(N(E75)&lt;=0,"n/a",IFERROR(E35/E75-1,"n/a"))</f>
        <v>-0.01042879091205351</v>
      </c>
      <c r="F36" s="16">
        <f>IF(N(F75)&lt;=0,"n/a",IFERROR(F35/F75-1,"n/a"))</f>
        <v>0.33186274509803915</v>
      </c>
      <c r="G36" s="16">
        <f>IF(N(G75)&lt;=0,"n/a",IFERROR(G35/G75-1,"n/a"))</f>
        <v>-1.396260017809439</v>
      </c>
      <c r="H36" s="72">
        <f>IF(N(H75)&lt;=0,"n/a",IFERROR(H35/H75-1,"n/a"))</f>
        <v>-0.9296395911780524</v>
      </c>
      <c r="I36" s="7"/>
    </row>
    <row r="37">
      <c r="A37" s="10"/>
      <c r="B37" s="31" t="s">
        <v>98</v>
      </c>
      <c r="C37" s="16">
        <f>C35/C24</f>
        <v>0.03918985153602505</v>
      </c>
      <c r="D37" s="16">
        <f>D35/D24</f>
        <v>0.041986809851173985</v>
      </c>
      <c r="E37" s="16">
        <f>E35/E24</f>
        <v>0.028971935865089338</v>
      </c>
      <c r="F37" s="16">
        <f>F35/F24</f>
        <v>0.013228878588400265</v>
      </c>
      <c r="G37" s="16">
        <f>G35/G24</f>
        <v>-0.005570554092792496</v>
      </c>
      <c r="H37" s="72">
        <f>H35/H24</f>
        <v>0.002070152531307505</v>
      </c>
      <c r="I37" s="7"/>
    </row>
    <row r="38">
      <c r="A38" s="10"/>
      <c r="B38" s="10" t="s">
        <v>110</v>
      </c>
      <c r="C38" s="4">
        <f>IFERROR((C35/C24-C75/C74)*10000,"n/a")</f>
        <v>-78.65100750911436</v>
      </c>
      <c r="D38" s="4">
        <f>IFERROR((D35/D24-D75/D74)*10000,"n/a")</f>
        <v>-50.04121723434431</v>
      </c>
      <c r="E38" s="4">
        <f>IFERROR((E35/E24-E75/E74)*10000,"n/a")</f>
        <v>-16.432033704372774</v>
      </c>
      <c r="F38" s="4">
        <f>IFERROR((F35/F24-F75/F74)*10000,"n/a")</f>
        <v>9.861117230887048</v>
      </c>
      <c r="G38" s="4">
        <f>IFERROR((G35/G24-G75/G74)*10000,"n/a")</f>
        <v>-246.078941768755</v>
      </c>
      <c r="H38" s="30">
        <f>IFERROR((H35/H24-H75/H74)*10000,"n/a")</f>
        <v>-371.19699004717546</v>
      </c>
      <c r="I38" s="7"/>
    </row>
    <row r="39">
      <c r="A39" s="10"/>
      <c r="B39" s="10" t="s">
        <v>111</v>
      </c>
      <c r="C39" s="4">
        <f>(C37-G75/G74)*10000</f>
        <v>201.52511451942047</v>
      </c>
      <c r="D39" s="4">
        <f>IFERROR((D37-C37)*10000,"n/a")</f>
        <v>27.96958315148937</v>
      </c>
      <c r="E39" s="4" t="s">
        <v>34</v>
      </c>
      <c r="F39" s="4">
        <f>IFERROR((F37-D37)*10000,"n/a")</f>
        <v>-287.5793126277372</v>
      </c>
      <c r="G39" s="4">
        <f>IFERROR((G37-F37)*10000,"n/a")</f>
        <v>-187.9943268119276</v>
      </c>
      <c r="H39" s="30">
        <f>IFERROR((H37-G37)*10000,"n/a")</f>
        <v>76.40706624100001</v>
      </c>
      <c r="I39" s="7"/>
    </row>
    <row r="40">
      <c r="A40" s="10"/>
      <c r="B40" s="10"/>
      <c r="C40" s="1"/>
      <c r="D40" s="1"/>
      <c r="E40" s="1"/>
      <c r="F40" s="1"/>
      <c r="G40" s="1"/>
      <c r="H40" s="20"/>
      <c r="I40" s="7"/>
    </row>
    <row r="41">
      <c r="A41" s="10"/>
      <c r="B41" s="8" t="s">
        <v>145</v>
      </c>
      <c r="C41" s="3"/>
      <c r="D41" s="3"/>
      <c r="E41" s="3"/>
      <c r="F41" s="3"/>
      <c r="G41" s="3"/>
      <c r="H41" s="12"/>
      <c r="I41" s="7"/>
    </row>
    <row r="42">
      <c r="A42" s="10"/>
      <c r="B42" s="10" t="s">
        <v>146</v>
      </c>
      <c r="C42" s="3"/>
      <c r="D42" s="3"/>
      <c r="E42" s="3"/>
      <c r="F42" s="3"/>
      <c r="G42" s="3"/>
      <c r="H42" s="12">
        <f>G35</f>
        <v>-1.335</v>
      </c>
      <c r="I42" s="7"/>
    </row>
    <row r="43">
      <c r="A43" s="10"/>
      <c r="B43" s="10" t="s">
        <v>147</v>
      </c>
      <c r="C43" s="3"/>
      <c r="D43" s="3"/>
      <c r="E43" s="3"/>
      <c r="F43" s="3"/>
      <c r="G43" s="3"/>
      <c r="H43" s="12">
        <f>H24-G24</f>
        <v>13.082000000000022</v>
      </c>
      <c r="I43" s="7"/>
    </row>
    <row r="44" ht="25.5">
      <c r="A44" s="10"/>
      <c r="B44" s="202" t="s">
        <v>148</v>
      </c>
      <c r="C44" s="203"/>
      <c r="D44" s="203"/>
      <c r="E44" s="203"/>
      <c r="F44" s="203"/>
      <c r="G44" s="203"/>
      <c r="H44" s="214">
        <v>0.1</v>
      </c>
      <c r="I44" s="208" t="s">
        <v>282</v>
      </c>
    </row>
    <row r="45">
      <c r="A45" s="10"/>
      <c r="B45" s="10" t="s">
        <v>150</v>
      </c>
      <c r="C45" s="3"/>
      <c r="D45" s="3"/>
      <c r="E45" s="3"/>
      <c r="F45" s="3"/>
      <c r="G45" s="3"/>
      <c r="H45" s="12">
        <f>H43*H44</f>
        <v>1.3082000000000022</v>
      </c>
      <c r="I45" s="7"/>
    </row>
    <row r="46" ht="25.5">
      <c r="A46" s="10"/>
      <c r="B46" s="202" t="s">
        <v>151</v>
      </c>
      <c r="C46" s="203"/>
      <c r="D46" s="203"/>
      <c r="E46" s="203"/>
      <c r="F46" s="203"/>
      <c r="G46" s="203"/>
      <c r="H46" s="214">
        <v>0.03</v>
      </c>
      <c r="I46" s="208" t="s">
        <v>283</v>
      </c>
    </row>
    <row r="47">
      <c r="A47" s="10"/>
      <c r="B47" s="10" t="s">
        <v>153</v>
      </c>
      <c r="C47" s="3"/>
      <c r="D47" s="3"/>
      <c r="E47" s="3"/>
      <c r="F47" s="3"/>
      <c r="G47" s="3"/>
      <c r="H47" s="13">
        <f>-H46*'Income Statement'!H24</f>
        <v>-0.75</v>
      </c>
      <c r="I47" s="7"/>
    </row>
    <row r="48">
      <c r="A48" s="10"/>
      <c r="B48" s="31" t="s">
        <v>154</v>
      </c>
      <c r="C48" s="16"/>
      <c r="D48" s="16"/>
      <c r="E48" s="16"/>
      <c r="F48" s="16"/>
      <c r="G48" s="16"/>
      <c r="H48" s="77">
        <v>0.1</v>
      </c>
      <c r="I48" s="7" t="s">
        <v>284</v>
      </c>
    </row>
    <row r="49">
      <c r="A49" s="10"/>
      <c r="B49" s="10" t="s">
        <v>156</v>
      </c>
      <c r="C49" s="3"/>
      <c r="D49" s="3"/>
      <c r="E49" s="3"/>
      <c r="F49" s="3"/>
      <c r="G49" s="3"/>
      <c r="H49" s="13">
        <f>-H48*'Income Statement'!H25</f>
        <v>-1</v>
      </c>
      <c r="I49" s="7"/>
    </row>
    <row r="50" ht="25.5">
      <c r="A50" s="10"/>
      <c r="B50" s="206" t="s">
        <v>157</v>
      </c>
      <c r="C50" s="204"/>
      <c r="D50" s="204"/>
      <c r="E50" s="204"/>
      <c r="F50" s="204"/>
      <c r="G50" s="204"/>
      <c r="H50" s="213">
        <v>-0.2</v>
      </c>
      <c r="I50" s="208"/>
    </row>
    <row r="51" ht="25.5">
      <c r="A51" s="10"/>
      <c r="B51" s="206" t="s">
        <v>159</v>
      </c>
      <c r="C51" s="204"/>
      <c r="D51" s="204"/>
      <c r="E51" s="204"/>
      <c r="F51" s="204"/>
      <c r="G51" s="204"/>
      <c r="H51" s="213">
        <v>2.5</v>
      </c>
      <c r="I51" s="208" t="s">
        <v>285</v>
      </c>
    </row>
    <row r="52">
      <c r="A52" s="10"/>
      <c r="B52" s="6" t="s">
        <v>161</v>
      </c>
      <c r="C52" s="17"/>
      <c r="D52" s="17"/>
      <c r="E52" s="17"/>
      <c r="F52" s="17"/>
      <c r="G52" s="17"/>
      <c r="H52" s="25">
        <f>H42+H45+H47+H49+H50+H51</f>
        <v>0.5232000000000023</v>
      </c>
      <c r="I52" s="7"/>
    </row>
    <row r="53">
      <c r="A53" s="10"/>
      <c r="B53" s="10"/>
      <c r="C53" s="1"/>
      <c r="D53" s="1"/>
      <c r="E53" s="1"/>
      <c r="F53" s="1"/>
      <c r="G53" s="1"/>
      <c r="H53" s="20"/>
      <c r="I53" s="7"/>
    </row>
    <row r="54">
      <c r="A54" s="10"/>
      <c r="B54" s="8" t="s">
        <v>219</v>
      </c>
      <c r="C54" s="3"/>
      <c r="D54" s="3"/>
      <c r="E54" s="3"/>
      <c r="F54" s="3"/>
      <c r="G54" s="3"/>
      <c r="H54" s="12"/>
      <c r="I54" s="7"/>
    </row>
    <row r="55">
      <c r="A55" s="10"/>
      <c r="B55" s="10" t="s">
        <v>164</v>
      </c>
      <c r="C55" s="46">
        <f>G76</f>
        <v>2041</v>
      </c>
      <c r="D55" s="46">
        <f>C57</f>
        <v>2091</v>
      </c>
      <c r="E55" s="46">
        <f>E76</f>
        <v>1919</v>
      </c>
      <c r="F55" s="46">
        <f>D57</f>
        <v>2003</v>
      </c>
      <c r="G55" s="46">
        <f>F57</f>
        <v>1881</v>
      </c>
      <c r="H55" s="56">
        <f>G57</f>
        <v>1880</v>
      </c>
      <c r="I55" s="7"/>
    </row>
    <row r="56">
      <c r="A56" s="10"/>
      <c r="B56" s="10" t="s">
        <v>165</v>
      </c>
      <c r="C56" s="46">
        <f>C57-C55</f>
        <v>50</v>
      </c>
      <c r="D56" s="46">
        <f>D57-D55</f>
        <v>-88</v>
      </c>
      <c r="E56" s="46">
        <f>E57-E55</f>
        <v>84</v>
      </c>
      <c r="F56" s="46">
        <f>F57-F55</f>
        <v>-122</v>
      </c>
      <c r="G56" s="46">
        <f>G57-G55</f>
        <v>-1</v>
      </c>
      <c r="H56" s="56">
        <f>H57-H55</f>
        <v>0</v>
      </c>
      <c r="I56" s="7"/>
    </row>
    <row r="57">
      <c r="A57" s="10"/>
      <c r="B57" s="6" t="s">
        <v>286</v>
      </c>
      <c r="C57" s="74">
        <v>2091</v>
      </c>
      <c r="D57" s="74">
        <v>2003</v>
      </c>
      <c r="E57" s="74">
        <v>2003</v>
      </c>
      <c r="F57" s="74">
        <v>1881</v>
      </c>
      <c r="G57" s="74">
        <v>1880</v>
      </c>
      <c r="H57" s="91">
        <v>1880</v>
      </c>
      <c r="I57" s="7"/>
    </row>
    <row r="58">
      <c r="A58" s="10"/>
      <c r="B58" s="10" t="s">
        <v>167</v>
      </c>
      <c r="C58" s="46">
        <f>C57-C76</f>
        <v>102</v>
      </c>
      <c r="D58" s="46">
        <f>D57-D76</f>
        <v>84</v>
      </c>
      <c r="E58" s="46">
        <f>E57-E76</f>
        <v>84</v>
      </c>
      <c r="F58" s="46">
        <f>F57-F76</f>
        <v>29</v>
      </c>
      <c r="G58" s="46">
        <f>G57-G76</f>
        <v>-161</v>
      </c>
      <c r="H58" s="56">
        <f>H57-H76</f>
        <v>-211</v>
      </c>
      <c r="I58" s="7"/>
    </row>
    <row r="59">
      <c r="A59" s="10"/>
      <c r="B59" s="10" t="s">
        <v>287</v>
      </c>
      <c r="C59" s="46">
        <f>G77</f>
        <v>12785</v>
      </c>
      <c r="D59" s="46">
        <f>C61</f>
        <v>12676</v>
      </c>
      <c r="E59" s="46">
        <f>E77</f>
        <v>12895</v>
      </c>
      <c r="F59" s="46">
        <f>D61</f>
        <v>12658</v>
      </c>
      <c r="G59" s="46">
        <f>F61</f>
        <v>12731</v>
      </c>
      <c r="H59" s="56">
        <f>G61</f>
        <v>12573</v>
      </c>
      <c r="I59" s="7"/>
    </row>
    <row r="60">
      <c r="A60" s="10"/>
      <c r="B60" s="10" t="s">
        <v>288</v>
      </c>
      <c r="C60" s="46">
        <f>C61-C59</f>
        <v>-109</v>
      </c>
      <c r="D60" s="46">
        <f>D61-D59</f>
        <v>-18</v>
      </c>
      <c r="E60" s="46">
        <f>E61-E59</f>
        <v>-237</v>
      </c>
      <c r="F60" s="46">
        <f>F61-F59</f>
        <v>73</v>
      </c>
      <c r="G60" s="46">
        <f>G61-G59</f>
        <v>-158</v>
      </c>
      <c r="H60" s="56">
        <f>H61-H59</f>
        <v>27</v>
      </c>
      <c r="I60" s="7"/>
    </row>
    <row r="61">
      <c r="A61" s="10"/>
      <c r="B61" s="6" t="s">
        <v>289</v>
      </c>
      <c r="C61" s="74">
        <v>12676</v>
      </c>
      <c r="D61" s="74">
        <v>12658</v>
      </c>
      <c r="E61" s="74">
        <v>12658</v>
      </c>
      <c r="F61" s="74">
        <v>12731</v>
      </c>
      <c r="G61" s="74">
        <v>12573</v>
      </c>
      <c r="H61" s="91">
        <v>12600</v>
      </c>
      <c r="I61" s="7"/>
    </row>
    <row r="62">
      <c r="A62" s="10"/>
      <c r="B62" s="10" t="s">
        <v>167</v>
      </c>
      <c r="C62" s="46">
        <f>C61-C77</f>
        <v>-529</v>
      </c>
      <c r="D62" s="46">
        <f>D61-D77</f>
        <v>-237</v>
      </c>
      <c r="E62" s="46">
        <f>E61-E77</f>
        <v>-237</v>
      </c>
      <c r="F62" s="46">
        <f>F61-F77</f>
        <v>56</v>
      </c>
      <c r="G62" s="46">
        <f>G61-G77</f>
        <v>-212</v>
      </c>
      <c r="H62" s="56">
        <f>H61-H77</f>
        <v>-76</v>
      </c>
      <c r="I62" s="7"/>
    </row>
    <row r="63">
      <c r="A63" s="10"/>
      <c r="B63" s="10" t="s">
        <v>172</v>
      </c>
      <c r="C63" s="52">
        <v>12107</v>
      </c>
      <c r="D63" s="52">
        <v>12262</v>
      </c>
      <c r="E63" s="52">
        <v>12152</v>
      </c>
      <c r="F63" s="52">
        <v>12515</v>
      </c>
      <c r="G63" s="52">
        <v>12190</v>
      </c>
      <c r="H63" s="66">
        <v>12300</v>
      </c>
      <c r="I63" s="7"/>
    </row>
    <row r="64">
      <c r="A64" s="10"/>
      <c r="B64" s="10" t="s">
        <v>130</v>
      </c>
      <c r="C64" s="46">
        <f>C63-C78</f>
        <v>-481</v>
      </c>
      <c r="D64" s="46">
        <f>D63-D78</f>
        <v>132</v>
      </c>
      <c r="E64" s="46">
        <f>E63-E78</f>
        <v>-400</v>
      </c>
      <c r="F64" s="46">
        <f>F63-F78</f>
        <v>419</v>
      </c>
      <c r="G64" s="46">
        <f>G63-G78</f>
        <v>46</v>
      </c>
      <c r="H64" s="56">
        <f>H63-H78</f>
        <v>193</v>
      </c>
      <c r="I64" s="7"/>
    </row>
    <row r="65">
      <c r="A65" s="10"/>
      <c r="B65" s="10" t="s">
        <v>131</v>
      </c>
      <c r="C65" s="46">
        <f>C63-G78</f>
        <v>-37</v>
      </c>
      <c r="D65" s="46">
        <f>D63-C63</f>
        <v>155</v>
      </c>
      <c r="E65" s="46" t="s">
        <v>34</v>
      </c>
      <c r="F65" s="46">
        <f>F63-D63</f>
        <v>253</v>
      </c>
      <c r="G65" s="46">
        <f>G63-F63</f>
        <v>-325</v>
      </c>
      <c r="H65" s="56">
        <f>H63-G63</f>
        <v>110</v>
      </c>
      <c r="I65" s="7"/>
    </row>
    <row r="66" ht="25.5">
      <c r="A66" s="10"/>
      <c r="B66" s="206" t="s">
        <v>290</v>
      </c>
      <c r="C66" s="234">
        <f>C9/C63/3</f>
        <v>3.173618567770711</v>
      </c>
      <c r="D66" s="234">
        <f>D9/D63/3</f>
        <v>3.208421682161692</v>
      </c>
      <c r="E66" s="234">
        <f>E9/E63/12</f>
        <v>2.9679202326091727</v>
      </c>
      <c r="F66" s="234">
        <f>F9/F63/3</f>
        <v>3.0209348781462246</v>
      </c>
      <c r="G66" s="234">
        <f>G9/G63/3</f>
        <v>3.246212742685261</v>
      </c>
      <c r="H66" s="230">
        <f>H9/H63/3</f>
        <v>3.373983739837398</v>
      </c>
      <c r="I66" s="208"/>
    </row>
    <row r="67">
      <c r="A67" s="10"/>
      <c r="B67" s="10" t="s">
        <v>174</v>
      </c>
      <c r="C67" s="81">
        <f>C66-C71/C78/3</f>
        <v>0.5018676939226019</v>
      </c>
      <c r="D67" s="81">
        <f>D66-D71/D78/3</f>
        <v>0.38833374591547054</v>
      </c>
      <c r="E67" s="81">
        <f>E66-E71/E78/12</f>
        <v>0.3798067845530859</v>
      </c>
      <c r="F67" s="81">
        <f>F66-F71/F78/3</f>
        <v>0.39904885521853517</v>
      </c>
      <c r="G67" s="81">
        <f>G66-G71/G78/3</f>
        <v>0.3817803755355027</v>
      </c>
      <c r="H67" s="84">
        <f>H66-H71/H78/3</f>
        <v>0.2003651720666868</v>
      </c>
      <c r="I67" s="7"/>
    </row>
    <row r="68">
      <c r="A68" s="10"/>
      <c r="B68" s="10" t="s">
        <v>175</v>
      </c>
      <c r="C68" s="81">
        <f>C66-G71/G78/3</f>
        <v>0.3091862006209527</v>
      </c>
      <c r="D68" s="81">
        <f>D66-C66</f>
        <v>0.03480311439098083</v>
      </c>
      <c r="E68" s="81" t="s">
        <v>34</v>
      </c>
      <c r="F68" s="81">
        <f>F66-D66</f>
        <v>-0.18748680401546736</v>
      </c>
      <c r="G68" s="81">
        <f>G66-F66</f>
        <v>0.22527786453903653</v>
      </c>
      <c r="H68" s="84">
        <f>H66-G66</f>
        <v>0.1277709971521368</v>
      </c>
      <c r="I68" s="7"/>
    </row>
    <row r="69">
      <c r="A69" s="10"/>
      <c r="B69" s="10"/>
      <c r="C69" s="1"/>
      <c r="D69" s="1"/>
      <c r="E69" s="1"/>
      <c r="F69" s="1"/>
      <c r="G69" s="1"/>
      <c r="H69" s="20"/>
      <c r="I69" s="7"/>
    </row>
    <row r="70">
      <c r="A70" s="10"/>
      <c r="B70" s="8" t="s">
        <v>112</v>
      </c>
      <c r="C70" s="3"/>
      <c r="D70" s="3"/>
      <c r="E70" s="3"/>
      <c r="F70" s="3"/>
      <c r="G70" s="3"/>
      <c r="H70" s="12"/>
      <c r="I70" s="7"/>
    </row>
    <row r="71">
      <c r="A71" s="10"/>
      <c r="B71" s="10" t="s">
        <v>177</v>
      </c>
      <c r="C71" s="52">
        <v>100896</v>
      </c>
      <c r="D71" s="52">
        <v>102623</v>
      </c>
      <c r="E71" s="52">
        <v>389832</v>
      </c>
      <c r="F71" s="52">
        <v>95143</v>
      </c>
      <c r="G71" s="52">
        <v>104357</v>
      </c>
      <c r="H71" s="56">
        <f>C9</f>
        <v>115269</v>
      </c>
      <c r="I71" s="7"/>
    </row>
    <row r="72">
      <c r="A72" s="10"/>
      <c r="B72" s="10" t="s">
        <v>178</v>
      </c>
      <c r="C72" s="52">
        <v>601</v>
      </c>
      <c r="D72" s="52">
        <v>591</v>
      </c>
      <c r="E72" s="52">
        <v>629</v>
      </c>
      <c r="F72" s="52">
        <v>621</v>
      </c>
      <c r="G72" s="52">
        <v>611</v>
      </c>
      <c r="H72" s="56">
        <f>C12</f>
        <v>576</v>
      </c>
      <c r="I72" s="7"/>
    </row>
    <row r="73">
      <c r="A73" s="10"/>
      <c r="B73" s="10" t="s">
        <v>179</v>
      </c>
      <c r="C73" s="58">
        <v>1717</v>
      </c>
      <c r="D73" s="58">
        <v>1773</v>
      </c>
      <c r="E73" s="58">
        <v>1800</v>
      </c>
      <c r="F73" s="58">
        <v>1751</v>
      </c>
      <c r="G73" s="58">
        <v>1696</v>
      </c>
      <c r="H73" s="82">
        <f>C16</f>
        <v>1646</v>
      </c>
      <c r="I73" s="7"/>
    </row>
    <row r="74">
      <c r="A74" s="10"/>
      <c r="B74" s="10" t="s">
        <v>180</v>
      </c>
      <c r="C74" s="2">
        <v>173.223</v>
      </c>
      <c r="D74" s="2">
        <v>181.95</v>
      </c>
      <c r="E74" s="2">
        <v>701.581</v>
      </c>
      <c r="F74" s="2">
        <v>166.629</v>
      </c>
      <c r="G74" s="2">
        <v>176.968</v>
      </c>
      <c r="H74" s="12">
        <f>C24</f>
        <v>189.743</v>
      </c>
      <c r="I74" s="7"/>
    </row>
    <row r="75">
      <c r="A75" s="10"/>
      <c r="B75" s="10" t="s">
        <v>181</v>
      </c>
      <c r="C75" s="2">
        <v>8.151</v>
      </c>
      <c r="D75" s="2">
        <v>8.55</v>
      </c>
      <c r="E75" s="2">
        <v>21.479</v>
      </c>
      <c r="F75" s="2">
        <v>2.04</v>
      </c>
      <c r="G75" s="2">
        <v>3.369</v>
      </c>
      <c r="H75" s="12">
        <f>C35</f>
        <v>7.436</v>
      </c>
      <c r="I75" s="7"/>
    </row>
    <row r="76">
      <c r="A76" s="10"/>
      <c r="B76" s="10" t="s">
        <v>183</v>
      </c>
      <c r="C76" s="52">
        <v>1989</v>
      </c>
      <c r="D76" s="52">
        <v>1919</v>
      </c>
      <c r="E76" s="52">
        <v>1919</v>
      </c>
      <c r="F76" s="52">
        <v>1852</v>
      </c>
      <c r="G76" s="52">
        <v>2041</v>
      </c>
      <c r="H76" s="56">
        <f>C57</f>
        <v>2091</v>
      </c>
      <c r="I76" s="7"/>
    </row>
    <row r="77">
      <c r="A77" s="10"/>
      <c r="B77" s="10" t="s">
        <v>291</v>
      </c>
      <c r="C77" s="52">
        <v>13205</v>
      </c>
      <c r="D77" s="52">
        <v>12895</v>
      </c>
      <c r="E77" s="52">
        <v>12895</v>
      </c>
      <c r="F77" s="52">
        <v>12675</v>
      </c>
      <c r="G77" s="52">
        <v>12785</v>
      </c>
      <c r="H77" s="56">
        <f>C61</f>
        <v>12676</v>
      </c>
      <c r="I77" s="7"/>
    </row>
    <row r="78" ht="25.5">
      <c r="A78" s="10"/>
      <c r="B78" s="206" t="s">
        <v>185</v>
      </c>
      <c r="C78" s="227">
        <v>12588</v>
      </c>
      <c r="D78" s="227">
        <v>12130</v>
      </c>
      <c r="E78" s="227">
        <v>12552</v>
      </c>
      <c r="F78" s="227">
        <v>12096</v>
      </c>
      <c r="G78" s="227">
        <v>12144</v>
      </c>
      <c r="H78" s="225">
        <f>C63</f>
        <v>12107</v>
      </c>
      <c r="I78" s="208"/>
    </row>
    <row r="79">
      <c r="A79" s="10"/>
      <c r="B79" s="10"/>
      <c r="C79" s="1"/>
      <c r="D79" s="1"/>
      <c r="E79" s="1"/>
      <c r="F79" s="1"/>
      <c r="G79" s="1"/>
      <c r="H79" s="20"/>
      <c r="I79" s="7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2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292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293</v>
      </c>
      <c r="C8" s="3"/>
      <c r="D8" s="3"/>
      <c r="E8" s="3"/>
      <c r="F8" s="3"/>
      <c r="G8" s="3"/>
      <c r="H8" s="12"/>
      <c r="I8" s="7"/>
    </row>
    <row r="9">
      <c r="A9" s="10"/>
      <c r="B9" s="10" t="s">
        <v>294</v>
      </c>
      <c r="C9" s="2">
        <v>2667.276</v>
      </c>
      <c r="D9" s="2">
        <v>2720.098</v>
      </c>
      <c r="E9" s="3">
        <f>F87+G87+C9+D9</f>
        <v>10523.421999999999</v>
      </c>
      <c r="F9" s="2">
        <v>2648.493</v>
      </c>
      <c r="G9" s="2">
        <v>2853.836</v>
      </c>
      <c r="H9" s="12">
        <f>H15-H11</f>
        <v>2914.9833077135027</v>
      </c>
      <c r="I9" s="7"/>
    </row>
    <row r="10">
      <c r="A10" s="10"/>
      <c r="B10" s="31" t="s">
        <v>75</v>
      </c>
      <c r="C10" s="16">
        <f>IF(N(C87)&lt;=0,"n/a",IFERROR(C9/C87-1,"n/a"))</f>
        <v>-0.004184456580662799</v>
      </c>
      <c r="D10" s="16">
        <f>IF(N(D87)&lt;=0,"n/a",IFERROR(D9/D87-1,"n/a"))</f>
        <v>-0.022151426618883252</v>
      </c>
      <c r="E10" s="16">
        <f>IF(N(E87)&lt;=0,"n/a",IFERROR(E9/E87-1,"n/a"))</f>
        <v>-0.003247579564847114</v>
      </c>
      <c r="F10" s="16">
        <f>IF(N(F87)&lt;=0,"n/a",IFERROR(F9/F87-1,"n/a"))</f>
        <v>0.03467710839702187</v>
      </c>
      <c r="G10" s="16">
        <f>IF(N(G87)&lt;=0,"n/a",IFERROR(G9/G87-1,"n/a"))</f>
        <v>0.10771841530493687</v>
      </c>
      <c r="H10" s="72">
        <f>IF(N(H87)&lt;=0,"n/a",IFERROR(H9/H87-1,"n/a"))</f>
        <v>0.09286901982153428</v>
      </c>
      <c r="I10" s="7"/>
    </row>
    <row r="11" ht="66.75">
      <c r="A11" s="10"/>
      <c r="B11" s="10" t="s">
        <v>295</v>
      </c>
      <c r="C11" s="2">
        <v>385.621</v>
      </c>
      <c r="D11" s="2">
        <v>376.528</v>
      </c>
      <c r="E11" s="3">
        <f>F88+G88+C11+D11</f>
        <v>1475.6740000000002</v>
      </c>
      <c r="F11" s="2">
        <v>407.998</v>
      </c>
      <c r="G11" s="2">
        <v>641.46</v>
      </c>
      <c r="H11" s="12">
        <f>H15*H13</f>
        <v>661.6833275177889</v>
      </c>
      <c r="I11" s="195" t="s">
        <v>296</v>
      </c>
    </row>
    <row r="12">
      <c r="A12" s="10"/>
      <c r="B12" s="31" t="s">
        <v>75</v>
      </c>
      <c r="C12" s="16">
        <f>IF(N(C88)&lt;=0,"n/a",IFERROR(C11/C88-1,"n/a"))</f>
        <v>-0.010434014991518858</v>
      </c>
      <c r="D12" s="16">
        <f>IF(N(D88)&lt;=0,"n/a",IFERROR(D11/D88-1,"n/a"))</f>
        <v>0.03262750561526606</v>
      </c>
      <c r="E12" s="16">
        <f>IF(N(E88)&lt;=0,"n/a",IFERROR(E11/E88-1,"n/a"))</f>
        <v>-0.03518873876671691</v>
      </c>
      <c r="F12" s="16">
        <f>IF(N(F88)&lt;=0,"n/a",IFERROR(F11/F88-1,"n/a"))</f>
        <v>0.1281165062502938</v>
      </c>
      <c r="G12" s="16">
        <f>IF(N(G88)&lt;=0,"n/a",IFERROR(G11/G88-1,"n/a"))</f>
        <v>0.8230442616707687</v>
      </c>
      <c r="H12" s="72">
        <f>IF(N(H88)&lt;=0,"n/a",IFERROR(H11/H88-1,"n/a"))</f>
        <v>0.7158902848075934</v>
      </c>
      <c r="I12" s="7"/>
    </row>
    <row r="13" ht="66.75">
      <c r="A13" s="10"/>
      <c r="B13" s="31" t="s">
        <v>297</v>
      </c>
      <c r="C13" s="16">
        <f>C11/C15</f>
        <v>0.12631313798008909</v>
      </c>
      <c r="D13" s="16">
        <f>D11/D15</f>
        <v>0.12159298539765538</v>
      </c>
      <c r="E13" s="16">
        <f>E11/E15</f>
        <v>0.12298209798471486</v>
      </c>
      <c r="F13" s="16">
        <f>F11/F15</f>
        <v>0.13348575212555835</v>
      </c>
      <c r="G13" s="16">
        <f>G11/G15</f>
        <v>0.18352093785476253</v>
      </c>
      <c r="H13" s="77">
        <v>0.185</v>
      </c>
      <c r="I13" s="195" t="s">
        <v>298</v>
      </c>
    </row>
    <row r="14">
      <c r="A14" s="10"/>
      <c r="B14" s="10" t="s">
        <v>110</v>
      </c>
      <c r="C14" s="4">
        <f>IFERROR((C11/C15-C88/C100)*10000,"n/a")</f>
        <v>-6.964061424516721</v>
      </c>
      <c r="D14" s="4">
        <f>IFERROR((D11/D15-D88/D100)*10000,"n/a")</f>
        <v>57.02753293641463</v>
      </c>
      <c r="E14" s="4">
        <f>IFERROR((E11/E15-E88/E100)*10000,"n/a")</f>
        <v>-35.562644024840075</v>
      </c>
      <c r="F14" s="4">
        <f>IFERROR((F11/F15-F88/F100)*10000,"n/a")</f>
        <v>96.8757646135443</v>
      </c>
      <c r="G14" s="4">
        <f>IFERROR((G11/G15-G88/G100)*10000,"n/a")</f>
        <v>633.5691793932698</v>
      </c>
      <c r="H14" s="30">
        <f>IFERROR((H11/H15-H88/H100)*10000,"n/a")</f>
        <v>586.8686201991092</v>
      </c>
      <c r="I14" s="7"/>
    </row>
    <row r="15" ht="28.5">
      <c r="A15" s="10"/>
      <c r="B15" s="6" t="s">
        <v>87</v>
      </c>
      <c r="C15" s="17">
        <f>C9+C11</f>
        <v>3052.897</v>
      </c>
      <c r="D15" s="17">
        <f>D9+D11</f>
        <v>3096.626</v>
      </c>
      <c r="E15" s="17">
        <f>E9+E11</f>
        <v>11999.096</v>
      </c>
      <c r="F15" s="17">
        <f>F9+F11</f>
        <v>3056.491</v>
      </c>
      <c r="G15" s="17">
        <f>G9+G11</f>
        <v>3495.296</v>
      </c>
      <c r="H15" s="117">
        <f>'Revenue summary'!H45</f>
        <v>3576.666635231292</v>
      </c>
      <c r="I15" s="195" t="s">
        <v>299</v>
      </c>
    </row>
    <row r="16">
      <c r="A16" s="10"/>
      <c r="B16" s="31" t="s">
        <v>75</v>
      </c>
      <c r="C16" s="16">
        <f>IF(N(C100)&lt;=0,"n/a",IFERROR(C15/C100-1,"n/a"))</f>
        <v>-0.004978210145392792</v>
      </c>
      <c r="D16" s="16">
        <f>IF(N(D100)&lt;=0,"n/a",IFERROR(D15/D100-1,"n/a"))</f>
        <v>-0.015803083447857524</v>
      </c>
      <c r="E16" s="16">
        <f>IF(N(E100)&lt;=0,"n/a",IFERROR(E15/E100-1,"n/a"))</f>
        <v>-0.007289361543000528</v>
      </c>
      <c r="F16" s="16">
        <f>IF(N(F100)&lt;=0,"n/a",IFERROR(F15/F100-1,"n/a"))</f>
        <v>0.0462447353864186</v>
      </c>
      <c r="G16" s="16">
        <f>IF(N(G100)&lt;=0,"n/a",IFERROR(G15/G100-1,"n/a"))</f>
        <v>0.19367484455366646</v>
      </c>
      <c r="H16" s="72">
        <f>IF(N(H100)&lt;=0,"n/a",IFERROR(H15/H100-1,"n/a"))</f>
        <v>0.171564790830248</v>
      </c>
      <c r="I16" s="7"/>
    </row>
    <row r="17">
      <c r="A17" s="10"/>
      <c r="B17" s="31" t="s">
        <v>76</v>
      </c>
      <c r="C17" s="16">
        <f>IFERROR(C15/G100-1,"n/a")</f>
        <v>0.04259162941088679</v>
      </c>
      <c r="D17" s="16">
        <f>IFERROR(D15/C15-1,"n/a")</f>
        <v>0.01432377181411626</v>
      </c>
      <c r="E17" s="16" t="s">
        <v>34</v>
      </c>
      <c r="F17" s="16">
        <f>IFERROR(F15/D15-1,"n/a")</f>
        <v>-0.012960880648809403</v>
      </c>
      <c r="G17" s="16">
        <f>IFERROR(G15/F15-1,"n/a")</f>
        <v>0.14356495733178987</v>
      </c>
      <c r="H17" s="72">
        <f>IFERROR(H15/G15-1,"n/a")</f>
        <v>0.023280041298731735</v>
      </c>
      <c r="I17" s="7"/>
    </row>
    <row r="18">
      <c r="A18" s="10"/>
      <c r="B18" s="8" t="s">
        <v>300</v>
      </c>
      <c r="C18" s="3"/>
      <c r="D18" s="3"/>
      <c r="E18" s="3"/>
      <c r="F18" s="3"/>
      <c r="G18" s="3"/>
      <c r="H18" s="12"/>
      <c r="I18" s="7"/>
    </row>
    <row r="19" ht="54">
      <c r="A19" s="10"/>
      <c r="B19" s="10" t="s">
        <v>301</v>
      </c>
      <c r="C19" s="2">
        <v>1332.386</v>
      </c>
      <c r="D19" s="2">
        <v>1413.783</v>
      </c>
      <c r="E19" s="3">
        <f>F89+G89+C19+D19</f>
        <v>5306.405</v>
      </c>
      <c r="F19" s="2">
        <v>1404.9</v>
      </c>
      <c r="G19" s="2">
        <v>1677.28</v>
      </c>
      <c r="H19" s="13">
        <f>H15-'Revenue summary'!H68-(H21+H26+H28+H30+H32+H34+H36+H38)</f>
        <v>1728.507205805798</v>
      </c>
      <c r="I19" s="195" t="s">
        <v>302</v>
      </c>
    </row>
    <row r="20">
      <c r="A20" s="10"/>
      <c r="B20" s="31" t="s">
        <v>303</v>
      </c>
      <c r="C20" s="16">
        <f>C19/C15</f>
        <v>0.43643332873660656</v>
      </c>
      <c r="D20" s="16">
        <f>D19/D15</f>
        <v>0.45655594185413406</v>
      </c>
      <c r="E20" s="16">
        <f>E19/E15</f>
        <v>0.4422337316077811</v>
      </c>
      <c r="F20" s="16">
        <f>F19/F15</f>
        <v>0.45964473639870035</v>
      </c>
      <c r="G20" s="16">
        <f>G19/G15</f>
        <v>0.4798677994653386</v>
      </c>
      <c r="H20" s="72">
        <f>H19/H15</f>
        <v>0.4832732211549878</v>
      </c>
      <c r="I20" s="7"/>
    </row>
    <row r="21">
      <c r="A21" s="10"/>
      <c r="B21" s="10" t="s">
        <v>304</v>
      </c>
      <c r="C21" s="2">
        <v>822.193</v>
      </c>
      <c r="D21" s="2">
        <v>797.538</v>
      </c>
      <c r="E21" s="3">
        <f>F90+G90+C21+D21</f>
        <v>3236.32</v>
      </c>
      <c r="F21" s="2">
        <v>785.596</v>
      </c>
      <c r="G21" s="2">
        <v>820.352</v>
      </c>
      <c r="H21" s="12">
        <f>G21*(1+H23)+H24</f>
        <v>853.55552</v>
      </c>
      <c r="I21" s="7" t="s">
        <v>305</v>
      </c>
    </row>
    <row r="22">
      <c r="A22" s="10"/>
      <c r="B22" s="31" t="s">
        <v>303</v>
      </c>
      <c r="C22" s="16">
        <f>C21/C15</f>
        <v>0.26931566967375575</v>
      </c>
      <c r="D22" s="16">
        <f>D21/D15</f>
        <v>0.2575506373711258</v>
      </c>
      <c r="E22" s="16">
        <f>E21/E15</f>
        <v>0.2697136517617661</v>
      </c>
      <c r="F22" s="16">
        <f>F21/F15</f>
        <v>0.2570254582787909</v>
      </c>
      <c r="G22" s="16">
        <f>G21/G15</f>
        <v>0.23470172483246055</v>
      </c>
      <c r="H22" s="72">
        <f>H21/H15</f>
        <v>0.23864553425030152</v>
      </c>
      <c r="I22" s="7"/>
    </row>
    <row r="23" ht="25.5">
      <c r="A23" s="10"/>
      <c r="B23" s="202" t="s">
        <v>306</v>
      </c>
      <c r="C23" s="203"/>
      <c r="D23" s="203"/>
      <c r="E23" s="203"/>
      <c r="F23" s="203"/>
      <c r="G23" s="203"/>
      <c r="H23" s="214">
        <v>0.01</v>
      </c>
      <c r="I23" s="208" t="s">
        <v>307</v>
      </c>
    </row>
    <row r="24" ht="28.5">
      <c r="A24" s="10"/>
      <c r="B24" s="206" t="s">
        <v>308</v>
      </c>
      <c r="C24" s="204"/>
      <c r="D24" s="204"/>
      <c r="E24" s="204"/>
      <c r="F24" s="204"/>
      <c r="G24" s="204"/>
      <c r="H24" s="232">
        <f>Guidance!G13</f>
        <v>25</v>
      </c>
      <c r="I24" s="205" t="s">
        <v>309</v>
      </c>
    </row>
    <row r="25" ht="28.5">
      <c r="A25" s="10"/>
      <c r="B25" s="206" t="s">
        <v>310</v>
      </c>
      <c r="C25" s="204"/>
      <c r="D25" s="204"/>
      <c r="E25" s="204"/>
      <c r="F25" s="204"/>
      <c r="G25" s="204"/>
      <c r="H25" s="232">
        <f>Guidance!E14</f>
        <v>10</v>
      </c>
      <c r="I25" s="205" t="s">
        <v>311</v>
      </c>
    </row>
    <row r="26">
      <c r="A26" s="10"/>
      <c r="B26" s="10" t="s">
        <v>312</v>
      </c>
      <c r="C26" s="2">
        <v>179.125</v>
      </c>
      <c r="D26" s="2">
        <v>179.205</v>
      </c>
      <c r="E26" s="3">
        <f>F91+G91+C26+D26</f>
        <v>714.7860000000001</v>
      </c>
      <c r="F26" s="2">
        <v>179.41</v>
      </c>
      <c r="G26" s="2">
        <v>180.61</v>
      </c>
      <c r="H26" s="90">
        <v>181.5</v>
      </c>
      <c r="I26" s="7" t="s">
        <v>313</v>
      </c>
    </row>
    <row r="27">
      <c r="A27" s="10"/>
      <c r="B27" s="31" t="s">
        <v>303</v>
      </c>
      <c r="C27" s="16">
        <f>C26/C15</f>
        <v>0.05867377772653319</v>
      </c>
      <c r="D27" s="16">
        <f>D26/D15</f>
        <v>0.05787105062090159</v>
      </c>
      <c r="E27" s="16">
        <f>E26/E15</f>
        <v>0.059569987605732976</v>
      </c>
      <c r="F27" s="16">
        <f>F26/F15</f>
        <v>0.05869802986496607</v>
      </c>
      <c r="G27" s="16">
        <f>G26/G15</f>
        <v>0.051672304720401366</v>
      </c>
      <c r="H27" s="72">
        <f>H26/H15</f>
        <v>0.05074557360536984</v>
      </c>
      <c r="I27" s="7"/>
    </row>
    <row r="28" ht="54">
      <c r="A28" s="10"/>
      <c r="B28" s="10" t="s">
        <v>314</v>
      </c>
      <c r="C28" s="2">
        <v>164.008</v>
      </c>
      <c r="D28" s="2">
        <v>155.672</v>
      </c>
      <c r="E28" s="3">
        <f>F92+G92+C28+D28</f>
        <v>633.3230000000001</v>
      </c>
      <c r="F28" s="2">
        <v>175.059</v>
      </c>
      <c r="G28" s="2">
        <v>235.208</v>
      </c>
      <c r="H28" s="13">
        <f>G28*'Revenue summary'!H74/'Revenue summary'!G74</f>
        <v>244.5758578908003</v>
      </c>
      <c r="I28" s="195" t="s">
        <v>315</v>
      </c>
    </row>
    <row r="29">
      <c r="A29" s="10"/>
      <c r="B29" s="31" t="s">
        <v>303</v>
      </c>
      <c r="C29" s="16">
        <f>C28/C15</f>
        <v>0.05372208757779906</v>
      </c>
      <c r="D29" s="16">
        <f>D28/D15</f>
        <v>0.050271489033548125</v>
      </c>
      <c r="E29" s="16">
        <f>E28/E15</f>
        <v>0.052780892827259666</v>
      </c>
      <c r="F29" s="16">
        <f>F28/F15</f>
        <v>0.05727450203517694</v>
      </c>
      <c r="G29" s="16">
        <f>G28/G15</f>
        <v>0.06729272713956129</v>
      </c>
      <c r="H29" s="72">
        <f>H28/H15</f>
        <v>0.06838094875313543</v>
      </c>
      <c r="I29" s="7"/>
    </row>
    <row r="30">
      <c r="A30" s="10"/>
      <c r="B30" s="10" t="s">
        <v>316</v>
      </c>
      <c r="C30" s="2">
        <v>132.701</v>
      </c>
      <c r="D30" s="2">
        <v>127.241</v>
      </c>
      <c r="E30" s="3">
        <f>F93+G93+C30+D30</f>
        <v>511.639</v>
      </c>
      <c r="F30" s="2">
        <v>125.261</v>
      </c>
      <c r="G30" s="2">
        <v>138.87</v>
      </c>
      <c r="H30" s="90">
        <v>141</v>
      </c>
      <c r="I30" s="7" t="s">
        <v>317</v>
      </c>
    </row>
    <row r="31">
      <c r="A31" s="10"/>
      <c r="B31" s="31" t="s">
        <v>303</v>
      </c>
      <c r="C31" s="16">
        <f>C30/C15</f>
        <v>0.04346723783999264</v>
      </c>
      <c r="D31" s="16">
        <f>D30/D15</f>
        <v>0.041090205920895836</v>
      </c>
      <c r="E31" s="16">
        <f>E30/E15</f>
        <v>0.04263979553126336</v>
      </c>
      <c r="F31" s="16">
        <f>F30/F15</f>
        <v>0.040981962649325646</v>
      </c>
      <c r="G31" s="16">
        <f>G30/G15</f>
        <v>0.039730540703848835</v>
      </c>
      <c r="H31" s="72">
        <f>H30/H15</f>
        <v>0.039422181147973266</v>
      </c>
      <c r="I31" s="7"/>
    </row>
    <row r="32">
      <c r="A32" s="10"/>
      <c r="B32" s="10" t="s">
        <v>318</v>
      </c>
      <c r="C32" s="2">
        <v>82.015</v>
      </c>
      <c r="D32" s="2">
        <v>82.819</v>
      </c>
      <c r="E32" s="3">
        <f>F94+G94+C32+D32</f>
        <v>334.689</v>
      </c>
      <c r="F32" s="2">
        <v>87.75</v>
      </c>
      <c r="G32" s="2">
        <v>88.792</v>
      </c>
      <c r="H32" s="90">
        <v>92.3</v>
      </c>
      <c r="I32" s="7" t="s">
        <v>319</v>
      </c>
    </row>
    <row r="33">
      <c r="A33" s="10"/>
      <c r="B33" s="31" t="s">
        <v>303</v>
      </c>
      <c r="C33" s="16">
        <f>C32/C15</f>
        <v>0.026864646923889016</v>
      </c>
      <c r="D33" s="16">
        <f>D32/D15</f>
        <v>0.026744915272299594</v>
      </c>
      <c r="E33" s="16">
        <f>E32/E15</f>
        <v>0.0278928512614617</v>
      </c>
      <c r="F33" s="16">
        <f>F32/F15</f>
        <v>0.02870939256814432</v>
      </c>
      <c r="G33" s="16">
        <f>G32/G15</f>
        <v>0.02540328487201084</v>
      </c>
      <c r="H33" s="72">
        <f>H32/H15</f>
        <v>0.025806151205375407</v>
      </c>
      <c r="I33" s="7"/>
    </row>
    <row r="34">
      <c r="A34" s="10"/>
      <c r="B34" s="10" t="s">
        <v>320</v>
      </c>
      <c r="C34" s="2">
        <v>69.004</v>
      </c>
      <c r="D34" s="2">
        <v>64.656</v>
      </c>
      <c r="E34" s="3">
        <f>F95+G95+C34+D34</f>
        <v>281.507</v>
      </c>
      <c r="F34" s="2">
        <v>61.853</v>
      </c>
      <c r="G34" s="2">
        <v>65.718</v>
      </c>
      <c r="H34" s="90">
        <v>66</v>
      </c>
      <c r="I34" s="7" t="s">
        <v>321</v>
      </c>
    </row>
    <row r="35">
      <c r="A35" s="10"/>
      <c r="B35" s="31" t="s">
        <v>303</v>
      </c>
      <c r="C35" s="16">
        <f>C34/C15</f>
        <v>0.022602793346778487</v>
      </c>
      <c r="D35" s="16">
        <f>D34/D15</f>
        <v>0.02087949917103325</v>
      </c>
      <c r="E35" s="16">
        <f>E34/E15</f>
        <v>0.023460684038197545</v>
      </c>
      <c r="F35" s="16">
        <f>F34/F15</f>
        <v>0.020236604655469295</v>
      </c>
      <c r="G35" s="16">
        <f>G34/G15</f>
        <v>0.018801841103013882</v>
      </c>
      <c r="H35" s="72">
        <f>H34/H15</f>
        <v>0.018452935856498123</v>
      </c>
      <c r="I35" s="7"/>
    </row>
    <row r="36">
      <c r="A36" s="10"/>
      <c r="B36" s="10" t="s">
        <v>322</v>
      </c>
      <c r="C36" s="2">
        <v>18.02</v>
      </c>
      <c r="D36" s="2">
        <v>18.3</v>
      </c>
      <c r="E36" s="3">
        <f>F96+G96+C36+D36</f>
        <v>71.57</v>
      </c>
      <c r="F36" s="2">
        <v>18.533</v>
      </c>
      <c r="G36" s="2">
        <v>18.92</v>
      </c>
      <c r="H36" s="90">
        <v>19</v>
      </c>
      <c r="I36" s="7" t="s">
        <v>323</v>
      </c>
    </row>
    <row r="37">
      <c r="A37" s="10"/>
      <c r="B37" s="31" t="s">
        <v>303</v>
      </c>
      <c r="C37" s="16">
        <f>C36/C15</f>
        <v>0.005902590228232397</v>
      </c>
      <c r="D37" s="16">
        <f>D36/D15</f>
        <v>0.005909657801749388</v>
      </c>
      <c r="E37" s="16">
        <f>E36/E15</f>
        <v>0.005964616001072081</v>
      </c>
      <c r="F37" s="16">
        <f>F36/F15</f>
        <v>0.006063489144905057</v>
      </c>
      <c r="G37" s="16">
        <f>G36/G15</f>
        <v>0.0054129893433918054</v>
      </c>
      <c r="H37" s="72">
        <f>H36/H15</f>
        <v>0.0053122088071737026</v>
      </c>
      <c r="I37" s="7"/>
    </row>
    <row r="38">
      <c r="A38" s="10"/>
      <c r="B38" s="10" t="s">
        <v>324</v>
      </c>
      <c r="C38" s="2">
        <v>10.788</v>
      </c>
      <c r="D38" s="2">
        <v>10.955</v>
      </c>
      <c r="E38" s="3">
        <f>F97+G97+C38+D38</f>
        <v>43.789</v>
      </c>
      <c r="F38" s="2">
        <v>11.081</v>
      </c>
      <c r="G38" s="2">
        <v>10.094</v>
      </c>
      <c r="H38" s="90">
        <v>10.3</v>
      </c>
      <c r="I38" s="7" t="s">
        <v>323</v>
      </c>
    </row>
    <row r="39">
      <c r="A39" s="10"/>
      <c r="B39" s="31" t="s">
        <v>303</v>
      </c>
      <c r="C39" s="16">
        <f>C38/C15</f>
        <v>0.00353369275150783</v>
      </c>
      <c r="D39" s="16">
        <f>D38/D15</f>
        <v>0.003537721378041778</v>
      </c>
      <c r="E39" s="16">
        <f>E38/E15</f>
        <v>0.0036493582516549583</v>
      </c>
      <c r="F39" s="16">
        <f>F38/F15</f>
        <v>0.003625399191425723</v>
      </c>
      <c r="G39" s="16">
        <f>G38/G15</f>
        <v>0.0028878813124839785</v>
      </c>
      <c r="H39" s="72">
        <f>H38/H15</f>
        <v>0.0028797763533625863</v>
      </c>
      <c r="I39" s="7"/>
    </row>
    <row r="40">
      <c r="A40" s="10"/>
      <c r="B40" s="6" t="s">
        <v>325</v>
      </c>
      <c r="C40" s="17">
        <f>SUM(C19,C21,C26,C28,C30,C32,C34,C36,C38)</f>
        <v>2810.24</v>
      </c>
      <c r="D40" s="17">
        <f>SUM(D19,D21,D26,D28,D30,D32,D34,D36,D38)</f>
        <v>2850.169</v>
      </c>
      <c r="E40" s="17">
        <f>SUM(E19,E21,E26,E28,E30,E32,E34,E36,E38)</f>
        <v>11134.028</v>
      </c>
      <c r="F40" s="17">
        <f>SUM(F19,F21,F26,F28,F30,F32,F34,F36,F38)</f>
        <v>2849.443</v>
      </c>
      <c r="G40" s="17">
        <f>SUM(G19,G21,G26,G28,G30,G32,G34,G36,G38)</f>
        <v>3235.844</v>
      </c>
      <c r="H40" s="25">
        <f>SUM(H19,H21,H26,H28,H30,H32,H34,H36,H38)</f>
        <v>3336.738583696598</v>
      </c>
      <c r="I40" s="7"/>
    </row>
    <row r="41">
      <c r="A41" s="10"/>
      <c r="B41" s="6" t="s">
        <v>326</v>
      </c>
      <c r="C41" s="17">
        <f>C15-C40</f>
        <v>242.65700000000015</v>
      </c>
      <c r="D41" s="17">
        <f>D15-D40</f>
        <v>246.45700000000033</v>
      </c>
      <c r="E41" s="17">
        <f>E15-E40</f>
        <v>865.0679999999993</v>
      </c>
      <c r="F41" s="17">
        <f>F15-F40</f>
        <v>207.04799999999977</v>
      </c>
      <c r="G41" s="17">
        <f>G15-G40</f>
        <v>259.45199999999977</v>
      </c>
      <c r="H41" s="25">
        <f>H15-H40</f>
        <v>239.92805153469362</v>
      </c>
      <c r="I41" s="7"/>
    </row>
    <row r="42">
      <c r="A42" s="10"/>
      <c r="B42" s="31" t="s">
        <v>75</v>
      </c>
      <c r="C42" s="16">
        <f>IF(N(C102)&lt;=0,"n/a",IFERROR(C41/C102-1,"n/a"))</f>
        <v>0.08276812965177704</v>
      </c>
      <c r="D42" s="16">
        <f>IF(N(D102)&lt;=0,"n/a",IFERROR(D41/D102-1,"n/a"))</f>
        <v>0.19038925033448106</v>
      </c>
      <c r="E42" s="16">
        <f>IF(N(E102)&lt;=0,"n/a",IFERROR(E41/E102-1,"n/a"))</f>
        <v>0.040714607958132865</v>
      </c>
      <c r="F42" s="16">
        <f>IF(N(F102)&lt;=0,"n/a",IFERROR(F41/F102-1,"n/a"))</f>
        <v>0.1587642713230355</v>
      </c>
      <c r="G42" s="16">
        <f>IF(N(G102)&lt;=0,"n/a",IFERROR(G41/G102-1,"n/a"))</f>
        <v>0.31518598497521166</v>
      </c>
      <c r="H42" s="72">
        <f>IF(N(H102)&lt;=0,"n/a",IFERROR(H41/H102-1,"n/a"))</f>
        <v>-0.01124611474347137</v>
      </c>
      <c r="I42" s="7"/>
    </row>
    <row r="43">
      <c r="A43" s="10"/>
      <c r="B43" s="31" t="s">
        <v>76</v>
      </c>
      <c r="C43" s="16">
        <f>IFERROR(C41/G102-1,"n/a")</f>
        <v>0.2300505895353686</v>
      </c>
      <c r="D43" s="16">
        <f>IFERROR(D41/C41-1,"n/a")</f>
        <v>0.015659964476607557</v>
      </c>
      <c r="E43" s="16" t="s">
        <v>34</v>
      </c>
      <c r="F43" s="16">
        <f>IFERROR(F41/D41-1,"n/a")</f>
        <v>-0.15990213302929313</v>
      </c>
      <c r="G43" s="16">
        <f>IFERROR(G41/F41-1,"n/a")</f>
        <v>0.253100730265446</v>
      </c>
      <c r="H43" s="72">
        <f>IFERROR(H41/G41-1,"n/a")</f>
        <v>-0.07525071483475232</v>
      </c>
      <c r="I43" s="7"/>
    </row>
    <row r="44">
      <c r="A44" s="10"/>
      <c r="B44" s="31" t="s">
        <v>98</v>
      </c>
      <c r="C44" s="16">
        <f>C41/C15</f>
        <v>0.07948417519490508</v>
      </c>
      <c r="D44" s="16">
        <f>D41/D15</f>
        <v>0.07958888157627053</v>
      </c>
      <c r="E44" s="16">
        <f>E41/E15</f>
        <v>0.07209443111381052</v>
      </c>
      <c r="F44" s="16">
        <f>F41/F15</f>
        <v>0.0677404252130956</v>
      </c>
      <c r="G44" s="16">
        <f>G41/G15</f>
        <v>0.07422890650748885</v>
      </c>
      <c r="H44" s="72">
        <f>H41/H15</f>
        <v>0.06708146886582239</v>
      </c>
      <c r="I44" s="7"/>
    </row>
    <row r="45">
      <c r="A45" s="10"/>
      <c r="B45" s="10" t="s">
        <v>110</v>
      </c>
      <c r="C45" s="4">
        <f>IFERROR((C41/C15-C102/C100)*10000,"n/a")</f>
        <v>64.41310243766526</v>
      </c>
      <c r="D45" s="4">
        <f>IFERROR((D41/D15-D102/D100)*10000,"n/a")</f>
        <v>137.8592525993179</v>
      </c>
      <c r="E45" s="4">
        <f>IFERROR((E41/E15-E102/E100)*10000,"n/a")</f>
        <v>33.25425477767624</v>
      </c>
      <c r="F45" s="4">
        <f>IFERROR((F41/F15-F102/F100)*10000,"n/a")</f>
        <v>65.77801368024542</v>
      </c>
      <c r="G45" s="4">
        <f>IFERROR((G41/G15-G102/G100)*10000,"n/a")</f>
        <v>68.58071166367566</v>
      </c>
      <c r="H45" s="30">
        <f>IFERROR((H41/H15-H102/H100)*10000,"n/a")</f>
        <v>-124.02706329082692</v>
      </c>
      <c r="I45" s="7"/>
    </row>
    <row r="46">
      <c r="A46" s="10"/>
      <c r="B46" s="10" t="s">
        <v>111</v>
      </c>
      <c r="C46" s="4">
        <f>(C44-G102/G100)*10000</f>
        <v>121.13339853783795</v>
      </c>
      <c r="D46" s="4">
        <f>IFERROR((D44-C44)*10000,"n/a")</f>
        <v>1.0470638136544919</v>
      </c>
      <c r="E46" s="4" t="s">
        <v>34</v>
      </c>
      <c r="F46" s="4">
        <f>IFERROR((F44-D44)*10000,"n/a")</f>
        <v>-118.48456363174928</v>
      </c>
      <c r="G46" s="4">
        <f>IFERROR((G44-F44)*10000,"n/a")</f>
        <v>64.8848129439325</v>
      </c>
      <c r="H46" s="30">
        <f>IFERROR((H44-G44)*10000,"n/a")</f>
        <v>-71.47437641666463</v>
      </c>
      <c r="I46" s="7"/>
    </row>
    <row r="47" ht="41.25">
      <c r="A47" s="10"/>
      <c r="B47" s="10" t="s">
        <v>327</v>
      </c>
      <c r="C47" s="2">
        <v>17.871</v>
      </c>
      <c r="D47" s="2">
        <v>13.203</v>
      </c>
      <c r="E47" s="3">
        <f>F98+G98+C47+D47</f>
        <v>70.956</v>
      </c>
      <c r="F47" s="2">
        <v>17.9</v>
      </c>
      <c r="G47" s="2">
        <v>16.768</v>
      </c>
      <c r="H47" s="90">
        <v>16.3</v>
      </c>
      <c r="I47" s="195" t="s">
        <v>328</v>
      </c>
    </row>
    <row r="48">
      <c r="A48" s="10"/>
      <c r="B48" s="6" t="s">
        <v>329</v>
      </c>
      <c r="C48" s="17">
        <f>C41-C47</f>
        <v>224.78600000000014</v>
      </c>
      <c r="D48" s="17">
        <f>D41-D47</f>
        <v>233.25400000000033</v>
      </c>
      <c r="E48" s="17">
        <f>E41-E47</f>
        <v>794.1119999999993</v>
      </c>
      <c r="F48" s="17">
        <f>F41-F47</f>
        <v>189.14799999999977</v>
      </c>
      <c r="G48" s="17">
        <f>G41-G47</f>
        <v>242.68399999999977</v>
      </c>
      <c r="H48" s="25">
        <f>H41-H47</f>
        <v>223.6280515346936</v>
      </c>
      <c r="I48" s="7"/>
    </row>
    <row r="49">
      <c r="A49" s="10"/>
      <c r="B49" s="31" t="s">
        <v>330</v>
      </c>
      <c r="C49" s="16">
        <f>C48/C15</f>
        <v>0.07363039106789392</v>
      </c>
      <c r="D49" s="16">
        <f>D48/D15</f>
        <v>0.0753252087917625</v>
      </c>
      <c r="E49" s="16">
        <f>E48/E15</f>
        <v>0.06618098563425105</v>
      </c>
      <c r="F49" s="16">
        <f>F48/F15</f>
        <v>0.06188403630175903</v>
      </c>
      <c r="G49" s="16">
        <f>G48/G15</f>
        <v>0.0694316017870875</v>
      </c>
      <c r="H49" s="72">
        <f>H48/H15</f>
        <v>0.06252415288914179</v>
      </c>
      <c r="I49" s="7"/>
    </row>
    <row r="50">
      <c r="A50" s="10"/>
      <c r="B50" s="10" t="s">
        <v>110</v>
      </c>
      <c r="C50" s="4">
        <f>IFERROR((C48/C15-C103/C100)*10000,"n/a")</f>
        <v>73.50838852583973</v>
      </c>
      <c r="D50" s="4">
        <f>IFERROR((D48/D15-D103/D100)*10000,"n/a")</f>
        <v>143.2496342793123</v>
      </c>
      <c r="E50" s="4">
        <f>IFERROR((E48/E15-E103/E100)*10000,"n/a")</f>
        <v>33.44617521327656</v>
      </c>
      <c r="F50" s="4">
        <f>IFERROR((F48/F15-F103/F100)*10000,"n/a")</f>
        <v>70.87213417325911</v>
      </c>
      <c r="G50" s="4">
        <f>IFERROR((G48/G15-G103/G100)*10000,"n/a")</f>
        <v>93.29784310640555</v>
      </c>
      <c r="H50" s="30">
        <f>IFERROR((H48/H15-H103/H100)*10000,"n/a")</f>
        <v>-111.06238178752129</v>
      </c>
      <c r="I50" s="7"/>
    </row>
    <row r="51">
      <c r="A51" s="10"/>
      <c r="B51" s="10" t="s">
        <v>111</v>
      </c>
      <c r="C51" s="4">
        <f>(C49-G103/G100)*10000</f>
        <v>135.2857359144697</v>
      </c>
      <c r="D51" s="4">
        <f>IFERROR((D49-C49)*10000,"n/a")</f>
        <v>16.948177238685773</v>
      </c>
      <c r="E51" s="4" t="s">
        <v>34</v>
      </c>
      <c r="F51" s="4">
        <f>IFERROR((F49-D49)*10000,"n/a")</f>
        <v>-134.4117249000346</v>
      </c>
      <c r="G51" s="4">
        <f>IFERROR((G49-F49)*10000,"n/a")</f>
        <v>75.47565485328471</v>
      </c>
      <c r="H51" s="30">
        <f>IFERROR((H49-G49)*10000,"n/a")</f>
        <v>-69.07448897945714</v>
      </c>
      <c r="I51" s="7"/>
    </row>
    <row r="52">
      <c r="A52" s="10"/>
      <c r="B52" s="10" t="s">
        <v>331</v>
      </c>
      <c r="C52" s="2">
        <v>53.937</v>
      </c>
      <c r="D52" s="2">
        <v>52.184</v>
      </c>
      <c r="E52" s="3">
        <f>F99+G99+C52+D52</f>
        <v>195.82899999999998</v>
      </c>
      <c r="F52" s="2">
        <v>47.595</v>
      </c>
      <c r="G52" s="2">
        <v>61.65</v>
      </c>
      <c r="H52" s="12">
        <f>H48*H53</f>
        <v>54.117988471395854</v>
      </c>
      <c r="I52" s="7"/>
    </row>
    <row r="53" ht="41.25">
      <c r="A53" s="10"/>
      <c r="B53" s="31" t="s">
        <v>332</v>
      </c>
      <c r="C53" s="16">
        <f>C52/C48</f>
        <v>0.23994821741567518</v>
      </c>
      <c r="D53" s="16">
        <f>D52/D48</f>
        <v>0.22372177969080884</v>
      </c>
      <c r="E53" s="16">
        <f>E52/E48</f>
        <v>0.24660123509026455</v>
      </c>
      <c r="F53" s="16">
        <f>F52/F48</f>
        <v>0.25162835451604065</v>
      </c>
      <c r="G53" s="16">
        <f>G52/G48</f>
        <v>0.25403405251273287</v>
      </c>
      <c r="H53" s="77">
        <v>0.242</v>
      </c>
      <c r="I53" s="195" t="s">
        <v>333</v>
      </c>
    </row>
    <row r="54">
      <c r="A54" s="10"/>
      <c r="B54" s="10" t="s">
        <v>110</v>
      </c>
      <c r="C54" s="4">
        <f>IFERROR((C52/C48-C99/C103)*10000,"n/a")</f>
        <v>-122.73245332103721</v>
      </c>
      <c r="D54" s="4">
        <f>IFERROR((D52/D48-D99/D103)*10000,"n/a")</f>
        <v>336.81764685181525</v>
      </c>
      <c r="E54" s="4">
        <f>IFERROR((E52/E48-E99/E103)*10000,"n/a")</f>
        <v>-17.54296590437271</v>
      </c>
      <c r="F54" s="4">
        <f>IFERROR((F52/F48-F99/F103)*10000,"n/a")</f>
        <v>-128.78182717769639</v>
      </c>
      <c r="G54" s="4">
        <f>IFERROR((G52/G48-G99/G103)*10000,"n/a")</f>
        <v>-151.020866777849</v>
      </c>
      <c r="H54" s="30">
        <f>IFERROR((H52/H48-H99/H103)*10000,"n/a")</f>
        <v>20.517825843248126</v>
      </c>
      <c r="I54" s="7"/>
    </row>
    <row r="55">
      <c r="A55" s="10"/>
      <c r="B55" s="10" t="s">
        <v>111</v>
      </c>
      <c r="C55" s="4">
        <f>(C53-G99/G103)*10000</f>
        <v>-291.87921774842584</v>
      </c>
      <c r="D55" s="4">
        <f>IFERROR((D53-C53)*10000,"n/a")</f>
        <v>-162.26437724866344</v>
      </c>
      <c r="E55" s="4" t="s">
        <v>34</v>
      </c>
      <c r="F55" s="4">
        <f>IFERROR((F53-D53)*10000,"n/a")</f>
        <v>279.06574825231814</v>
      </c>
      <c r="G55" s="4">
        <f>IFERROR((G53-F53)*10000,"n/a")</f>
        <v>24.056979966922132</v>
      </c>
      <c r="H55" s="30">
        <f>IFERROR((H53-G53)*10000,"n/a")</f>
        <v>-120.34052512732873</v>
      </c>
      <c r="I55" s="7"/>
    </row>
    <row r="56">
      <c r="A56" s="10"/>
      <c r="B56" s="6" t="s">
        <v>334</v>
      </c>
      <c r="C56" s="17">
        <f>C48-C52</f>
        <v>170.84900000000016</v>
      </c>
      <c r="D56" s="17">
        <f>D48-D52</f>
        <v>181.07000000000033</v>
      </c>
      <c r="E56" s="17">
        <f>E48-E52</f>
        <v>598.2829999999993</v>
      </c>
      <c r="F56" s="17">
        <f>F48-F52</f>
        <v>141.55299999999977</v>
      </c>
      <c r="G56" s="17">
        <f>G48-G52</f>
        <v>181.03399999999976</v>
      </c>
      <c r="H56" s="25">
        <f>H48-H52</f>
        <v>169.51006306329776</v>
      </c>
      <c r="I56" s="7"/>
    </row>
    <row r="57">
      <c r="A57" s="10"/>
      <c r="B57" s="31" t="s">
        <v>75</v>
      </c>
      <c r="C57" s="16">
        <f>IF(N(C104)&lt;=0,"n/a",IFERROR(C56/C104-1,"n/a"))</f>
        <v>0.12351873528599744</v>
      </c>
      <c r="D57" s="16">
        <f>IF(N(D104)&lt;=0,"n/a",IFERROR(D56/D104-1,"n/a"))</f>
        <v>0.16478186473169298</v>
      </c>
      <c r="E57" s="16">
        <f>IF(N(E104)&lt;=0,"n/a",IFERROR(E56/E104-1,"n/a"))</f>
        <v>0.047990316805805344</v>
      </c>
      <c r="F57" s="16">
        <f>IF(N(F104)&lt;=0,"n/a",IFERROR(F56/F104-1,"n/a"))</f>
        <v>0.20225072192967541</v>
      </c>
      <c r="G57" s="16">
        <f>IF(N(G104)&lt;=0,"n/a",IFERROR(G56/G104-1,"n/a"))</f>
        <v>0.40746672471700407</v>
      </c>
      <c r="H57" s="72">
        <f>IF(N(H104)&lt;=0,"n/a",IFERROR(H56/H104-1,"n/a"))</f>
        <v>-0.00783696092281716</v>
      </c>
      <c r="I57" s="7"/>
    </row>
    <row r="58">
      <c r="A58" s="10"/>
      <c r="B58" s="31" t="s">
        <v>335</v>
      </c>
      <c r="C58" s="16">
        <f>C56/C15</f>
        <v>0.055962909983533725</v>
      </c>
      <c r="D58" s="16">
        <f>D56/D15</f>
        <v>0.05847331902528763</v>
      </c>
      <c r="E58" s="16">
        <f>E56/E15</f>
        <v>0.049860672837353695</v>
      </c>
      <c r="F58" s="16">
        <f>F56/F15</f>
        <v>0.04631225807633648</v>
      </c>
      <c r="G58" s="16">
        <f>G56/G15</f>
        <v>0.051793610612663354</v>
      </c>
      <c r="H58" s="72">
        <f>H56/H15</f>
        <v>0.047393307889969476</v>
      </c>
      <c r="I58" s="7"/>
    </row>
    <row r="59">
      <c r="A59" s="10"/>
      <c r="B59" s="10" t="s">
        <v>110</v>
      </c>
      <c r="C59" s="4">
        <f>IFERROR((C56/C15-C104/C100)*10000,"n/a")</f>
        <v>64.00483378237044</v>
      </c>
      <c r="D59" s="4">
        <f>IFERROR((D56/D15-D104/D100)*10000,"n/a")</f>
        <v>90.65561205745801</v>
      </c>
      <c r="E59" s="4">
        <f>IFERROR((E56/E15-E104/E100)*10000,"n/a")</f>
        <v>26.30064335999681</v>
      </c>
      <c r="F59" s="4">
        <f>IFERROR((F56/F15-F104/F100)*10000,"n/a")</f>
        <v>60.0955306447918</v>
      </c>
      <c r="G59" s="4">
        <f>IFERROR((G56/G15-G104/G100)*10000,"n/a")</f>
        <v>78.67364250160533</v>
      </c>
      <c r="H59" s="30">
        <f>IFERROR((H56/H15-H104/H100)*10000,"n/a")</f>
        <v>-85.6960209356425</v>
      </c>
      <c r="I59" s="7"/>
    </row>
    <row r="60">
      <c r="A60" s="10"/>
      <c r="B60" s="10" t="s">
        <v>111</v>
      </c>
      <c r="C60" s="4">
        <f>(C58-G104/G100)*10000</f>
        <v>120.36663621030904</v>
      </c>
      <c r="D60" s="4">
        <f>IFERROR((D58-C58)*10000,"n/a")</f>
        <v>25.10409041753904</v>
      </c>
      <c r="E60" s="4" t="s">
        <v>34</v>
      </c>
      <c r="F60" s="4">
        <f>IFERROR((F58-D58)*10000,"n/a")</f>
        <v>-121.61060948951148</v>
      </c>
      <c r="G60" s="4">
        <f>IFERROR((G58-F58)*10000,"n/a")</f>
        <v>54.81352536326874</v>
      </c>
      <c r="H60" s="30">
        <f>IFERROR((H58-G58)*10000,"n/a")</f>
        <v>-44.00302722693879</v>
      </c>
      <c r="I60" s="7"/>
    </row>
    <row r="61">
      <c r="A61" s="10"/>
      <c r="B61" s="10"/>
      <c r="C61" s="1"/>
      <c r="D61" s="1"/>
      <c r="E61" s="1"/>
      <c r="F61" s="1"/>
      <c r="G61" s="1"/>
      <c r="H61" s="20"/>
      <c r="I61" s="7"/>
    </row>
    <row r="62">
      <c r="A62" s="10"/>
      <c r="B62" s="8" t="s">
        <v>336</v>
      </c>
      <c r="C62" s="3"/>
      <c r="D62" s="3"/>
      <c r="E62" s="3"/>
      <c r="F62" s="3"/>
      <c r="G62" s="3"/>
      <c r="H62" s="12"/>
      <c r="I62" s="7"/>
    </row>
    <row r="63">
      <c r="A63" s="10"/>
      <c r="B63" s="10" t="s">
        <v>337</v>
      </c>
      <c r="C63" s="88">
        <f>'Share Count'!C17</f>
        <v>96.184</v>
      </c>
      <c r="D63" s="88">
        <f>'Share Count'!D17</f>
        <v>94.88808695652172</v>
      </c>
      <c r="E63" s="88">
        <f>'Share Count'!E17</f>
        <v>97.09</v>
      </c>
      <c r="F63" s="88">
        <f>'Share Count'!F17</f>
        <v>94.54</v>
      </c>
      <c r="G63" s="88">
        <f>'Share Count'!G17</f>
        <v>94.125</v>
      </c>
      <c r="H63" s="103">
        <f>'Share Count'!H17</f>
        <v>93.741320754717</v>
      </c>
      <c r="I63" s="7"/>
    </row>
    <row r="64">
      <c r="A64" s="10"/>
      <c r="B64" s="10" t="s">
        <v>338</v>
      </c>
      <c r="C64" s="88">
        <f>'Share Count'!C19</f>
        <v>96.847</v>
      </c>
      <c r="D64" s="88">
        <f>'Share Count'!D19</f>
        <v>95.505</v>
      </c>
      <c r="E64" s="88">
        <f>'Share Count'!E19</f>
        <v>97.688</v>
      </c>
      <c r="F64" s="88">
        <f>'Share Count'!F19</f>
        <v>95.204</v>
      </c>
      <c r="G64" s="88">
        <f>'Share Count'!G19</f>
        <v>94.944</v>
      </c>
      <c r="H64" s="103">
        <f>'Share Count'!H19</f>
        <v>94.54132075471699</v>
      </c>
      <c r="I64" s="7"/>
    </row>
    <row r="65">
      <c r="A65" s="10"/>
      <c r="B65" s="10" t="s">
        <v>339</v>
      </c>
      <c r="C65" s="37">
        <f>C56/C63</f>
        <v>1.7762725609248957</v>
      </c>
      <c r="D65" s="37">
        <f>D56/D63</f>
        <v>1.9082479772510081</v>
      </c>
      <c r="E65" s="37">
        <f>E56/E63</f>
        <v>6.1621485219898995</v>
      </c>
      <c r="F65" s="37">
        <f>F56/F63</f>
        <v>1.4972815739369554</v>
      </c>
      <c r="G65" s="37">
        <f>G56/G63</f>
        <v>1.9233359893758275</v>
      </c>
      <c r="H65" s="109">
        <f>H56/H63</f>
        <v>1.8082747469158966</v>
      </c>
      <c r="I65" s="7"/>
    </row>
    <row r="66">
      <c r="A66" s="10"/>
      <c r="B66" s="6" t="s">
        <v>340</v>
      </c>
      <c r="C66" s="89">
        <f>C56/C64</f>
        <v>1.7641124660547065</v>
      </c>
      <c r="D66" s="89">
        <f>D56/D64</f>
        <v>1.8959216794932239</v>
      </c>
      <c r="E66" s="89">
        <f>E56/E64</f>
        <v>6.124426746376211</v>
      </c>
      <c r="F66" s="89">
        <f>F56/F64</f>
        <v>1.4868387882862042</v>
      </c>
      <c r="G66" s="89">
        <f>G56/G64</f>
        <v>1.906745028648464</v>
      </c>
      <c r="H66" s="93">
        <f>H56/H64</f>
        <v>1.7929732915735719</v>
      </c>
      <c r="I66" s="7"/>
    </row>
    <row r="67">
      <c r="A67" s="10"/>
      <c r="B67" s="31" t="s">
        <v>75</v>
      </c>
      <c r="C67" s="16">
        <f>C66/C105-1</f>
        <v>0.18486464246115375</v>
      </c>
      <c r="D67" s="16">
        <f>D66/D105-1</f>
        <v>0.23968988225100696</v>
      </c>
      <c r="E67" s="16">
        <f>E66/E105-1</f>
        <v>0.10233802527499525</v>
      </c>
      <c r="F67" s="16">
        <f>F66/F105-1</f>
        <v>0.2689905129615475</v>
      </c>
      <c r="G67" s="16">
        <f>G66/G105-1</f>
        <v>0.45241363141297164</v>
      </c>
      <c r="H67" s="72">
        <f>H66/H105-1</f>
        <v>0.0163599691483447</v>
      </c>
      <c r="I67" s="7"/>
    </row>
    <row r="68">
      <c r="A68" s="10"/>
      <c r="B68" s="31" t="s">
        <v>76</v>
      </c>
      <c r="C68" s="16">
        <f>IFERROR(C66/G105-1,"n/a")</f>
        <v>0.3437669717484768</v>
      </c>
      <c r="D68" s="16">
        <f>IFERROR(D66/C66-1,"n/a")</f>
        <v>0.07471701264789421</v>
      </c>
      <c r="E68" s="16" t="s">
        <v>34</v>
      </c>
      <c r="F68" s="16">
        <f>IFERROR(F66/D66-1,"n/a")</f>
        <v>-0.21576993165475422</v>
      </c>
      <c r="G68" s="16">
        <f>IFERROR(G66/F66-1,"n/a")</f>
        <v>0.28241544656382156</v>
      </c>
      <c r="H68" s="72">
        <f>IFERROR(H66/G66-1,"n/a")</f>
        <v>-0.059668039179593735</v>
      </c>
      <c r="I68" s="7"/>
    </row>
    <row r="69">
      <c r="A69" s="10"/>
      <c r="B69" s="10" t="s">
        <v>341</v>
      </c>
      <c r="C69" s="87">
        <v>1.76</v>
      </c>
      <c r="D69" s="87">
        <v>1.9</v>
      </c>
      <c r="E69" s="87">
        <v>6.12</v>
      </c>
      <c r="F69" s="87">
        <v>1.49</v>
      </c>
      <c r="G69" s="87">
        <v>1.91</v>
      </c>
      <c r="H69" s="109" t="s">
        <v>34</v>
      </c>
      <c r="I69" s="7"/>
    </row>
    <row r="70">
      <c r="A70" s="10"/>
      <c r="B70" s="158" t="s">
        <v>342</v>
      </c>
      <c r="C70" s="47">
        <f>ROUND(C66,2)-C69</f>
        <v>0</v>
      </c>
      <c r="D70" s="47">
        <f>ROUND(D66,2)-D69</f>
        <v>0</v>
      </c>
      <c r="E70" s="47">
        <f>ROUND(E66,2)-E69</f>
        <v>0</v>
      </c>
      <c r="F70" s="47">
        <f>ROUND(F66,2)-F69</f>
        <v>0</v>
      </c>
      <c r="G70" s="47">
        <f>ROUND(G66,2)-G69</f>
        <v>0</v>
      </c>
      <c r="H70" s="53">
        <f>ROUND(H66-H56/H64,6)</f>
        <v>0</v>
      </c>
      <c r="I70" s="173" t="s">
        <v>343</v>
      </c>
    </row>
    <row r="71">
      <c r="A71" s="10"/>
      <c r="B71" s="10"/>
      <c r="C71" s="1"/>
      <c r="D71" s="1"/>
      <c r="E71" s="1"/>
      <c r="F71" s="1"/>
      <c r="G71" s="1"/>
      <c r="H71" s="20"/>
      <c r="I71" s="7"/>
    </row>
    <row r="72">
      <c r="A72" s="10"/>
      <c r="B72" s="8" t="s">
        <v>344</v>
      </c>
      <c r="C72" s="3"/>
      <c r="D72" s="3"/>
      <c r="E72" s="3"/>
      <c r="F72" s="3"/>
      <c r="G72" s="3"/>
      <c r="H72" s="12"/>
      <c r="I72" s="7"/>
    </row>
    <row r="73">
      <c r="A73" s="10"/>
      <c r="B73" s="10" t="s">
        <v>334</v>
      </c>
      <c r="C73" s="3">
        <f>C56</f>
        <v>170.84900000000016</v>
      </c>
      <c r="D73" s="3">
        <f>D56</f>
        <v>181.07000000000033</v>
      </c>
      <c r="E73" s="3">
        <f>E56</f>
        <v>598.2829999999993</v>
      </c>
      <c r="F73" s="3">
        <f>F56</f>
        <v>141.55299999999977</v>
      </c>
      <c r="G73" s="3">
        <f>G56</f>
        <v>181.03399999999976</v>
      </c>
      <c r="H73" s="12">
        <f>H56</f>
        <v>169.51006306329776</v>
      </c>
      <c r="I73" s="7"/>
    </row>
    <row r="74" ht="28.5">
      <c r="A74" s="10"/>
      <c r="B74" s="206" t="s">
        <v>345</v>
      </c>
      <c r="C74" s="219">
        <v>0</v>
      </c>
      <c r="D74" s="219">
        <v>0</v>
      </c>
      <c r="E74" s="219">
        <v>0</v>
      </c>
      <c r="F74" s="219">
        <v>0</v>
      </c>
      <c r="G74" s="219">
        <v>0</v>
      </c>
      <c r="H74" s="213">
        <v>0</v>
      </c>
      <c r="I74" s="205" t="s">
        <v>346</v>
      </c>
    </row>
    <row r="75" ht="54">
      <c r="A75" s="10"/>
      <c r="B75" s="206" t="s">
        <v>347</v>
      </c>
      <c r="C75" s="219">
        <v>0</v>
      </c>
      <c r="D75" s="219">
        <v>0</v>
      </c>
      <c r="E75" s="219">
        <v>0</v>
      </c>
      <c r="F75" s="219">
        <v>0</v>
      </c>
      <c r="G75" s="219">
        <v>0</v>
      </c>
      <c r="H75" s="213">
        <v>0</v>
      </c>
      <c r="I75" s="205" t="s">
        <v>348</v>
      </c>
    </row>
    <row r="76">
      <c r="A76" s="10"/>
      <c r="B76" s="10" t="s">
        <v>349</v>
      </c>
      <c r="C76" s="3">
        <f>-(C74+C75)*C53</f>
        <v>0</v>
      </c>
      <c r="D76" s="3">
        <f>-(D74+D75)*D53</f>
        <v>0</v>
      </c>
      <c r="E76" s="3">
        <f>-(E74+E75)*E53</f>
        <v>0</v>
      </c>
      <c r="F76" s="3">
        <f>-(F74+F75)*F53</f>
        <v>0</v>
      </c>
      <c r="G76" s="3">
        <f>-(G74+G75)*G53</f>
        <v>0</v>
      </c>
      <c r="H76" s="12">
        <f>-(H74+H75)*H53</f>
        <v>0</v>
      </c>
      <c r="I76" s="7"/>
    </row>
    <row r="77">
      <c r="A77" s="10"/>
      <c r="B77" s="6" t="s">
        <v>350</v>
      </c>
      <c r="C77" s="17">
        <f>C73+C74+C75+C76</f>
        <v>170.84900000000016</v>
      </c>
      <c r="D77" s="17">
        <f>D73+D74+D75+D76</f>
        <v>181.07000000000033</v>
      </c>
      <c r="E77" s="17">
        <f>E73+E74+E75+E76</f>
        <v>598.2829999999993</v>
      </c>
      <c r="F77" s="17">
        <f>F73+F74+F75+F76</f>
        <v>141.55299999999977</v>
      </c>
      <c r="G77" s="17">
        <f>G73+G74+G75+G76</f>
        <v>181.03399999999976</v>
      </c>
      <c r="H77" s="25">
        <f>H73+H74+H75+H76</f>
        <v>169.51006306329776</v>
      </c>
      <c r="I77" s="7"/>
    </row>
    <row r="78" ht="28.5">
      <c r="A78" s="10"/>
      <c r="B78" s="6" t="s">
        <v>351</v>
      </c>
      <c r="C78" s="89">
        <f>C77/C64</f>
        <v>1.7641124660547065</v>
      </c>
      <c r="D78" s="89">
        <f>D77/D64</f>
        <v>1.8959216794932239</v>
      </c>
      <c r="E78" s="89">
        <f>E77/E64</f>
        <v>6.124426746376211</v>
      </c>
      <c r="F78" s="89">
        <f>F77/F64</f>
        <v>1.4868387882862042</v>
      </c>
      <c r="G78" s="89">
        <f>G77/G64</f>
        <v>1.906745028648464</v>
      </c>
      <c r="H78" s="93">
        <f>H77/H64</f>
        <v>1.7929732915735719</v>
      </c>
      <c r="I78" s="195" t="s">
        <v>352</v>
      </c>
    </row>
    <row r="79">
      <c r="A79" s="10"/>
      <c r="B79" s="10"/>
      <c r="C79" s="1"/>
      <c r="D79" s="1"/>
      <c r="E79" s="1"/>
      <c r="F79" s="1"/>
      <c r="G79" s="1"/>
      <c r="H79" s="20"/>
      <c r="I79" s="7"/>
    </row>
    <row r="80">
      <c r="A80" s="10"/>
      <c r="B80" s="8" t="s">
        <v>353</v>
      </c>
      <c r="C80" s="3"/>
      <c r="D80" s="3"/>
      <c r="E80" s="3"/>
      <c r="F80" s="3"/>
      <c r="G80" s="3"/>
      <c r="H80" s="12"/>
      <c r="I80" s="7"/>
    </row>
    <row r="81">
      <c r="A81" s="10"/>
      <c r="B81" s="10" t="s">
        <v>354</v>
      </c>
      <c r="C81" s="3"/>
      <c r="D81" s="3"/>
      <c r="E81" s="2">
        <v>11999.096</v>
      </c>
      <c r="F81" s="3"/>
      <c r="G81" s="3"/>
      <c r="H81" s="12"/>
      <c r="I81" s="7"/>
    </row>
    <row r="82">
      <c r="A82" s="10"/>
      <c r="B82" s="10" t="s">
        <v>355</v>
      </c>
      <c r="C82" s="3"/>
      <c r="D82" s="3"/>
      <c r="E82" s="2">
        <v>865.069</v>
      </c>
      <c r="F82" s="3"/>
      <c r="G82" s="3"/>
      <c r="H82" s="12"/>
      <c r="I82" s="7"/>
    </row>
    <row r="83">
      <c r="A83" s="10"/>
      <c r="B83" s="10" t="s">
        <v>356</v>
      </c>
      <c r="C83" s="3"/>
      <c r="D83" s="3"/>
      <c r="E83" s="39">
        <f>'Cash Flow Statement'!D47</f>
        <v>598.282</v>
      </c>
      <c r="F83" s="3"/>
      <c r="G83" s="3"/>
      <c r="H83" s="12"/>
      <c r="I83" s="7"/>
    </row>
    <row r="84">
      <c r="A84" s="10"/>
      <c r="B84" s="158" t="s">
        <v>357</v>
      </c>
      <c r="C84" s="168"/>
      <c r="D84" s="168"/>
      <c r="E84" s="171">
        <f>ROUND(ABS(E15-E81)+ABS(E41-E82)+ABS(E56-E83),3)</f>
        <v>0.002</v>
      </c>
      <c r="F84" s="3"/>
      <c r="G84" s="3"/>
      <c r="H84" s="12"/>
      <c r="I84" s="156"/>
    </row>
    <row r="85" ht="41.25">
      <c r="A85" s="10"/>
      <c r="B85" s="158" t="s">
        <v>358</v>
      </c>
      <c r="C85" s="162"/>
      <c r="D85" s="162"/>
      <c r="E85" s="169">
        <v>0.0075</v>
      </c>
      <c r="F85" s="1"/>
      <c r="G85" s="1"/>
      <c r="H85" s="20"/>
      <c r="I85" s="195" t="s">
        <v>359</v>
      </c>
    </row>
    <row r="86">
      <c r="A86" s="10"/>
      <c r="B86" s="8" t="s">
        <v>112</v>
      </c>
      <c r="C86" s="3"/>
      <c r="D86" s="3"/>
      <c r="E86" s="3"/>
      <c r="F86" s="3"/>
      <c r="G86" s="3"/>
      <c r="H86" s="12"/>
      <c r="I86" s="7"/>
    </row>
    <row r="87" ht="25.5">
      <c r="A87" s="10"/>
      <c r="B87" s="206" t="s">
        <v>360</v>
      </c>
      <c r="C87" s="219">
        <v>2678.484</v>
      </c>
      <c r="D87" s="219">
        <v>2781.717</v>
      </c>
      <c r="E87" s="219">
        <v>10557.709</v>
      </c>
      <c r="F87" s="219">
        <v>2559.729</v>
      </c>
      <c r="G87" s="219">
        <v>2576.319</v>
      </c>
      <c r="H87" s="207">
        <f>C9</f>
        <v>2667.276</v>
      </c>
      <c r="I87" s="208"/>
    </row>
    <row r="88">
      <c r="A88" s="10"/>
      <c r="B88" s="10" t="s">
        <v>361</v>
      </c>
      <c r="C88" s="2">
        <v>389.687</v>
      </c>
      <c r="D88" s="2">
        <v>364.631</v>
      </c>
      <c r="E88" s="2">
        <v>1529.495</v>
      </c>
      <c r="F88" s="2">
        <v>361.663</v>
      </c>
      <c r="G88" s="2">
        <v>351.862</v>
      </c>
      <c r="H88" s="12">
        <f>C11</f>
        <v>385.621</v>
      </c>
      <c r="I88" s="7"/>
    </row>
    <row r="89" ht="25.5">
      <c r="A89" s="10"/>
      <c r="B89" s="206" t="s">
        <v>362</v>
      </c>
      <c r="C89" s="219">
        <v>1380.38</v>
      </c>
      <c r="D89" s="219">
        <v>1442.957</v>
      </c>
      <c r="E89" s="219">
        <v>5378.336</v>
      </c>
      <c r="F89" s="219">
        <v>1293.328</v>
      </c>
      <c r="G89" s="219">
        <v>1266.908</v>
      </c>
      <c r="H89" s="207">
        <f>C19</f>
        <v>1332.386</v>
      </c>
      <c r="I89" s="208"/>
    </row>
    <row r="90" ht="25.5">
      <c r="A90" s="10"/>
      <c r="B90" s="206" t="s">
        <v>363</v>
      </c>
      <c r="C90" s="219">
        <v>809.494</v>
      </c>
      <c r="D90" s="219">
        <v>812.015</v>
      </c>
      <c r="E90" s="219">
        <v>3232.44</v>
      </c>
      <c r="F90" s="219">
        <v>799.648</v>
      </c>
      <c r="G90" s="219">
        <v>816.941</v>
      </c>
      <c r="H90" s="207">
        <f>C21</f>
        <v>822.193</v>
      </c>
      <c r="I90" s="208"/>
    </row>
    <row r="91" ht="25.5">
      <c r="A91" s="10"/>
      <c r="B91" s="206" t="s">
        <v>364</v>
      </c>
      <c r="C91" s="219">
        <v>187.982</v>
      </c>
      <c r="D91" s="219">
        <v>205.504</v>
      </c>
      <c r="E91" s="219">
        <v>761.141</v>
      </c>
      <c r="F91" s="219">
        <v>179.476</v>
      </c>
      <c r="G91" s="219">
        <v>176.98</v>
      </c>
      <c r="H91" s="207">
        <f>C26</f>
        <v>179.125</v>
      </c>
      <c r="I91" s="208"/>
    </row>
    <row r="92">
      <c r="A92" s="10"/>
      <c r="B92" s="10" t="s">
        <v>365</v>
      </c>
      <c r="C92" s="2">
        <v>158.792</v>
      </c>
      <c r="D92" s="2">
        <v>155.519</v>
      </c>
      <c r="E92" s="2">
        <v>652.129</v>
      </c>
      <c r="F92" s="2">
        <v>159.933</v>
      </c>
      <c r="G92" s="2">
        <v>153.71</v>
      </c>
      <c r="H92" s="12">
        <f>C28</f>
        <v>164.008</v>
      </c>
      <c r="I92" s="7"/>
    </row>
    <row r="93" ht="25.5">
      <c r="A93" s="10"/>
      <c r="B93" s="206" t="s">
        <v>366</v>
      </c>
      <c r="C93" s="219">
        <v>127.889</v>
      </c>
      <c r="D93" s="219">
        <v>124.07</v>
      </c>
      <c r="E93" s="219">
        <v>495.375</v>
      </c>
      <c r="F93" s="219">
        <v>123.452</v>
      </c>
      <c r="G93" s="219">
        <v>128.245</v>
      </c>
      <c r="H93" s="207">
        <f>C30</f>
        <v>132.701</v>
      </c>
      <c r="I93" s="208"/>
    </row>
    <row r="94">
      <c r="A94" s="10"/>
      <c r="B94" s="10" t="s">
        <v>367</v>
      </c>
      <c r="C94" s="2">
        <v>78.441</v>
      </c>
      <c r="D94" s="2">
        <v>86.316</v>
      </c>
      <c r="E94" s="2">
        <v>313.664</v>
      </c>
      <c r="F94" s="2">
        <v>85.017</v>
      </c>
      <c r="G94" s="2">
        <v>84.838</v>
      </c>
      <c r="H94" s="12">
        <f>C32</f>
        <v>82.015</v>
      </c>
      <c r="I94" s="7"/>
    </row>
    <row r="95" ht="25.5">
      <c r="A95" s="10"/>
      <c r="B95" s="206" t="s">
        <v>368</v>
      </c>
      <c r="C95" s="219">
        <v>72.389</v>
      </c>
      <c r="D95" s="219">
        <v>82.476</v>
      </c>
      <c r="E95" s="219">
        <v>306.355</v>
      </c>
      <c r="F95" s="219">
        <v>72.971</v>
      </c>
      <c r="G95" s="219">
        <v>74.876</v>
      </c>
      <c r="H95" s="207">
        <f>C34</f>
        <v>69.004</v>
      </c>
      <c r="I95" s="208"/>
    </row>
    <row r="96" ht="25.5">
      <c r="A96" s="10"/>
      <c r="B96" s="206" t="s">
        <v>369</v>
      </c>
      <c r="C96" s="219">
        <v>17.705</v>
      </c>
      <c r="D96" s="219">
        <v>19.732</v>
      </c>
      <c r="E96" s="219">
        <v>72.547</v>
      </c>
      <c r="F96" s="219">
        <v>17.48</v>
      </c>
      <c r="G96" s="219">
        <v>17.77</v>
      </c>
      <c r="H96" s="207">
        <f>C36</f>
        <v>18.02</v>
      </c>
      <c r="I96" s="208"/>
    </row>
    <row r="97" ht="25.5">
      <c r="A97" s="10"/>
      <c r="B97" s="206" t="s">
        <v>370</v>
      </c>
      <c r="C97" s="219">
        <v>10.991</v>
      </c>
      <c r="D97" s="219">
        <v>10.72</v>
      </c>
      <c r="E97" s="219">
        <v>43.992</v>
      </c>
      <c r="F97" s="219">
        <v>11.407</v>
      </c>
      <c r="G97" s="219">
        <v>10.639</v>
      </c>
      <c r="H97" s="207">
        <f>C38</f>
        <v>10.788</v>
      </c>
      <c r="I97" s="208"/>
    </row>
    <row r="98">
      <c r="A98" s="10"/>
      <c r="B98" s="10" t="s">
        <v>371</v>
      </c>
      <c r="C98" s="2">
        <v>20.751</v>
      </c>
      <c r="D98" s="2">
        <v>15.111</v>
      </c>
      <c r="E98" s="2">
        <v>71.709</v>
      </c>
      <c r="F98" s="2">
        <v>18.597</v>
      </c>
      <c r="G98" s="2">
        <v>21.285</v>
      </c>
      <c r="H98" s="12">
        <f>C47</f>
        <v>17.871</v>
      </c>
      <c r="I98" s="7"/>
    </row>
    <row r="99">
      <c r="A99" s="10"/>
      <c r="B99" s="10" t="s">
        <v>372</v>
      </c>
      <c r="C99" s="2">
        <v>51.291</v>
      </c>
      <c r="D99" s="2">
        <v>36.474</v>
      </c>
      <c r="E99" s="2">
        <v>188.63</v>
      </c>
      <c r="F99" s="2">
        <v>42.343</v>
      </c>
      <c r="G99" s="2">
        <v>47.365</v>
      </c>
      <c r="H99" s="12">
        <f>C52</f>
        <v>53.937</v>
      </c>
      <c r="I99" s="7"/>
    </row>
    <row r="100" ht="25.5">
      <c r="A100" s="10"/>
      <c r="B100" s="215" t="s">
        <v>114</v>
      </c>
      <c r="C100" s="223">
        <f>C87+C88</f>
        <v>3068.171</v>
      </c>
      <c r="D100" s="223">
        <f>D87+D88</f>
        <v>3146.348</v>
      </c>
      <c r="E100" s="223">
        <f>E87+E88</f>
        <v>12087.204000000002</v>
      </c>
      <c r="F100" s="223">
        <f>F87+F88</f>
        <v>2921.392</v>
      </c>
      <c r="G100" s="223">
        <f>G87+G88</f>
        <v>2928.181</v>
      </c>
      <c r="H100" s="237">
        <f>H87+H88</f>
        <v>3052.897</v>
      </c>
      <c r="I100" s="208"/>
    </row>
    <row r="101" ht="25.5">
      <c r="A101" s="10"/>
      <c r="B101" s="215" t="s">
        <v>373</v>
      </c>
      <c r="C101" s="223">
        <f>SUM(C89,C90,C91,C92,C93,C94,C95,C96,C97)</f>
        <v>2844.063</v>
      </c>
      <c r="D101" s="223">
        <f>SUM(D89,D90,D91,D92,D93,D94,D95,D96,D97)</f>
        <v>2939.309</v>
      </c>
      <c r="E101" s="223">
        <f>SUM(E89,E90,E91,E92,E93,E94,E95,E96,E97)</f>
        <v>11255.979000000001</v>
      </c>
      <c r="F101" s="223">
        <f>SUM(F89,F90,F91,F92,F93,F94,F95,F96,F97)</f>
        <v>2742.712</v>
      </c>
      <c r="G101" s="223">
        <f>SUM(G89,G90,G91,G92,G93,G94,G95,G96,G97)</f>
        <v>2730.907</v>
      </c>
      <c r="H101" s="237">
        <f>SUM(H89,H90,H91,H92,H93,H94,H95,H96,H97)</f>
        <v>2810.24</v>
      </c>
      <c r="I101" s="208"/>
    </row>
    <row r="102">
      <c r="A102" s="10"/>
      <c r="B102" s="6" t="s">
        <v>374</v>
      </c>
      <c r="C102" s="17">
        <f>C100-C101</f>
        <v>224.10799999999972</v>
      </c>
      <c r="D102" s="17">
        <f>D100-D101</f>
        <v>207.03899999999976</v>
      </c>
      <c r="E102" s="17">
        <f>E100-E101</f>
        <v>831.2250000000004</v>
      </c>
      <c r="F102" s="17">
        <f>F100-F101</f>
        <v>178.67999999999984</v>
      </c>
      <c r="G102" s="17">
        <f>G100-G101</f>
        <v>197.2739999999999</v>
      </c>
      <c r="H102" s="25">
        <f>H100-H101</f>
        <v>242.65700000000015</v>
      </c>
      <c r="I102" s="7"/>
    </row>
    <row r="103" ht="25.5">
      <c r="A103" s="10"/>
      <c r="B103" s="215" t="s">
        <v>375</v>
      </c>
      <c r="C103" s="223">
        <f>C102-C98</f>
        <v>203.35699999999972</v>
      </c>
      <c r="D103" s="223">
        <f>D102-D98</f>
        <v>191.92799999999977</v>
      </c>
      <c r="E103" s="223">
        <f>E102-E98</f>
        <v>759.5160000000003</v>
      </c>
      <c r="F103" s="223">
        <f>F102-F98</f>
        <v>160.08299999999983</v>
      </c>
      <c r="G103" s="223">
        <f>G102-G98</f>
        <v>175.9889999999999</v>
      </c>
      <c r="H103" s="237">
        <f>H102-H98</f>
        <v>224.78600000000014</v>
      </c>
      <c r="I103" s="208"/>
    </row>
    <row r="104">
      <c r="A104" s="10"/>
      <c r="B104" s="6" t="s">
        <v>376</v>
      </c>
      <c r="C104" s="17">
        <f>C103-C99</f>
        <v>152.06599999999972</v>
      </c>
      <c r="D104" s="17">
        <f>D103-D99</f>
        <v>155.45399999999978</v>
      </c>
      <c r="E104" s="17">
        <f>E103-E99</f>
        <v>570.8860000000003</v>
      </c>
      <c r="F104" s="17">
        <f>F103-F99</f>
        <v>117.73999999999982</v>
      </c>
      <c r="G104" s="17">
        <f>G103-G99</f>
        <v>128.62399999999988</v>
      </c>
      <c r="H104" s="25">
        <f>H103-H99</f>
        <v>170.84900000000016</v>
      </c>
      <c r="I104" s="7"/>
    </row>
    <row r="105">
      <c r="A105" s="10"/>
      <c r="B105" s="10" t="s">
        <v>377</v>
      </c>
      <c r="C105" s="62">
        <f>C104/'Share Count'!C32</f>
        <v>1.4888725706173174</v>
      </c>
      <c r="D105" s="62">
        <f>D104/'Share Count'!D32</f>
        <v>1.5293515794858654</v>
      </c>
      <c r="E105" s="62">
        <f>E104/'Share Count'!E32</f>
        <v>5.555851840317654</v>
      </c>
      <c r="F105" s="62">
        <f>F104/'Share Count'!F32</f>
        <v>1.171670531102905</v>
      </c>
      <c r="G105" s="62">
        <f>G104/'Share Count'!G32</f>
        <v>1.3128113007267075</v>
      </c>
      <c r="H105" s="97">
        <f>H104/'Share Count'!H32</f>
        <v>1.7641124660547065</v>
      </c>
      <c r="I105" s="7"/>
    </row>
    <row r="106">
      <c r="A106" s="10"/>
      <c r="B106" s="10"/>
      <c r="C106" s="1"/>
      <c r="D106" s="1"/>
      <c r="E106" s="1"/>
      <c r="F106" s="1"/>
      <c r="G106" s="1"/>
      <c r="H106" s="20"/>
      <c r="I106" s="7"/>
    </row>
    <row r="107" ht="41.25">
      <c r="B107" s="194" t="s">
        <v>378</v>
      </c>
      <c r="C107" s="178"/>
      <c r="D107" s="178"/>
      <c r="E107" s="178"/>
      <c r="F107" s="178"/>
      <c r="G107" s="178"/>
      <c r="H107" s="179"/>
      <c r="I107" s="195" t="s">
        <v>379</v>
      </c>
    </row>
    <row r="108">
      <c r="B108" s="178" t="s">
        <v>380</v>
      </c>
      <c r="C108" s="178"/>
      <c r="D108" s="178"/>
      <c r="E108" s="178"/>
      <c r="F108" s="178"/>
      <c r="G108" s="178"/>
      <c r="H108" s="179">
        <f>H11-G11</f>
        <v>20.223327517788903</v>
      </c>
      <c r="I108" s="177" t="s">
        <v>381</v>
      </c>
    </row>
    <row r="109">
      <c r="B109" s="178" t="s">
        <v>382</v>
      </c>
      <c r="C109" s="178"/>
      <c r="D109" s="178"/>
      <c r="E109" s="178"/>
      <c r="F109" s="178"/>
      <c r="G109" s="178"/>
      <c r="H109" s="179">
        <f>H28-G28</f>
        <v>9.367857890800309</v>
      </c>
      <c r="I109" s="177" t="s">
        <v>383</v>
      </c>
    </row>
    <row r="110">
      <c r="B110" s="178" t="s">
        <v>384</v>
      </c>
      <c r="C110" s="178"/>
      <c r="D110" s="178"/>
      <c r="E110" s="178"/>
      <c r="F110" s="178"/>
      <c r="G110" s="178"/>
      <c r="H110" s="179">
        <f>H108-H109</f>
        <v>10.855469626988594</v>
      </c>
      <c r="I110" s="177"/>
    </row>
    <row r="111">
      <c r="B111" s="178" t="s">
        <v>385</v>
      </c>
      <c r="C111" s="178"/>
      <c r="D111" s="178"/>
      <c r="E111" s="178"/>
      <c r="F111" s="178"/>
      <c r="G111" s="178"/>
      <c r="H111" s="179">
        <f>-H25</f>
        <v>-10</v>
      </c>
      <c r="I111" s="177" t="s">
        <v>386</v>
      </c>
    </row>
    <row r="112" ht="41.25">
      <c r="B112" s="192" t="s">
        <v>387</v>
      </c>
      <c r="C112" s="178"/>
      <c r="D112" s="178"/>
      <c r="E112" s="178"/>
      <c r="F112" s="178"/>
      <c r="G112" s="178"/>
      <c r="H112" s="180">
        <f>H110-H111</f>
        <v>20.855469626988594</v>
      </c>
      <c r="I112" s="195" t="s">
        <v>388</v>
      </c>
    </row>
    <row r="113">
      <c r="B113" s="178" t="s">
        <v>389</v>
      </c>
      <c r="C113" s="178"/>
      <c r="D113" s="178"/>
      <c r="E113" s="178"/>
      <c r="F113" s="178"/>
      <c r="G113" s="178"/>
      <c r="H113" s="179">
        <f>H32-G32</f>
        <v>3.5079999999999956</v>
      </c>
      <c r="I113" s="177"/>
    </row>
    <row r="114">
      <c r="B114" s="178" t="s">
        <v>390</v>
      </c>
      <c r="C114" s="178"/>
      <c r="D114" s="178"/>
      <c r="E114" s="178"/>
      <c r="F114" s="178"/>
      <c r="G114" s="178"/>
      <c r="H114" s="193">
        <f>-('Segment - Intermodal'!H56+'Segment - Dedicated'!H65+'Segment - Final Mile'!H50+'Segment - Truckload'!H50)</f>
        <v>5.5</v>
      </c>
      <c r="I114" s="177" t="s">
        <v>391</v>
      </c>
    </row>
    <row r="115" ht="28.5">
      <c r="B115" s="178" t="s">
        <v>392</v>
      </c>
      <c r="C115" s="178"/>
      <c r="D115" s="178"/>
      <c r="E115" s="178"/>
      <c r="F115" s="178"/>
      <c r="G115" s="178"/>
      <c r="H115" s="179">
        <f>H114-H113</f>
        <v>1.9920000000000044</v>
      </c>
      <c r="I115" s="195" t="s">
        <v>393</v>
      </c>
    </row>
    <row r="116">
      <c r="B116" s="178" t="s">
        <v>394</v>
      </c>
      <c r="C116" s="178"/>
      <c r="D116" s="178"/>
      <c r="E116" s="178"/>
      <c r="F116" s="178"/>
      <c r="G116" s="178"/>
      <c r="H116" s="179">
        <f>H21-G21</f>
        <v>33.203520000000026</v>
      </c>
      <c r="I116" s="177"/>
    </row>
    <row r="117">
      <c r="B117" s="178" t="s">
        <v>395</v>
      </c>
      <c r="C117" s="178"/>
      <c r="D117" s="178"/>
      <c r="E117" s="178"/>
      <c r="F117" s="178"/>
      <c r="G117" s="178"/>
      <c r="H117" s="179">
        <f>H24</f>
        <v>25</v>
      </c>
      <c r="I117" s="177"/>
    </row>
    <row r="118" ht="28.5">
      <c r="B118" s="178" t="s">
        <v>396</v>
      </c>
      <c r="C118" s="178"/>
      <c r="D118" s="178"/>
      <c r="E118" s="178"/>
      <c r="F118" s="178"/>
      <c r="G118" s="178"/>
      <c r="H118" s="179">
        <f>H116-H117</f>
        <v>8.203520000000026</v>
      </c>
      <c r="I118" s="195" t="s">
        <v>397</v>
      </c>
    </row>
    <row r="119">
      <c r="B119" s="178" t="s">
        <v>398</v>
      </c>
      <c r="C119" s="178"/>
      <c r="D119" s="178"/>
      <c r="E119" s="178"/>
      <c r="F119" s="178"/>
      <c r="G119" s="178"/>
      <c r="H119" s="179">
        <f>H19-G19</f>
        <v>51.22720580579812</v>
      </c>
      <c r="I119" s="177"/>
    </row>
    <row r="120">
      <c r="B120" s="176" t="s">
        <v>399</v>
      </c>
      <c r="C120" s="178"/>
      <c r="D120" s="178"/>
      <c r="E120" s="178"/>
      <c r="F120" s="178"/>
      <c r="G120" s="178"/>
      <c r="H120" s="188">
        <f>H19/G19-1</f>
        <v>0.030541833090359516</v>
      </c>
      <c r="I120" s="177"/>
    </row>
    <row r="121">
      <c r="B121" s="176" t="s">
        <v>400</v>
      </c>
      <c r="C121" s="178"/>
      <c r="D121" s="178"/>
      <c r="E121" s="178"/>
      <c r="F121" s="178"/>
      <c r="G121" s="178"/>
      <c r="H121" s="188">
        <f>(H19-H112)/G19-1</f>
        <v>0.018107731671998417</v>
      </c>
      <c r="I121" s="177" t="s">
        <v>401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402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403</v>
      </c>
      <c r="C8" s="3"/>
      <c r="D8" s="3"/>
      <c r="E8" s="3"/>
      <c r="F8" s="3"/>
      <c r="G8" s="3"/>
      <c r="H8" s="12"/>
      <c r="I8" s="7"/>
    </row>
    <row r="9">
      <c r="A9" s="10"/>
      <c r="B9" s="10" t="s">
        <v>404</v>
      </c>
      <c r="C9" s="2">
        <v>52.29</v>
      </c>
      <c r="D9" s="2">
        <v>17.284</v>
      </c>
      <c r="E9" s="3">
        <f>D9</f>
        <v>17.284</v>
      </c>
      <c r="F9" s="2">
        <v>4.563</v>
      </c>
      <c r="G9" s="2">
        <v>4.162</v>
      </c>
      <c r="H9" s="13">
        <f>'Cash Flow Statement'!H38</f>
        <v>9.350657637458248</v>
      </c>
      <c r="I9" s="7" t="s">
        <v>405</v>
      </c>
    </row>
    <row r="10">
      <c r="A10" s="10"/>
      <c r="B10" s="10" t="s">
        <v>406</v>
      </c>
      <c r="C10" s="2">
        <v>1231.356</v>
      </c>
      <c r="D10" s="2">
        <v>1160.371</v>
      </c>
      <c r="E10" s="3">
        <f>D10</f>
        <v>1160.371</v>
      </c>
      <c r="F10" s="2">
        <v>1327.455</v>
      </c>
      <c r="G10" s="2">
        <v>1461.271</v>
      </c>
      <c r="H10" s="13">
        <f>G38*'Income Statement'!H15/H6</f>
        <v>1479.0363030413712</v>
      </c>
      <c r="I10" s="7" t="s">
        <v>407</v>
      </c>
    </row>
    <row r="11">
      <c r="A11" s="10"/>
      <c r="B11" s="10" t="s">
        <v>408</v>
      </c>
      <c r="C11" s="2">
        <v>392.636</v>
      </c>
      <c r="D11" s="2">
        <v>426.535</v>
      </c>
      <c r="E11" s="3">
        <f>D11</f>
        <v>426.535</v>
      </c>
      <c r="F11" s="2">
        <v>385.417</v>
      </c>
      <c r="G11" s="2">
        <v>347.913</v>
      </c>
      <c r="H11" s="13">
        <f>G11-'Cash Flow Statement'!H16</f>
        <v>347.913</v>
      </c>
      <c r="I11" s="7"/>
    </row>
    <row r="12">
      <c r="A12" s="10"/>
      <c r="B12" s="6" t="s">
        <v>409</v>
      </c>
      <c r="C12" s="17">
        <f>SUM(C9:C11)</f>
        <v>1676.282</v>
      </c>
      <c r="D12" s="17">
        <f>SUM(D9:D11)</f>
        <v>1604.1900000000003</v>
      </c>
      <c r="E12" s="17">
        <f>SUM(E9:E11)</f>
        <v>1604.1900000000003</v>
      </c>
      <c r="F12" s="17">
        <f>SUM(F9:F11)</f>
        <v>1717.435</v>
      </c>
      <c r="G12" s="17">
        <f>SUM(G9:G11)</f>
        <v>1813.346</v>
      </c>
      <c r="H12" s="25">
        <f>SUM(H9:H11)</f>
        <v>1836.2999606788294</v>
      </c>
      <c r="I12" s="7"/>
    </row>
    <row r="13" ht="66.75">
      <c r="A13" s="10"/>
      <c r="B13" s="10" t="s">
        <v>410</v>
      </c>
      <c r="C13" s="2">
        <v>9341.316</v>
      </c>
      <c r="D13" s="2">
        <v>9348.37</v>
      </c>
      <c r="E13" s="3">
        <f>D13</f>
        <v>9348.37</v>
      </c>
      <c r="F13" s="2">
        <v>9330.847</v>
      </c>
      <c r="G13" s="2">
        <v>9359.388</v>
      </c>
      <c r="H13" s="13">
        <f>G13-'Cash Flow Statement'!H23-'Cash Flow Statement'!H24-'Cash Flow Statement'!H13</f>
        <v>9557.888</v>
      </c>
      <c r="I13" s="195" t="s">
        <v>411</v>
      </c>
    </row>
    <row r="14">
      <c r="A14" s="10"/>
      <c r="B14" s="10" t="s">
        <v>412</v>
      </c>
      <c r="C14" s="2">
        <v>3700.489</v>
      </c>
      <c r="D14" s="2">
        <v>3810.269</v>
      </c>
      <c r="E14" s="3">
        <f>D14</f>
        <v>3810.269</v>
      </c>
      <c r="F14" s="2">
        <v>3895.731</v>
      </c>
      <c r="G14" s="2">
        <v>3988.837</v>
      </c>
      <c r="H14" s="13">
        <f>G14+'Cash Flow Statement'!H10</f>
        <v>4170.3369999999995</v>
      </c>
      <c r="I14" s="7"/>
    </row>
    <row r="15">
      <c r="A15" s="10"/>
      <c r="B15" s="6" t="s">
        <v>413</v>
      </c>
      <c r="C15" s="17">
        <f>C13-C14</f>
        <v>5640.827000000001</v>
      </c>
      <c r="D15" s="17">
        <f>D13-D14</f>
        <v>5538.101000000001</v>
      </c>
      <c r="E15" s="17">
        <f>E13-E14</f>
        <v>5538.101000000001</v>
      </c>
      <c r="F15" s="17">
        <f>F13-F14</f>
        <v>5435.116</v>
      </c>
      <c r="G15" s="17">
        <f>G13-G14</f>
        <v>5370.551000000001</v>
      </c>
      <c r="H15" s="25">
        <f>H13-H14</f>
        <v>5387.551000000001</v>
      </c>
      <c r="I15" s="7"/>
    </row>
    <row r="16">
      <c r="A16" s="10"/>
      <c r="B16" s="10" t="s">
        <v>414</v>
      </c>
      <c r="C16" s="2">
        <v>790.543</v>
      </c>
      <c r="D16" s="2">
        <v>784.864</v>
      </c>
      <c r="E16" s="3">
        <f>D16</f>
        <v>784.864</v>
      </c>
      <c r="F16" s="2">
        <v>777.989</v>
      </c>
      <c r="G16" s="2">
        <v>760.881</v>
      </c>
      <c r="H16" s="13">
        <f>G16-'Cash Flow Statement'!H11-'Cash Flow Statement'!H25</f>
        <v>739.381</v>
      </c>
      <c r="I16" s="7" t="s">
        <v>415</v>
      </c>
    </row>
    <row r="17">
      <c r="A17" s="10"/>
      <c r="B17" s="6" t="s">
        <v>416</v>
      </c>
      <c r="C17" s="17">
        <f>C12+C15+C16</f>
        <v>8107.652000000001</v>
      </c>
      <c r="D17" s="17">
        <f>D12+D15+D16</f>
        <v>7927.155000000001</v>
      </c>
      <c r="E17" s="17">
        <f>E12+E15+E16</f>
        <v>7927.155000000001</v>
      </c>
      <c r="F17" s="17">
        <f>F12+F15+F16</f>
        <v>7930.539999999999</v>
      </c>
      <c r="G17" s="17">
        <f>G12+G15+G16</f>
        <v>7944.778000000001</v>
      </c>
      <c r="H17" s="25">
        <f>H12+H15+H16</f>
        <v>7963.231960678831</v>
      </c>
      <c r="I17" s="7"/>
    </row>
    <row r="18">
      <c r="A18" s="10"/>
      <c r="B18" s="8" t="s">
        <v>417</v>
      </c>
      <c r="C18" s="3"/>
      <c r="D18" s="3"/>
      <c r="E18" s="3"/>
      <c r="F18" s="3"/>
      <c r="G18" s="3"/>
      <c r="H18" s="12"/>
      <c r="I18" s="7"/>
    </row>
    <row r="19">
      <c r="A19" s="10"/>
      <c r="B19" s="10" t="s">
        <v>418</v>
      </c>
      <c r="C19" s="2">
        <v>699.647</v>
      </c>
      <c r="D19" s="2">
        <v>699.859</v>
      </c>
      <c r="E19" s="3">
        <f>D19</f>
        <v>699.859</v>
      </c>
      <c r="F19" s="2">
        <v>0</v>
      </c>
      <c r="G19" s="2">
        <v>0</v>
      </c>
      <c r="H19" s="12">
        <f>G19</f>
        <v>0</v>
      </c>
      <c r="I19" s="7"/>
    </row>
    <row r="20">
      <c r="A20" s="10"/>
      <c r="B20" s="10" t="s">
        <v>419</v>
      </c>
      <c r="C20" s="2">
        <v>664.517</v>
      </c>
      <c r="D20" s="2">
        <v>655.604</v>
      </c>
      <c r="E20" s="3">
        <f>D20</f>
        <v>655.604</v>
      </c>
      <c r="F20" s="2">
        <v>751.878</v>
      </c>
      <c r="G20" s="2">
        <v>792.348</v>
      </c>
      <c r="H20" s="13">
        <f>G41*'Income Statement'!H40</f>
        <v>817.0536476155315</v>
      </c>
      <c r="I20" s="7" t="s">
        <v>420</v>
      </c>
    </row>
    <row r="21">
      <c r="A21" s="10"/>
      <c r="B21" s="10" t="s">
        <v>421</v>
      </c>
      <c r="C21" s="2">
        <v>284.712</v>
      </c>
      <c r="D21" s="2">
        <v>310.339</v>
      </c>
      <c r="E21" s="3">
        <f>D21</f>
        <v>310.339</v>
      </c>
      <c r="F21" s="2">
        <v>322.618</v>
      </c>
      <c r="G21" s="2">
        <v>322.235</v>
      </c>
      <c r="H21" s="13">
        <f>G21+'Cash Flow Statement'!H19</f>
        <v>330.235</v>
      </c>
      <c r="I21" s="7"/>
    </row>
    <row r="22" ht="41.25">
      <c r="A22" s="10"/>
      <c r="B22" s="10" t="s">
        <v>422</v>
      </c>
      <c r="C22" s="2">
        <v>141.778</v>
      </c>
      <c r="D22" s="2">
        <v>110.388</v>
      </c>
      <c r="E22" s="3">
        <f>D22</f>
        <v>110.388</v>
      </c>
      <c r="F22" s="2">
        <v>127.369</v>
      </c>
      <c r="G22" s="2">
        <v>153.185</v>
      </c>
      <c r="H22" s="174">
        <f>G22</f>
        <v>153.185</v>
      </c>
      <c r="I22" s="195" t="s">
        <v>423</v>
      </c>
    </row>
    <row r="23" ht="28.5">
      <c r="A23" s="10"/>
      <c r="B23" s="10" t="s">
        <v>424</v>
      </c>
      <c r="C23" s="2">
        <v>142.214</v>
      </c>
      <c r="D23" s="2">
        <v>159.153</v>
      </c>
      <c r="E23" s="3">
        <f>D23</f>
        <v>159.153</v>
      </c>
      <c r="F23" s="2">
        <v>163.163</v>
      </c>
      <c r="G23" s="2">
        <v>176.895</v>
      </c>
      <c r="H23" s="13">
        <f>G23+'Cash Flow Statement'!H18</f>
        <v>176.895</v>
      </c>
      <c r="I23" s="195" t="s">
        <v>425</v>
      </c>
    </row>
    <row r="24">
      <c r="A24" s="10"/>
      <c r="B24" s="6" t="s">
        <v>426</v>
      </c>
      <c r="C24" s="17">
        <f>SUM(C19:C23)</f>
        <v>1932.8680000000002</v>
      </c>
      <c r="D24" s="17">
        <f>SUM(D19:D23)</f>
        <v>1935.343</v>
      </c>
      <c r="E24" s="17">
        <f>SUM(E19:E23)</f>
        <v>1935.343</v>
      </c>
      <c r="F24" s="17">
        <f>SUM(F19:F23)</f>
        <v>1365.028</v>
      </c>
      <c r="G24" s="17">
        <f>SUM(G19:G23)</f>
        <v>1444.663</v>
      </c>
      <c r="H24" s="25">
        <f>SUM(H19:H23)</f>
        <v>1477.3686476155315</v>
      </c>
      <c r="I24" s="7"/>
    </row>
    <row r="25">
      <c r="A25" s="10"/>
      <c r="B25" s="10" t="s">
        <v>427</v>
      </c>
      <c r="C25" s="2">
        <v>902.207</v>
      </c>
      <c r="D25" s="2">
        <v>766.938</v>
      </c>
      <c r="E25" s="3">
        <f>D25</f>
        <v>766.938</v>
      </c>
      <c r="F25" s="2">
        <v>1302.838</v>
      </c>
      <c r="G25" s="2">
        <v>1145.337</v>
      </c>
      <c r="H25" s="13">
        <f>G25+'Cash Flow Statement'!H28+'Cash Flow Statement'!H29+'Cash Flow Statement'!H30+'Cash Flow Statement'!H31</f>
        <v>1106.837</v>
      </c>
      <c r="I25" s="7"/>
    </row>
    <row r="26">
      <c r="A26" s="10"/>
      <c r="B26" s="10" t="s">
        <v>428</v>
      </c>
      <c r="C26" s="2">
        <v>420.43</v>
      </c>
      <c r="D26" s="2">
        <v>444.479</v>
      </c>
      <c r="E26" s="3">
        <f>D26</f>
        <v>444.479</v>
      </c>
      <c r="F26" s="2">
        <v>480.696</v>
      </c>
      <c r="G26" s="2">
        <v>487.457</v>
      </c>
      <c r="H26" s="12">
        <f>G26</f>
        <v>487.457</v>
      </c>
      <c r="I26" s="7"/>
    </row>
    <row r="27" ht="41.25">
      <c r="A27" s="10"/>
      <c r="B27" s="10" t="s">
        <v>429</v>
      </c>
      <c r="C27" s="2">
        <v>341.921</v>
      </c>
      <c r="D27" s="2">
        <v>307.005</v>
      </c>
      <c r="E27" s="3">
        <f>D27</f>
        <v>307.005</v>
      </c>
      <c r="F27" s="2">
        <v>298.895</v>
      </c>
      <c r="G27" s="2">
        <v>298.697</v>
      </c>
      <c r="H27" s="175">
        <f>G27+'Cash Flow Statement'!H20</f>
        <v>277.197</v>
      </c>
      <c r="I27" s="195" t="s">
        <v>430</v>
      </c>
    </row>
    <row r="28">
      <c r="A28" s="10"/>
      <c r="B28" s="10" t="s">
        <v>431</v>
      </c>
      <c r="C28" s="2">
        <v>938.36</v>
      </c>
      <c r="D28" s="2">
        <v>908.305</v>
      </c>
      <c r="E28" s="3">
        <f>D28</f>
        <v>908.305</v>
      </c>
      <c r="F28" s="2">
        <v>888.725</v>
      </c>
      <c r="G28" s="2">
        <v>911.509</v>
      </c>
      <c r="H28" s="13">
        <f>G28+'Cash Flow Statement'!H14</f>
        <v>911.509</v>
      </c>
      <c r="I28" s="7"/>
    </row>
    <row r="29">
      <c r="A29" s="10"/>
      <c r="B29" s="6" t="s">
        <v>432</v>
      </c>
      <c r="C29" s="17">
        <f>C24+SUM(C25:C28)</f>
        <v>4535.786</v>
      </c>
      <c r="D29" s="17">
        <f>D24+SUM(D25:D28)</f>
        <v>4362.07</v>
      </c>
      <c r="E29" s="17">
        <f>E24+SUM(E25:E28)</f>
        <v>4362.07</v>
      </c>
      <c r="F29" s="17">
        <f>F24+SUM(F25:F28)</f>
        <v>4336.182</v>
      </c>
      <c r="G29" s="17">
        <f>G24+SUM(G25:G28)</f>
        <v>4287.6630000000005</v>
      </c>
      <c r="H29" s="25">
        <f>H24+SUM(H25:H28)</f>
        <v>4260.368647615532</v>
      </c>
      <c r="I29" s="7"/>
    </row>
    <row r="30">
      <c r="A30" s="10"/>
      <c r="B30" s="8" t="s">
        <v>433</v>
      </c>
      <c r="C30" s="3"/>
      <c r="D30" s="3"/>
      <c r="E30" s="3"/>
      <c r="F30" s="3"/>
      <c r="G30" s="3"/>
      <c r="H30" s="12"/>
      <c r="I30" s="7"/>
    </row>
    <row r="31" ht="28.5">
      <c r="A31" s="10"/>
      <c r="B31" s="10" t="s">
        <v>433</v>
      </c>
      <c r="C31" s="2">
        <v>3571.866</v>
      </c>
      <c r="D31" s="2">
        <v>3565.085</v>
      </c>
      <c r="E31" s="3">
        <f>D31</f>
        <v>3565.085</v>
      </c>
      <c r="F31" s="2">
        <v>3594.358</v>
      </c>
      <c r="G31" s="2">
        <v>3657.115</v>
      </c>
      <c r="H31" s="13">
        <f>G31+'Income Statement'!H56+'Cash Flow Statement'!H12+'Cash Flow Statement'!H32+'Cash Flow Statement'!H33+'Cash Flow Statement'!H34</f>
        <v>3702.8633130632975</v>
      </c>
      <c r="I31" s="195" t="s">
        <v>434</v>
      </c>
    </row>
    <row r="32">
      <c r="A32" s="10"/>
      <c r="B32" s="6" t="s">
        <v>435</v>
      </c>
      <c r="C32" s="17">
        <f>C29+C31</f>
        <v>8107.652</v>
      </c>
      <c r="D32" s="17">
        <f>D29+D31</f>
        <v>7927.155</v>
      </c>
      <c r="E32" s="17">
        <f>E29+E31</f>
        <v>7927.155</v>
      </c>
      <c r="F32" s="17">
        <f>F29+F31</f>
        <v>7930.54</v>
      </c>
      <c r="G32" s="17">
        <f>G29+G31</f>
        <v>7944.778</v>
      </c>
      <c r="H32" s="25">
        <f>H29+H31</f>
        <v>7963.23196067883</v>
      </c>
      <c r="I32" s="7"/>
    </row>
    <row r="33" ht="25.5">
      <c r="A33" s="10"/>
      <c r="B33" s="202" t="s">
        <v>436</v>
      </c>
      <c r="C33" s="204">
        <f>ROUND(C17-C29-C31,3)</f>
        <v>0</v>
      </c>
      <c r="D33" s="204">
        <f>ROUND(D17-D29-D31,3)</f>
        <v>0</v>
      </c>
      <c r="E33" s="204">
        <f>ROUND(E17-E29-E31,3)</f>
        <v>0</v>
      </c>
      <c r="F33" s="204">
        <f>ROUND(F17-F29-F31,3)</f>
        <v>0</v>
      </c>
      <c r="G33" s="204">
        <f>ROUND(G17-G29-G31,3)</f>
        <v>0</v>
      </c>
      <c r="H33" s="207">
        <f>ROUND(H17-H29-H31,3)</f>
        <v>0</v>
      </c>
      <c r="I33" s="208"/>
    </row>
    <row r="34">
      <c r="A34" s="10"/>
      <c r="B34" s="10"/>
      <c r="C34" s="1"/>
      <c r="D34" s="1"/>
      <c r="E34" s="1"/>
      <c r="F34" s="1"/>
      <c r="G34" s="1"/>
      <c r="H34" s="20"/>
      <c r="I34" s="7"/>
    </row>
    <row r="35">
      <c r="A35" s="10"/>
      <c r="B35" s="8" t="s">
        <v>437</v>
      </c>
      <c r="C35" s="3"/>
      <c r="D35" s="3"/>
      <c r="E35" s="3"/>
      <c r="F35" s="3"/>
      <c r="G35" s="3"/>
      <c r="H35" s="12"/>
      <c r="I35" s="7"/>
    </row>
    <row r="36">
      <c r="A36" s="10"/>
      <c r="B36" s="6" t="s">
        <v>438</v>
      </c>
      <c r="C36" s="17">
        <f>C19+C25</f>
        <v>1601.854</v>
      </c>
      <c r="D36" s="17">
        <f>D19+D25</f>
        <v>1466.797</v>
      </c>
      <c r="E36" s="17">
        <f>E19+E25</f>
        <v>1466.797</v>
      </c>
      <c r="F36" s="17">
        <f>F19+F25</f>
        <v>1302.838</v>
      </c>
      <c r="G36" s="17">
        <f>G19+G25</f>
        <v>1145.337</v>
      </c>
      <c r="H36" s="25">
        <f>H19+H25</f>
        <v>1106.837</v>
      </c>
      <c r="I36" s="7"/>
    </row>
    <row r="37">
      <c r="A37" s="10"/>
      <c r="B37" s="10" t="s">
        <v>439</v>
      </c>
      <c r="C37" s="3">
        <f>C36-C9</f>
        <v>1549.564</v>
      </c>
      <c r="D37" s="3">
        <f>D36-D9</f>
        <v>1449.513</v>
      </c>
      <c r="E37" s="3">
        <f>E36-E9</f>
        <v>1449.513</v>
      </c>
      <c r="F37" s="3">
        <f>F36-F9</f>
        <v>1298.2749999999999</v>
      </c>
      <c r="G37" s="3">
        <f>G36-G9</f>
        <v>1141.175</v>
      </c>
      <c r="H37" s="12">
        <f>H36-H9</f>
        <v>1097.4863423625418</v>
      </c>
      <c r="I37" s="7"/>
    </row>
    <row r="38">
      <c r="A38" s="10"/>
      <c r="B38" s="10" t="s">
        <v>440</v>
      </c>
      <c r="C38" s="15">
        <f>C10/'Income Statement'!C15*C6</f>
        <v>37.10729579150558</v>
      </c>
      <c r="D38" s="15">
        <f>D10/'Income Statement'!D15*D6</f>
        <v>34.47433819905923</v>
      </c>
      <c r="E38" s="15">
        <f>E10/'Income Statement'!E15*E6</f>
        <v>35.29727697819903</v>
      </c>
      <c r="F38" s="15">
        <f>F10/'Income Statement'!F15*F6</f>
        <v>39.0876171400472</v>
      </c>
      <c r="G38" s="15">
        <f>G10/'Income Statement'!G15*G6</f>
        <v>38.04417737439118</v>
      </c>
      <c r="H38" s="27">
        <f>H10/'Income Statement'!H15*H6</f>
        <v>38.04417737439118</v>
      </c>
      <c r="I38" s="7"/>
    </row>
    <row r="39" ht="41.25">
      <c r="A39" s="10"/>
      <c r="B39" s="10" t="s">
        <v>441</v>
      </c>
      <c r="C39" s="14" t="s">
        <v>89</v>
      </c>
      <c r="D39" s="15">
        <f>D38-D46/'Income Statement'!D100*D6</f>
        <v>-1.3205808626593054</v>
      </c>
      <c r="E39" s="15">
        <f>E38-E46/'Income Statement'!E100*E6</f>
        <v>-1.6691372562260653</v>
      </c>
      <c r="F39" s="14" t="s">
        <v>89</v>
      </c>
      <c r="G39" s="14" t="s">
        <v>89</v>
      </c>
      <c r="H39" s="198">
        <f>H38-H46/'Income Statement'!H100*H6</f>
        <v>0.9368815828856043</v>
      </c>
      <c r="I39" s="195" t="s">
        <v>442</v>
      </c>
    </row>
    <row r="40">
      <c r="A40" s="10"/>
      <c r="B40" s="10" t="s">
        <v>443</v>
      </c>
      <c r="C40" s="14" t="s">
        <v>89</v>
      </c>
      <c r="D40" s="14">
        <f>D38-C38</f>
        <v>-2.6329575924463455</v>
      </c>
      <c r="E40" s="14" t="s">
        <v>34</v>
      </c>
      <c r="F40" s="14">
        <f>F38-D38</f>
        <v>4.613278940987968</v>
      </c>
      <c r="G40" s="14">
        <f>G38-F38</f>
        <v>-1.043439765656018</v>
      </c>
      <c r="H40" s="21">
        <f>H38-G38</f>
        <v>0</v>
      </c>
      <c r="I40" s="7"/>
    </row>
    <row r="41">
      <c r="A41" s="10"/>
      <c r="B41" s="31" t="s">
        <v>444</v>
      </c>
      <c r="C41" s="19">
        <f>C20/'Income Statement'!C40</f>
        <v>0.23646272204509228</v>
      </c>
      <c r="D41" s="19">
        <f>D20/'Income Statement'!D40</f>
        <v>0.23002285127653838</v>
      </c>
      <c r="E41" s="16" t="s">
        <v>34</v>
      </c>
      <c r="F41" s="19">
        <f>F20/'Income Statement'!F40</f>
        <v>0.2638684121773975</v>
      </c>
      <c r="G41" s="19">
        <f>G20/'Income Statement'!G40</f>
        <v>0.24486594532987374</v>
      </c>
      <c r="H41" s="71">
        <f>H20/'Income Statement'!H40</f>
        <v>0.24486594532987374</v>
      </c>
      <c r="I41" s="7" t="s">
        <v>445</v>
      </c>
    </row>
    <row r="42" ht="28.5">
      <c r="A42" s="10"/>
      <c r="B42" s="10" t="s">
        <v>110</v>
      </c>
      <c r="C42" s="4" t="s">
        <v>89</v>
      </c>
      <c r="D42" s="54">
        <f>(D41-D47/'Income Statement'!D101)*10000</f>
        <v>102.68820652333865</v>
      </c>
      <c r="E42" s="4" t="s">
        <v>34</v>
      </c>
      <c r="F42" s="4" t="s">
        <v>89</v>
      </c>
      <c r="G42" s="4" t="s">
        <v>89</v>
      </c>
      <c r="H42" s="197">
        <f>(H41-H47/'Income Statement'!H101)*10000</f>
        <v>84.03223284781464</v>
      </c>
      <c r="I42" s="195" t="s">
        <v>446</v>
      </c>
    </row>
    <row r="43">
      <c r="A43" s="10"/>
      <c r="B43" s="10" t="s">
        <v>111</v>
      </c>
      <c r="C43" s="4" t="s">
        <v>34</v>
      </c>
      <c r="D43" s="4">
        <f>IFERROR((D41-C41)*10000,"n/a")</f>
        <v>-64.39870768553901</v>
      </c>
      <c r="E43" s="4" t="s">
        <v>34</v>
      </c>
      <c r="F43" s="4">
        <f>IFERROR((F41-D41)*10000,"n/a")</f>
        <v>338.45560900859107</v>
      </c>
      <c r="G43" s="4">
        <f>IFERROR((G41-F41)*10000,"n/a")</f>
        <v>-190.0246684752374</v>
      </c>
      <c r="H43" s="30">
        <f>IFERROR((H41-G41)*10000,"n/a")</f>
        <v>0</v>
      </c>
      <c r="I43" s="7"/>
    </row>
    <row r="44">
      <c r="A44" s="10"/>
      <c r="B44" s="10"/>
      <c r="C44" s="1"/>
      <c r="D44" s="1"/>
      <c r="E44" s="1"/>
      <c r="F44" s="1"/>
      <c r="G44" s="1"/>
      <c r="H44" s="20"/>
      <c r="I44" s="7"/>
    </row>
    <row r="45">
      <c r="A45" s="10"/>
      <c r="B45" s="8" t="s">
        <v>447</v>
      </c>
      <c r="C45" s="3"/>
      <c r="D45" s="3"/>
      <c r="E45" s="3"/>
      <c r="F45" s="3"/>
      <c r="G45" s="3"/>
      <c r="H45" s="12"/>
      <c r="I45" s="7"/>
    </row>
    <row r="46">
      <c r="A46" s="10"/>
      <c r="B46" s="10" t="s">
        <v>448</v>
      </c>
      <c r="C46" s="3" t="s">
        <v>89</v>
      </c>
      <c r="D46" s="2">
        <v>1224.166</v>
      </c>
      <c r="E46" s="2">
        <v>1224.166</v>
      </c>
      <c r="F46" s="3" t="s">
        <v>89</v>
      </c>
      <c r="G46" s="3" t="s">
        <v>89</v>
      </c>
      <c r="H46" s="12">
        <f>C10</f>
        <v>1231.356</v>
      </c>
      <c r="I46" s="7"/>
    </row>
    <row r="47">
      <c r="A47" s="10"/>
      <c r="B47" s="10" t="s">
        <v>449</v>
      </c>
      <c r="C47" s="3" t="s">
        <v>89</v>
      </c>
      <c r="D47" s="2">
        <v>645.925</v>
      </c>
      <c r="E47" s="2">
        <v>645.925</v>
      </c>
      <c r="F47" s="3" t="s">
        <v>89</v>
      </c>
      <c r="G47" s="3" t="s">
        <v>89</v>
      </c>
      <c r="H47" s="12">
        <f>C20</f>
        <v>664.517</v>
      </c>
      <c r="I47" s="7"/>
    </row>
    <row r="48">
      <c r="A48" s="10"/>
      <c r="B48" s="10" t="s">
        <v>450</v>
      </c>
      <c r="C48" s="18">
        <f>C31/'Share Count'!C9</f>
        <v>37.512508139217374</v>
      </c>
      <c r="D48" s="18">
        <f>D31/'Share Count'!D9</f>
        <v>37.68787990908611</v>
      </c>
      <c r="E48" s="18">
        <f>E31/'Share Count'!E9</f>
        <v>37.68787990908611</v>
      </c>
      <c r="F48" s="18">
        <f>F31/'Share Count'!F9</f>
        <v>38.116607811323554</v>
      </c>
      <c r="G48" s="18">
        <f>G31/'Share Count'!G9</f>
        <v>38.940691050417925</v>
      </c>
      <c r="H48" s="41">
        <f>H31/'Share Count'!H9</f>
        <v>39.57418668814</v>
      </c>
      <c r="I48" s="7"/>
    </row>
    <row r="49">
      <c r="A49" s="10"/>
      <c r="B49" s="10"/>
      <c r="C49" s="1"/>
      <c r="D49" s="1"/>
      <c r="E49" s="1"/>
      <c r="F49" s="1"/>
      <c r="G49" s="1"/>
      <c r="H49" s="20"/>
      <c r="I49" s="7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0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451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452</v>
      </c>
      <c r="C8" s="3"/>
      <c r="D8" s="3"/>
      <c r="E8" s="3"/>
      <c r="F8" s="3"/>
      <c r="G8" s="3"/>
      <c r="H8" s="12"/>
      <c r="I8" s="7"/>
    </row>
    <row r="9">
      <c r="A9" s="10"/>
      <c r="B9" s="10" t="s">
        <v>453</v>
      </c>
      <c r="C9" s="3">
        <f>C47-C69</f>
        <v>170.84900000000002</v>
      </c>
      <c r="D9" s="3">
        <f>D47-D69</f>
        <v>181.06900000000002</v>
      </c>
      <c r="E9" s="3">
        <f>D47</f>
        <v>598.282</v>
      </c>
      <c r="F9" s="3">
        <f>F47-F69</f>
        <v>141.553</v>
      </c>
      <c r="G9" s="3">
        <f>G47-G69</f>
        <v>181.034</v>
      </c>
      <c r="H9" s="13">
        <f>'Income Statement'!H56</f>
        <v>169.51006306329776</v>
      </c>
      <c r="I9" s="7"/>
    </row>
    <row r="10">
      <c r="A10" s="10"/>
      <c r="B10" s="10" t="s">
        <v>312</v>
      </c>
      <c r="C10" s="3">
        <f>C48-C70</f>
        <v>179.125</v>
      </c>
      <c r="D10" s="3">
        <f>D48-D70</f>
        <v>179.20399999999995</v>
      </c>
      <c r="E10" s="3">
        <f>D48</f>
        <v>714.785</v>
      </c>
      <c r="F10" s="3">
        <f>F48-F70</f>
        <v>179.41</v>
      </c>
      <c r="G10" s="3">
        <f>G48-G70</f>
        <v>180.60999999999999</v>
      </c>
      <c r="H10" s="13">
        <f>'Income Statement'!H26</f>
        <v>181.5</v>
      </c>
      <c r="I10" s="7"/>
    </row>
    <row r="11" ht="41.25">
      <c r="A11" s="10"/>
      <c r="B11" s="10" t="s">
        <v>454</v>
      </c>
      <c r="C11" s="3">
        <f>C49-C71</f>
        <v>23.421000000000006</v>
      </c>
      <c r="D11" s="3">
        <f>D49-D71</f>
        <v>23.701999999999998</v>
      </c>
      <c r="E11" s="3">
        <f>D49</f>
        <v>96.007</v>
      </c>
      <c r="F11" s="3">
        <f>F49-F71</f>
        <v>23.803</v>
      </c>
      <c r="G11" s="3">
        <f>G49-G71</f>
        <v>21.13</v>
      </c>
      <c r="H11" s="90">
        <v>21.5</v>
      </c>
      <c r="I11" s="195" t="s">
        <v>455</v>
      </c>
    </row>
    <row r="12">
      <c r="A12" s="10"/>
      <c r="B12" s="10" t="s">
        <v>456</v>
      </c>
      <c r="C12" s="3">
        <f>C50-C72</f>
        <v>20.588</v>
      </c>
      <c r="D12" s="3">
        <f>D50-D72</f>
        <v>13.058</v>
      </c>
      <c r="E12" s="3">
        <f>D50</f>
        <v>71.753</v>
      </c>
      <c r="F12" s="3">
        <f>F50-F72</f>
        <v>18.048</v>
      </c>
      <c r="G12" s="3">
        <f>G50-G72</f>
        <v>20.036000000000005</v>
      </c>
      <c r="H12" s="90">
        <v>19.5</v>
      </c>
      <c r="I12" s="7"/>
    </row>
    <row r="13">
      <c r="A13" s="10"/>
      <c r="B13" s="10" t="s">
        <v>457</v>
      </c>
      <c r="C13" s="3">
        <f>C51-C73</f>
        <v>2.5760000000000005</v>
      </c>
      <c r="D13" s="3">
        <f>D51-D73</f>
        <v>1.8010000000000002</v>
      </c>
      <c r="E13" s="3">
        <f>D51</f>
        <v>13.739</v>
      </c>
      <c r="F13" s="3">
        <f>F51-F73</f>
        <v>0.324</v>
      </c>
      <c r="G13" s="3">
        <f>G51-G73</f>
        <v>3.3840000000000003</v>
      </c>
      <c r="H13" s="90">
        <v>1.5</v>
      </c>
      <c r="I13" s="7"/>
    </row>
    <row r="14">
      <c r="A14" s="10"/>
      <c r="B14" s="10" t="s">
        <v>431</v>
      </c>
      <c r="C14" s="3">
        <f>C52-C74</f>
        <v>72.99</v>
      </c>
      <c r="D14" s="3">
        <f>D52-D74</f>
        <v>-30.055</v>
      </c>
      <c r="E14" s="3">
        <f>D52</f>
        <v>12.056</v>
      </c>
      <c r="F14" s="3">
        <f>F52-F74</f>
        <v>-19.581</v>
      </c>
      <c r="G14" s="3">
        <f>G52-G74</f>
        <v>22.784</v>
      </c>
      <c r="H14" s="90">
        <v>0</v>
      </c>
      <c r="I14" s="7"/>
    </row>
    <row r="15">
      <c r="A15" s="10"/>
      <c r="B15" s="10" t="s">
        <v>458</v>
      </c>
      <c r="C15" s="3">
        <f>C53-C75</f>
        <v>-49.181999999999995</v>
      </c>
      <c r="D15" s="3">
        <f>D53-D75</f>
        <v>70.986</v>
      </c>
      <c r="E15" s="3">
        <f>D53</f>
        <v>63.796</v>
      </c>
      <c r="F15" s="3">
        <f>F53-F75</f>
        <v>-167.085</v>
      </c>
      <c r="G15" s="3">
        <f>G53-G75</f>
        <v>-133.81499999999997</v>
      </c>
      <c r="H15" s="13">
        <f>-('Balance Sheet'!H10-'Balance Sheet'!G10)</f>
        <v>-17.765303041371226</v>
      </c>
      <c r="I15" s="7"/>
    </row>
    <row r="16">
      <c r="A16" s="10"/>
      <c r="B16" s="10" t="s">
        <v>459</v>
      </c>
      <c r="C16" s="3">
        <f>C54-C76</f>
        <v>93.55099999999999</v>
      </c>
      <c r="D16" s="3">
        <f>D54-D76</f>
        <v>-140.968</v>
      </c>
      <c r="E16" s="3">
        <f>D54</f>
        <v>17.684</v>
      </c>
      <c r="F16" s="3">
        <f>F54-F76</f>
        <v>30.443</v>
      </c>
      <c r="G16" s="3">
        <f>G54-G76</f>
        <v>25.562</v>
      </c>
      <c r="H16" s="90">
        <v>0</v>
      </c>
      <c r="I16" s="7"/>
    </row>
    <row r="17">
      <c r="A17" s="10"/>
      <c r="B17" s="10" t="s">
        <v>419</v>
      </c>
      <c r="C17" s="3">
        <f>C55-C77</f>
        <v>21.793000000000006</v>
      </c>
      <c r="D17" s="3">
        <f>D55-D77</f>
        <v>-3.7960000000000065</v>
      </c>
      <c r="E17" s="3">
        <f>D55</f>
        <v>59.416</v>
      </c>
      <c r="F17" s="3">
        <f>F55-F77</f>
        <v>99.754</v>
      </c>
      <c r="G17" s="3">
        <f>G55-G77</f>
        <v>18.19399999999999</v>
      </c>
      <c r="H17" s="13">
        <f>'Balance Sheet'!H20-'Balance Sheet'!G20</f>
        <v>24.705647615531575</v>
      </c>
      <c r="I17" s="7"/>
    </row>
    <row r="18">
      <c r="A18" s="10"/>
      <c r="B18" s="10" t="s">
        <v>460</v>
      </c>
      <c r="C18" s="3">
        <f>C56-C78</f>
        <v>-29.058999999999997</v>
      </c>
      <c r="D18" s="3">
        <f>D56-D78</f>
        <v>115.70599999999999</v>
      </c>
      <c r="E18" s="3">
        <f>D56</f>
        <v>81.854</v>
      </c>
      <c r="F18" s="3">
        <f>F56-F78</f>
        <v>58.881</v>
      </c>
      <c r="G18" s="3">
        <f>G56-G78</f>
        <v>-2.8260000000000005</v>
      </c>
      <c r="H18" s="90">
        <v>0</v>
      </c>
      <c r="I18" s="7"/>
    </row>
    <row r="19">
      <c r="A19" s="10"/>
      <c r="B19" s="10" t="s">
        <v>421</v>
      </c>
      <c r="C19" s="3">
        <f>C57-C79</f>
        <v>10.078000000000003</v>
      </c>
      <c r="D19" s="3">
        <f>D57-D79</f>
        <v>30.101999999999997</v>
      </c>
      <c r="E19" s="3">
        <f>D57</f>
        <v>61.074</v>
      </c>
      <c r="F19" s="3">
        <f>F57-F79</f>
        <v>11.113</v>
      </c>
      <c r="G19" s="3">
        <f>G57-G79</f>
        <v>6.0120000000000005</v>
      </c>
      <c r="H19" s="90">
        <v>8</v>
      </c>
      <c r="I19" s="7"/>
    </row>
    <row r="20" ht="105">
      <c r="A20" s="10"/>
      <c r="B20" s="10" t="s">
        <v>461</v>
      </c>
      <c r="C20" s="3">
        <f>C58-C80</f>
        <v>-30.301000000000002</v>
      </c>
      <c r="D20" s="3">
        <f>D58-D80</f>
        <v>-55.211000000000006</v>
      </c>
      <c r="E20" s="3">
        <f>D58</f>
        <v>-112.174</v>
      </c>
      <c r="F20" s="3">
        <f>F58-F80</f>
        <v>-23.625</v>
      </c>
      <c r="G20" s="3">
        <f>G58-G80</f>
        <v>28.123</v>
      </c>
      <c r="H20" s="174">
        <f>-H11</f>
        <v>-21.5</v>
      </c>
      <c r="I20" s="205" t="s">
        <v>462</v>
      </c>
    </row>
    <row r="21" ht="41.25">
      <c r="A21" s="10"/>
      <c r="B21" s="6" t="s">
        <v>463</v>
      </c>
      <c r="C21" s="17">
        <f>SUM(C9:C20)</f>
        <v>486.42900000000003</v>
      </c>
      <c r="D21" s="17">
        <f>SUM(D9:D20)</f>
        <v>385.59799999999996</v>
      </c>
      <c r="E21" s="17">
        <f>SUM(E9:E20)</f>
        <v>1678.272</v>
      </c>
      <c r="F21" s="17">
        <f>SUM(F9:F20)</f>
        <v>353.038</v>
      </c>
      <c r="G21" s="17">
        <f>SUM(G9:G20)</f>
        <v>370.228</v>
      </c>
      <c r="H21" s="25">
        <f>SUM(H9:H20)</f>
        <v>386.9504076374581</v>
      </c>
      <c r="I21" s="205" t="s">
        <v>464</v>
      </c>
    </row>
    <row r="22">
      <c r="A22" s="10"/>
      <c r="B22" s="8" t="s">
        <v>465</v>
      </c>
      <c r="C22" s="3"/>
      <c r="D22" s="3"/>
      <c r="E22" s="3"/>
      <c r="F22" s="3"/>
      <c r="G22" s="3"/>
      <c r="H22" s="12"/>
      <c r="I22" s="7"/>
    </row>
    <row r="23" ht="28.5">
      <c r="A23" s="10"/>
      <c r="B23" s="10" t="s">
        <v>466</v>
      </c>
      <c r="C23" s="3">
        <f>C59-C81</f>
        <v>-134.07200000000006</v>
      </c>
      <c r="D23" s="3">
        <f>D59-D81</f>
        <v>-134.32399999999996</v>
      </c>
      <c r="E23" s="3">
        <f>D59</f>
        <v>-730.687</v>
      </c>
      <c r="F23" s="3">
        <f>F59-F81</f>
        <v>-110.271</v>
      </c>
      <c r="G23" s="3">
        <f>G59-G81</f>
        <v>-116.90400000000001</v>
      </c>
      <c r="H23" s="90">
        <v>-240</v>
      </c>
      <c r="I23" s="195" t="s">
        <v>467</v>
      </c>
    </row>
    <row r="24">
      <c r="A24" s="10"/>
      <c r="B24" s="10" t="s">
        <v>468</v>
      </c>
      <c r="C24" s="3">
        <f>C60-C82</f>
        <v>42.232</v>
      </c>
      <c r="D24" s="3">
        <f>D60-D82</f>
        <v>50.46900000000001</v>
      </c>
      <c r="E24" s="3">
        <f>D60</f>
        <v>155.913</v>
      </c>
      <c r="F24" s="3">
        <f>F60-F82</f>
        <v>39.54</v>
      </c>
      <c r="G24" s="3">
        <f>G60-G82</f>
        <v>42.687999999999995</v>
      </c>
      <c r="H24" s="90">
        <v>40</v>
      </c>
      <c r="I24" s="7"/>
    </row>
    <row r="25">
      <c r="A25" s="10"/>
      <c r="B25" s="10" t="s">
        <v>469</v>
      </c>
      <c r="C25" s="3">
        <f>C61-C83</f>
        <v>0</v>
      </c>
      <c r="D25" s="3">
        <f>D61-D83</f>
        <v>0</v>
      </c>
      <c r="E25" s="3">
        <f>D61</f>
        <v>0</v>
      </c>
      <c r="F25" s="3">
        <f>F61-F83</f>
        <v>0</v>
      </c>
      <c r="G25" s="3">
        <f>G61-G83</f>
        <v>0</v>
      </c>
      <c r="H25" s="90">
        <v>0</v>
      </c>
      <c r="I25" s="7"/>
    </row>
    <row r="26">
      <c r="A26" s="10"/>
      <c r="B26" s="6" t="s">
        <v>470</v>
      </c>
      <c r="C26" s="17">
        <f>SUM(C23:C25)</f>
        <v>-91.84000000000006</v>
      </c>
      <c r="D26" s="17">
        <f>SUM(D23:D25)</f>
        <v>-83.85499999999995</v>
      </c>
      <c r="E26" s="17">
        <f>SUM(E23:E25)</f>
        <v>-574.774</v>
      </c>
      <c r="F26" s="17">
        <f>SUM(F23:F25)</f>
        <v>-70.731</v>
      </c>
      <c r="G26" s="17">
        <f>SUM(G23:G25)</f>
        <v>-74.21600000000001</v>
      </c>
      <c r="H26" s="25">
        <f>SUM(H23:H25)</f>
        <v>-200</v>
      </c>
      <c r="I26" s="7"/>
    </row>
    <row r="27">
      <c r="A27" s="10"/>
      <c r="B27" s="8" t="s">
        <v>471</v>
      </c>
      <c r="C27" s="3"/>
      <c r="D27" s="3"/>
      <c r="E27" s="3"/>
      <c r="F27" s="3"/>
      <c r="G27" s="3"/>
      <c r="H27" s="12"/>
      <c r="I27" s="7"/>
    </row>
    <row r="28">
      <c r="A28" s="10"/>
      <c r="B28" s="10" t="s">
        <v>472</v>
      </c>
      <c r="C28" s="3">
        <f>C62-C84</f>
        <v>0</v>
      </c>
      <c r="D28" s="3">
        <f>D62-D84</f>
        <v>0</v>
      </c>
      <c r="E28" s="3">
        <f>D62</f>
        <v>750</v>
      </c>
      <c r="F28" s="3">
        <f>F62-F84</f>
        <v>475</v>
      </c>
      <c r="G28" s="3">
        <f>G62-G84</f>
        <v>0</v>
      </c>
      <c r="H28" s="90">
        <v>0</v>
      </c>
      <c r="I28" s="7"/>
    </row>
    <row r="29">
      <c r="A29" s="10"/>
      <c r="B29" s="10" t="s">
        <v>473</v>
      </c>
      <c r="C29" s="3">
        <f>C63-C85</f>
        <v>0</v>
      </c>
      <c r="D29" s="3">
        <f>D63-D85</f>
        <v>0</v>
      </c>
      <c r="E29" s="3">
        <f>D63</f>
        <v>-500</v>
      </c>
      <c r="F29" s="3">
        <f>F63-F85</f>
        <v>-700</v>
      </c>
      <c r="G29" s="3">
        <f>G63-G85</f>
        <v>-125</v>
      </c>
      <c r="H29" s="90">
        <v>0</v>
      </c>
      <c r="I29" s="7"/>
    </row>
    <row r="30" ht="54">
      <c r="A30" s="10"/>
      <c r="B30" s="10" t="s">
        <v>474</v>
      </c>
      <c r="C30" s="3">
        <f>C64-C86</f>
        <v>653.5</v>
      </c>
      <c r="D30" s="3">
        <f>D64-D86</f>
        <v>156.70000000000027</v>
      </c>
      <c r="E30" s="3">
        <f>D64</f>
        <v>2476.8</v>
      </c>
      <c r="F30" s="3">
        <f>F64-F86</f>
        <v>536.5</v>
      </c>
      <c r="G30" s="3">
        <f>G64-G86</f>
        <v>394.29999999999995</v>
      </c>
      <c r="H30" s="174">
        <f>-H20</f>
        <v>21.5</v>
      </c>
      <c r="I30" s="195" t="s">
        <v>475</v>
      </c>
    </row>
    <row r="31">
      <c r="A31" s="10"/>
      <c r="B31" s="10" t="s">
        <v>476</v>
      </c>
      <c r="C31" s="3">
        <f>C65-C87</f>
        <v>-771.7990000000002</v>
      </c>
      <c r="D31" s="3">
        <f>D65-D87</f>
        <v>-292.5409999999997</v>
      </c>
      <c r="E31" s="3">
        <f>D65</f>
        <v>-2740.542</v>
      </c>
      <c r="F31" s="3">
        <f>F65-F87</f>
        <v>-476.2</v>
      </c>
      <c r="G31" s="3">
        <f>G65-G87</f>
        <v>-427.40000000000003</v>
      </c>
      <c r="H31" s="90">
        <v>-60</v>
      </c>
      <c r="I31" s="7"/>
    </row>
    <row r="32">
      <c r="A32" s="10"/>
      <c r="B32" s="10" t="s">
        <v>477</v>
      </c>
      <c r="C32" s="3">
        <f>C66-C88</f>
        <v>-230.44900000000007</v>
      </c>
      <c r="D32" s="3">
        <f>D66-D88</f>
        <v>-139.93200000000002</v>
      </c>
      <c r="E32" s="3">
        <f>D66</f>
        <v>-923.292</v>
      </c>
      <c r="F32" s="3">
        <f>F66-F88</f>
        <v>-80.063</v>
      </c>
      <c r="G32" s="3">
        <f>G66-G88</f>
        <v>-97.76799999999999</v>
      </c>
      <c r="H32" s="13">
        <f>-'Share Count'!H11</f>
        <v>-100</v>
      </c>
      <c r="I32" s="7"/>
    </row>
    <row r="33" ht="54">
      <c r="A33" s="10"/>
      <c r="B33" s="159" t="s">
        <v>478</v>
      </c>
      <c r="C33" s="3">
        <f>C67-C89</f>
        <v>-1.9320000000000004</v>
      </c>
      <c r="D33" s="3">
        <f>D67-D89</f>
        <v>-19.084999999999997</v>
      </c>
      <c r="E33" s="3">
        <f>D67</f>
        <v>-25.115</v>
      </c>
      <c r="F33" s="3">
        <f>F67-F89</f>
        <v>-7.67</v>
      </c>
      <c r="G33" s="3">
        <f>G67-G89</f>
        <v>1.8739999999999997</v>
      </c>
      <c r="H33" s="90">
        <v>-1</v>
      </c>
      <c r="I33" s="195" t="s">
        <v>479</v>
      </c>
    </row>
    <row r="34">
      <c r="A34" s="10"/>
      <c r="B34" s="10" t="s">
        <v>480</v>
      </c>
      <c r="C34" s="3">
        <f>C68-C90</f>
        <v>-42.52000000000001</v>
      </c>
      <c r="D34" s="3">
        <f>D68-D90</f>
        <v>-41.89099999999999</v>
      </c>
      <c r="E34" s="3">
        <f>D68</f>
        <v>-171.048</v>
      </c>
      <c r="F34" s="3">
        <f>F68-F90</f>
        <v>-42.595</v>
      </c>
      <c r="G34" s="3">
        <f>G68-G90</f>
        <v>-42.419</v>
      </c>
      <c r="H34" s="13">
        <f>-'Share Count'!H23*'Share Count'!G9</f>
        <v>-42.261750000000006</v>
      </c>
      <c r="I34" s="7" t="s">
        <v>481</v>
      </c>
    </row>
    <row r="35">
      <c r="A35" s="10"/>
      <c r="B35" s="6" t="s">
        <v>482</v>
      </c>
      <c r="C35" s="17">
        <f>SUM(C28:C34)</f>
        <v>-393.2000000000003</v>
      </c>
      <c r="D35" s="17">
        <f>SUM(D28:D34)</f>
        <v>-336.74899999999946</v>
      </c>
      <c r="E35" s="17">
        <f>SUM(E28:E34)</f>
        <v>-1133.1969999999997</v>
      </c>
      <c r="F35" s="17">
        <f>SUM(F28:F34)</f>
        <v>-295.028</v>
      </c>
      <c r="G35" s="17">
        <f>SUM(G28:G34)</f>
        <v>-296.41300000000007</v>
      </c>
      <c r="H35" s="25">
        <f>SUM(H28:H34)</f>
        <v>-181.76175</v>
      </c>
      <c r="I35" s="7"/>
    </row>
    <row r="36">
      <c r="A36" s="10"/>
      <c r="B36" s="6" t="s">
        <v>483</v>
      </c>
      <c r="C36" s="17">
        <f>C21+C26+C35</f>
        <v>1.388999999999669</v>
      </c>
      <c r="D36" s="17">
        <f>D21+D26+D35</f>
        <v>-35.00599999999946</v>
      </c>
      <c r="E36" s="17">
        <f>E21+E26+E35</f>
        <v>-29.698999999999614</v>
      </c>
      <c r="F36" s="17">
        <f>F21+F26+F35</f>
        <v>-12.721000000000004</v>
      </c>
      <c r="G36" s="17">
        <f>G21+G26+G35</f>
        <v>-0.4010000000000673</v>
      </c>
      <c r="H36" s="25">
        <f>H21+H26+H35</f>
        <v>5.188657637458107</v>
      </c>
      <c r="I36" s="7"/>
    </row>
    <row r="37">
      <c r="A37" s="10"/>
      <c r="B37" s="10" t="s">
        <v>484</v>
      </c>
      <c r="C37" s="2">
        <v>50.901</v>
      </c>
      <c r="D37" s="3">
        <f>C38</f>
        <v>52.28999999999967</v>
      </c>
      <c r="E37" s="2">
        <v>46.983</v>
      </c>
      <c r="F37" s="3">
        <f>D38</f>
        <v>17.284000000000212</v>
      </c>
      <c r="G37" s="3">
        <f>F38</f>
        <v>4.5630000000002084</v>
      </c>
      <c r="H37" s="12">
        <f>G38</f>
        <v>4.162000000000141</v>
      </c>
      <c r="I37" s="7"/>
    </row>
    <row r="38">
      <c r="A38" s="10"/>
      <c r="B38" s="6" t="s">
        <v>485</v>
      </c>
      <c r="C38" s="17">
        <f>C37+C36</f>
        <v>52.28999999999967</v>
      </c>
      <c r="D38" s="17">
        <f>D37+D36</f>
        <v>17.284000000000212</v>
      </c>
      <c r="E38" s="17">
        <f>E37+E36</f>
        <v>17.284000000000383</v>
      </c>
      <c r="F38" s="17">
        <f>F37+F36</f>
        <v>4.5630000000002084</v>
      </c>
      <c r="G38" s="17">
        <f>G37+G36</f>
        <v>4.162000000000141</v>
      </c>
      <c r="H38" s="25">
        <f>H37+H36</f>
        <v>9.350657637458248</v>
      </c>
      <c r="I38" s="7"/>
    </row>
    <row r="39">
      <c r="A39" s="10"/>
      <c r="B39" s="158" t="s">
        <v>486</v>
      </c>
      <c r="C39" s="39">
        <f>ROUND(C38-'Balance Sheet'!C9,3)</f>
        <v>0</v>
      </c>
      <c r="D39" s="39">
        <f>ROUND(D38-'Balance Sheet'!D9,3)</f>
        <v>0</v>
      </c>
      <c r="E39" s="39">
        <f>ROUND(E38-'Balance Sheet'!E9,3)</f>
        <v>0</v>
      </c>
      <c r="F39" s="39">
        <f>ROUND(F38-'Balance Sheet'!F9,3)</f>
        <v>0</v>
      </c>
      <c r="G39" s="39">
        <f>ROUND(G38-'Balance Sheet'!G9,3)</f>
        <v>0</v>
      </c>
      <c r="H39" s="13">
        <f>ROUND(H38-'Balance Sheet'!H9,3)</f>
        <v>0</v>
      </c>
      <c r="I39" s="173" t="s">
        <v>487</v>
      </c>
    </row>
    <row r="40">
      <c r="A40" s="10"/>
      <c r="B40" s="10"/>
      <c r="C40" s="1"/>
      <c r="D40" s="1"/>
      <c r="E40" s="1"/>
      <c r="F40" s="1"/>
      <c r="G40" s="1"/>
      <c r="H40" s="20"/>
      <c r="I40" s="7"/>
    </row>
    <row r="41">
      <c r="A41" s="10"/>
      <c r="B41" s="8" t="s">
        <v>488</v>
      </c>
      <c r="C41" s="3"/>
      <c r="D41" s="3"/>
      <c r="E41" s="3"/>
      <c r="F41" s="3"/>
      <c r="G41" s="3"/>
      <c r="H41" s="12"/>
      <c r="I41" s="7"/>
    </row>
    <row r="42">
      <c r="A42" s="10"/>
      <c r="B42" s="10" t="s">
        <v>489</v>
      </c>
      <c r="C42" s="3">
        <f>-(C23+C24)</f>
        <v>91.84000000000006</v>
      </c>
      <c r="D42" s="3">
        <f>-(D23+D24)</f>
        <v>83.85499999999995</v>
      </c>
      <c r="E42" s="3">
        <f>-(E23+E24)</f>
        <v>574.774</v>
      </c>
      <c r="F42" s="3">
        <f>-(F23+F24)</f>
        <v>70.731</v>
      </c>
      <c r="G42" s="3">
        <f>-(G23+G24)</f>
        <v>74.21600000000001</v>
      </c>
      <c r="H42" s="12">
        <f>-(H23+H24)</f>
        <v>200</v>
      </c>
      <c r="I42" s="7"/>
    </row>
    <row r="43" ht="28.5">
      <c r="A43" s="10"/>
      <c r="B43" s="206" t="s">
        <v>490</v>
      </c>
      <c r="C43" s="204">
        <f>C21-C42</f>
        <v>394.58899999999994</v>
      </c>
      <c r="D43" s="204">
        <f>D21-D42</f>
        <v>301.743</v>
      </c>
      <c r="E43" s="204">
        <f>E21-E42</f>
        <v>1103.498</v>
      </c>
      <c r="F43" s="204">
        <f>F21-F42</f>
        <v>282.307</v>
      </c>
      <c r="G43" s="204">
        <f>G21-G42</f>
        <v>296.012</v>
      </c>
      <c r="H43" s="207">
        <f>H21-H42</f>
        <v>186.9504076374581</v>
      </c>
      <c r="I43" s="205" t="s">
        <v>491</v>
      </c>
    </row>
    <row r="44">
      <c r="A44" s="10"/>
      <c r="B44" s="10" t="s">
        <v>492</v>
      </c>
      <c r="C44" s="81">
        <f>C21/C9</f>
        <v>2.8471281658072334</v>
      </c>
      <c r="D44" s="81">
        <f>D21/D9</f>
        <v>2.1295638679177546</v>
      </c>
      <c r="E44" s="81">
        <f>E21/E9</f>
        <v>2.8051520854713994</v>
      </c>
      <c r="F44" s="81">
        <f>F21/F9</f>
        <v>2.4940340367212284</v>
      </c>
      <c r="G44" s="81">
        <f>G21/G9</f>
        <v>2.0450744059127017</v>
      </c>
      <c r="H44" s="84">
        <f>H21/H9</f>
        <v>2.282757735114314</v>
      </c>
      <c r="I44" s="7"/>
    </row>
    <row r="45">
      <c r="A45" s="10"/>
      <c r="B45" s="10"/>
      <c r="C45" s="1"/>
      <c r="D45" s="1"/>
      <c r="E45" s="1"/>
      <c r="F45" s="1"/>
      <c r="G45" s="1"/>
      <c r="H45" s="20"/>
      <c r="I45" s="7"/>
    </row>
    <row r="46">
      <c r="A46" s="10"/>
      <c r="B46" s="8" t="s">
        <v>493</v>
      </c>
      <c r="C46" s="3"/>
      <c r="D46" s="3"/>
      <c r="E46" s="3"/>
      <c r="F46" s="3"/>
      <c r="G46" s="3"/>
      <c r="H46" s="12"/>
      <c r="I46" s="7"/>
    </row>
    <row r="47">
      <c r="A47" s="10"/>
      <c r="B47" s="10" t="s">
        <v>494</v>
      </c>
      <c r="C47" s="2">
        <v>417.213</v>
      </c>
      <c r="D47" s="2">
        <v>598.282</v>
      </c>
      <c r="E47" s="3"/>
      <c r="F47" s="2">
        <v>141.553</v>
      </c>
      <c r="G47" s="2">
        <v>322.587</v>
      </c>
      <c r="H47" s="12"/>
      <c r="I47" s="7"/>
    </row>
    <row r="48" ht="25.5">
      <c r="A48" s="10"/>
      <c r="B48" s="206" t="s">
        <v>495</v>
      </c>
      <c r="C48" s="219">
        <v>535.581</v>
      </c>
      <c r="D48" s="219">
        <v>714.785</v>
      </c>
      <c r="E48" s="204"/>
      <c r="F48" s="219">
        <v>179.41</v>
      </c>
      <c r="G48" s="219">
        <v>360.02</v>
      </c>
      <c r="H48" s="207"/>
      <c r="I48" s="208"/>
    </row>
    <row r="49">
      <c r="A49" s="10"/>
      <c r="B49" s="10" t="s">
        <v>496</v>
      </c>
      <c r="C49" s="2">
        <v>72.305</v>
      </c>
      <c r="D49" s="2">
        <v>96.007</v>
      </c>
      <c r="E49" s="3"/>
      <c r="F49" s="2">
        <v>23.803</v>
      </c>
      <c r="G49" s="2">
        <v>44.933</v>
      </c>
      <c r="H49" s="12"/>
      <c r="I49" s="7"/>
    </row>
    <row r="50">
      <c r="A50" s="10"/>
      <c r="B50" s="10" t="s">
        <v>497</v>
      </c>
      <c r="C50" s="2">
        <v>58.695</v>
      </c>
      <c r="D50" s="2">
        <v>71.753</v>
      </c>
      <c r="E50" s="3"/>
      <c r="F50" s="2">
        <v>18.048</v>
      </c>
      <c r="G50" s="2">
        <v>38.084</v>
      </c>
      <c r="H50" s="12"/>
      <c r="I50" s="7"/>
    </row>
    <row r="51">
      <c r="A51" s="10"/>
      <c r="B51" s="10" t="s">
        <v>498</v>
      </c>
      <c r="C51" s="2">
        <v>11.938</v>
      </c>
      <c r="D51" s="2">
        <v>13.739</v>
      </c>
      <c r="E51" s="3"/>
      <c r="F51" s="2">
        <v>0.324</v>
      </c>
      <c r="G51" s="2">
        <v>3.708</v>
      </c>
      <c r="H51" s="12"/>
      <c r="I51" s="7"/>
    </row>
    <row r="52">
      <c r="A52" s="10"/>
      <c r="B52" s="10" t="s">
        <v>499</v>
      </c>
      <c r="C52" s="2">
        <v>42.111</v>
      </c>
      <c r="D52" s="2">
        <v>12.056</v>
      </c>
      <c r="E52" s="3"/>
      <c r="F52" s="2">
        <v>-19.581</v>
      </c>
      <c r="G52" s="2">
        <v>3.203</v>
      </c>
      <c r="H52" s="12"/>
      <c r="I52" s="7"/>
    </row>
    <row r="53">
      <c r="A53" s="10"/>
      <c r="B53" s="10" t="s">
        <v>500</v>
      </c>
      <c r="C53" s="2">
        <v>-7.19</v>
      </c>
      <c r="D53" s="2">
        <v>63.796</v>
      </c>
      <c r="E53" s="3"/>
      <c r="F53" s="2">
        <v>-167.085</v>
      </c>
      <c r="G53" s="2">
        <v>-300.9</v>
      </c>
      <c r="H53" s="12"/>
      <c r="I53" s="7"/>
    </row>
    <row r="54">
      <c r="A54" s="10"/>
      <c r="B54" s="10" t="s">
        <v>501</v>
      </c>
      <c r="C54" s="2">
        <v>158.652</v>
      </c>
      <c r="D54" s="2">
        <v>17.684</v>
      </c>
      <c r="E54" s="3"/>
      <c r="F54" s="2">
        <v>30.443</v>
      </c>
      <c r="G54" s="2">
        <v>56.005</v>
      </c>
      <c r="H54" s="12"/>
      <c r="I54" s="7"/>
    </row>
    <row r="55">
      <c r="A55" s="10"/>
      <c r="B55" s="10" t="s">
        <v>502</v>
      </c>
      <c r="C55" s="2">
        <v>63.212</v>
      </c>
      <c r="D55" s="2">
        <v>59.416</v>
      </c>
      <c r="E55" s="3"/>
      <c r="F55" s="2">
        <v>99.754</v>
      </c>
      <c r="G55" s="2">
        <v>117.948</v>
      </c>
      <c r="H55" s="12"/>
      <c r="I55" s="7"/>
    </row>
    <row r="56" ht="25.5">
      <c r="A56" s="10"/>
      <c r="B56" s="206" t="s">
        <v>503</v>
      </c>
      <c r="C56" s="219">
        <v>-33.852</v>
      </c>
      <c r="D56" s="219">
        <v>81.854</v>
      </c>
      <c r="E56" s="204"/>
      <c r="F56" s="219">
        <v>58.881</v>
      </c>
      <c r="G56" s="219">
        <v>56.055</v>
      </c>
      <c r="H56" s="207"/>
      <c r="I56" s="208"/>
    </row>
    <row r="57">
      <c r="A57" s="10"/>
      <c r="B57" s="10" t="s">
        <v>504</v>
      </c>
      <c r="C57" s="2">
        <v>30.972</v>
      </c>
      <c r="D57" s="2">
        <v>61.074</v>
      </c>
      <c r="E57" s="3"/>
      <c r="F57" s="2">
        <v>11.113</v>
      </c>
      <c r="G57" s="2">
        <v>17.125</v>
      </c>
      <c r="H57" s="12"/>
      <c r="I57" s="7"/>
    </row>
    <row r="58" ht="25.5">
      <c r="A58" s="10"/>
      <c r="B58" s="206" t="s">
        <v>505</v>
      </c>
      <c r="C58" s="219">
        <v>-56.963</v>
      </c>
      <c r="D58" s="219">
        <v>-112.174</v>
      </c>
      <c r="E58" s="204"/>
      <c r="F58" s="219">
        <v>-23.625</v>
      </c>
      <c r="G58" s="219">
        <v>4.498</v>
      </c>
      <c r="H58" s="207"/>
      <c r="I58" s="208"/>
    </row>
    <row r="59">
      <c r="A59" s="10"/>
      <c r="B59" s="10" t="s">
        <v>506</v>
      </c>
      <c r="C59" s="2">
        <v>-596.363</v>
      </c>
      <c r="D59" s="2">
        <v>-730.687</v>
      </c>
      <c r="E59" s="3"/>
      <c r="F59" s="2">
        <v>-110.271</v>
      </c>
      <c r="G59" s="2">
        <v>-227.175</v>
      </c>
      <c r="H59" s="12"/>
      <c r="I59" s="7"/>
    </row>
    <row r="60" ht="25.5">
      <c r="A60" s="10"/>
      <c r="B60" s="206" t="s">
        <v>507</v>
      </c>
      <c r="C60" s="219">
        <v>105.444</v>
      </c>
      <c r="D60" s="219">
        <v>155.913</v>
      </c>
      <c r="E60" s="204"/>
      <c r="F60" s="219">
        <v>39.54</v>
      </c>
      <c r="G60" s="219">
        <v>82.228</v>
      </c>
      <c r="H60" s="207"/>
      <c r="I60" s="208"/>
    </row>
    <row r="61">
      <c r="A61" s="10"/>
      <c r="B61" s="10" t="s">
        <v>508</v>
      </c>
      <c r="C61" s="2">
        <v>0</v>
      </c>
      <c r="D61" s="2">
        <v>0</v>
      </c>
      <c r="E61" s="3"/>
      <c r="F61" s="2">
        <v>0</v>
      </c>
      <c r="G61" s="2">
        <v>0</v>
      </c>
      <c r="H61" s="12"/>
      <c r="I61" s="7"/>
    </row>
    <row r="62">
      <c r="A62" s="10"/>
      <c r="B62" s="10" t="s">
        <v>509</v>
      </c>
      <c r="C62" s="2">
        <v>750</v>
      </c>
      <c r="D62" s="2">
        <v>750</v>
      </c>
      <c r="E62" s="3"/>
      <c r="F62" s="2">
        <v>475</v>
      </c>
      <c r="G62" s="2">
        <v>475</v>
      </c>
      <c r="H62" s="12"/>
      <c r="I62" s="7"/>
    </row>
    <row r="63">
      <c r="A63" s="10"/>
      <c r="B63" s="10" t="s">
        <v>510</v>
      </c>
      <c r="C63" s="2">
        <v>-500</v>
      </c>
      <c r="D63" s="2">
        <v>-500</v>
      </c>
      <c r="E63" s="3"/>
      <c r="F63" s="2">
        <v>-700</v>
      </c>
      <c r="G63" s="2">
        <v>-825</v>
      </c>
      <c r="H63" s="12"/>
      <c r="I63" s="7"/>
    </row>
    <row r="64">
      <c r="A64" s="10"/>
      <c r="B64" s="10" t="s">
        <v>511</v>
      </c>
      <c r="C64" s="2">
        <v>2320.1</v>
      </c>
      <c r="D64" s="2">
        <v>2476.8</v>
      </c>
      <c r="E64" s="3"/>
      <c r="F64" s="2">
        <v>536.5</v>
      </c>
      <c r="G64" s="2">
        <v>930.8</v>
      </c>
      <c r="H64" s="12"/>
      <c r="I64" s="7"/>
    </row>
    <row r="65">
      <c r="A65" s="10"/>
      <c r="B65" s="10" t="s">
        <v>512</v>
      </c>
      <c r="C65" s="2">
        <v>-2448.001</v>
      </c>
      <c r="D65" s="2">
        <v>-2740.542</v>
      </c>
      <c r="E65" s="3"/>
      <c r="F65" s="2">
        <v>-476.2</v>
      </c>
      <c r="G65" s="2">
        <v>-903.6</v>
      </c>
      <c r="H65" s="12"/>
      <c r="I65" s="7"/>
    </row>
    <row r="66">
      <c r="A66" s="10"/>
      <c r="B66" s="10" t="s">
        <v>513</v>
      </c>
      <c r="C66" s="2">
        <v>-783.36</v>
      </c>
      <c r="D66" s="2">
        <v>-923.292</v>
      </c>
      <c r="E66" s="3"/>
      <c r="F66" s="2">
        <v>-80.063</v>
      </c>
      <c r="G66" s="2">
        <v>-177.831</v>
      </c>
      <c r="H66" s="12"/>
      <c r="I66" s="7"/>
    </row>
    <row r="67" ht="25.5">
      <c r="A67" s="10"/>
      <c r="B67" s="206" t="s">
        <v>514</v>
      </c>
      <c r="C67" s="219">
        <v>-6.03</v>
      </c>
      <c r="D67" s="219">
        <v>-25.115</v>
      </c>
      <c r="E67" s="204"/>
      <c r="F67" s="219">
        <v>-7.67</v>
      </c>
      <c r="G67" s="219">
        <v>-5.796</v>
      </c>
      <c r="H67" s="207"/>
      <c r="I67" s="208"/>
    </row>
    <row r="68">
      <c r="A68" s="10"/>
      <c r="B68" s="10" t="s">
        <v>515</v>
      </c>
      <c r="C68" s="2">
        <v>-129.157</v>
      </c>
      <c r="D68" s="2">
        <v>-171.048</v>
      </c>
      <c r="E68" s="3"/>
      <c r="F68" s="2">
        <v>-42.595</v>
      </c>
      <c r="G68" s="2">
        <v>-85.014</v>
      </c>
      <c r="H68" s="12"/>
      <c r="I68" s="7"/>
    </row>
    <row r="69">
      <c r="A69" s="10"/>
      <c r="B69" s="10" t="s">
        <v>516</v>
      </c>
      <c r="C69" s="2">
        <v>246.364</v>
      </c>
      <c r="D69" s="3">
        <f>C47</f>
        <v>417.213</v>
      </c>
      <c r="E69" s="3"/>
      <c r="F69" s="2">
        <v>0</v>
      </c>
      <c r="G69" s="3">
        <f>F47</f>
        <v>141.553</v>
      </c>
      <c r="H69" s="12"/>
      <c r="I69" s="7"/>
    </row>
    <row r="70" ht="25.5">
      <c r="A70" s="10"/>
      <c r="B70" s="206" t="s">
        <v>517</v>
      </c>
      <c r="C70" s="219">
        <v>356.456</v>
      </c>
      <c r="D70" s="204">
        <f>C48</f>
        <v>535.581</v>
      </c>
      <c r="E70" s="204"/>
      <c r="F70" s="219">
        <v>0</v>
      </c>
      <c r="G70" s="204">
        <f>F48</f>
        <v>179.41</v>
      </c>
      <c r="H70" s="207"/>
      <c r="I70" s="208"/>
    </row>
    <row r="71">
      <c r="A71" s="10"/>
      <c r="B71" s="10" t="s">
        <v>518</v>
      </c>
      <c r="C71" s="2">
        <v>48.884</v>
      </c>
      <c r="D71" s="3">
        <f>C49</f>
        <v>72.305</v>
      </c>
      <c r="E71" s="3"/>
      <c r="F71" s="2">
        <v>0</v>
      </c>
      <c r="G71" s="3">
        <f>F49</f>
        <v>23.803</v>
      </c>
      <c r="H71" s="12"/>
      <c r="I71" s="7"/>
    </row>
    <row r="72" ht="25.5">
      <c r="A72" s="10"/>
      <c r="B72" s="206" t="s">
        <v>519</v>
      </c>
      <c r="C72" s="219">
        <v>38.107</v>
      </c>
      <c r="D72" s="204">
        <f>C50</f>
        <v>58.695</v>
      </c>
      <c r="E72" s="204"/>
      <c r="F72" s="219">
        <v>0</v>
      </c>
      <c r="G72" s="204">
        <f>F50</f>
        <v>18.048</v>
      </c>
      <c r="H72" s="207"/>
      <c r="I72" s="208"/>
    </row>
    <row r="73" ht="25.5">
      <c r="A73" s="10"/>
      <c r="B73" s="206" t="s">
        <v>520</v>
      </c>
      <c r="C73" s="219">
        <v>9.362</v>
      </c>
      <c r="D73" s="204">
        <f>C51</f>
        <v>11.938</v>
      </c>
      <c r="E73" s="204"/>
      <c r="F73" s="219">
        <v>0</v>
      </c>
      <c r="G73" s="204">
        <f>F51</f>
        <v>0.324</v>
      </c>
      <c r="H73" s="207"/>
      <c r="I73" s="208"/>
    </row>
    <row r="74">
      <c r="A74" s="10"/>
      <c r="B74" s="10" t="s">
        <v>521</v>
      </c>
      <c r="C74" s="2">
        <v>-30.879</v>
      </c>
      <c r="D74" s="3">
        <f>C52</f>
        <v>42.111</v>
      </c>
      <c r="E74" s="3"/>
      <c r="F74" s="2">
        <v>0</v>
      </c>
      <c r="G74" s="3">
        <f>F52</f>
        <v>-19.581</v>
      </c>
      <c r="H74" s="12"/>
      <c r="I74" s="7"/>
    </row>
    <row r="75" ht="25.5">
      <c r="A75" s="10"/>
      <c r="B75" s="206" t="s">
        <v>522</v>
      </c>
      <c r="C75" s="219">
        <v>41.992</v>
      </c>
      <c r="D75" s="204">
        <f>C53</f>
        <v>-7.19</v>
      </c>
      <c r="E75" s="204"/>
      <c r="F75" s="219">
        <v>0</v>
      </c>
      <c r="G75" s="204">
        <f>F53</f>
        <v>-167.085</v>
      </c>
      <c r="H75" s="207"/>
      <c r="I75" s="208"/>
    </row>
    <row r="76">
      <c r="A76" s="10"/>
      <c r="B76" s="10" t="s">
        <v>523</v>
      </c>
      <c r="C76" s="2">
        <v>65.101</v>
      </c>
      <c r="D76" s="3">
        <f>C54</f>
        <v>158.652</v>
      </c>
      <c r="E76" s="3"/>
      <c r="F76" s="2">
        <v>0</v>
      </c>
      <c r="G76" s="3">
        <f>F54</f>
        <v>30.443</v>
      </c>
      <c r="H76" s="12"/>
      <c r="I76" s="7"/>
    </row>
    <row r="77" ht="25.5">
      <c r="A77" s="10"/>
      <c r="B77" s="206" t="s">
        <v>524</v>
      </c>
      <c r="C77" s="219">
        <v>41.419</v>
      </c>
      <c r="D77" s="204">
        <f>C55</f>
        <v>63.212</v>
      </c>
      <c r="E77" s="204"/>
      <c r="F77" s="219">
        <v>0</v>
      </c>
      <c r="G77" s="204">
        <f>F55</f>
        <v>99.754</v>
      </c>
      <c r="H77" s="207"/>
      <c r="I77" s="208"/>
    </row>
    <row r="78" ht="25.5">
      <c r="A78" s="10"/>
      <c r="B78" s="206" t="s">
        <v>525</v>
      </c>
      <c r="C78" s="219">
        <v>-4.793</v>
      </c>
      <c r="D78" s="204">
        <f>C56</f>
        <v>-33.852</v>
      </c>
      <c r="E78" s="204"/>
      <c r="F78" s="219">
        <v>0</v>
      </c>
      <c r="G78" s="204">
        <f>F56</f>
        <v>58.881</v>
      </c>
      <c r="H78" s="207"/>
      <c r="I78" s="208"/>
    </row>
    <row r="79">
      <c r="A79" s="10"/>
      <c r="B79" s="10" t="s">
        <v>526</v>
      </c>
      <c r="C79" s="2">
        <v>20.894</v>
      </c>
      <c r="D79" s="3">
        <f>C57</f>
        <v>30.972</v>
      </c>
      <c r="E79" s="3"/>
      <c r="F79" s="2">
        <v>0</v>
      </c>
      <c r="G79" s="3">
        <f>F57</f>
        <v>11.113</v>
      </c>
      <c r="H79" s="12"/>
      <c r="I79" s="7"/>
    </row>
    <row r="80" ht="25.5">
      <c r="A80" s="10"/>
      <c r="B80" s="206" t="s">
        <v>527</v>
      </c>
      <c r="C80" s="219">
        <v>-26.662</v>
      </c>
      <c r="D80" s="204">
        <f>C58</f>
        <v>-56.963</v>
      </c>
      <c r="E80" s="204"/>
      <c r="F80" s="219">
        <v>0</v>
      </c>
      <c r="G80" s="204">
        <f>F58</f>
        <v>-23.625</v>
      </c>
      <c r="H80" s="207"/>
      <c r="I80" s="208"/>
    </row>
    <row r="81">
      <c r="A81" s="10"/>
      <c r="B81" s="10" t="s">
        <v>528</v>
      </c>
      <c r="C81" s="2">
        <v>-462.291</v>
      </c>
      <c r="D81" s="3">
        <f>C59</f>
        <v>-596.363</v>
      </c>
      <c r="E81" s="3"/>
      <c r="F81" s="2">
        <v>0</v>
      </c>
      <c r="G81" s="3">
        <f>F59</f>
        <v>-110.271</v>
      </c>
      <c r="H81" s="12"/>
      <c r="I81" s="7"/>
    </row>
    <row r="82" ht="25.5">
      <c r="A82" s="10"/>
      <c r="B82" s="206" t="s">
        <v>529</v>
      </c>
      <c r="C82" s="219">
        <v>63.212</v>
      </c>
      <c r="D82" s="204">
        <f>C60</f>
        <v>105.444</v>
      </c>
      <c r="E82" s="204"/>
      <c r="F82" s="219">
        <v>0</v>
      </c>
      <c r="G82" s="204">
        <f>F60</f>
        <v>39.54</v>
      </c>
      <c r="H82" s="207"/>
      <c r="I82" s="208"/>
    </row>
    <row r="83">
      <c r="A83" s="10"/>
      <c r="B83" s="10" t="s">
        <v>530</v>
      </c>
      <c r="C83" s="2">
        <v>0</v>
      </c>
      <c r="D83" s="3">
        <f>C61</f>
        <v>0</v>
      </c>
      <c r="E83" s="3"/>
      <c r="F83" s="2">
        <v>0</v>
      </c>
      <c r="G83" s="3">
        <f>F61</f>
        <v>0</v>
      </c>
      <c r="H83" s="12"/>
      <c r="I83" s="7"/>
    </row>
    <row r="84">
      <c r="A84" s="10"/>
      <c r="B84" s="10" t="s">
        <v>531</v>
      </c>
      <c r="C84" s="2">
        <v>750</v>
      </c>
      <c r="D84" s="3">
        <f>C62</f>
        <v>750</v>
      </c>
      <c r="E84" s="3"/>
      <c r="F84" s="2">
        <v>0</v>
      </c>
      <c r="G84" s="3">
        <f>F62</f>
        <v>475</v>
      </c>
      <c r="H84" s="12"/>
      <c r="I84" s="7"/>
    </row>
    <row r="85" ht="25.5">
      <c r="A85" s="10"/>
      <c r="B85" s="206" t="s">
        <v>532</v>
      </c>
      <c r="C85" s="219">
        <v>-500</v>
      </c>
      <c r="D85" s="204">
        <f>C63</f>
        <v>-500</v>
      </c>
      <c r="E85" s="204"/>
      <c r="F85" s="219">
        <v>0</v>
      </c>
      <c r="G85" s="204">
        <f>F63</f>
        <v>-700</v>
      </c>
      <c r="H85" s="207"/>
      <c r="I85" s="208"/>
    </row>
    <row r="86" ht="25.5">
      <c r="A86" s="10"/>
      <c r="B86" s="206" t="s">
        <v>533</v>
      </c>
      <c r="C86" s="219">
        <v>1666.6</v>
      </c>
      <c r="D86" s="204">
        <f>C64</f>
        <v>2320.1</v>
      </c>
      <c r="E86" s="204"/>
      <c r="F86" s="219">
        <v>0</v>
      </c>
      <c r="G86" s="204">
        <f>F64</f>
        <v>536.5</v>
      </c>
      <c r="H86" s="207"/>
      <c r="I86" s="208"/>
    </row>
    <row r="87" ht="25.5">
      <c r="A87" s="10"/>
      <c r="B87" s="206" t="s">
        <v>534</v>
      </c>
      <c r="C87" s="219">
        <v>-1676.202</v>
      </c>
      <c r="D87" s="204">
        <f>C65</f>
        <v>-2448.001</v>
      </c>
      <c r="E87" s="204"/>
      <c r="F87" s="219">
        <v>0</v>
      </c>
      <c r="G87" s="204">
        <f>F65</f>
        <v>-476.2</v>
      </c>
      <c r="H87" s="207"/>
      <c r="I87" s="208"/>
    </row>
    <row r="88" ht="25.5">
      <c r="A88" s="10"/>
      <c r="B88" s="206" t="s">
        <v>535</v>
      </c>
      <c r="C88" s="219">
        <v>-552.911</v>
      </c>
      <c r="D88" s="204">
        <f>C66</f>
        <v>-783.36</v>
      </c>
      <c r="E88" s="204"/>
      <c r="F88" s="219">
        <v>0</v>
      </c>
      <c r="G88" s="204">
        <f>F66</f>
        <v>-80.063</v>
      </c>
      <c r="H88" s="207"/>
      <c r="I88" s="208"/>
    </row>
    <row r="89" ht="25.5">
      <c r="A89" s="10"/>
      <c r="B89" s="206" t="s">
        <v>536</v>
      </c>
      <c r="C89" s="219">
        <v>-4.098</v>
      </c>
      <c r="D89" s="204">
        <f>C67</f>
        <v>-6.03</v>
      </c>
      <c r="E89" s="204"/>
      <c r="F89" s="219">
        <v>0</v>
      </c>
      <c r="G89" s="204">
        <f>F67</f>
        <v>-7.67</v>
      </c>
      <c r="H89" s="207"/>
      <c r="I89" s="208"/>
    </row>
    <row r="90">
      <c r="A90" s="10"/>
      <c r="B90" s="10" t="s">
        <v>537</v>
      </c>
      <c r="C90" s="2">
        <v>-86.637</v>
      </c>
      <c r="D90" s="3">
        <f>C68</f>
        <v>-129.157</v>
      </c>
      <c r="E90" s="3"/>
      <c r="F90" s="2">
        <v>0</v>
      </c>
      <c r="G90" s="3">
        <f>F68</f>
        <v>-42.595</v>
      </c>
      <c r="H90" s="12"/>
      <c r="I90" s="7"/>
    </row>
    <row r="91">
      <c r="A91" s="10"/>
      <c r="B91" s="10"/>
      <c r="C91" s="1"/>
      <c r="D91" s="1"/>
      <c r="E91" s="1"/>
      <c r="F91" s="1"/>
      <c r="G91" s="1"/>
      <c r="H91" s="20"/>
      <c r="I91" s="7"/>
    </row>
    <row r="92" ht="66.75">
      <c r="B92" s="241" t="s">
        <v>538</v>
      </c>
      <c r="C92" s="204"/>
      <c r="D92" s="204"/>
      <c r="E92" s="204"/>
      <c r="F92" s="204"/>
      <c r="G92" s="204"/>
      <c r="H92" s="207"/>
      <c r="I92" s="205" t="s">
        <v>539</v>
      </c>
    </row>
    <row r="93">
      <c r="B93" s="240" t="s">
        <v>540</v>
      </c>
      <c r="C93" s="204" t="s">
        <v>89</v>
      </c>
      <c r="D93" s="204" t="s">
        <v>89</v>
      </c>
      <c r="E93" s="219">
        <v>312.1</v>
      </c>
      <c r="F93" s="204" t="s">
        <v>89</v>
      </c>
      <c r="G93" s="204" t="s">
        <v>89</v>
      </c>
      <c r="H93" s="207" t="s">
        <v>89</v>
      </c>
      <c r="I93" s="205" t="s">
        <v>541</v>
      </c>
    </row>
    <row r="94" ht="41.25">
      <c r="B94" s="240" t="s">
        <v>542</v>
      </c>
      <c r="C94" s="204" t="s">
        <v>89</v>
      </c>
      <c r="D94" s="204" t="s">
        <v>89</v>
      </c>
      <c r="E94" s="219">
        <v>39.3</v>
      </c>
      <c r="F94" s="204" t="s">
        <v>89</v>
      </c>
      <c r="G94" s="204" t="s">
        <v>89</v>
      </c>
      <c r="H94" s="207" t="s">
        <v>89</v>
      </c>
      <c r="I94" s="205" t="s">
        <v>543</v>
      </c>
    </row>
    <row r="95" ht="28.5">
      <c r="B95" s="240" t="s">
        <v>544</v>
      </c>
      <c r="C95" s="204" t="s">
        <v>89</v>
      </c>
      <c r="D95" s="204" t="s">
        <v>89</v>
      </c>
      <c r="E95" s="204">
        <f>E93+E94-E96</f>
        <v>97.70000000000005</v>
      </c>
      <c r="F95" s="204" t="s">
        <v>89</v>
      </c>
      <c r="G95" s="204" t="s">
        <v>89</v>
      </c>
      <c r="H95" s="207">
        <f>-H20</f>
        <v>21.5</v>
      </c>
      <c r="I95" s="205" t="s">
        <v>545</v>
      </c>
    </row>
    <row r="96" ht="28.5">
      <c r="B96" s="240" t="s">
        <v>546</v>
      </c>
      <c r="C96" s="204" t="s">
        <v>89</v>
      </c>
      <c r="D96" s="219">
        <v>253.7</v>
      </c>
      <c r="E96" s="204">
        <f>D96</f>
        <v>253.7</v>
      </c>
      <c r="F96" s="204" t="s">
        <v>89</v>
      </c>
      <c r="G96" s="204" t="s">
        <v>89</v>
      </c>
      <c r="H96" s="207" t="s">
        <v>89</v>
      </c>
      <c r="I96" s="205" t="s">
        <v>547</v>
      </c>
    </row>
    <row r="97" ht="41.25">
      <c r="B97" s="240" t="s">
        <v>548</v>
      </c>
      <c r="C97" s="204" t="s">
        <v>89</v>
      </c>
      <c r="D97" s="204" t="s">
        <v>89</v>
      </c>
      <c r="E97" s="219">
        <v>106.8</v>
      </c>
      <c r="F97" s="204" t="s">
        <v>89</v>
      </c>
      <c r="G97" s="204" t="s">
        <v>89</v>
      </c>
      <c r="H97" s="207" t="s">
        <v>89</v>
      </c>
      <c r="I97" s="205" t="s">
        <v>549</v>
      </c>
    </row>
    <row r="98">
      <c r="B98" s="240" t="s">
        <v>550</v>
      </c>
      <c r="C98" s="204" t="s">
        <v>89</v>
      </c>
      <c r="D98" s="204" t="s">
        <v>89</v>
      </c>
      <c r="E98" s="204">
        <f>E97-E95</f>
        <v>9.099999999999952</v>
      </c>
      <c r="F98" s="204" t="s">
        <v>89</v>
      </c>
      <c r="G98" s="204" t="s">
        <v>89</v>
      </c>
      <c r="H98" s="207" t="s">
        <v>89</v>
      </c>
      <c r="I98" s="205"/>
    </row>
    <row r="99">
      <c r="B99" s="240" t="s">
        <v>551</v>
      </c>
      <c r="C99" s="204">
        <f>C11</f>
        <v>23.421000000000006</v>
      </c>
      <c r="D99" s="204">
        <f>D11</f>
        <v>23.701999999999998</v>
      </c>
      <c r="E99" s="204">
        <f>E11</f>
        <v>96.007</v>
      </c>
      <c r="F99" s="204">
        <f>F11</f>
        <v>23.803</v>
      </c>
      <c r="G99" s="204">
        <f>G11</f>
        <v>21.13</v>
      </c>
      <c r="H99" s="207">
        <f>H11</f>
        <v>21.5</v>
      </c>
      <c r="I99" s="205"/>
    </row>
    <row r="100">
      <c r="B100" s="240" t="s">
        <v>552</v>
      </c>
      <c r="C100" s="204" t="s">
        <v>89</v>
      </c>
      <c r="D100" s="204" t="s">
        <v>89</v>
      </c>
      <c r="E100" s="204">
        <f>E95-E99</f>
        <v>1.6930000000000405</v>
      </c>
      <c r="F100" s="204" t="s">
        <v>89</v>
      </c>
      <c r="G100" s="204" t="s">
        <v>89</v>
      </c>
      <c r="H100" s="207">
        <f>H95-H99</f>
        <v>0</v>
      </c>
      <c r="I100" s="205" t="s">
        <v>553</v>
      </c>
    </row>
    <row r="101" ht="28.5">
      <c r="B101" s="240" t="s">
        <v>554</v>
      </c>
      <c r="C101" s="204" t="s">
        <v>34</v>
      </c>
      <c r="D101" s="204" t="s">
        <v>34</v>
      </c>
      <c r="E101" s="204" t="s">
        <v>34</v>
      </c>
      <c r="F101" s="204" t="s">
        <v>34</v>
      </c>
      <c r="G101" s="204" t="s">
        <v>34</v>
      </c>
      <c r="H101" s="207">
        <f>-E100/4</f>
        <v>-0.4232500000000101</v>
      </c>
      <c r="I101" s="205" t="s">
        <v>555</v>
      </c>
    </row>
    <row r="102">
      <c r="B102" s="240" t="s">
        <v>556</v>
      </c>
      <c r="C102" s="204" t="s">
        <v>34</v>
      </c>
      <c r="D102" s="204" t="s">
        <v>34</v>
      </c>
      <c r="E102" s="219">
        <v>87.6</v>
      </c>
      <c r="F102" s="204" t="s">
        <v>34</v>
      </c>
      <c r="G102" s="204" t="s">
        <v>34</v>
      </c>
      <c r="H102" s="207" t="s">
        <v>34</v>
      </c>
      <c r="I102" s="205"/>
    </row>
    <row r="103">
      <c r="B103" s="240" t="s">
        <v>557</v>
      </c>
      <c r="C103" s="204" t="s">
        <v>34</v>
      </c>
      <c r="D103" s="204" t="s">
        <v>34</v>
      </c>
      <c r="E103" s="242">
        <v>0.0435</v>
      </c>
      <c r="F103" s="204" t="s">
        <v>34</v>
      </c>
      <c r="G103" s="204" t="s">
        <v>34</v>
      </c>
      <c r="H103" s="207" t="s">
        <v>34</v>
      </c>
      <c r="I103" s="205"/>
    </row>
    <row r="104" ht="66.75">
      <c r="B104" s="240" t="s">
        <v>558</v>
      </c>
      <c r="C104" s="204" t="s">
        <v>34</v>
      </c>
      <c r="D104" s="204" t="s">
        <v>34</v>
      </c>
      <c r="E104" s="204" t="s">
        <v>34</v>
      </c>
      <c r="F104" s="204" t="s">
        <v>34</v>
      </c>
      <c r="G104" s="204" t="s">
        <v>34</v>
      </c>
      <c r="H104" s="207">
        <f>H95-(E102/4-E96*E103/4)</f>
        <v>2.3589875000000013</v>
      </c>
      <c r="I104" s="205" t="s">
        <v>559</v>
      </c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60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560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9" t="s">
        <v>64</v>
      </c>
      <c r="C4" s="29" t="s">
        <v>65</v>
      </c>
      <c r="D4" s="29" t="s">
        <v>66</v>
      </c>
      <c r="E4" s="29" t="s">
        <v>67</v>
      </c>
      <c r="F4" s="29" t="s">
        <v>68</v>
      </c>
      <c r="G4" s="29" t="s">
        <v>69</v>
      </c>
      <c r="H4" s="29" t="s">
        <v>70</v>
      </c>
      <c r="I4" s="247" t="s">
        <v>32</v>
      </c>
    </row>
    <row r="5">
      <c r="A5" s="10"/>
      <c r="B5" s="24" t="s">
        <v>71</v>
      </c>
      <c r="C5" s="26">
        <v>45930</v>
      </c>
      <c r="D5" s="26">
        <v>46022</v>
      </c>
      <c r="E5" s="26">
        <v>46022</v>
      </c>
      <c r="F5" s="26">
        <v>46112</v>
      </c>
      <c r="G5" s="26">
        <v>46203</v>
      </c>
      <c r="H5" s="26">
        <v>46295</v>
      </c>
      <c r="I5" s="24"/>
    </row>
    <row r="6">
      <c r="A6" s="10"/>
      <c r="B6" s="35" t="s">
        <v>72</v>
      </c>
      <c r="C6" s="11">
        <v>92</v>
      </c>
      <c r="D6" s="11">
        <v>92</v>
      </c>
      <c r="E6" s="11">
        <v>365</v>
      </c>
      <c r="F6" s="11">
        <v>90</v>
      </c>
      <c r="G6" s="11">
        <v>91</v>
      </c>
      <c r="H6" s="11">
        <v>92</v>
      </c>
      <c r="I6" s="35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8" t="s">
        <v>561</v>
      </c>
      <c r="C8" s="3"/>
      <c r="D8" s="3"/>
      <c r="E8" s="3"/>
      <c r="F8" s="3"/>
      <c r="G8" s="3"/>
      <c r="H8" s="12"/>
      <c r="I8" s="7"/>
    </row>
    <row r="9">
      <c r="A9" s="10"/>
      <c r="B9" s="10" t="s">
        <v>562</v>
      </c>
      <c r="C9" s="49">
        <v>95.218</v>
      </c>
      <c r="D9" s="49">
        <v>94.595</v>
      </c>
      <c r="E9" s="44">
        <f>D9</f>
        <v>94.595</v>
      </c>
      <c r="F9" s="49">
        <v>94.299</v>
      </c>
      <c r="G9" s="49">
        <v>93.915</v>
      </c>
      <c r="H9" s="99">
        <f>G9-H10+H15</f>
        <v>93.56764150943397</v>
      </c>
      <c r="I9" s="7"/>
    </row>
    <row r="10">
      <c r="A10" s="10"/>
      <c r="B10" s="10" t="s">
        <v>563</v>
      </c>
      <c r="C10" s="49">
        <v>1.602783</v>
      </c>
      <c r="D10" s="49">
        <v>0.843</v>
      </c>
      <c r="E10" s="49">
        <v>6.269</v>
      </c>
      <c r="F10" s="49">
        <v>0.383</v>
      </c>
      <c r="G10" s="49">
        <v>0.391758</v>
      </c>
      <c r="H10" s="99">
        <f>H11/H12</f>
        <v>0.37735849056603776</v>
      </c>
      <c r="I10" s="7"/>
    </row>
    <row r="11" ht="28.5">
      <c r="A11" s="10"/>
      <c r="B11" s="10" t="s">
        <v>564</v>
      </c>
      <c r="C11" s="39">
        <f>-'Cash Flow Statement'!C32</f>
        <v>230.44900000000007</v>
      </c>
      <c r="D11" s="39">
        <f>-'Cash Flow Statement'!D32</f>
        <v>139.93200000000002</v>
      </c>
      <c r="E11" s="39">
        <f>-'Cash Flow Statement'!E32</f>
        <v>923.292</v>
      </c>
      <c r="F11" s="39">
        <f>-'Cash Flow Statement'!F32</f>
        <v>80.063</v>
      </c>
      <c r="G11" s="39">
        <f>-'Cash Flow Statement'!G32</f>
        <v>97.76799999999999</v>
      </c>
      <c r="H11" s="90">
        <v>100</v>
      </c>
      <c r="I11" s="195" t="s">
        <v>565</v>
      </c>
    </row>
    <row r="12" ht="28.5">
      <c r="A12" s="10"/>
      <c r="B12" s="10" t="s">
        <v>566</v>
      </c>
      <c r="C12" s="47">
        <f>C11/C10</f>
        <v>143.78053672892716</v>
      </c>
      <c r="D12" s="47">
        <f>D11/D10</f>
        <v>165.9928825622776</v>
      </c>
      <c r="E12" s="47">
        <f>E11/E10</f>
        <v>147.2789918647312</v>
      </c>
      <c r="F12" s="47">
        <f>F11/F10</f>
        <v>209.04177545691905</v>
      </c>
      <c r="G12" s="47">
        <f>G11/G10</f>
        <v>249.56222974387245</v>
      </c>
      <c r="H12" s="119">
        <v>265</v>
      </c>
      <c r="I12" s="195" t="s">
        <v>567</v>
      </c>
    </row>
    <row r="13" ht="28.5">
      <c r="A13" s="10"/>
      <c r="B13" s="10" t="s">
        <v>568</v>
      </c>
      <c r="C13" s="47" t="s">
        <v>89</v>
      </c>
      <c r="D13" s="47" t="s">
        <v>89</v>
      </c>
      <c r="E13" s="47" t="s">
        <v>89</v>
      </c>
      <c r="F13" s="47" t="s">
        <v>89</v>
      </c>
      <c r="G13" s="47" t="s">
        <v>89</v>
      </c>
      <c r="H13" s="53">
        <f>H12-C12</f>
        <v>121.21946327107284</v>
      </c>
      <c r="I13" s="195" t="s">
        <v>569</v>
      </c>
    </row>
    <row r="14">
      <c r="A14" s="10"/>
      <c r="B14" s="10" t="s">
        <v>570</v>
      </c>
      <c r="C14" s="47" t="s">
        <v>34</v>
      </c>
      <c r="D14" s="47">
        <f>D12-C12</f>
        <v>22.21234583335044</v>
      </c>
      <c r="E14" s="47" t="s">
        <v>34</v>
      </c>
      <c r="F14" s="47">
        <f>F12-D12</f>
        <v>43.048892894641455</v>
      </c>
      <c r="G14" s="47">
        <f>G12-F12</f>
        <v>40.520454286953395</v>
      </c>
      <c r="H14" s="53">
        <f>H12-G12</f>
        <v>15.43777025612755</v>
      </c>
      <c r="I14" s="7"/>
    </row>
    <row r="15" ht="25.5">
      <c r="A15" s="10"/>
      <c r="B15" s="206" t="s">
        <v>571</v>
      </c>
      <c r="C15" s="201" t="s">
        <v>34</v>
      </c>
      <c r="D15" s="201">
        <f>D9-C9+D10</f>
        <v>0.2199999999999953</v>
      </c>
      <c r="E15" s="201" t="s">
        <v>34</v>
      </c>
      <c r="F15" s="201">
        <f>F9-D9+F10</f>
        <v>0.08700000000000774</v>
      </c>
      <c r="G15" s="201">
        <f>G9-F9+G10</f>
        <v>0.007757999999999654</v>
      </c>
      <c r="H15" s="217">
        <v>0.03</v>
      </c>
      <c r="I15" s="208"/>
    </row>
    <row r="16">
      <c r="A16" s="10"/>
      <c r="B16" s="8" t="s">
        <v>572</v>
      </c>
      <c r="C16" s="3"/>
      <c r="D16" s="3"/>
      <c r="E16" s="3"/>
      <c r="F16" s="3"/>
      <c r="G16" s="3"/>
      <c r="H16" s="12"/>
      <c r="I16" s="7"/>
    </row>
    <row r="17" ht="117.75">
      <c r="A17" s="10"/>
      <c r="B17" s="10" t="s">
        <v>337</v>
      </c>
      <c r="C17" s="49">
        <v>96.184</v>
      </c>
      <c r="D17" s="44">
        <f>(E17*E6-F30*F6-G30*G6-C17*C6)/D6</f>
        <v>94.88808695652172</v>
      </c>
      <c r="E17" s="49">
        <v>97.09</v>
      </c>
      <c r="F17" s="49">
        <v>94.54</v>
      </c>
      <c r="G17" s="49">
        <v>94.125</v>
      </c>
      <c r="H17" s="99">
        <f>G9-0.5*H10+0.5*H15</f>
        <v>93.741320754717</v>
      </c>
      <c r="I17" s="205" t="s">
        <v>573</v>
      </c>
    </row>
    <row r="18">
      <c r="A18" s="10"/>
      <c r="B18" s="10" t="s">
        <v>574</v>
      </c>
      <c r="C18" s="44">
        <f>C19-C17</f>
        <v>0.6629999999999967</v>
      </c>
      <c r="D18" s="44">
        <f>D19-D17</f>
        <v>0.6169130434782772</v>
      </c>
      <c r="E18" s="44">
        <f>E19-E17</f>
        <v>0.597999999999999</v>
      </c>
      <c r="F18" s="44">
        <f>F19-F17</f>
        <v>0.6639999999999873</v>
      </c>
      <c r="G18" s="44">
        <f>G19-G17</f>
        <v>0.8190000000000026</v>
      </c>
      <c r="H18" s="123">
        <v>0.8</v>
      </c>
      <c r="I18" s="7" t="s">
        <v>575</v>
      </c>
    </row>
    <row r="19">
      <c r="A19" s="10"/>
      <c r="B19" s="6" t="s">
        <v>338</v>
      </c>
      <c r="C19" s="95">
        <v>96.847</v>
      </c>
      <c r="D19" s="95">
        <v>95.505</v>
      </c>
      <c r="E19" s="95">
        <v>97.688</v>
      </c>
      <c r="F19" s="95">
        <v>95.204</v>
      </c>
      <c r="G19" s="95">
        <v>94.944</v>
      </c>
      <c r="H19" s="127">
        <f>H17+H18</f>
        <v>94.54132075471699</v>
      </c>
      <c r="I19" s="7" t="s">
        <v>576</v>
      </c>
    </row>
    <row r="20">
      <c r="A20" s="10"/>
      <c r="B20" s="31" t="s">
        <v>75</v>
      </c>
      <c r="C20" s="16">
        <f>C19/C32-1</f>
        <v>-0.051774612033093526</v>
      </c>
      <c r="D20" s="16">
        <f>D19/D32-1</f>
        <v>-0.060424803486576195</v>
      </c>
      <c r="E20" s="16">
        <f>E19/E32-1</f>
        <v>-0.04930221694532577</v>
      </c>
      <c r="F20" s="16">
        <f>F19/F32-1</f>
        <v>-0.05259282110479768</v>
      </c>
      <c r="G20" s="16">
        <f>G19/G32-1</f>
        <v>-0.030946354209194005</v>
      </c>
      <c r="H20" s="72">
        <f>H19/H32-1</f>
        <v>-0.023807441069759516</v>
      </c>
      <c r="I20" s="7"/>
    </row>
    <row r="21">
      <c r="A21" s="10"/>
      <c r="B21" s="10" t="s">
        <v>577</v>
      </c>
      <c r="C21" s="44">
        <f>C19-G32</f>
        <v>-1.1290000000000049</v>
      </c>
      <c r="D21" s="44">
        <f>D19-C19</f>
        <v>-1.3419999999999987</v>
      </c>
      <c r="E21" s="44" t="s">
        <v>34</v>
      </c>
      <c r="F21" s="44">
        <f>F19-D19</f>
        <v>-0.30100000000000193</v>
      </c>
      <c r="G21" s="44">
        <f>G19-F19</f>
        <v>-0.2599999999999909</v>
      </c>
      <c r="H21" s="99">
        <f>H19-G19</f>
        <v>-0.4026792452830108</v>
      </c>
      <c r="I21" s="7"/>
    </row>
    <row r="22">
      <c r="A22" s="10"/>
      <c r="B22" s="8" t="s">
        <v>578</v>
      </c>
      <c r="C22" s="3"/>
      <c r="D22" s="3"/>
      <c r="E22" s="3"/>
      <c r="F22" s="3"/>
      <c r="G22" s="3"/>
      <c r="H22" s="12"/>
      <c r="I22" s="7"/>
    </row>
    <row r="23" ht="28.5">
      <c r="A23" s="10"/>
      <c r="B23" s="10" t="s">
        <v>579</v>
      </c>
      <c r="C23" s="45">
        <v>0.44</v>
      </c>
      <c r="D23" s="45">
        <v>0.44</v>
      </c>
      <c r="E23" s="47">
        <f>F31+G31+C23+D23</f>
        <v>1.76</v>
      </c>
      <c r="F23" s="45">
        <v>0.45</v>
      </c>
      <c r="G23" s="45">
        <v>0.45</v>
      </c>
      <c r="H23" s="119">
        <v>0.45</v>
      </c>
      <c r="I23" s="195" t="s">
        <v>580</v>
      </c>
    </row>
    <row r="24">
      <c r="A24" s="10"/>
      <c r="B24" s="10" t="s">
        <v>581</v>
      </c>
      <c r="C24" s="47">
        <f>C23-C31</f>
        <v>0.010000000000000009</v>
      </c>
      <c r="D24" s="47">
        <f>D23-D31</f>
        <v>0.010000000000000009</v>
      </c>
      <c r="E24" s="47">
        <f>E23-E31</f>
        <v>0.040000000000000036</v>
      </c>
      <c r="F24" s="47">
        <f>F23-F31</f>
        <v>0.010000000000000009</v>
      </c>
      <c r="G24" s="47">
        <f>G23-G31</f>
        <v>0.010000000000000009</v>
      </c>
      <c r="H24" s="53">
        <f>H23-H31</f>
        <v>0.010000000000000009</v>
      </c>
      <c r="I24" s="7"/>
    </row>
    <row r="25">
      <c r="A25" s="10"/>
      <c r="B25" s="10" t="s">
        <v>135</v>
      </c>
      <c r="C25" s="47">
        <f>C23-G31</f>
        <v>0</v>
      </c>
      <c r="D25" s="47">
        <f>D23-C23</f>
        <v>0</v>
      </c>
      <c r="E25" s="47" t="s">
        <v>34</v>
      </c>
      <c r="F25" s="47">
        <f>F23-D23</f>
        <v>0.010000000000000009</v>
      </c>
      <c r="G25" s="47">
        <f>G23-F23</f>
        <v>0</v>
      </c>
      <c r="H25" s="53">
        <f>H23-G23</f>
        <v>0</v>
      </c>
      <c r="I25" s="7"/>
    </row>
    <row r="26">
      <c r="A26" s="10"/>
      <c r="B26" s="10" t="s">
        <v>582</v>
      </c>
      <c r="C26" s="39">
        <f>-'Cash Flow Statement'!C34</f>
        <v>42.52000000000001</v>
      </c>
      <c r="D26" s="39">
        <f>-'Cash Flow Statement'!D34</f>
        <v>41.89099999999999</v>
      </c>
      <c r="E26" s="39">
        <f>-'Cash Flow Statement'!E34</f>
        <v>171.048</v>
      </c>
      <c r="F26" s="39">
        <f>-'Cash Flow Statement'!F34</f>
        <v>42.595</v>
      </c>
      <c r="G26" s="39">
        <f>-'Cash Flow Statement'!G34</f>
        <v>42.419</v>
      </c>
      <c r="H26" s="13">
        <f>-'Cash Flow Statement'!H34</f>
        <v>42.261750000000006</v>
      </c>
      <c r="I26" s="7"/>
    </row>
    <row r="27" ht="25.5">
      <c r="A27" s="10"/>
      <c r="B27" s="215" t="s">
        <v>583</v>
      </c>
      <c r="C27" s="210"/>
      <c r="D27" s="210"/>
      <c r="E27" s="210"/>
      <c r="F27" s="210"/>
      <c r="G27" s="210"/>
      <c r="H27" s="212">
        <f>H19</f>
        <v>94.54132075471699</v>
      </c>
      <c r="I27" s="208"/>
    </row>
    <row r="28">
      <c r="A28" s="10"/>
      <c r="B28" s="10"/>
      <c r="C28" s="1"/>
      <c r="D28" s="1"/>
      <c r="E28" s="1"/>
      <c r="F28" s="1"/>
      <c r="G28" s="1"/>
      <c r="H28" s="20"/>
      <c r="I28" s="7"/>
    </row>
    <row r="29">
      <c r="A29" s="10"/>
      <c r="B29" s="8" t="s">
        <v>112</v>
      </c>
      <c r="C29" s="3"/>
      <c r="D29" s="3"/>
      <c r="E29" s="3"/>
      <c r="F29" s="3"/>
      <c r="G29" s="3"/>
      <c r="H29" s="12"/>
      <c r="I29" s="7"/>
    </row>
    <row r="30">
      <c r="A30" s="10"/>
      <c r="B30" s="10" t="s">
        <v>584</v>
      </c>
      <c r="C30" s="49">
        <v>101.319</v>
      </c>
      <c r="D30" s="44" t="s">
        <v>89</v>
      </c>
      <c r="E30" s="49">
        <v>101.947</v>
      </c>
      <c r="F30" s="49">
        <v>99.905</v>
      </c>
      <c r="G30" s="49">
        <v>97.448</v>
      </c>
      <c r="H30" s="99">
        <f>C17</f>
        <v>96.184</v>
      </c>
      <c r="I30" s="7"/>
    </row>
    <row r="31" ht="28.5">
      <c r="A31" s="10"/>
      <c r="B31" s="206" t="s">
        <v>585</v>
      </c>
      <c r="C31" s="211">
        <v>0.43</v>
      </c>
      <c r="D31" s="211">
        <v>0.43</v>
      </c>
      <c r="E31" s="216">
        <f>4*D31</f>
        <v>1.72</v>
      </c>
      <c r="F31" s="211">
        <v>0.44</v>
      </c>
      <c r="G31" s="211">
        <v>0.44</v>
      </c>
      <c r="H31" s="209">
        <f>C23</f>
        <v>0.44</v>
      </c>
      <c r="I31" s="205" t="s">
        <v>586</v>
      </c>
    </row>
    <row r="32">
      <c r="A32" s="10"/>
      <c r="B32" s="10" t="s">
        <v>587</v>
      </c>
      <c r="C32" s="49">
        <v>102.135</v>
      </c>
      <c r="D32" s="49">
        <v>101.647</v>
      </c>
      <c r="E32" s="49">
        <v>102.754</v>
      </c>
      <c r="F32" s="49">
        <v>100.489</v>
      </c>
      <c r="G32" s="49">
        <v>97.976</v>
      </c>
      <c r="H32" s="99">
        <f>C19</f>
        <v>96.847</v>
      </c>
      <c r="I32" s="7"/>
    </row>
    <row r="33">
      <c r="A33" s="10"/>
      <c r="B33" s="10"/>
      <c r="C33" s="1"/>
      <c r="D33" s="1"/>
      <c r="E33" s="1"/>
      <c r="F33" s="1"/>
      <c r="G33" s="1"/>
      <c r="H33" s="20"/>
      <c r="I33" s="7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7" width="12" customWidth="1"/>
    <col min="8" max="8" width="20" customWidth="1"/>
    <col min="9" max="9" width="24" customWidth="1"/>
    <col min="10" max="10" width="26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  <c r="J1" s="10"/>
    </row>
    <row r="2">
      <c r="A2" s="10"/>
      <c r="B2" s="6" t="s">
        <v>588</v>
      </c>
      <c r="C2" s="10"/>
      <c r="D2" s="10"/>
      <c r="E2" s="10"/>
      <c r="F2" s="10"/>
      <c r="G2" s="10"/>
      <c r="H2" s="10"/>
      <c r="I2" s="10"/>
      <c r="J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  <c r="J3" s="10"/>
    </row>
    <row r="4">
      <c r="A4" s="10"/>
      <c r="B4" s="147" t="s">
        <v>589</v>
      </c>
      <c r="C4" s="142"/>
      <c r="D4" s="142"/>
      <c r="E4" s="142"/>
      <c r="F4" s="142"/>
      <c r="G4" s="142"/>
      <c r="H4" s="142"/>
      <c r="I4" s="147"/>
      <c r="J4" s="159"/>
    </row>
    <row r="5">
      <c r="A5" s="10"/>
      <c r="B5" s="155"/>
      <c r="C5" s="145"/>
      <c r="D5" s="145"/>
      <c r="E5" s="145"/>
      <c r="F5" s="145"/>
      <c r="G5" s="145"/>
      <c r="H5" s="145"/>
      <c r="I5" s="155"/>
      <c r="J5" s="159"/>
    </row>
    <row r="6">
      <c r="A6" s="10"/>
      <c r="B6" s="143"/>
      <c r="C6" s="157"/>
      <c r="D6" s="157"/>
      <c r="E6" s="157"/>
      <c r="F6" s="157"/>
      <c r="G6" s="157"/>
      <c r="H6" s="157"/>
      <c r="I6" s="143"/>
      <c r="J6" s="159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22.5">
      <c r="A8" s="10"/>
      <c r="B8" s="38" t="s">
        <v>590</v>
      </c>
      <c r="C8" s="22" t="s">
        <v>591</v>
      </c>
      <c r="D8" s="22" t="s">
        <v>64</v>
      </c>
      <c r="E8" s="22" t="s">
        <v>592</v>
      </c>
      <c r="F8" s="22" t="s">
        <v>593</v>
      </c>
      <c r="G8" s="22" t="s">
        <v>594</v>
      </c>
      <c r="H8" s="22" t="s">
        <v>595</v>
      </c>
      <c r="I8" s="244" t="s">
        <v>596</v>
      </c>
      <c r="J8" s="200" t="s">
        <v>597</v>
      </c>
    </row>
    <row r="9" ht="25.5">
      <c r="A9" s="10"/>
      <c r="B9" s="50" t="s">
        <v>598</v>
      </c>
      <c r="C9" s="106">
        <v>46280</v>
      </c>
      <c r="D9" s="92" t="s">
        <v>599</v>
      </c>
      <c r="E9" s="61">
        <v>-0.1</v>
      </c>
      <c r="F9" s="61">
        <v>-0.05</v>
      </c>
      <c r="G9" s="48">
        <f>AVERAGE(E9,F9)</f>
        <v>-0.07500000000000001</v>
      </c>
      <c r="H9" s="48" t="s">
        <v>600</v>
      </c>
      <c r="I9" s="199" t="s">
        <v>601</v>
      </c>
      <c r="J9" s="199" t="s">
        <v>602</v>
      </c>
    </row>
    <row r="10" ht="25.5">
      <c r="A10" s="10"/>
      <c r="B10" s="64" t="s">
        <v>603</v>
      </c>
      <c r="C10" s="106">
        <v>46280</v>
      </c>
      <c r="D10" s="92" t="s">
        <v>599</v>
      </c>
      <c r="E10" s="108">
        <f>'Income Statement'!G69*(1+E9)</f>
        <v>1.7189999999999999</v>
      </c>
      <c r="F10" s="108">
        <f>'Income Statement'!G69*(1+F9)</f>
        <v>1.8144999999999998</v>
      </c>
      <c r="G10" s="94">
        <f>AVERAGE(E10,F10)</f>
        <v>1.7667499999999998</v>
      </c>
      <c r="H10" s="94" t="s">
        <v>600</v>
      </c>
      <c r="I10" s="199" t="s">
        <v>601</v>
      </c>
      <c r="J10" s="199" t="s">
        <v>604</v>
      </c>
    </row>
    <row r="11" ht="25.5">
      <c r="A11" s="10"/>
      <c r="B11" s="64" t="s">
        <v>605</v>
      </c>
      <c r="C11" s="106">
        <v>46306</v>
      </c>
      <c r="D11" s="92" t="s">
        <v>599</v>
      </c>
      <c r="E11" s="94">
        <f>E10</f>
        <v>1.7189999999999999</v>
      </c>
      <c r="F11" s="94">
        <f>F10</f>
        <v>1.8144999999999998</v>
      </c>
      <c r="G11" s="94">
        <f>G10</f>
        <v>1.7667499999999998</v>
      </c>
      <c r="H11" s="108">
        <f>'Income Statement'!H78</f>
        <v>1.7929732915735719</v>
      </c>
      <c r="I11" s="199" t="str">
        <f>IF(H11&gt;F11,"above range",IF(H11&lt;E11,"below range","within range"))</f>
        <v>within range</v>
      </c>
      <c r="J11" s="199" t="s">
        <v>606</v>
      </c>
    </row>
    <row r="12" ht="25.5">
      <c r="A12" s="10"/>
      <c r="B12" s="64" t="s">
        <v>607</v>
      </c>
      <c r="C12" s="106">
        <v>46306</v>
      </c>
      <c r="D12" s="92" t="s">
        <v>599</v>
      </c>
      <c r="E12" s="108">
        <f>Inputs!C51</f>
        <v>1.72</v>
      </c>
      <c r="F12" s="108">
        <f>Inputs!C52</f>
        <v>1.81</v>
      </c>
      <c r="G12" s="94">
        <f>AVERAGE(E12,F12)</f>
        <v>1.7650000000000001</v>
      </c>
      <c r="H12" s="94" t="s">
        <v>600</v>
      </c>
      <c r="I12" s="199" t="s">
        <v>600</v>
      </c>
      <c r="J12" s="199" t="s">
        <v>608</v>
      </c>
    </row>
    <row r="13" ht="25.5">
      <c r="A13" s="10"/>
      <c r="B13" s="64" t="s">
        <v>609</v>
      </c>
      <c r="C13" s="106">
        <v>46280</v>
      </c>
      <c r="D13" s="92" t="s">
        <v>599</v>
      </c>
      <c r="E13" s="86">
        <v>25</v>
      </c>
      <c r="F13" s="86">
        <v>25</v>
      </c>
      <c r="G13" s="5">
        <f>AVERAGE(E13,F13)</f>
        <v>25</v>
      </c>
      <c r="H13" s="5" t="s">
        <v>600</v>
      </c>
      <c r="I13" s="199" t="s">
        <v>600</v>
      </c>
      <c r="J13" s="199" t="s">
        <v>610</v>
      </c>
    </row>
    <row r="14" ht="25.5">
      <c r="A14" s="10"/>
      <c r="B14" s="64" t="s">
        <v>611</v>
      </c>
      <c r="C14" s="106">
        <v>46280</v>
      </c>
      <c r="D14" s="92" t="s">
        <v>599</v>
      </c>
      <c r="E14" s="86">
        <v>10</v>
      </c>
      <c r="F14" s="5" t="s">
        <v>89</v>
      </c>
      <c r="G14" s="5" t="s">
        <v>89</v>
      </c>
      <c r="H14" s="5" t="s">
        <v>600</v>
      </c>
      <c r="I14" s="199" t="s">
        <v>600</v>
      </c>
      <c r="J14" s="199" t="s">
        <v>610</v>
      </c>
    </row>
    <row r="15" ht="25.5">
      <c r="A15" s="10"/>
      <c r="B15" s="50" t="s">
        <v>612</v>
      </c>
      <c r="C15" s="106">
        <v>46037</v>
      </c>
      <c r="D15" s="92" t="s">
        <v>613</v>
      </c>
      <c r="E15" s="61">
        <v>0.24</v>
      </c>
      <c r="F15" s="61">
        <v>0.25</v>
      </c>
      <c r="G15" s="48">
        <f>AVERAGE(E15,F15)</f>
        <v>0.245</v>
      </c>
      <c r="H15" s="48" t="s">
        <v>600</v>
      </c>
      <c r="I15" s="199" t="s">
        <v>600</v>
      </c>
      <c r="J15" s="199" t="s">
        <v>614</v>
      </c>
    </row>
    <row r="16" ht="25.5">
      <c r="A16" s="10"/>
      <c r="B16" s="50" t="s">
        <v>615</v>
      </c>
      <c r="C16" s="106">
        <v>46127</v>
      </c>
      <c r="D16" s="92" t="s">
        <v>613</v>
      </c>
      <c r="E16" s="61">
        <v>0.24</v>
      </c>
      <c r="F16" s="61">
        <v>0.25</v>
      </c>
      <c r="G16" s="48">
        <f>AVERAGE(E16,F16)</f>
        <v>0.245</v>
      </c>
      <c r="H16" s="48" t="s">
        <v>600</v>
      </c>
      <c r="I16" s="199" t="s">
        <v>600</v>
      </c>
      <c r="J16" s="199" t="s">
        <v>616</v>
      </c>
    </row>
    <row r="17" ht="25.5">
      <c r="A17" s="10"/>
      <c r="B17" s="50" t="s">
        <v>617</v>
      </c>
      <c r="C17" s="106">
        <v>46218</v>
      </c>
      <c r="D17" s="92" t="s">
        <v>613</v>
      </c>
      <c r="E17" s="61">
        <v>0.24</v>
      </c>
      <c r="F17" s="61">
        <v>0.245</v>
      </c>
      <c r="G17" s="48">
        <f>AVERAGE(E17,F17)</f>
        <v>0.2425</v>
      </c>
      <c r="H17" s="48" t="s">
        <v>600</v>
      </c>
      <c r="I17" s="199" t="s">
        <v>600</v>
      </c>
      <c r="J17" s="199" t="s">
        <v>618</v>
      </c>
    </row>
    <row r="18" ht="25.5">
      <c r="A18" s="10"/>
      <c r="B18" s="64" t="s">
        <v>619</v>
      </c>
      <c r="C18" s="106">
        <v>46037</v>
      </c>
      <c r="D18" s="92" t="s">
        <v>613</v>
      </c>
      <c r="E18" s="86">
        <v>600</v>
      </c>
      <c r="F18" s="86">
        <v>800</v>
      </c>
      <c r="G18" s="5">
        <f>AVERAGE(E18,F18)</f>
        <v>700</v>
      </c>
      <c r="H18" s="5" t="s">
        <v>620</v>
      </c>
      <c r="I18" s="199" t="s">
        <v>600</v>
      </c>
      <c r="J18" s="199" t="s">
        <v>621</v>
      </c>
    </row>
    <row r="19" ht="25.5">
      <c r="A19" s="10"/>
      <c r="B19" s="64" t="s">
        <v>622</v>
      </c>
      <c r="C19" s="106">
        <v>46127</v>
      </c>
      <c r="D19" s="92" t="s">
        <v>613</v>
      </c>
      <c r="E19" s="86">
        <v>600</v>
      </c>
      <c r="F19" s="86">
        <v>800</v>
      </c>
      <c r="G19" s="5">
        <f>AVERAGE(E19,F19)</f>
        <v>700</v>
      </c>
      <c r="H19" s="5" t="s">
        <v>600</v>
      </c>
      <c r="I19" s="199" t="s">
        <v>600</v>
      </c>
      <c r="J19" s="199" t="s">
        <v>623</v>
      </c>
    </row>
    <row r="20" ht="25.5">
      <c r="A20" s="10"/>
      <c r="B20" s="64" t="s">
        <v>624</v>
      </c>
      <c r="C20" s="106">
        <v>46218</v>
      </c>
      <c r="D20" s="92" t="s">
        <v>613</v>
      </c>
      <c r="E20" s="59">
        <v>1000</v>
      </c>
      <c r="F20" s="59">
        <v>1200</v>
      </c>
      <c r="G20" s="113">
        <f>AVERAGE(E20,F20)</f>
        <v>1100</v>
      </c>
      <c r="H20" s="113" t="s">
        <v>625</v>
      </c>
      <c r="I20" s="199" t="s">
        <v>600</v>
      </c>
      <c r="J20" s="199" t="s">
        <v>626</v>
      </c>
    </row>
    <row r="21" ht="25.5">
      <c r="A21" s="10"/>
      <c r="B21" s="50" t="s">
        <v>627</v>
      </c>
      <c r="C21" s="106">
        <v>45945</v>
      </c>
      <c r="D21" s="92" t="s">
        <v>628</v>
      </c>
      <c r="E21" s="61">
        <v>0.245</v>
      </c>
      <c r="F21" s="61">
        <v>0.245</v>
      </c>
      <c r="G21" s="61">
        <v>0.245</v>
      </c>
      <c r="H21" s="107">
        <f>'Income Statement'!E53</f>
        <v>0.24660123509026455</v>
      </c>
      <c r="I21" s="199" t="str">
        <f>IF(ABS(H21-G21)&lt;=0.0025,"in line",IF(H21&gt;G21,"above","below"))</f>
        <v>in line</v>
      </c>
      <c r="J21" s="199" t="s">
        <v>629</v>
      </c>
    </row>
    <row r="22" ht="25.5">
      <c r="A22" s="10"/>
      <c r="B22" s="64"/>
      <c r="C22" s="92"/>
      <c r="D22" s="92"/>
      <c r="E22" s="92"/>
      <c r="F22" s="92"/>
      <c r="G22" s="92"/>
      <c r="H22" s="92"/>
      <c r="I22" s="92"/>
      <c r="J22" s="92"/>
    </row>
    <row r="23">
      <c r="A23" s="10"/>
      <c r="B23" s="158" t="s">
        <v>630</v>
      </c>
      <c r="C23" s="92"/>
      <c r="D23" s="92"/>
      <c r="E23" s="92"/>
      <c r="F23" s="92"/>
      <c r="G23" s="92"/>
      <c r="H23" s="92"/>
      <c r="I23" s="92"/>
      <c r="J23" s="92"/>
    </row>
    <row r="24">
      <c r="A24" s="10"/>
      <c r="B24" s="10"/>
      <c r="C24" s="92"/>
      <c r="D24" s="92"/>
      <c r="E24" s="92"/>
      <c r="F24" s="92"/>
      <c r="G24" s="92"/>
      <c r="H24" s="92"/>
      <c r="I24" s="92"/>
      <c r="J24" s="92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2" customWidth="1"/>
    <col min="4" max="4" width="34" customWidth="1"/>
    <col min="5" max="5" width="70" customWidth="1"/>
    <col min="6" max="6" width="56" customWidth="1"/>
    <col min="7" max="7" width="16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</row>
    <row r="2">
      <c r="A2" s="10"/>
      <c r="B2" s="6" t="s">
        <v>631</v>
      </c>
      <c r="C2" s="10"/>
      <c r="D2" s="10"/>
      <c r="E2" s="10"/>
      <c r="F2" s="10"/>
      <c r="G2" s="10"/>
      <c r="H2" s="10"/>
      <c r="I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</row>
    <row r="4">
      <c r="A4" s="10"/>
      <c r="B4" s="147" t="s">
        <v>589</v>
      </c>
      <c r="C4" s="142"/>
      <c r="D4" s="142"/>
      <c r="E4" s="142"/>
      <c r="F4" s="142"/>
      <c r="G4" s="142"/>
      <c r="H4" s="142"/>
      <c r="I4" s="147"/>
      <c r="J4" s="152"/>
    </row>
    <row r="5">
      <c r="A5" s="10"/>
      <c r="B5" s="155"/>
      <c r="C5" s="145"/>
      <c r="D5" s="145"/>
      <c r="E5" s="145"/>
      <c r="F5" s="145"/>
      <c r="G5" s="145"/>
      <c r="H5" s="145"/>
      <c r="I5" s="155"/>
      <c r="J5" s="152"/>
    </row>
    <row r="6">
      <c r="A6" s="10"/>
      <c r="B6" s="143"/>
      <c r="C6" s="157"/>
      <c r="D6" s="157"/>
      <c r="E6" s="157"/>
      <c r="F6" s="157"/>
      <c r="G6" s="157"/>
      <c r="H6" s="157"/>
      <c r="I6" s="143"/>
      <c r="J6" s="152"/>
    </row>
    <row r="7">
      <c r="A7" s="10"/>
      <c r="B7" s="10"/>
      <c r="C7" s="10"/>
      <c r="D7" s="10"/>
      <c r="E7" s="10"/>
      <c r="F7" s="10"/>
      <c r="G7" s="10"/>
      <c r="H7" s="10"/>
      <c r="I7" s="10"/>
    </row>
    <row r="8">
      <c r="A8" s="10"/>
      <c r="B8" s="38" t="s">
        <v>632</v>
      </c>
      <c r="C8" s="22" t="s">
        <v>633</v>
      </c>
      <c r="D8" s="151" t="s">
        <v>634</v>
      </c>
      <c r="E8" s="151" t="s">
        <v>635</v>
      </c>
      <c r="F8" s="151" t="s">
        <v>636</v>
      </c>
      <c r="G8" s="246" t="s">
        <v>637</v>
      </c>
      <c r="H8" s="22"/>
      <c r="I8" s="22"/>
    </row>
    <row r="9" ht="30">
      <c r="A9" s="10"/>
      <c r="B9" s="65" t="s">
        <v>638</v>
      </c>
      <c r="C9" s="101">
        <v>45945</v>
      </c>
      <c r="D9" s="64" t="s">
        <v>639</v>
      </c>
      <c r="E9" s="64" t="s">
        <v>640</v>
      </c>
      <c r="F9" s="64" t="s">
        <v>641</v>
      </c>
      <c r="G9" s="245" t="s">
        <v>642</v>
      </c>
      <c r="H9" s="10"/>
      <c r="I9" s="10"/>
    </row>
    <row r="10" ht="30">
      <c r="A10" s="10"/>
      <c r="B10" s="65" t="s">
        <v>614</v>
      </c>
      <c r="C10" s="101">
        <v>46037</v>
      </c>
      <c r="D10" s="64" t="s">
        <v>639</v>
      </c>
      <c r="E10" s="64" t="s">
        <v>643</v>
      </c>
      <c r="F10" s="64" t="s">
        <v>644</v>
      </c>
      <c r="G10" s="245" t="s">
        <v>642</v>
      </c>
      <c r="H10" s="10"/>
      <c r="I10" s="10"/>
    </row>
    <row r="11" ht="30">
      <c r="A11" s="10"/>
      <c r="B11" s="65" t="s">
        <v>616</v>
      </c>
      <c r="C11" s="101">
        <v>46127</v>
      </c>
      <c r="D11" s="64" t="s">
        <v>639</v>
      </c>
      <c r="E11" s="64" t="s">
        <v>645</v>
      </c>
      <c r="F11" s="64" t="s">
        <v>646</v>
      </c>
      <c r="G11" s="245" t="s">
        <v>642</v>
      </c>
      <c r="H11" s="10"/>
      <c r="I11" s="10"/>
    </row>
    <row r="12" ht="30">
      <c r="A12" s="10"/>
      <c r="B12" s="65" t="s">
        <v>618</v>
      </c>
      <c r="C12" s="101">
        <v>46218</v>
      </c>
      <c r="D12" s="64" t="s">
        <v>639</v>
      </c>
      <c r="E12" s="64" t="s">
        <v>647</v>
      </c>
      <c r="F12" s="64" t="s">
        <v>648</v>
      </c>
      <c r="G12" s="245" t="s">
        <v>642</v>
      </c>
      <c r="H12" s="10"/>
      <c r="I12" s="10"/>
    </row>
    <row r="13" ht="30">
      <c r="A13" s="10"/>
      <c r="B13" s="65" t="s">
        <v>649</v>
      </c>
      <c r="C13" s="101">
        <v>45954</v>
      </c>
      <c r="D13" s="64" t="s">
        <v>650</v>
      </c>
      <c r="E13" s="64" t="s">
        <v>651</v>
      </c>
      <c r="F13" s="64" t="s">
        <v>652</v>
      </c>
      <c r="G13" s="245" t="s">
        <v>642</v>
      </c>
      <c r="H13" s="10"/>
      <c r="I13" s="10"/>
    </row>
    <row r="14" ht="30">
      <c r="A14" s="10"/>
      <c r="B14" s="65" t="s">
        <v>653</v>
      </c>
      <c r="C14" s="101">
        <v>46077</v>
      </c>
      <c r="D14" s="64" t="s">
        <v>654</v>
      </c>
      <c r="E14" s="64" t="s">
        <v>655</v>
      </c>
      <c r="F14" s="64" t="s">
        <v>656</v>
      </c>
      <c r="G14" s="245" t="s">
        <v>642</v>
      </c>
      <c r="H14" s="10"/>
      <c r="I14" s="10"/>
    </row>
    <row r="15" ht="30">
      <c r="A15" s="10"/>
      <c r="B15" s="65" t="s">
        <v>657</v>
      </c>
      <c r="C15" s="101">
        <v>46136</v>
      </c>
      <c r="D15" s="64" t="s">
        <v>650</v>
      </c>
      <c r="E15" s="64" t="s">
        <v>658</v>
      </c>
      <c r="F15" s="64" t="s">
        <v>659</v>
      </c>
      <c r="G15" s="245" t="s">
        <v>642</v>
      </c>
      <c r="H15" s="10"/>
      <c r="I15" s="10"/>
    </row>
    <row r="16" ht="30">
      <c r="A16" s="10"/>
      <c r="B16" s="65" t="s">
        <v>660</v>
      </c>
      <c r="C16" s="101">
        <v>46227</v>
      </c>
      <c r="D16" s="64" t="s">
        <v>650</v>
      </c>
      <c r="E16" s="64" t="s">
        <v>661</v>
      </c>
      <c r="F16" s="64" t="s">
        <v>662</v>
      </c>
      <c r="G16" s="245" t="s">
        <v>642</v>
      </c>
      <c r="H16" s="10"/>
      <c r="I16" s="10"/>
    </row>
    <row r="17" ht="30">
      <c r="A17" s="10"/>
      <c r="B17" s="65" t="s">
        <v>626</v>
      </c>
      <c r="C17" s="101">
        <v>46225</v>
      </c>
      <c r="D17" s="64" t="s">
        <v>663</v>
      </c>
      <c r="E17" s="64" t="s">
        <v>664</v>
      </c>
      <c r="F17" s="64" t="s">
        <v>665</v>
      </c>
      <c r="G17" s="245" t="s">
        <v>642</v>
      </c>
      <c r="H17" s="10"/>
      <c r="I17" s="10"/>
    </row>
    <row r="18" ht="30">
      <c r="A18" s="10"/>
      <c r="B18" s="65" t="s">
        <v>610</v>
      </c>
      <c r="C18" s="101">
        <v>46284</v>
      </c>
      <c r="D18" s="64" t="s">
        <v>666</v>
      </c>
      <c r="E18" s="64" t="s">
        <v>667</v>
      </c>
      <c r="F18" s="64" t="s">
        <v>668</v>
      </c>
      <c r="G18" s="245" t="s">
        <v>642</v>
      </c>
      <c r="H18" s="10"/>
      <c r="I18" s="10"/>
    </row>
    <row r="19" ht="30">
      <c r="A19" s="10"/>
      <c r="B19" s="65" t="s">
        <v>669</v>
      </c>
      <c r="C19" s="101">
        <v>46281</v>
      </c>
      <c r="D19" s="64" t="s">
        <v>670</v>
      </c>
      <c r="E19" s="64" t="s">
        <v>671</v>
      </c>
      <c r="F19" s="64" t="s">
        <v>672</v>
      </c>
      <c r="G19" s="245" t="s">
        <v>642</v>
      </c>
      <c r="H19" s="10"/>
      <c r="I19" s="10"/>
    </row>
    <row r="20" ht="18">
      <c r="A20" s="10"/>
      <c r="B20" s="65" t="s">
        <v>673</v>
      </c>
      <c r="C20" s="101">
        <v>46281</v>
      </c>
      <c r="D20" s="64" t="s">
        <v>674</v>
      </c>
      <c r="E20" s="64" t="s">
        <v>675</v>
      </c>
      <c r="F20" s="64" t="s">
        <v>676</v>
      </c>
      <c r="G20" s="245" t="s">
        <v>642</v>
      </c>
      <c r="H20" s="10"/>
      <c r="I20" s="10"/>
    </row>
    <row r="21" ht="30">
      <c r="A21" s="10"/>
      <c r="B21" s="65" t="s">
        <v>677</v>
      </c>
      <c r="C21" s="101">
        <v>46282</v>
      </c>
      <c r="D21" s="64" t="s">
        <v>678</v>
      </c>
      <c r="E21" s="64" t="s">
        <v>679</v>
      </c>
      <c r="F21" s="64" t="s">
        <v>680</v>
      </c>
      <c r="G21" s="245" t="s">
        <v>642</v>
      </c>
      <c r="H21" s="10"/>
      <c r="I21" s="10"/>
    </row>
    <row r="22" ht="30">
      <c r="A22" s="10"/>
      <c r="B22" s="65" t="s">
        <v>681</v>
      </c>
      <c r="C22" s="101">
        <v>46304</v>
      </c>
      <c r="D22" s="64" t="s">
        <v>682</v>
      </c>
      <c r="E22" s="64" t="s">
        <v>683</v>
      </c>
      <c r="F22" s="64" t="s">
        <v>684</v>
      </c>
      <c r="G22" s="245" t="s">
        <v>642</v>
      </c>
      <c r="H22" s="10"/>
      <c r="I22" s="10"/>
    </row>
    <row r="23" ht="30">
      <c r="A23" s="10"/>
      <c r="B23" s="65" t="s">
        <v>685</v>
      </c>
      <c r="C23" s="101">
        <v>46304</v>
      </c>
      <c r="D23" s="64" t="s">
        <v>686</v>
      </c>
      <c r="E23" s="64" t="s">
        <v>687</v>
      </c>
      <c r="F23" s="64" t="s">
        <v>688</v>
      </c>
      <c r="G23" s="245" t="s">
        <v>642</v>
      </c>
      <c r="H23" s="10"/>
      <c r="I23" s="10"/>
    </row>
    <row r="24" ht="42">
      <c r="A24" s="10"/>
      <c r="B24" s="65" t="s">
        <v>689</v>
      </c>
      <c r="C24" s="101">
        <v>46303</v>
      </c>
      <c r="D24" s="64" t="s">
        <v>690</v>
      </c>
      <c r="E24" s="64" t="s">
        <v>691</v>
      </c>
      <c r="F24" s="64" t="s">
        <v>692</v>
      </c>
      <c r="G24" s="245" t="s">
        <v>642</v>
      </c>
      <c r="H24" s="10"/>
      <c r="I24" s="10"/>
    </row>
    <row r="25" ht="42">
      <c r="A25" s="10"/>
      <c r="B25" s="65" t="s">
        <v>693</v>
      </c>
      <c r="C25" s="101">
        <v>46302</v>
      </c>
      <c r="D25" s="64" t="s">
        <v>694</v>
      </c>
      <c r="E25" s="64" t="s">
        <v>695</v>
      </c>
      <c r="F25" s="64" t="s">
        <v>696</v>
      </c>
      <c r="G25" s="245" t="s">
        <v>642</v>
      </c>
      <c r="H25" s="10"/>
      <c r="I25" s="10"/>
    </row>
    <row r="26" ht="30">
      <c r="A26" s="10"/>
      <c r="B26" s="65" t="s">
        <v>697</v>
      </c>
      <c r="C26" s="101">
        <v>46301</v>
      </c>
      <c r="D26" s="64" t="s">
        <v>698</v>
      </c>
      <c r="E26" s="64" t="s">
        <v>699</v>
      </c>
      <c r="F26" s="64" t="s">
        <v>700</v>
      </c>
      <c r="G26" s="245" t="s">
        <v>642</v>
      </c>
      <c r="H26" s="10"/>
      <c r="I26" s="10"/>
    </row>
    <row r="27" ht="30">
      <c r="A27" s="10"/>
      <c r="B27" s="65" t="s">
        <v>701</v>
      </c>
      <c r="C27" s="101">
        <v>46289</v>
      </c>
      <c r="D27" s="64" t="s">
        <v>702</v>
      </c>
      <c r="E27" s="64" t="s">
        <v>703</v>
      </c>
      <c r="F27" s="64" t="s">
        <v>704</v>
      </c>
      <c r="G27" s="245" t="s">
        <v>642</v>
      </c>
      <c r="H27" s="10"/>
      <c r="I27" s="10"/>
    </row>
    <row r="28" ht="30">
      <c r="A28" s="10"/>
      <c r="B28" s="65" t="s">
        <v>705</v>
      </c>
      <c r="C28" s="101">
        <v>46289</v>
      </c>
      <c r="D28" s="64" t="s">
        <v>706</v>
      </c>
      <c r="E28" s="64" t="s">
        <v>707</v>
      </c>
      <c r="F28" s="64" t="s">
        <v>708</v>
      </c>
      <c r="G28" s="245" t="s">
        <v>642</v>
      </c>
      <c r="H28" s="10"/>
      <c r="I28" s="10"/>
    </row>
    <row r="29" ht="30">
      <c r="A29" s="10"/>
      <c r="B29" s="65" t="s">
        <v>709</v>
      </c>
      <c r="C29" s="101">
        <v>46280</v>
      </c>
      <c r="D29" s="64" t="s">
        <v>710</v>
      </c>
      <c r="E29" s="64" t="s">
        <v>711</v>
      </c>
      <c r="F29" s="64" t="s">
        <v>712</v>
      </c>
      <c r="G29" s="245" t="s">
        <v>642</v>
      </c>
      <c r="H29" s="10"/>
      <c r="I29" s="10"/>
    </row>
    <row r="30" ht="30">
      <c r="A30" s="10"/>
      <c r="B30" s="65" t="s">
        <v>713</v>
      </c>
      <c r="C30" s="101">
        <v>46279</v>
      </c>
      <c r="D30" s="64" t="s">
        <v>714</v>
      </c>
      <c r="E30" s="64" t="s">
        <v>715</v>
      </c>
      <c r="F30" s="64" t="s">
        <v>716</v>
      </c>
      <c r="G30" s="245" t="s">
        <v>642</v>
      </c>
      <c r="H30" s="10"/>
      <c r="I30" s="10"/>
    </row>
    <row r="31" ht="18">
      <c r="A31" s="10"/>
      <c r="B31" s="65" t="s">
        <v>717</v>
      </c>
      <c r="C31" s="101">
        <v>46304</v>
      </c>
      <c r="D31" s="64" t="s">
        <v>718</v>
      </c>
      <c r="E31" s="64" t="s">
        <v>719</v>
      </c>
      <c r="F31" s="64" t="s">
        <v>720</v>
      </c>
      <c r="G31" s="245" t="s">
        <v>642</v>
      </c>
      <c r="H31" s="10"/>
      <c r="I31" s="10"/>
    </row>
    <row r="32" ht="18">
      <c r="A32" s="10"/>
      <c r="B32" s="65" t="s">
        <v>721</v>
      </c>
      <c r="C32" s="101">
        <v>46225</v>
      </c>
      <c r="D32" s="64" t="s">
        <v>722</v>
      </c>
      <c r="E32" s="64" t="s">
        <v>723</v>
      </c>
      <c r="F32" s="64" t="s">
        <v>724</v>
      </c>
      <c r="G32" s="245" t="s">
        <v>642</v>
      </c>
      <c r="H32" s="10"/>
      <c r="I32" s="10"/>
    </row>
    <row r="33" ht="30">
      <c r="A33" s="10"/>
      <c r="B33" s="65" t="s">
        <v>621</v>
      </c>
      <c r="C33" s="101">
        <v>46041</v>
      </c>
      <c r="D33" s="64" t="s">
        <v>725</v>
      </c>
      <c r="E33" s="64" t="s">
        <v>726</v>
      </c>
      <c r="F33" s="64" t="s">
        <v>727</v>
      </c>
      <c r="G33" s="245" t="s">
        <v>642</v>
      </c>
      <c r="H33" s="10"/>
      <c r="I33" s="10"/>
    </row>
    <row r="34" ht="18">
      <c r="A34" s="10"/>
      <c r="B34" s="65" t="s">
        <v>728</v>
      </c>
      <c r="C34" s="101">
        <v>46306</v>
      </c>
      <c r="D34" s="64" t="s">
        <v>729</v>
      </c>
      <c r="E34" s="64" t="s">
        <v>730</v>
      </c>
      <c r="F34" s="64" t="s">
        <v>731</v>
      </c>
      <c r="G34" s="245" t="s">
        <v>642</v>
      </c>
      <c r="H34" s="10"/>
      <c r="I34" s="10"/>
    </row>
    <row r="35" ht="18">
      <c r="A35" s="10"/>
      <c r="B35" s="65" t="s">
        <v>732</v>
      </c>
      <c r="C35" s="101">
        <v>46306</v>
      </c>
      <c r="D35" s="64" t="s">
        <v>729</v>
      </c>
      <c r="E35" s="64" t="s">
        <v>733</v>
      </c>
      <c r="F35" s="64" t="s">
        <v>734</v>
      </c>
      <c r="G35" s="245" t="s">
        <v>642</v>
      </c>
      <c r="H35" s="10"/>
      <c r="I35" s="10"/>
    </row>
    <row r="36" ht="30">
      <c r="A36" s="10"/>
      <c r="B36" s="65" t="s">
        <v>735</v>
      </c>
      <c r="C36" s="101">
        <v>46296</v>
      </c>
      <c r="D36" s="64" t="s">
        <v>670</v>
      </c>
      <c r="E36" s="64" t="s">
        <v>736</v>
      </c>
      <c r="F36" s="64" t="s">
        <v>737</v>
      </c>
      <c r="G36" s="245" t="s">
        <v>642</v>
      </c>
      <c r="H36" s="10"/>
      <c r="I36" s="10"/>
    </row>
    <row r="37">
      <c r="A37" s="10"/>
      <c r="B37" s="65"/>
      <c r="C37" s="65"/>
      <c r="D37" s="64"/>
      <c r="E37" s="64"/>
      <c r="F37" s="64"/>
      <c r="G37" s="65"/>
      <c r="H37" s="10"/>
      <c r="I37" s="10"/>
    </row>
    <row r="38">
      <c r="A38" s="10"/>
      <c r="B38" s="111" t="s">
        <v>738</v>
      </c>
      <c r="C38" s="65"/>
      <c r="D38" s="64"/>
      <c r="E38" s="64"/>
      <c r="F38" s="64"/>
      <c r="G38" s="65"/>
      <c r="H38" s="10"/>
      <c r="I38" s="10"/>
    </row>
    <row r="39">
      <c r="A39" s="10"/>
      <c r="B39" s="111" t="s">
        <v>739</v>
      </c>
      <c r="C39" s="65"/>
      <c r="D39" s="64"/>
      <c r="E39" s="64"/>
      <c r="F39" s="64"/>
      <c r="G39" s="65"/>
      <c r="H39" s="10"/>
      <c r="I39" s="10"/>
    </row>
    <row r="40">
      <c r="A40" s="10"/>
      <c r="B40" s="111" t="s">
        <v>740</v>
      </c>
      <c r="C40" s="65"/>
      <c r="D40" s="64"/>
      <c r="E40" s="64"/>
      <c r="F40" s="64"/>
      <c r="G40" s="65"/>
      <c r="H40" s="10"/>
      <c r="I40" s="10"/>
    </row>
    <row r="41">
      <c r="A41" s="10"/>
      <c r="B41" s="65"/>
      <c r="C41" s="65"/>
      <c r="D41" s="64"/>
      <c r="E41" s="64"/>
      <c r="F41" s="64"/>
      <c r="G41" s="65"/>
      <c r="H41" s="10"/>
      <c r="I41" s="10"/>
    </row>
    <row r="42">
      <c r="A42" s="10"/>
      <c r="B42" s="10"/>
      <c r="C42" s="10"/>
      <c r="D42" s="10"/>
      <c r="E42" s="10"/>
      <c r="F42" s="10"/>
      <c r="G42" s="10"/>
      <c r="H42" s="10"/>
      <c r="I42" s="1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O14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3" width="14" customWidth="1"/>
    <col min="4" max="15" width="12" customWidth="1"/>
  </cols>
  <sheetData>
    <row r="1">
      <c r="A1" s="10"/>
      <c r="B1" s="33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>
      <c r="A2" s="10"/>
      <c r="B2" s="6" t="s">
        <v>741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>
      <c r="A3" s="10"/>
      <c r="B3" s="31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>
      <c r="A4" s="10"/>
      <c r="B4" s="147" t="s">
        <v>589</v>
      </c>
      <c r="C4" s="142"/>
      <c r="D4" s="142"/>
      <c r="E4" s="142"/>
      <c r="F4" s="142"/>
      <c r="G4" s="142"/>
      <c r="H4" s="142"/>
      <c r="I4" s="147"/>
      <c r="J4" s="159"/>
      <c r="K4" s="159"/>
      <c r="L4" s="159"/>
      <c r="M4" s="159"/>
      <c r="N4" s="159"/>
      <c r="O4" s="159"/>
    </row>
    <row r="5">
      <c r="A5" s="10"/>
      <c r="B5" s="155"/>
      <c r="C5" s="145"/>
      <c r="D5" s="145"/>
      <c r="E5" s="145"/>
      <c r="F5" s="145"/>
      <c r="G5" s="145"/>
      <c r="H5" s="145"/>
      <c r="I5" s="155"/>
      <c r="J5" s="159"/>
      <c r="K5" s="159"/>
      <c r="L5" s="159"/>
      <c r="M5" s="159"/>
      <c r="N5" s="159"/>
      <c r="O5" s="159"/>
    </row>
    <row r="6">
      <c r="A6" s="10"/>
      <c r="B6" s="143"/>
      <c r="C6" s="157"/>
      <c r="D6" s="157"/>
      <c r="E6" s="157"/>
      <c r="F6" s="157"/>
      <c r="G6" s="157"/>
      <c r="H6" s="157"/>
      <c r="I6" s="143"/>
      <c r="J6" s="159"/>
      <c r="K6" s="159"/>
      <c r="L6" s="159"/>
      <c r="M6" s="159"/>
      <c r="N6" s="159"/>
      <c r="O6" s="159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>
      <c r="A8" s="10"/>
      <c r="B8" s="8" t="s">
        <v>742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>
      <c r="A9" s="10"/>
      <c r="B9" s="38" t="s">
        <v>743</v>
      </c>
      <c r="C9" s="151" t="s">
        <v>744</v>
      </c>
      <c r="D9" s="22" t="s">
        <v>745</v>
      </c>
      <c r="E9" s="22" t="s">
        <v>746</v>
      </c>
      <c r="F9" s="151" t="s">
        <v>747</v>
      </c>
      <c r="G9" s="22"/>
      <c r="H9" s="22"/>
      <c r="I9" s="22"/>
      <c r="J9" s="22"/>
      <c r="K9" s="22"/>
      <c r="L9" s="22"/>
      <c r="M9" s="22"/>
      <c r="N9" s="22"/>
      <c r="O9" s="22"/>
    </row>
    <row r="10" ht="63">
      <c r="A10" s="10"/>
      <c r="B10" s="65" t="s">
        <v>733</v>
      </c>
      <c r="C10" s="137" t="s">
        <v>748</v>
      </c>
      <c r="D10" s="134">
        <v>6</v>
      </c>
      <c r="E10" s="134">
        <v>8</v>
      </c>
      <c r="F10" s="65" t="s">
        <v>749</v>
      </c>
      <c r="G10" s="10"/>
      <c r="H10" s="10"/>
      <c r="I10" s="10"/>
      <c r="J10" s="10"/>
      <c r="K10" s="10"/>
      <c r="L10" s="10"/>
      <c r="M10" s="10"/>
      <c r="N10" s="10"/>
      <c r="O10" s="10"/>
    </row>
    <row r="11" ht="63">
      <c r="A11" s="10"/>
      <c r="B11" s="65" t="s">
        <v>730</v>
      </c>
      <c r="C11" s="137" t="s">
        <v>750</v>
      </c>
      <c r="D11" s="134">
        <v>1</v>
      </c>
      <c r="E11" s="134">
        <v>70</v>
      </c>
      <c r="F11" s="65" t="s">
        <v>751</v>
      </c>
      <c r="G11" s="10"/>
      <c r="H11" s="10"/>
      <c r="I11" s="10"/>
      <c r="J11" s="10"/>
      <c r="K11" s="10"/>
      <c r="L11" s="10"/>
      <c r="M11" s="10"/>
      <c r="N11" s="10"/>
      <c r="O11" s="10"/>
    </row>
    <row r="12" ht="63">
      <c r="A12" s="10"/>
      <c r="B12" s="65" t="s">
        <v>752</v>
      </c>
      <c r="C12" s="137" t="s">
        <v>753</v>
      </c>
      <c r="D12" s="134">
        <v>19</v>
      </c>
      <c r="E12" s="134">
        <v>1</v>
      </c>
      <c r="F12" s="65" t="s">
        <v>754</v>
      </c>
      <c r="G12" s="10"/>
      <c r="H12" s="10"/>
      <c r="I12" s="10"/>
      <c r="J12" s="10"/>
      <c r="K12" s="10"/>
      <c r="L12" s="10"/>
      <c r="M12" s="10"/>
      <c r="N12" s="10"/>
      <c r="O12" s="10"/>
    </row>
    <row r="13" ht="63">
      <c r="A13" s="10"/>
      <c r="B13" s="65" t="s">
        <v>755</v>
      </c>
      <c r="C13" s="137" t="s">
        <v>756</v>
      </c>
      <c r="D13" s="134">
        <v>1</v>
      </c>
      <c r="E13" s="134">
        <v>1</v>
      </c>
      <c r="F13" s="65" t="s">
        <v>757</v>
      </c>
      <c r="G13" s="10"/>
      <c r="H13" s="10"/>
      <c r="I13" s="10"/>
      <c r="J13" s="10"/>
      <c r="K13" s="10"/>
      <c r="L13" s="10"/>
      <c r="M13" s="10"/>
      <c r="N13" s="10"/>
      <c r="O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>
      <c r="A15" s="10"/>
      <c r="B15" s="8" t="s">
        <v>758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>
      <c r="A16" s="10"/>
      <c r="B16" s="10" t="s">
        <v>759</v>
      </c>
      <c r="C16" s="132" t="s">
        <v>760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>
      <c r="A17" s="10"/>
      <c r="B17" s="10" t="s">
        <v>761</v>
      </c>
      <c r="C17" s="132" t="s">
        <v>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>
      <c r="A18" s="10"/>
      <c r="B18" s="10" t="s">
        <v>762</v>
      </c>
      <c r="C18" s="132" t="s">
        <v>5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>
      <c r="A19" s="10"/>
      <c r="B19" s="10" t="s">
        <v>763</v>
      </c>
      <c r="C19" s="132" t="s">
        <v>764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>
      <c r="A20" s="10"/>
      <c r="B20" s="10" t="s">
        <v>765</v>
      </c>
      <c r="C20" s="136">
        <v>46295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>
      <c r="A21" s="10"/>
      <c r="B21" s="10" t="s">
        <v>766</v>
      </c>
      <c r="C21" s="136">
        <v>46306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>
      <c r="A22" s="10"/>
      <c r="B22" s="10" t="s">
        <v>767</v>
      </c>
      <c r="C22" s="161">
        <v>20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>
      <c r="A23" s="10"/>
      <c r="B23" s="10" t="s">
        <v>768</v>
      </c>
      <c r="C23" s="129">
        <v>1.81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>
      <c r="A24" s="10"/>
      <c r="B24" s="10" t="s">
        <v>769</v>
      </c>
      <c r="C24" s="132" t="s">
        <v>770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>
      <c r="A25" s="10"/>
      <c r="B25" s="10" t="s">
        <v>771</v>
      </c>
      <c r="C25" s="129">
        <v>3587.71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>
      <c r="A26" s="10"/>
      <c r="B26" s="10" t="s">
        <v>772</v>
      </c>
      <c r="C26" s="132" t="s">
        <v>773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>
      <c r="A27" s="10"/>
      <c r="B27" s="10" t="s">
        <v>774</v>
      </c>
      <c r="C27" s="132" t="s">
        <v>775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>
      <c r="A28" s="10"/>
      <c r="B28" s="10" t="s">
        <v>776</v>
      </c>
      <c r="C28" s="132" t="s">
        <v>777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>
      <c r="A29" s="10"/>
      <c r="B29" s="10" t="s">
        <v>778</v>
      </c>
      <c r="C29" s="132" t="s">
        <v>779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>
      <c r="A31" s="10"/>
      <c r="B31" s="8" t="s">
        <v>780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>
      <c r="A32" s="10"/>
      <c r="B32" s="38" t="s">
        <v>781</v>
      </c>
      <c r="C32" s="190" t="s">
        <v>782</v>
      </c>
      <c r="D32" s="151" t="s">
        <v>783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>
      <c r="A33" s="10"/>
      <c r="B33" s="10" t="s">
        <v>761</v>
      </c>
      <c r="C33" s="132" t="s">
        <v>7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>
      <c r="A34" s="10"/>
      <c r="B34" s="10" t="s">
        <v>784</v>
      </c>
      <c r="C34" s="132" t="s">
        <v>5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>
      <c r="A35" s="10"/>
      <c r="B35" s="10" t="s">
        <v>785</v>
      </c>
      <c r="C35" s="132" t="s">
        <v>786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>
      <c r="A36" s="10"/>
      <c r="B36" s="10" t="s">
        <v>787</v>
      </c>
      <c r="C36" s="165">
        <v>278576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>
      <c r="A37" s="10"/>
      <c r="B37" s="10" t="s">
        <v>788</v>
      </c>
      <c r="C37" s="132" t="s">
        <v>789</v>
      </c>
      <c r="D37" s="10" t="s">
        <v>790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>
      <c r="A38" s="10"/>
      <c r="B38" s="10" t="s">
        <v>791</v>
      </c>
      <c r="C38" s="132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>
      <c r="A39" s="10"/>
      <c r="B39" s="10" t="s">
        <v>792</v>
      </c>
      <c r="C39" s="132" t="s">
        <v>764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>
      <c r="A40" s="10"/>
      <c r="B40" s="10" t="s">
        <v>793</v>
      </c>
      <c r="C40" s="136">
        <v>46295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>
      <c r="A41" s="10"/>
      <c r="B41" s="10" t="s">
        <v>794</v>
      </c>
      <c r="C41" s="136">
        <v>46310</v>
      </c>
      <c r="D41" s="10" t="s">
        <v>795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>
      <c r="A42" s="10"/>
      <c r="B42" s="10" t="s">
        <v>796</v>
      </c>
      <c r="C42" s="132" t="s">
        <v>797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>
      <c r="A43" s="10"/>
      <c r="B43" s="10" t="s">
        <v>798</v>
      </c>
      <c r="C43" s="161">
        <v>24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>
      <c r="A44" s="10"/>
      <c r="B44" s="10" t="s">
        <v>799</v>
      </c>
      <c r="C44" s="129">
        <v>1.81</v>
      </c>
      <c r="D44" s="10" t="s">
        <v>800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>
      <c r="A45" s="10"/>
      <c r="B45" s="10" t="s">
        <v>801</v>
      </c>
      <c r="C45" s="129">
        <v>1.8</v>
      </c>
      <c r="D45" s="10" t="s">
        <v>802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>
      <c r="A46" s="10"/>
      <c r="B46" s="10" t="s">
        <v>803</v>
      </c>
      <c r="C46" s="129">
        <v>1.96</v>
      </c>
      <c r="D46" s="10" t="s">
        <v>802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>
      <c r="A47" s="10"/>
      <c r="B47" s="10" t="s">
        <v>804</v>
      </c>
      <c r="C47" s="129">
        <v>1.75</v>
      </c>
      <c r="D47" s="10" t="s">
        <v>802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>
      <c r="A48" s="10"/>
      <c r="B48" s="10" t="s">
        <v>805</v>
      </c>
      <c r="C48" s="129">
        <v>0.06</v>
      </c>
      <c r="D48" s="10" t="s">
        <v>802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>
      <c r="A49" s="10"/>
      <c r="B49" s="10" t="s">
        <v>806</v>
      </c>
      <c r="C49" s="161">
        <v>20</v>
      </c>
      <c r="D49" s="10" t="s">
        <v>807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>
      <c r="A50" s="10"/>
      <c r="B50" s="10" t="s">
        <v>808</v>
      </c>
      <c r="C50" s="132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>
      <c r="A51" s="10"/>
      <c r="B51" s="10" t="s">
        <v>809</v>
      </c>
      <c r="C51" s="129">
        <v>1.72</v>
      </c>
      <c r="D51" s="10" t="s">
        <v>810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>
      <c r="A52" s="10"/>
      <c r="B52" s="10" t="s">
        <v>811</v>
      </c>
      <c r="C52" s="129">
        <v>1.81</v>
      </c>
      <c r="D52" s="10" t="s">
        <v>810</v>
      </c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>
      <c r="A53" s="10"/>
      <c r="B53" s="10" t="s">
        <v>812</v>
      </c>
      <c r="C53" s="129">
        <v>1.81</v>
      </c>
      <c r="D53" s="10" t="s">
        <v>813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>
      <c r="A54" s="10"/>
      <c r="B54" s="10" t="s">
        <v>814</v>
      </c>
      <c r="C54" s="129">
        <v>1.8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>
      <c r="A55" s="10"/>
      <c r="B55" s="10" t="s">
        <v>815</v>
      </c>
      <c r="C55" s="129">
        <v>1.96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>
      <c r="A56" s="10"/>
      <c r="B56" s="10" t="s">
        <v>816</v>
      </c>
      <c r="C56" s="129">
        <v>1.75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>
      <c r="A57" s="10"/>
      <c r="B57" s="10" t="s">
        <v>817</v>
      </c>
      <c r="C57" s="129">
        <v>0.06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>
      <c r="A58" s="10"/>
      <c r="B58" s="10" t="s">
        <v>818</v>
      </c>
      <c r="C58" s="161">
        <v>17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>
      <c r="A59" s="10"/>
      <c r="B59" s="10" t="s">
        <v>819</v>
      </c>
      <c r="C59" s="132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>
      <c r="A60" s="10"/>
      <c r="B60" s="10" t="s">
        <v>820</v>
      </c>
      <c r="C60" s="129">
        <v>3587.71</v>
      </c>
      <c r="D60" s="10" t="s">
        <v>821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>
      <c r="A61" s="10"/>
      <c r="B61" s="10" t="s">
        <v>822</v>
      </c>
      <c r="C61" s="129">
        <v>3607.8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>
      <c r="A62" s="10"/>
      <c r="B62" s="10" t="s">
        <v>823</v>
      </c>
      <c r="C62" s="129">
        <v>3742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>
      <c r="A63" s="10"/>
      <c r="B63" s="10" t="s">
        <v>824</v>
      </c>
      <c r="C63" s="129">
        <v>3339.9</v>
      </c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>
      <c r="A64" s="10"/>
      <c r="B64" s="10" t="s">
        <v>825</v>
      </c>
      <c r="C64" s="129">
        <v>90.29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>
      <c r="A65" s="10"/>
      <c r="B65" s="10" t="s">
        <v>826</v>
      </c>
      <c r="C65" s="161">
        <v>17</v>
      </c>
      <c r="D65" s="10" t="s">
        <v>802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>
      <c r="A66" s="10"/>
      <c r="B66" s="10" t="s">
        <v>827</v>
      </c>
      <c r="C66" s="132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>
      <c r="A67" s="10"/>
      <c r="B67" s="10" t="s">
        <v>828</v>
      </c>
      <c r="C67" s="132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>
      <c r="A68" s="10"/>
      <c r="B68" s="10" t="s">
        <v>829</v>
      </c>
      <c r="C68" s="13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>
      <c r="A69" s="10"/>
      <c r="B69" s="10" t="s">
        <v>830</v>
      </c>
      <c r="C69" s="129">
        <v>442.33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>
      <c r="A70" s="10"/>
      <c r="B70" s="10" t="s">
        <v>831</v>
      </c>
      <c r="C70" s="129">
        <v>245.68</v>
      </c>
      <c r="D70" s="10" t="s">
        <v>832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>
      <c r="A71" s="10"/>
      <c r="B71" s="10" t="s">
        <v>833</v>
      </c>
      <c r="C71" s="129">
        <v>230.15</v>
      </c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>
      <c r="A72" s="10"/>
      <c r="B72" s="10" t="s">
        <v>834</v>
      </c>
      <c r="C72" s="129">
        <v>230.65</v>
      </c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>
      <c r="A73" s="10"/>
      <c r="B73" s="10" t="s">
        <v>835</v>
      </c>
      <c r="C73" s="129">
        <v>171.81</v>
      </c>
      <c r="D73" s="10" t="s">
        <v>836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>
      <c r="A74" s="10"/>
      <c r="B74" s="10" t="s">
        <v>837</v>
      </c>
      <c r="C74" s="129">
        <v>172.51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>
      <c r="A75" s="10"/>
      <c r="B75" s="10" t="s">
        <v>838</v>
      </c>
      <c r="C75" s="13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>
      <c r="A76" s="10"/>
      <c r="B76" s="10" t="s">
        <v>839</v>
      </c>
      <c r="C76" s="13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>
      <c r="A77" s="10"/>
      <c r="B77" s="10" t="s">
        <v>840</v>
      </c>
      <c r="C77" s="129">
        <v>189.51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>
      <c r="A78" s="10"/>
      <c r="B78" s="10" t="s">
        <v>841</v>
      </c>
      <c r="C78" s="132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>
      <c r="A79" s="10"/>
      <c r="B79" s="10" t="s">
        <v>842</v>
      </c>
      <c r="C79" s="132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>
      <c r="A80" s="10"/>
      <c r="B80" s="10" t="s">
        <v>843</v>
      </c>
      <c r="C80" s="132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>
      <c r="A81" s="10"/>
      <c r="B81" s="10" t="s">
        <v>844</v>
      </c>
      <c r="C81" s="129">
        <v>-16.3</v>
      </c>
      <c r="D81" s="10" t="s">
        <v>845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>
      <c r="A82" s="10"/>
      <c r="B82" s="10" t="s">
        <v>846</v>
      </c>
      <c r="C82" s="129">
        <v>1098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>
      <c r="A83" s="10"/>
      <c r="B83" s="10" t="s">
        <v>847</v>
      </c>
      <c r="C83" s="132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>
      <c r="A84" s="10"/>
      <c r="B84" s="10" t="s">
        <v>848</v>
      </c>
      <c r="C84" s="132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>
      <c r="A85" s="10"/>
      <c r="B85" s="10" t="s">
        <v>849</v>
      </c>
      <c r="C85" s="132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>
      <c r="A86" s="10"/>
      <c r="B86" s="10" t="s">
        <v>850</v>
      </c>
      <c r="C86" s="132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>
      <c r="A87" s="10"/>
      <c r="B87" s="10" t="s">
        <v>851</v>
      </c>
      <c r="C87" s="132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>
      <c r="A88" s="10"/>
      <c r="B88" s="10" t="s">
        <v>852</v>
      </c>
      <c r="C88" s="132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>
      <c r="A89" s="10"/>
      <c r="B89" s="10" t="s">
        <v>853</v>
      </c>
      <c r="C89" s="129">
        <v>283.13</v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>
      <c r="A90" s="10"/>
      <c r="B90" s="10" t="s">
        <v>854</v>
      </c>
      <c r="C90" s="129">
        <v>289</v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>
      <c r="A91" s="10"/>
      <c r="B91" s="10" t="s">
        <v>855</v>
      </c>
      <c r="C91" s="129">
        <v>330</v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>
      <c r="A92" s="10"/>
      <c r="B92" s="10" t="s">
        <v>856</v>
      </c>
      <c r="C92" s="129">
        <v>182</v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>
      <c r="A93" s="10"/>
      <c r="B93" s="10" t="s">
        <v>857</v>
      </c>
      <c r="C93" s="129">
        <v>37.69</v>
      </c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>
      <c r="A94" s="10"/>
      <c r="B94" s="10" t="s">
        <v>858</v>
      </c>
      <c r="C94" s="161">
        <v>23</v>
      </c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>
      <c r="A95" s="10"/>
      <c r="B95" s="10" t="s">
        <v>859</v>
      </c>
      <c r="C95" s="132" t="s">
        <v>860</v>
      </c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>
      <c r="A96" s="10"/>
      <c r="B96" s="10" t="s">
        <v>861</v>
      </c>
      <c r="C96" s="129">
        <v>2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>
      <c r="A97" s="10"/>
      <c r="B97" s="10" t="s">
        <v>862</v>
      </c>
      <c r="C97" s="129">
        <v>229.26</v>
      </c>
      <c r="D97" s="10" t="s">
        <v>863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>
      <c r="A98" s="10"/>
      <c r="B98" s="10" t="s">
        <v>864</v>
      </c>
      <c r="C98" s="132" t="s">
        <v>865</v>
      </c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>
      <c r="A99" s="10"/>
      <c r="B99" s="10" t="s">
        <v>772</v>
      </c>
      <c r="C99" s="132" t="s">
        <v>773</v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>
      <c r="A100" s="10"/>
      <c r="B100" s="10" t="s">
        <v>866</v>
      </c>
      <c r="C100" s="132" t="s">
        <v>779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>
      <c r="A101" s="10"/>
      <c r="B101" s="10" t="s">
        <v>867</v>
      </c>
      <c r="C101" s="136">
        <v>46306</v>
      </c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>
      <c r="A102" s="10"/>
      <c r="B102" s="10" t="s">
        <v>868</v>
      </c>
      <c r="C102" s="132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>
      <c r="A104" s="10"/>
      <c r="B104" s="8" t="s">
        <v>869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>
      <c r="A105" s="10"/>
      <c r="B105" s="183" t="s">
        <v>765</v>
      </c>
      <c r="C105" s="22" t="s">
        <v>870</v>
      </c>
      <c r="D105" s="22" t="s">
        <v>871</v>
      </c>
      <c r="E105" s="22" t="s">
        <v>872</v>
      </c>
      <c r="F105" s="22" t="s">
        <v>873</v>
      </c>
      <c r="G105" s="22" t="s">
        <v>874</v>
      </c>
      <c r="H105" s="22" t="s">
        <v>875</v>
      </c>
      <c r="I105" s="22" t="s">
        <v>876</v>
      </c>
      <c r="J105" s="22" t="s">
        <v>877</v>
      </c>
      <c r="K105" s="22" t="s">
        <v>878</v>
      </c>
      <c r="L105" s="22" t="s">
        <v>879</v>
      </c>
      <c r="M105" s="22" t="s">
        <v>880</v>
      </c>
      <c r="N105" s="22" t="s">
        <v>881</v>
      </c>
      <c r="O105" s="22" t="s">
        <v>882</v>
      </c>
    </row>
    <row r="106">
      <c r="A106" s="10"/>
      <c r="B106" s="182">
        <v>45747</v>
      </c>
      <c r="C106" s="130">
        <v>45762</v>
      </c>
      <c r="D106" s="129">
        <v>1.14</v>
      </c>
      <c r="E106" s="129">
        <v>1.17</v>
      </c>
      <c r="F106" s="129">
        <v>1.15</v>
      </c>
      <c r="G106" s="129">
        <v>1.17</v>
      </c>
      <c r="H106" s="129">
        <v>2902.1</v>
      </c>
      <c r="I106" s="129">
        <v>2921.39</v>
      </c>
      <c r="J106" s="132">
        <f>E106-D106</f>
        <v>0.030000000000000027</v>
      </c>
      <c r="K106" s="132">
        <f>IF(E106&gt;D106,1,0)</f>
        <v>1</v>
      </c>
      <c r="L106" s="224">
        <f>'Income Statement'!F105</f>
        <v>1.171670531102905</v>
      </c>
      <c r="M106" s="224">
        <f>'Income Statement'!F100</f>
        <v>2921.392</v>
      </c>
      <c r="N106" s="163">
        <f>ROUND(L106,2)-E106</f>
        <v>0</v>
      </c>
      <c r="O106" s="163">
        <f>ROUND(M106-I106,1)</f>
        <v>0</v>
      </c>
    </row>
    <row r="107">
      <c r="A107" s="10"/>
      <c r="B107" s="182">
        <v>45838</v>
      </c>
      <c r="C107" s="130">
        <v>45853</v>
      </c>
      <c r="D107" s="129">
        <v>1.3</v>
      </c>
      <c r="E107" s="129">
        <v>1.31</v>
      </c>
      <c r="F107" s="129">
        <v>1.3</v>
      </c>
      <c r="G107" s="129">
        <v>1.31</v>
      </c>
      <c r="H107" s="129">
        <v>2915.21</v>
      </c>
      <c r="I107" s="129">
        <v>2928.18</v>
      </c>
      <c r="J107" s="132">
        <f>E107-D107</f>
        <v>0.010000000000000009</v>
      </c>
      <c r="K107" s="132">
        <f>IF(E107&gt;D107,1,0)</f>
        <v>1</v>
      </c>
      <c r="L107" s="224">
        <f>'Income Statement'!G105</f>
        <v>1.3128113007267075</v>
      </c>
      <c r="M107" s="224">
        <f>'Income Statement'!G100</f>
        <v>2928.181</v>
      </c>
      <c r="N107" s="163">
        <f>ROUND(L107,2)-E107</f>
        <v>0</v>
      </c>
      <c r="O107" s="163">
        <f>ROUND(M107-I107,1)</f>
        <v>0</v>
      </c>
    </row>
    <row r="108">
      <c r="A108" s="10"/>
      <c r="B108" s="182">
        <v>45930</v>
      </c>
      <c r="C108" s="130">
        <v>45945</v>
      </c>
      <c r="D108" s="129">
        <v>1.46</v>
      </c>
      <c r="E108" s="129">
        <v>1.76</v>
      </c>
      <c r="F108" s="129">
        <v>1.46</v>
      </c>
      <c r="G108" s="129">
        <v>1.76</v>
      </c>
      <c r="H108" s="129">
        <v>3019.71</v>
      </c>
      <c r="I108" s="129">
        <v>3052.9</v>
      </c>
      <c r="J108" s="132">
        <f>E108-D108</f>
        <v>0.30000000000000004</v>
      </c>
      <c r="K108" s="132">
        <f>IF(E108&gt;D108,1,0)</f>
        <v>1</v>
      </c>
      <c r="L108" s="138">
        <f>'Income Statement'!C66</f>
        <v>1.7641124660547065</v>
      </c>
      <c r="M108" s="138">
        <f>'Income Statement'!C15</f>
        <v>3052.897</v>
      </c>
      <c r="N108" s="132">
        <f>ROUND(L108,2)-E108</f>
        <v>0</v>
      </c>
      <c r="O108" s="132">
        <f>ROUND(M108-I108,1)</f>
        <v>0</v>
      </c>
    </row>
    <row r="109">
      <c r="A109" s="10"/>
      <c r="B109" s="182">
        <v>46022</v>
      </c>
      <c r="C109" s="130">
        <v>46037</v>
      </c>
      <c r="D109" s="129">
        <v>1.81</v>
      </c>
      <c r="E109" s="129">
        <v>1.9</v>
      </c>
      <c r="F109" s="129">
        <v>1.82</v>
      </c>
      <c r="G109" s="129">
        <v>1.9</v>
      </c>
      <c r="H109" s="129">
        <v>3117.14</v>
      </c>
      <c r="I109" s="129">
        <v>3096.63</v>
      </c>
      <c r="J109" s="132">
        <f>E109-D109</f>
        <v>0.08999999999999986</v>
      </c>
      <c r="K109" s="132">
        <f>IF(E109&gt;D109,1,0)</f>
        <v>1</v>
      </c>
      <c r="L109" s="138">
        <f>'Income Statement'!D66</f>
        <v>1.8959216794932239</v>
      </c>
      <c r="M109" s="138">
        <f>'Income Statement'!D15</f>
        <v>3096.626</v>
      </c>
      <c r="N109" s="132">
        <f>ROUND(L109,2)-E109</f>
        <v>0</v>
      </c>
      <c r="O109" s="132">
        <f>ROUND(M109-I109,1)</f>
        <v>0</v>
      </c>
    </row>
    <row r="110">
      <c r="A110" s="10"/>
      <c r="B110" s="182">
        <v>46112</v>
      </c>
      <c r="C110" s="130">
        <v>46127</v>
      </c>
      <c r="D110" s="129">
        <v>1.45</v>
      </c>
      <c r="E110" s="129">
        <v>1.49</v>
      </c>
      <c r="F110" s="129">
        <v>1.46</v>
      </c>
      <c r="G110" s="129">
        <v>1.49</v>
      </c>
      <c r="H110" s="129">
        <v>2958.96</v>
      </c>
      <c r="I110" s="129">
        <v>3056.49</v>
      </c>
      <c r="J110" s="132">
        <f>E110-D110</f>
        <v>0.040000000000000036</v>
      </c>
      <c r="K110" s="132">
        <f>IF(E110&gt;D110,1,0)</f>
        <v>1</v>
      </c>
      <c r="L110" s="138">
        <f>'Income Statement'!F66</f>
        <v>1.4868387882862042</v>
      </c>
      <c r="M110" s="138">
        <f>'Income Statement'!F15</f>
        <v>3056.491</v>
      </c>
      <c r="N110" s="132">
        <f>ROUND(L110,2)-E110</f>
        <v>0</v>
      </c>
      <c r="O110" s="132">
        <f>ROUND(M110-I110,1)</f>
        <v>0</v>
      </c>
    </row>
    <row r="111">
      <c r="A111" s="10"/>
      <c r="B111" s="182">
        <v>46203</v>
      </c>
      <c r="C111" s="130">
        <v>46218</v>
      </c>
      <c r="D111" s="129">
        <v>1.74</v>
      </c>
      <c r="E111" s="129">
        <v>1.91</v>
      </c>
      <c r="F111" s="129">
        <v>1.74</v>
      </c>
      <c r="G111" s="129">
        <v>1.91</v>
      </c>
      <c r="H111" s="129">
        <v>3262.99</v>
      </c>
      <c r="I111" s="129">
        <v>3495.3</v>
      </c>
      <c r="J111" s="132">
        <f>E111-D111</f>
        <v>0.16999999999999993</v>
      </c>
      <c r="K111" s="132">
        <f>IF(E111&gt;D111,1,0)</f>
        <v>1</v>
      </c>
      <c r="L111" s="138">
        <f>'Income Statement'!G66</f>
        <v>1.906745028648464</v>
      </c>
      <c r="M111" s="138">
        <f>'Income Statement'!G15</f>
        <v>3495.296</v>
      </c>
      <c r="N111" s="132">
        <f>ROUND(L111,2)-E111</f>
        <v>0</v>
      </c>
      <c r="O111" s="132">
        <f>ROUND(M111-I111,1)</f>
        <v>0</v>
      </c>
    </row>
    <row r="112">
      <c r="A112" s="10"/>
      <c r="B112" s="10" t="s">
        <v>883</v>
      </c>
      <c r="C112" s="132"/>
      <c r="D112" s="10"/>
      <c r="E112" s="10"/>
      <c r="F112" s="10"/>
      <c r="G112" s="10"/>
      <c r="H112" s="10"/>
      <c r="I112" s="10"/>
      <c r="J112" s="10">
        <f>AVERAGE(J106:J111)</f>
        <v>0.10666666666666665</v>
      </c>
      <c r="K112" s="10"/>
      <c r="L112" s="10"/>
      <c r="M112" s="10"/>
      <c r="N112" s="10"/>
      <c r="O112" s="10"/>
    </row>
    <row r="113">
      <c r="A113" s="10"/>
      <c r="B113" s="10" t="s">
        <v>884</v>
      </c>
      <c r="C113" s="132"/>
      <c r="D113" s="10"/>
      <c r="E113" s="10"/>
      <c r="F113" s="10"/>
      <c r="G113" s="10"/>
      <c r="H113" s="10"/>
      <c r="I113" s="10"/>
      <c r="J113" s="10">
        <f>MEDIAN(J106:J111)</f>
        <v>0.06499999999999995</v>
      </c>
      <c r="K113" s="10"/>
      <c r="L113" s="10"/>
      <c r="M113" s="10"/>
      <c r="N113" s="10"/>
      <c r="O113" s="10"/>
    </row>
    <row r="114">
      <c r="A114" s="10"/>
      <c r="B114" s="10" t="s">
        <v>885</v>
      </c>
      <c r="C114" s="132"/>
      <c r="D114" s="10"/>
      <c r="E114" s="10"/>
      <c r="F114" s="10"/>
      <c r="G114" s="10"/>
      <c r="H114" s="10"/>
      <c r="I114" s="10"/>
      <c r="J114" s="10">
        <f>J108</f>
        <v>0.30000000000000004</v>
      </c>
      <c r="K114" s="10"/>
      <c r="L114" s="10"/>
      <c r="M114" s="10"/>
      <c r="N114" s="10"/>
      <c r="O114" s="10"/>
    </row>
    <row r="115">
      <c r="A115" s="10"/>
      <c r="B115" s="31" t="s">
        <v>886</v>
      </c>
      <c r="C115" s="132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59">
        <f>IF(COUNT(N106:O111)=12,SUMIF(N106:O111,"&gt;0")-SUMIF(N106:O111,"&lt;0"),NA())</f>
        <v>0</v>
      </c>
      <c r="O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>
      <c r="A117" s="10"/>
      <c r="B117" s="8" t="s">
        <v>887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>
      <c r="A118" s="10"/>
      <c r="B118" s="10" t="s">
        <v>888</v>
      </c>
      <c r="C118" s="181">
        <v>21.53</v>
      </c>
      <c r="D118" s="10" t="s">
        <v>889</v>
      </c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>
      <c r="A119" s="10"/>
      <c r="B119" s="10" t="s">
        <v>890</v>
      </c>
      <c r="C119" s="189">
        <f>C97*'Share Count'!G9/1000</f>
        <v>21.5309529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>
      <c r="A120" s="10"/>
      <c r="B120" s="10" t="s">
        <v>891</v>
      </c>
      <c r="C120" s="187" t="str">
        <f>IF(C118&gt;10,"large",IF(C118&gt;=2,"mid","small"))</f>
        <v>large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>
      <c r="A121" s="10"/>
      <c r="B121" s="10" t="s">
        <v>892</v>
      </c>
      <c r="C121" s="187" t="str">
        <f>C37</f>
        <v>Y</v>
      </c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>
      <c r="A122" s="10"/>
      <c r="B122" s="31" t="s">
        <v>893</v>
      </c>
      <c r="C122" s="186">
        <f>IF(OR(C120="large",C121="Y"),0.78,IF(C120="mid",0.70,0.60))</f>
        <v>0.78</v>
      </c>
      <c r="D122" s="10" t="s">
        <v>894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>
      <c r="A123" s="10"/>
      <c r="B123" s="10" t="s">
        <v>895</v>
      </c>
      <c r="C123" s="187">
        <f>SUM(K106:K111)</f>
        <v>6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>
      <c r="A124" s="10"/>
      <c r="B124" s="10" t="s">
        <v>896</v>
      </c>
      <c r="C124" s="187">
        <f>SUMPRODUCT(--ISNUMBER(D106:D111),--ISNUMBER(E106:E111))</f>
        <v>6</v>
      </c>
      <c r="D124" s="10" t="s">
        <v>897</v>
      </c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>
      <c r="A125" s="10"/>
      <c r="B125" s="10" t="s">
        <v>898</v>
      </c>
      <c r="C125" s="191">
        <v>8</v>
      </c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>
      <c r="A126" s="10"/>
      <c r="B126" s="31" t="s">
        <v>899</v>
      </c>
      <c r="C126" s="186">
        <f>(C125*C122+C123)/(C125+C124)</f>
        <v>0.8742857142857143</v>
      </c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>
      <c r="A127" s="10"/>
      <c r="B127" s="31" t="s">
        <v>900</v>
      </c>
      <c r="C127" s="186">
        <f>C128-C126</f>
        <v>-0.5242857142857144</v>
      </c>
      <c r="D127" s="10" t="s">
        <v>901</v>
      </c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>
      <c r="A128" s="10"/>
      <c r="B128" s="31" t="s">
        <v>902</v>
      </c>
      <c r="C128" s="184">
        <v>0.35</v>
      </c>
      <c r="D128" s="10" t="s">
        <v>903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>
      <c r="A129" s="10"/>
      <c r="B129" s="10" t="s">
        <v>45</v>
      </c>
      <c r="C129" s="187" t="s">
        <v>904</v>
      </c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>
      <c r="A131" s="10"/>
      <c r="B131" s="8" t="s">
        <v>905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>
      <c r="A132" s="10"/>
      <c r="B132" s="38" t="s">
        <v>906</v>
      </c>
      <c r="C132" s="22" t="s">
        <v>907</v>
      </c>
      <c r="D132" s="22" t="s">
        <v>908</v>
      </c>
      <c r="E132" s="22" t="s">
        <v>909</v>
      </c>
      <c r="F132" s="151" t="s">
        <v>910</v>
      </c>
      <c r="G132" s="22"/>
      <c r="H132" s="22"/>
      <c r="I132" s="22"/>
      <c r="J132" s="22"/>
      <c r="K132" s="22"/>
      <c r="L132" s="22"/>
      <c r="M132" s="22"/>
      <c r="N132" s="22"/>
      <c r="O132" s="22"/>
    </row>
    <row r="133">
      <c r="A133" s="10"/>
      <c r="B133" s="10" t="s">
        <v>911</v>
      </c>
      <c r="C133" s="129">
        <v>1.89</v>
      </c>
      <c r="D133" s="133">
        <v>3550</v>
      </c>
      <c r="E133" s="162" t="s">
        <v>89</v>
      </c>
      <c r="F133" s="10" t="s">
        <v>685</v>
      </c>
      <c r="G133" s="10"/>
      <c r="H133" s="10"/>
      <c r="I133" s="10"/>
      <c r="J133" s="10"/>
      <c r="K133" s="10"/>
      <c r="L133" s="10"/>
      <c r="M133" s="10"/>
      <c r="N133" s="10"/>
      <c r="O133" s="10"/>
    </row>
    <row r="134">
      <c r="A134" s="10"/>
      <c r="B134" s="10" t="s">
        <v>912</v>
      </c>
      <c r="C134" s="129">
        <v>1.86</v>
      </c>
      <c r="D134" s="133">
        <v>3583.5</v>
      </c>
      <c r="E134" s="162" t="s">
        <v>89</v>
      </c>
      <c r="F134" s="10" t="s">
        <v>689</v>
      </c>
      <c r="G134" s="10"/>
      <c r="H134" s="10"/>
      <c r="I134" s="10"/>
      <c r="J134" s="10"/>
      <c r="K134" s="10"/>
      <c r="L134" s="10"/>
      <c r="M134" s="10"/>
      <c r="N134" s="10"/>
      <c r="O134" s="10"/>
    </row>
    <row r="135">
      <c r="A135" s="10"/>
      <c r="B135" s="10" t="s">
        <v>913</v>
      </c>
      <c r="C135" s="129">
        <v>1.81</v>
      </c>
      <c r="D135" s="133">
        <v>3590</v>
      </c>
      <c r="E135" s="133">
        <v>18</v>
      </c>
      <c r="F135" s="10" t="s">
        <v>681</v>
      </c>
      <c r="G135" s="10"/>
      <c r="H135" s="10"/>
      <c r="I135" s="10"/>
      <c r="J135" s="10"/>
      <c r="K135" s="10"/>
      <c r="L135" s="10"/>
      <c r="M135" s="10"/>
      <c r="N135" s="10"/>
      <c r="O135" s="10"/>
    </row>
    <row r="136">
      <c r="A136" s="10"/>
      <c r="B136" s="10" t="s">
        <v>914</v>
      </c>
      <c r="C136" s="129">
        <v>1.8</v>
      </c>
      <c r="D136" s="133">
        <v>3580</v>
      </c>
      <c r="E136" s="162" t="s">
        <v>89</v>
      </c>
      <c r="F136" s="10" t="s">
        <v>693</v>
      </c>
      <c r="G136" s="10"/>
      <c r="H136" s="10"/>
      <c r="I136" s="10"/>
      <c r="J136" s="10"/>
      <c r="K136" s="10"/>
      <c r="L136" s="10"/>
      <c r="M136" s="10"/>
      <c r="N136" s="10"/>
      <c r="O136" s="10"/>
    </row>
    <row r="137">
      <c r="A137" s="10"/>
      <c r="B137" s="10" t="s">
        <v>915</v>
      </c>
      <c r="C137" s="129">
        <v>1.8</v>
      </c>
      <c r="D137" s="162" t="s">
        <v>89</v>
      </c>
      <c r="E137" s="133">
        <v>1</v>
      </c>
      <c r="F137" s="10" t="s">
        <v>677</v>
      </c>
      <c r="G137" s="10"/>
      <c r="H137" s="10"/>
      <c r="I137" s="10"/>
      <c r="J137" s="10"/>
      <c r="K137" s="10"/>
      <c r="L137" s="10"/>
      <c r="M137" s="10"/>
      <c r="N137" s="10"/>
      <c r="O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>
      <c r="A139" s="10"/>
      <c r="B139" s="170" t="s">
        <v>916</v>
      </c>
      <c r="C139" s="159"/>
      <c r="D139" s="159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>
      <c r="B140" s="167" t="s">
        <v>917</v>
      </c>
      <c r="C140" s="167" t="s">
        <v>918</v>
      </c>
      <c r="D140" s="164" t="s">
        <v>919</v>
      </c>
    </row>
    <row r="141">
      <c r="B141" s="159" t="s">
        <v>920</v>
      </c>
      <c r="C141" s="159" t="s">
        <v>921</v>
      </c>
      <c r="D141" s="160" t="s">
        <v>922</v>
      </c>
    </row>
    <row r="142">
      <c r="B142" s="160" t="s">
        <v>923</v>
      </c>
      <c r="C142" s="160" t="s">
        <v>921</v>
      </c>
      <c r="D142" s="160" t="s">
        <v>924</v>
      </c>
    </row>
    <row r="143">
      <c r="B143" s="160" t="s">
        <v>925</v>
      </c>
      <c r="C143" s="160" t="s">
        <v>921</v>
      </c>
      <c r="D143" s="160" t="s">
        <v>926</v>
      </c>
    </row>
    <row r="144">
      <c r="B144" s="160" t="s">
        <v>927</v>
      </c>
      <c r="C144" s="160" t="s">
        <v>928</v>
      </c>
      <c r="D144" s="160" t="s">
        <v>929</v>
      </c>
    </row>
    <row r="145">
      <c r="B145" s="185" t="s">
        <v>930</v>
      </c>
      <c r="C145" s="185" t="s">
        <v>928</v>
      </c>
      <c r="D145" s="185" t="s">
        <v>931</v>
      </c>
    </row>
  </sheetData>
  <legacyDrawing r:id="rId2"/>
</worksheet>
</file>